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91" firstSheet="7" activeTab="11"/>
  </bookViews>
  <sheets>
    <sheet name="Sheet1" sheetId="1" r:id="rId1"/>
    <sheet name="Sheet2" sheetId="2" r:id="rId2"/>
    <sheet name="act_time" sheetId="3" r:id="rId3"/>
    <sheet name="测试server消失现象" sheetId="4" r:id="rId4"/>
    <sheet name="直接运行latency" sheetId="5" r:id="rId5"/>
    <sheet name="6.19igniter对比" sheetId="6" r:id="rId6"/>
    <sheet name="实际执行时间重测" sheetId="7" r:id="rId7"/>
    <sheet name="6.22单模型测试(较大结果)" sheetId="8" r:id="rId8"/>
    <sheet name="6.27较小结果测试" sheetId="9" r:id="rId9"/>
    <sheet name="两模型" sheetId="10" r:id="rId10"/>
    <sheet name="三模型&amp;四模型" sheetId="11" r:id="rId11"/>
    <sheet name="new test" sheetId="12" r:id="rId12"/>
  </sheets>
  <calcPr calcId="144525"/>
</workbook>
</file>

<file path=xl/sharedStrings.xml><?xml version="1.0" encoding="utf-8"?>
<sst xmlns="http://schemas.openxmlformats.org/spreadsheetml/2006/main" count="1187" uniqueCount="309">
  <si>
    <t>开启mps，设置对应活动线程百分比，启动triton server和client，推理，查看latency、power、frequency</t>
  </si>
  <si>
    <t>GPU活动线程分配（修改）</t>
  </si>
  <si>
    <t>吞吐量的倒数</t>
  </si>
  <si>
    <t>ResNet50</t>
  </si>
  <si>
    <t>latency(server)</t>
  </si>
  <si>
    <t>latency(client)</t>
  </si>
  <si>
    <t>对应吞吐量</t>
  </si>
  <si>
    <t>latency是perf_analyzer结果Server部分的Avg request latency</t>
  </si>
  <si>
    <t>power是nvidia-smi面板的数值</t>
  </si>
  <si>
    <t>11653us</t>
  </si>
  <si>
    <t>109285us</t>
  </si>
  <si>
    <t>211752us</t>
  </si>
  <si>
    <t>frequency是Nvidia X Server Settings面板的数值</t>
  </si>
  <si>
    <t>6138us</t>
  </si>
  <si>
    <t>25325us</t>
  </si>
  <si>
    <t>47804us</t>
  </si>
  <si>
    <t>6069us</t>
  </si>
  <si>
    <t>18443us</t>
  </si>
  <si>
    <t>34862us</t>
  </si>
  <si>
    <t>power</t>
  </si>
  <si>
    <t>125w</t>
  </si>
  <si>
    <t>130w</t>
  </si>
  <si>
    <t>132w</t>
  </si>
  <si>
    <t>133w</t>
  </si>
  <si>
    <t>199w</t>
  </si>
  <si>
    <t>197w</t>
  </si>
  <si>
    <t>136w</t>
  </si>
  <si>
    <t>221w</t>
  </si>
  <si>
    <t>207w</t>
  </si>
  <si>
    <t>frequency</t>
  </si>
  <si>
    <t>1965Mhz</t>
  </si>
  <si>
    <t>1950Mhz</t>
  </si>
  <si>
    <t>VGG19</t>
  </si>
  <si>
    <t>latency</t>
  </si>
  <si>
    <t>28406us</t>
  </si>
  <si>
    <t>269522us</t>
  </si>
  <si>
    <t>515558us</t>
  </si>
  <si>
    <t>6210us</t>
  </si>
  <si>
    <t>44791us</t>
  </si>
  <si>
    <t>85125us</t>
  </si>
  <si>
    <t>4458us</t>
  </si>
  <si>
    <t>34225us</t>
  </si>
  <si>
    <t>66164us</t>
  </si>
  <si>
    <t>137w</t>
  </si>
  <si>
    <t>139w</t>
  </si>
  <si>
    <t>222w</t>
  </si>
  <si>
    <t>241w</t>
  </si>
  <si>
    <t>231w</t>
  </si>
  <si>
    <t>260w</t>
  </si>
  <si>
    <t>251w</t>
  </si>
  <si>
    <t>228w-260w</t>
  </si>
  <si>
    <t>1935Mhz</t>
  </si>
  <si>
    <t>1935-1950Mhz</t>
  </si>
  <si>
    <t>1830Mhz-1935Mhz</t>
  </si>
  <si>
    <t>1770-1935Mhz</t>
  </si>
  <si>
    <t>Alexnet</t>
  </si>
  <si>
    <t>3110</t>
  </si>
  <si>
    <t>16409</t>
  </si>
  <si>
    <t>31430</t>
  </si>
  <si>
    <t>1289</t>
  </si>
  <si>
    <t>3934</t>
  </si>
  <si>
    <t>7738</t>
  </si>
  <si>
    <t>1273</t>
  </si>
  <si>
    <t>3537</t>
  </si>
  <si>
    <t>5765</t>
  </si>
  <si>
    <t>120w</t>
  </si>
  <si>
    <t>117w</t>
  </si>
  <si>
    <t>119w</t>
  </si>
  <si>
    <t>77w</t>
  </si>
  <si>
    <t>84w</t>
  </si>
  <si>
    <t>1965</t>
  </si>
  <si>
    <t>1920</t>
  </si>
  <si>
    <t>1350(没变化)</t>
  </si>
  <si>
    <t>Densenet201</t>
  </si>
  <si>
    <t>21664</t>
  </si>
  <si>
    <t>198391</t>
  </si>
  <si>
    <t>326214</t>
  </si>
  <si>
    <t>19798</t>
  </si>
  <si>
    <t>49238</t>
  </si>
  <si>
    <t>86846</t>
  </si>
  <si>
    <t>26730</t>
  </si>
  <si>
    <t>37962</t>
  </si>
  <si>
    <t>72394</t>
  </si>
  <si>
    <t>134w</t>
  </si>
  <si>
    <t>116w</t>
  </si>
  <si>
    <t>192w</t>
  </si>
  <si>
    <t>194w</t>
  </si>
  <si>
    <t>113w</t>
  </si>
  <si>
    <t>224w</t>
  </si>
  <si>
    <t>226w</t>
  </si>
  <si>
    <t>1950</t>
  </si>
  <si>
    <t>mobilenet</t>
  </si>
  <si>
    <t>115</t>
  </si>
  <si>
    <t>137</t>
  </si>
  <si>
    <t>142</t>
  </si>
  <si>
    <t>113</t>
  </si>
  <si>
    <t>220</t>
  </si>
  <si>
    <t>228</t>
  </si>
  <si>
    <t>80</t>
  </si>
  <si>
    <t>251</t>
  </si>
  <si>
    <t>256</t>
  </si>
  <si>
    <t>1980</t>
  </si>
  <si>
    <t>1935</t>
  </si>
  <si>
    <t>1590</t>
  </si>
  <si>
    <t>测试部分</t>
  </si>
  <si>
    <t>resnet50，单独运行</t>
  </si>
  <si>
    <t>resnet50+vgg19</t>
  </si>
  <si>
    <t>resnet50</t>
  </si>
  <si>
    <t>vgg19</t>
  </si>
  <si>
    <t>GPU%</t>
  </si>
  <si>
    <t>throughput</t>
  </si>
  <si>
    <t>predict</t>
  </si>
  <si>
    <t>real test</t>
  </si>
  <si>
    <t>误差</t>
  </si>
  <si>
    <t>预测</t>
  </si>
  <si>
    <t xml:space="preserve"> </t>
  </si>
  <si>
    <t>densenet201</t>
  </si>
  <si>
    <t>GPU allocate</t>
  </si>
  <si>
    <t>Batchsize</t>
  </si>
  <si>
    <t>Throughput</t>
  </si>
  <si>
    <t>Latency</t>
  </si>
  <si>
    <t>实际</t>
  </si>
  <si>
    <t>吞吐量误差</t>
  </si>
  <si>
    <t>时延误差</t>
  </si>
  <si>
    <t>nvidia-system找到batch=1，且只推理一次的程序的cuda时序（CUDA API）。再根据nvidia-compute对各个kernel的分析，找到第一个和最后一个kernel名称，在时序中找到对应位置，得到activate time.</t>
  </si>
  <si>
    <t>100% GPU</t>
  </si>
  <si>
    <t>10% GPU</t>
  </si>
  <si>
    <t>50% GPU</t>
  </si>
  <si>
    <t>b=1,loop=1</t>
  </si>
  <si>
    <t>kernels</t>
  </si>
  <si>
    <t>78-18</t>
  </si>
  <si>
    <t>start time</t>
  </si>
  <si>
    <t>4.85462s</t>
  </si>
  <si>
    <t>7.07894s</t>
  </si>
  <si>
    <t>7.18381s</t>
  </si>
  <si>
    <t>end time</t>
  </si>
  <si>
    <t>4.8661s</t>
  </si>
  <si>
    <t>7.11567s</t>
  </si>
  <si>
    <t>7.1915s</t>
  </si>
  <si>
    <t>active time</t>
  </si>
  <si>
    <t>4.8ms</t>
  </si>
  <si>
    <t>36.73ms</t>
  </si>
  <si>
    <t>7.69ms</t>
  </si>
  <si>
    <t>first kernel name</t>
  </si>
  <si>
    <t>computeOffsetKernel</t>
  </si>
  <si>
    <t>last kernel name</t>
  </si>
  <si>
    <t>gemv2T_kernel_val</t>
  </si>
  <si>
    <t>直接运行的平均时延</t>
  </si>
  <si>
    <t>4.2ms</t>
  </si>
  <si>
    <t>27.74ms</t>
  </si>
  <si>
    <t>6ms</t>
  </si>
  <si>
    <t>253-49</t>
  </si>
  <si>
    <t>未记录</t>
  </si>
  <si>
    <t>5.77377s</t>
  </si>
  <si>
    <t>5.98491s</t>
  </si>
  <si>
    <t>5.79926s</t>
  </si>
  <si>
    <t>6.00525s</t>
  </si>
  <si>
    <t>8ms</t>
  </si>
  <si>
    <t>25.49ms</t>
  </si>
  <si>
    <t>20.34ms</t>
  </si>
  <si>
    <t>5.68ms</t>
  </si>
  <si>
    <t>16.2ms</t>
  </si>
  <si>
    <t>5.77ms</t>
  </si>
  <si>
    <t>alexnet</t>
  </si>
  <si>
    <t>29-7</t>
  </si>
  <si>
    <t>5.9894s</t>
  </si>
  <si>
    <t>5.84514s</t>
  </si>
  <si>
    <t>5.64803s</t>
  </si>
  <si>
    <t>5.99608s</t>
  </si>
  <si>
    <t>5.84905s</t>
  </si>
  <si>
    <t>5.64937s</t>
  </si>
  <si>
    <t>1.28ms</t>
  </si>
  <si>
    <t>3.91ms</t>
  </si>
  <si>
    <t>1.34ms</t>
  </si>
  <si>
    <t>implicit_convolve_sgemm</t>
  </si>
  <si>
    <t>0.91ms</t>
  </si>
  <si>
    <t>2.8ms</t>
  </si>
  <si>
    <t>1.1ms</t>
  </si>
  <si>
    <t>vgg19+resnet50顺序执行</t>
  </si>
  <si>
    <t>78+253</t>
  </si>
  <si>
    <t>vgg19+resnet50双线程执行</t>
  </si>
  <si>
    <t>vgg19 active time</t>
  </si>
  <si>
    <t>5.92ms</t>
  </si>
  <si>
    <t>resnet50 active time</t>
  </si>
  <si>
    <t>14ms</t>
  </si>
  <si>
    <t>1. 关闭所有docker：</t>
  </si>
  <si>
    <t>docker stop $(docker ps -a -q)</t>
  </si>
  <si>
    <t>2. 关闭mps：</t>
  </si>
  <si>
    <t>echo quit | sudo nvidia-cuda-mps-control</t>
  </si>
  <si>
    <t>3. 开启新的mps守护进程：</t>
  </si>
  <si>
    <t>sudo nvidia-cuda-mps-control -d</t>
  </si>
  <si>
    <t>4. 设置下一个mps server的默认百分比</t>
  </si>
  <si>
    <t>echo set_default_active_thread_percentage 10 | sudo nvidia-cuda-mps-control</t>
  </si>
  <si>
    <t>echo set_default_active_thread_percentage 40 | sudo nvidia-cuda-mps-control</t>
  </si>
  <si>
    <t>echo set_default_active_thread_percentage 80 | sudo nvidia-cuda-mps-control</t>
  </si>
  <si>
    <t>5. 启动triton server 1（开启一个新的命令行）</t>
  </si>
  <si>
    <t xml:space="preserve">docker run --gpus=1 --ipc=host --rm --shm-size=2g -p8000:8000 -p8001:8001 -p8002:8002 -v/home/hpj/hpj/Triton/server/docs/examples/model_repository:/models nvcr.io/nvidia/tritonserver:20.12-py3 tritonserver --model-repository=/models </t>
  </si>
  <si>
    <t xml:space="preserve">docker run --gpus=1 --ipc=host --rm  -p8000:8000 -p8001:8001 -p8002:8002 -v/home/hpj/hpj/Triton/server/docs/examples/model_repository:/models nvcr.io/nvidia/tritonserver:20.12-py3 tritonserver --model-repository=/models </t>
  </si>
  <si>
    <t>6. 获取启动的mps server进程id</t>
  </si>
  <si>
    <t>echo get_server_list | nvidia-cuda-mps-control</t>
  </si>
  <si>
    <t>7.设置该id的server的下一个client默认百分比</t>
  </si>
  <si>
    <t>echo set_active_thread_percentage {serverid} {percents} | sudo nvidia-cuda-mps-control</t>
  </si>
  <si>
    <t>8. 启动triton server 2 (开启一个新的命令行）</t>
  </si>
  <si>
    <t>docker run --gpus=1 --ipc=host --rm --shm-size=2g -p8003:8000 -p8004:8001 -p8005:8002 -v/home/hpj/hpj/Triton/server/docs/examples/model_repository:/models nvcr.io/nvidia/tritonserver:20.12-py3 tritonserver --model-repository=/models</t>
  </si>
  <si>
    <t>docker run --gpus=1 --ipc=host --rm -p8003:8000 -p8004:8001 -p8005:8002 -v/home/hpj/hpj/Triton/server/docs/examples/model_repository:/models nvcr.io/nvidia/tritonserver:20.12-py3 tritonserver --model-repository=/models</t>
  </si>
  <si>
    <t>9.启动两个client，同时进行推理</t>
  </si>
  <si>
    <t>docker run --rm --ipc=host --net=host  --shm-size=4g --privileged=true -v/home/hpj/hpj/Triton/5.25test/res:/workspace/sub_save_dir -w /workspace/sub_save_dir nvcr.io/nvidia/tritonserver:20.12-py3-sdk perf_analyzer -m torch_vgg19 -b 16 -u localhost:8001 -i grpc -a --shared-memory system --max-threads 16 -v -p 5000 -r 3</t>
  </si>
  <si>
    <t>docker run --rm --ipc=host --net=host  --shm-size=4g --privileged=true -v/home/hpj/hpj/Triton/5.25test/res:/workspace/sub_save_dir -w /workspace/sub_save_dir nvcr.io/nvidia/tritonserver:20.12-py3-sdk perf_analyzer -m torch_resnet50 -b 1 -u localhost:8004 -i grpc -a --shared-memory system --max-threads 16 -v -p 5000 -r 3</t>
  </si>
  <si>
    <t>docker run --rm --ipc=host --net=host nvcr.io/nvidia/tritonserver:20.12-py3-sdk perf_analyzer -m torch_vgg19 -b 16 -u localhost:8001 -i grpc -p 5000 -r 3</t>
  </si>
  <si>
    <t>docker run --rm --ipc=host --net=host nvcr.io/nvidia/tritonserver:20.12-py3-sdk perf_analyzer -m torch_resnet50 -b 1 -u localhost:8004 -i grpc -p 5000 -r 3</t>
  </si>
  <si>
    <t>结论，删除perf_analyzer中的--shared-memory system就不会产生消失的情况</t>
  </si>
  <si>
    <t>测试/预测:b=1</t>
  </si>
  <si>
    <t>nsight compute total time</t>
  </si>
  <si>
    <t>real</t>
  </si>
  <si>
    <t>ratio</t>
  </si>
  <si>
    <t>ratio(固定)</t>
  </si>
  <si>
    <t xml:space="preserve">active time(= Σ(active cycles / kernel total cycles)*kernel time) </t>
  </si>
  <si>
    <t>active time * ratio / gpu resource</t>
  </si>
  <si>
    <t>active2</t>
  </si>
  <si>
    <t>active3(6.17 predict)</t>
  </si>
  <si>
    <t>free time</t>
  </si>
  <si>
    <t>差值</t>
  </si>
  <si>
    <t>比例</t>
  </si>
  <si>
    <t>predict2</t>
  </si>
  <si>
    <t>差值2</t>
  </si>
  <si>
    <t>比例2</t>
  </si>
  <si>
    <t>predict3</t>
  </si>
  <si>
    <t>差值3</t>
  </si>
  <si>
    <t>比例3</t>
  </si>
  <si>
    <t>6.19predict</t>
  </si>
  <si>
    <t>测试/预测:b=8</t>
  </si>
  <si>
    <t>测试/预测:b=16</t>
  </si>
  <si>
    <t>DenseNet201</t>
  </si>
  <si>
    <t>MobileNetv2</t>
  </si>
  <si>
    <t>4.96-5.15</t>
  </si>
  <si>
    <t>5.56-6.22</t>
  </si>
  <si>
    <t>b</t>
  </si>
  <si>
    <t>igniter predict</t>
  </si>
  <si>
    <t>差值比例</t>
  </si>
  <si>
    <t>IGNITER</t>
  </si>
  <si>
    <t>6.20predict(加b)</t>
  </si>
  <si>
    <t>实际profile时间</t>
  </si>
  <si>
    <t>idle time</t>
  </si>
  <si>
    <t>总误差</t>
  </si>
  <si>
    <t>实际差值</t>
  </si>
  <si>
    <t>igniter 预测</t>
  </si>
  <si>
    <t>MAE</t>
  </si>
  <si>
    <t>6.20predict(不加b)</t>
  </si>
  <si>
    <t>不加b</t>
  </si>
  <si>
    <t>b = (kernel_nums * 7us) / batch / gpu_resource</t>
  </si>
  <si>
    <t>igniter</t>
  </si>
  <si>
    <t>kernel</t>
  </si>
  <si>
    <t>加b</t>
  </si>
  <si>
    <t>sm usage 正比例拟合（选取20个点）</t>
  </si>
  <si>
    <t>DenseNet201 Predict</t>
  </si>
  <si>
    <t>sm usage 反比例拟合（选取20个点拟合）(效果好)</t>
  </si>
  <si>
    <t>VGG19 Predict</t>
  </si>
  <si>
    <t>ResNet50 Predict</t>
  </si>
  <si>
    <t>按照GPU资源超过则选择下一个大小的GPU资源对应csv的方案的预测结果（不加b）</t>
  </si>
  <si>
    <t>实际执行结果（6.22测试）</t>
  </si>
  <si>
    <t>b = (kernel_nums * 7us) / batch * gpu_resource(小于1的值)</t>
  </si>
  <si>
    <t>加了b之后的预测结果</t>
  </si>
  <si>
    <t>加了b之后的误差</t>
  </si>
  <si>
    <t>加了b之后的误差比例</t>
  </si>
  <si>
    <t>以下是只使用batch=1,16,32 GPU = 10,50,100的拟合(sm usage 反比例拟合)与测试结果（为了与igniter公平比较）</t>
  </si>
  <si>
    <t>DenseNet201 IGNITER Predict</t>
  </si>
  <si>
    <t>VGG19 IGNITER Predict</t>
  </si>
  <si>
    <t>ResNet50 IGNITER Predict</t>
  </si>
  <si>
    <t>整个测试过程使用的是profile的结果，即最准确的结果，而不是拟合得到的duration，所以这些表格应该是准确率的上限</t>
  </si>
  <si>
    <t>MobileNet</t>
  </si>
  <si>
    <t>Real Latency</t>
  </si>
  <si>
    <t>AVG RATIO</t>
  </si>
  <si>
    <t>Predict / ratio</t>
  </si>
  <si>
    <t>误差(没加b)</t>
  </si>
  <si>
    <t>MAE(ms)</t>
  </si>
  <si>
    <t>误差百分比(没加b)</t>
  </si>
  <si>
    <t>MAE(归一化)</t>
  </si>
  <si>
    <t>误差(加b)</t>
  </si>
  <si>
    <t>实际算法Predict结果</t>
  </si>
  <si>
    <t>Predict Latency</t>
  </si>
  <si>
    <t>误差百分比(加b)</t>
  </si>
  <si>
    <t>两模型</t>
  </si>
  <si>
    <t>Igniter Predict</t>
  </si>
  <si>
    <t>GPU = 10,25,50,75</t>
  </si>
  <si>
    <t>拟合参数</t>
  </si>
  <si>
    <t>k1</t>
  </si>
  <si>
    <t>k2</t>
  </si>
  <si>
    <t>k3</t>
  </si>
  <si>
    <t>k4</t>
  </si>
  <si>
    <t>测试结果</t>
  </si>
  <si>
    <t>受影响模型</t>
  </si>
  <si>
    <t>共存模型</t>
  </si>
  <si>
    <t>受影响程度的MAE</t>
  </si>
  <si>
    <t>全体MAE</t>
  </si>
  <si>
    <t>BS = 1,8,16,32</t>
  </si>
  <si>
    <t>预测目标</t>
  </si>
  <si>
    <t>Kernel Predict MAE</t>
  </si>
  <si>
    <t>Igniter Predict MAE</t>
  </si>
  <si>
    <t>三模型</t>
  </si>
  <si>
    <t>BS = 1,8,16</t>
  </si>
  <si>
    <t>共存模型1</t>
  </si>
  <si>
    <t>共存模型2</t>
  </si>
  <si>
    <t>Kernel PredictMAE</t>
  </si>
  <si>
    <t>四模型</t>
  </si>
  <si>
    <t>拟合参数（和上面的一样）</t>
  </si>
  <si>
    <t>共存模型3</t>
  </si>
  <si>
    <t>总MAE</t>
  </si>
  <si>
    <t>mobilenetv2</t>
  </si>
  <si>
    <t>inceptionv3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</si>
</sst>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%"/>
    <numFmt numFmtId="178" formatCode="0_ "/>
    <numFmt numFmtId="179" formatCode="0.0_ "/>
    <numFmt numFmtId="180" formatCode="0.00000%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1C4F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ck">
        <color rgb="FFE1C4FD"/>
      </left>
      <right/>
      <top style="thick">
        <color rgb="FFE1C4FD"/>
      </top>
      <bottom/>
      <diagonal/>
    </border>
    <border>
      <left/>
      <right/>
      <top style="thick">
        <color rgb="FFE1C4FD"/>
      </top>
      <bottom/>
      <diagonal/>
    </border>
    <border>
      <left/>
      <right style="thick">
        <color rgb="FFE1C4FD"/>
      </right>
      <top style="thick">
        <color rgb="FFE1C4FD"/>
      </top>
      <bottom/>
      <diagonal/>
    </border>
    <border>
      <left style="thick">
        <color rgb="FFE1C4FD"/>
      </left>
      <right/>
      <top/>
      <bottom/>
      <diagonal/>
    </border>
    <border>
      <left/>
      <right style="thick">
        <color rgb="FFE1C4FD"/>
      </right>
      <top/>
      <bottom/>
      <diagonal/>
    </border>
    <border>
      <left style="thick">
        <color rgb="FFE1C4FD"/>
      </left>
      <right/>
      <top/>
      <bottom style="thick">
        <color rgb="FFE1C4FD"/>
      </bottom>
      <diagonal/>
    </border>
    <border>
      <left/>
      <right/>
      <top/>
      <bottom style="thick">
        <color rgb="FFE1C4FD"/>
      </bottom>
      <diagonal/>
    </border>
    <border>
      <left/>
      <right style="thick">
        <color rgb="FFE1C4FD"/>
      </right>
      <top/>
      <bottom style="thick">
        <color rgb="FFE1C4FD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6" borderId="21" applyNumberFormat="0" applyAlignment="0" applyProtection="0">
      <alignment vertical="center"/>
    </xf>
    <xf numFmtId="0" fontId="14" fillId="16" borderId="17" applyNumberFormat="0" applyAlignment="0" applyProtection="0">
      <alignment vertical="center"/>
    </xf>
    <xf numFmtId="0" fontId="15" fillId="17" borderId="22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5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0" fontId="0" fillId="0" borderId="6" xfId="0" applyBorder="1">
      <alignment vertical="center"/>
    </xf>
    <xf numFmtId="10" fontId="0" fillId="0" borderId="7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0" fillId="6" borderId="5" xfId="0" applyFill="1" applyBorder="1">
      <alignment vertical="center"/>
    </xf>
    <xf numFmtId="10" fontId="0" fillId="6" borderId="0" xfId="0" applyNumberFormat="1" applyFill="1" applyAlignment="1">
      <alignment horizontal="center" vertical="center"/>
    </xf>
    <xf numFmtId="0" fontId="0" fillId="6" borderId="6" xfId="0" applyFill="1" applyBorder="1">
      <alignment vertical="center"/>
    </xf>
    <xf numFmtId="10" fontId="0" fillId="6" borderId="7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6" borderId="12" xfId="0" applyFill="1" applyBorder="1">
      <alignment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>
      <alignment vertical="center"/>
    </xf>
    <xf numFmtId="10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3" borderId="0" xfId="0" applyNumberFormat="1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10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1C4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01"/>
  <sheetViews>
    <sheetView zoomScale="85" zoomScaleNormal="85" topLeftCell="B84" workbookViewId="0">
      <selection activeCell="E84" sqref="E84"/>
    </sheetView>
  </sheetViews>
  <sheetFormatPr defaultColWidth="9" defaultRowHeight="14.4"/>
  <cols>
    <col min="1" max="1" width="9" style="81"/>
    <col min="2" max="2" width="26.5555555555556" style="81" customWidth="1"/>
    <col min="3" max="3" width="13" style="75" customWidth="1"/>
    <col min="4" max="4" width="18.4444444444444" style="75" customWidth="1"/>
    <col min="5" max="5" width="19.5555555555556" style="75" customWidth="1"/>
    <col min="6" max="6" width="20.3333333333333" style="75" customWidth="1"/>
    <col min="7" max="7" width="19.7777777777778" style="75" customWidth="1"/>
    <col min="8" max="8" width="9" style="75"/>
    <col min="9" max="9" width="17.5555555555556" style="75" customWidth="1"/>
    <col min="10" max="10" width="15.7777777777778" style="75" customWidth="1"/>
    <col min="11" max="11" width="15.2222222222222" style="75" customWidth="1"/>
    <col min="12" max="12" width="17.5555555555556" style="75" customWidth="1"/>
    <col min="13" max="13" width="12.5555555555556" style="75" customWidth="1"/>
    <col min="14" max="19" width="9" style="75"/>
    <col min="20" max="20" width="64.7777777777778" style="1" customWidth="1"/>
    <col min="21" max="33" width="9" style="1"/>
  </cols>
  <sheetData>
    <row r="1" ht="15.15" spans="3:7">
      <c r="C1" s="82"/>
      <c r="D1" s="83" t="s">
        <v>0</v>
      </c>
      <c r="E1" s="83"/>
      <c r="F1" s="83"/>
      <c r="G1" s="84"/>
    </row>
    <row r="2" spans="3:7">
      <c r="C2" s="85"/>
      <c r="D2" s="76"/>
      <c r="E2" s="76"/>
      <c r="F2" s="76"/>
      <c r="G2" s="86"/>
    </row>
    <row r="3" spans="3:20">
      <c r="C3" s="85"/>
      <c r="D3" s="76"/>
      <c r="E3" s="76"/>
      <c r="F3" s="76"/>
      <c r="G3" s="86"/>
      <c r="T3" s="75"/>
    </row>
    <row r="4" spans="3:20">
      <c r="C4" s="85"/>
      <c r="D4" s="76"/>
      <c r="E4" s="76"/>
      <c r="F4" s="76"/>
      <c r="G4" s="86"/>
      <c r="T4" s="75"/>
    </row>
    <row r="5" spans="3:20">
      <c r="C5" s="85"/>
      <c r="G5" s="87"/>
      <c r="T5" s="75"/>
    </row>
    <row r="6" spans="2:20">
      <c r="B6" s="81" t="s">
        <v>1</v>
      </c>
      <c r="C6" s="85"/>
      <c r="G6" s="87"/>
      <c r="I6" s="75" t="s">
        <v>2</v>
      </c>
      <c r="T6" s="75"/>
    </row>
    <row r="7" spans="3:20">
      <c r="C7" s="85" t="s">
        <v>3</v>
      </c>
      <c r="D7" s="75" t="s">
        <v>4</v>
      </c>
      <c r="G7" s="87"/>
      <c r="I7" s="75" t="s">
        <v>5</v>
      </c>
      <c r="M7" s="75" t="s">
        <v>6</v>
      </c>
      <c r="T7" s="75" t="s">
        <v>7</v>
      </c>
    </row>
    <row r="8" spans="3:20">
      <c r="C8" s="85"/>
      <c r="E8" s="75">
        <v>1</v>
      </c>
      <c r="F8" s="75">
        <v>16</v>
      </c>
      <c r="G8" s="87">
        <v>32</v>
      </c>
      <c r="J8" s="75">
        <v>1</v>
      </c>
      <c r="K8" s="75">
        <v>16</v>
      </c>
      <c r="L8" s="75">
        <v>32</v>
      </c>
      <c r="N8" s="75">
        <v>1</v>
      </c>
      <c r="O8" s="75">
        <v>16</v>
      </c>
      <c r="P8" s="75">
        <v>32</v>
      </c>
      <c r="T8" s="1" t="s">
        <v>8</v>
      </c>
    </row>
    <row r="9" spans="3:20">
      <c r="C9" s="85"/>
      <c r="D9" s="75">
        <v>10</v>
      </c>
      <c r="E9" s="75" t="s">
        <v>9</v>
      </c>
      <c r="F9" s="75" t="s">
        <v>10</v>
      </c>
      <c r="G9" s="87" t="s">
        <v>11</v>
      </c>
      <c r="I9" s="75">
        <v>10</v>
      </c>
      <c r="J9" s="78">
        <v>12369</v>
      </c>
      <c r="K9" s="78">
        <v>115440</v>
      </c>
      <c r="L9" s="78">
        <v>227667</v>
      </c>
      <c r="M9" s="75">
        <v>10</v>
      </c>
      <c r="N9" s="78">
        <f>(1/J9)*1000000</f>
        <v>80.8472794890452</v>
      </c>
      <c r="O9" s="78">
        <f>(1/K9)*1000000*16</f>
        <v>138.600138600139</v>
      </c>
      <c r="P9" s="78">
        <f>(1/L9)*1000000*32</f>
        <v>140.556163168136</v>
      </c>
      <c r="T9" s="1" t="s">
        <v>12</v>
      </c>
    </row>
    <row r="10" spans="3:16">
      <c r="C10" s="85"/>
      <c r="D10" s="75">
        <v>50</v>
      </c>
      <c r="E10" s="75" t="s">
        <v>13</v>
      </c>
      <c r="F10" s="75" t="s">
        <v>14</v>
      </c>
      <c r="G10" s="87" t="s">
        <v>15</v>
      </c>
      <c r="I10" s="75">
        <v>50</v>
      </c>
      <c r="J10" s="78">
        <v>6942</v>
      </c>
      <c r="K10" s="78">
        <v>30737</v>
      </c>
      <c r="L10" s="78">
        <v>60619</v>
      </c>
      <c r="M10" s="75">
        <v>50</v>
      </c>
      <c r="N10" s="78">
        <f>(1/J10)*1000000</f>
        <v>144.050705848459</v>
      </c>
      <c r="O10" s="78">
        <f>(1/K10)*1000000*16</f>
        <v>520.545271171552</v>
      </c>
      <c r="P10" s="78">
        <f>(1/L10)*1000000*32</f>
        <v>527.887296062291</v>
      </c>
    </row>
    <row r="11" spans="3:16">
      <c r="C11" s="85"/>
      <c r="D11" s="75">
        <v>100</v>
      </c>
      <c r="E11" s="75" t="s">
        <v>16</v>
      </c>
      <c r="F11" s="75" t="s">
        <v>17</v>
      </c>
      <c r="G11" s="87" t="s">
        <v>18</v>
      </c>
      <c r="I11" s="75">
        <v>100</v>
      </c>
      <c r="J11" s="78">
        <v>6624</v>
      </c>
      <c r="K11" s="78">
        <v>23780</v>
      </c>
      <c r="L11" s="78">
        <v>50137</v>
      </c>
      <c r="M11" s="75">
        <v>100</v>
      </c>
      <c r="N11" s="78">
        <f>(1/J11)*1000000</f>
        <v>150.966183574879</v>
      </c>
      <c r="O11" s="78">
        <f>(1/K11)*1000000*16</f>
        <v>672.834314550042</v>
      </c>
      <c r="P11" s="78">
        <f>(1/L11)*1000000*32</f>
        <v>638.251191734647</v>
      </c>
    </row>
    <row r="12" spans="3:12">
      <c r="C12" s="85"/>
      <c r="G12" s="87"/>
      <c r="J12" s="19"/>
      <c r="K12" s="19"/>
      <c r="L12" s="19"/>
    </row>
    <row r="13" spans="3:7">
      <c r="C13" s="85"/>
      <c r="D13" s="75" t="s">
        <v>19</v>
      </c>
      <c r="G13" s="87"/>
    </row>
    <row r="14" spans="3:7">
      <c r="C14" s="85"/>
      <c r="E14" s="75">
        <v>1</v>
      </c>
      <c r="F14" s="75">
        <v>16</v>
      </c>
      <c r="G14" s="87">
        <v>32</v>
      </c>
    </row>
    <row r="15" spans="3:7">
      <c r="C15" s="85"/>
      <c r="D15" s="75">
        <v>10</v>
      </c>
      <c r="E15" s="75" t="s">
        <v>20</v>
      </c>
      <c r="F15" s="75" t="s">
        <v>21</v>
      </c>
      <c r="G15" s="87" t="s">
        <v>22</v>
      </c>
    </row>
    <row r="16" spans="3:7">
      <c r="C16" s="85"/>
      <c r="D16" s="75">
        <v>50</v>
      </c>
      <c r="E16" s="75" t="s">
        <v>23</v>
      </c>
      <c r="F16" s="75" t="s">
        <v>24</v>
      </c>
      <c r="G16" s="87" t="s">
        <v>25</v>
      </c>
    </row>
    <row r="17" spans="3:12">
      <c r="C17" s="85"/>
      <c r="D17" s="75">
        <v>100</v>
      </c>
      <c r="E17" s="88" t="s">
        <v>26</v>
      </c>
      <c r="F17" s="75" t="s">
        <v>27</v>
      </c>
      <c r="G17" s="87" t="s">
        <v>28</v>
      </c>
      <c r="L17" s="17"/>
    </row>
    <row r="18" spans="3:12">
      <c r="C18" s="85"/>
      <c r="G18" s="87"/>
      <c r="L18" s="17"/>
    </row>
    <row r="19" spans="3:12">
      <c r="C19" s="85"/>
      <c r="D19" s="75" t="s">
        <v>29</v>
      </c>
      <c r="G19" s="87"/>
      <c r="L19" s="19"/>
    </row>
    <row r="20" spans="3:7">
      <c r="C20" s="85"/>
      <c r="E20" s="75">
        <v>1</v>
      </c>
      <c r="F20" s="75">
        <v>16</v>
      </c>
      <c r="G20" s="87">
        <v>32</v>
      </c>
    </row>
    <row r="21" spans="3:7">
      <c r="C21" s="85"/>
      <c r="D21" s="75">
        <v>10</v>
      </c>
      <c r="E21" s="75" t="s">
        <v>30</v>
      </c>
      <c r="F21" s="75" t="s">
        <v>30</v>
      </c>
      <c r="G21" s="87" t="s">
        <v>30</v>
      </c>
    </row>
    <row r="22" spans="3:7">
      <c r="C22" s="85"/>
      <c r="D22" s="75">
        <v>50</v>
      </c>
      <c r="E22" s="75" t="s">
        <v>31</v>
      </c>
      <c r="F22" s="75" t="s">
        <v>31</v>
      </c>
      <c r="G22" s="87" t="s">
        <v>31</v>
      </c>
    </row>
    <row r="23" spans="3:7">
      <c r="C23" s="85"/>
      <c r="D23" s="75">
        <v>100</v>
      </c>
      <c r="E23" s="75" t="s">
        <v>31</v>
      </c>
      <c r="F23" s="75" t="s">
        <v>31</v>
      </c>
      <c r="G23" s="87" t="s">
        <v>31</v>
      </c>
    </row>
    <row r="24" spans="3:7">
      <c r="C24" s="85"/>
      <c r="G24" s="87"/>
    </row>
    <row r="25" spans="3:9">
      <c r="C25" s="85"/>
      <c r="G25" s="87"/>
      <c r="I25" s="75" t="s">
        <v>2</v>
      </c>
    </row>
    <row r="26" spans="3:13">
      <c r="C26" s="85" t="s">
        <v>32</v>
      </c>
      <c r="D26" s="75" t="s">
        <v>33</v>
      </c>
      <c r="G26" s="87"/>
      <c r="I26" s="75" t="s">
        <v>5</v>
      </c>
      <c r="M26" s="75" t="s">
        <v>6</v>
      </c>
    </row>
    <row r="27" spans="3:16">
      <c r="C27" s="85"/>
      <c r="E27" s="75">
        <v>1</v>
      </c>
      <c r="F27" s="75">
        <v>16</v>
      </c>
      <c r="G27" s="87">
        <v>32</v>
      </c>
      <c r="J27" s="75">
        <v>1</v>
      </c>
      <c r="K27" s="75">
        <v>16</v>
      </c>
      <c r="L27" s="75">
        <v>32</v>
      </c>
      <c r="N27" s="75">
        <v>1</v>
      </c>
      <c r="O27" s="75">
        <v>16</v>
      </c>
      <c r="P27" s="75">
        <v>32</v>
      </c>
    </row>
    <row r="28" spans="3:16">
      <c r="C28" s="85"/>
      <c r="D28" s="75">
        <v>10</v>
      </c>
      <c r="E28" s="75" t="s">
        <v>34</v>
      </c>
      <c r="F28" s="75" t="s">
        <v>35</v>
      </c>
      <c r="G28" s="87" t="s">
        <v>36</v>
      </c>
      <c r="I28" s="75">
        <v>10</v>
      </c>
      <c r="J28" s="78">
        <v>29265</v>
      </c>
      <c r="K28" s="78">
        <v>272407</v>
      </c>
      <c r="L28" s="78">
        <v>533824</v>
      </c>
      <c r="M28" s="75">
        <v>10</v>
      </c>
      <c r="N28" s="78">
        <f>(1/J28)*1000000</f>
        <v>34.1705108491372</v>
      </c>
      <c r="O28" s="78">
        <f>(1/K28)*1000000*16</f>
        <v>58.7356418887914</v>
      </c>
      <c r="P28" s="78">
        <f>(1/L28)*1000000*32</f>
        <v>59.9448507373217</v>
      </c>
    </row>
    <row r="29" spans="3:16">
      <c r="C29" s="85"/>
      <c r="D29" s="75">
        <v>50</v>
      </c>
      <c r="E29" s="75" t="s">
        <v>37</v>
      </c>
      <c r="F29" s="75" t="s">
        <v>38</v>
      </c>
      <c r="G29" s="87" t="s">
        <v>39</v>
      </c>
      <c r="I29" s="75">
        <v>50</v>
      </c>
      <c r="J29" s="78">
        <v>6837</v>
      </c>
      <c r="K29" s="78">
        <v>50248</v>
      </c>
      <c r="L29" s="78">
        <v>101321</v>
      </c>
      <c r="M29" s="75">
        <v>50</v>
      </c>
      <c r="N29" s="78">
        <f>(1/J29)*1000000</f>
        <v>146.262980839549</v>
      </c>
      <c r="O29" s="78">
        <f>(1/K29)*1000000*16</f>
        <v>318.420633657061</v>
      </c>
      <c r="P29" s="78">
        <f>(1/L29)*1000000*32</f>
        <v>315.827913265759</v>
      </c>
    </row>
    <row r="30" spans="3:16">
      <c r="C30" s="85"/>
      <c r="D30" s="75">
        <v>100</v>
      </c>
      <c r="E30" s="75" t="s">
        <v>40</v>
      </c>
      <c r="F30" s="75" t="s">
        <v>41</v>
      </c>
      <c r="G30" s="87" t="s">
        <v>42</v>
      </c>
      <c r="I30" s="75">
        <v>100</v>
      </c>
      <c r="J30" s="78">
        <v>5037</v>
      </c>
      <c r="K30" s="78">
        <v>39819</v>
      </c>
      <c r="L30" s="78">
        <v>81616</v>
      </c>
      <c r="M30" s="75">
        <v>100</v>
      </c>
      <c r="N30" s="78">
        <f>(1/J30)*1000000</f>
        <v>198.530871550526</v>
      </c>
      <c r="O30" s="78">
        <f>(1/K30)*1000000*16</f>
        <v>401.818227479344</v>
      </c>
      <c r="P30" s="78">
        <f>(1/L30)*1000000*32</f>
        <v>392.079984316801</v>
      </c>
    </row>
    <row r="31" spans="3:7">
      <c r="C31" s="85"/>
      <c r="G31" s="87"/>
    </row>
    <row r="32" spans="3:7">
      <c r="C32" s="85"/>
      <c r="D32" s="75" t="s">
        <v>19</v>
      </c>
      <c r="G32" s="87"/>
    </row>
    <row r="33" spans="3:7">
      <c r="C33" s="85"/>
      <c r="E33" s="75">
        <v>1</v>
      </c>
      <c r="F33" s="75">
        <v>16</v>
      </c>
      <c r="G33" s="87">
        <v>32</v>
      </c>
    </row>
    <row r="34" spans="3:7">
      <c r="C34" s="85"/>
      <c r="D34" s="75">
        <v>10</v>
      </c>
      <c r="E34" s="75" t="s">
        <v>22</v>
      </c>
      <c r="F34" s="75" t="s">
        <v>43</v>
      </c>
      <c r="G34" s="87" t="s">
        <v>44</v>
      </c>
    </row>
    <row r="35" spans="3:7">
      <c r="C35" s="85"/>
      <c r="D35" s="75">
        <v>50</v>
      </c>
      <c r="E35" s="75" t="s">
        <v>45</v>
      </c>
      <c r="F35" s="75" t="s">
        <v>46</v>
      </c>
      <c r="G35" s="87" t="s">
        <v>47</v>
      </c>
    </row>
    <row r="36" spans="3:7">
      <c r="C36" s="85"/>
      <c r="D36" s="75">
        <v>100</v>
      </c>
      <c r="E36" s="88" t="s">
        <v>48</v>
      </c>
      <c r="F36" s="75" t="s">
        <v>49</v>
      </c>
      <c r="G36" s="87" t="s">
        <v>50</v>
      </c>
    </row>
    <row r="37" spans="3:7">
      <c r="C37" s="85"/>
      <c r="G37" s="87"/>
    </row>
    <row r="38" spans="3:7">
      <c r="C38" s="85"/>
      <c r="D38" s="75" t="s">
        <v>29</v>
      </c>
      <c r="G38" s="87"/>
    </row>
    <row r="39" spans="3:7">
      <c r="C39" s="85"/>
      <c r="E39" s="75">
        <v>1</v>
      </c>
      <c r="F39" s="75">
        <v>16</v>
      </c>
      <c r="G39" s="87">
        <v>32</v>
      </c>
    </row>
    <row r="40" spans="3:7">
      <c r="C40" s="85"/>
      <c r="D40" s="75">
        <v>10</v>
      </c>
      <c r="E40" s="75" t="s">
        <v>30</v>
      </c>
      <c r="F40" s="75" t="s">
        <v>30</v>
      </c>
      <c r="G40" s="87" t="s">
        <v>30</v>
      </c>
    </row>
    <row r="41" spans="3:7">
      <c r="C41" s="85"/>
      <c r="D41" s="75">
        <v>50</v>
      </c>
      <c r="E41" s="75" t="s">
        <v>31</v>
      </c>
      <c r="F41" s="75" t="s">
        <v>51</v>
      </c>
      <c r="G41" s="87" t="s">
        <v>52</v>
      </c>
    </row>
    <row r="42" spans="3:7">
      <c r="C42" s="85"/>
      <c r="D42" s="75">
        <v>100</v>
      </c>
      <c r="E42" s="75" t="s">
        <v>51</v>
      </c>
      <c r="F42" s="75" t="s">
        <v>53</v>
      </c>
      <c r="G42" s="87" t="s">
        <v>54</v>
      </c>
    </row>
    <row r="43" spans="3:7">
      <c r="C43" s="85"/>
      <c r="G43" s="87"/>
    </row>
    <row r="44" spans="3:9">
      <c r="C44" s="85"/>
      <c r="G44" s="87"/>
      <c r="I44" s="75" t="s">
        <v>2</v>
      </c>
    </row>
    <row r="45" spans="3:13">
      <c r="C45" s="85" t="s">
        <v>55</v>
      </c>
      <c r="D45" s="75" t="s">
        <v>33</v>
      </c>
      <c r="G45" s="87"/>
      <c r="I45" s="75" t="s">
        <v>5</v>
      </c>
      <c r="M45" s="75" t="s">
        <v>6</v>
      </c>
    </row>
    <row r="46" spans="3:16">
      <c r="C46" s="85"/>
      <c r="E46" s="75">
        <v>1</v>
      </c>
      <c r="F46" s="75">
        <v>16</v>
      </c>
      <c r="G46" s="87">
        <v>32</v>
      </c>
      <c r="J46" s="75">
        <v>1</v>
      </c>
      <c r="K46" s="75">
        <v>16</v>
      </c>
      <c r="L46" s="75">
        <v>32</v>
      </c>
      <c r="N46" s="75">
        <v>1</v>
      </c>
      <c r="O46" s="75">
        <v>16</v>
      </c>
      <c r="P46" s="75">
        <v>32</v>
      </c>
    </row>
    <row r="47" spans="3:19">
      <c r="C47" s="85"/>
      <c r="D47" s="75">
        <v>10</v>
      </c>
      <c r="E47" s="75" t="s">
        <v>56</v>
      </c>
      <c r="F47" s="75" t="s">
        <v>57</v>
      </c>
      <c r="G47" s="87" t="s">
        <v>58</v>
      </c>
      <c r="I47" s="75">
        <v>10</v>
      </c>
      <c r="J47" s="78">
        <v>3684</v>
      </c>
      <c r="K47" s="78">
        <v>21738</v>
      </c>
      <c r="L47" s="78">
        <v>47269</v>
      </c>
      <c r="M47" s="75">
        <v>10</v>
      </c>
      <c r="N47" s="78">
        <f>1/J47*1000000</f>
        <v>271.444082519001</v>
      </c>
      <c r="O47" s="93">
        <f>1/K47*1000000*16</f>
        <v>736.038273990247</v>
      </c>
      <c r="P47" s="93">
        <f>1/L47*1000000*32</f>
        <v>676.976453912712</v>
      </c>
      <c r="Q47" s="76"/>
      <c r="R47" s="76"/>
      <c r="S47" s="76"/>
    </row>
    <row r="48" spans="3:19">
      <c r="C48" s="85"/>
      <c r="D48" s="75">
        <v>50</v>
      </c>
      <c r="E48" s="75" t="s">
        <v>59</v>
      </c>
      <c r="F48" s="75" t="s">
        <v>60</v>
      </c>
      <c r="G48" s="87" t="s">
        <v>61</v>
      </c>
      <c r="I48" s="75">
        <v>50</v>
      </c>
      <c r="J48" s="78">
        <v>1865</v>
      </c>
      <c r="K48" s="78">
        <v>9206</v>
      </c>
      <c r="L48" s="78">
        <v>23286</v>
      </c>
      <c r="M48" s="75">
        <v>50</v>
      </c>
      <c r="N48" s="78">
        <f>1/J48*1000000</f>
        <v>536.193029490617</v>
      </c>
      <c r="O48" s="93">
        <f>1/K48*1000000*16</f>
        <v>1737.99695850532</v>
      </c>
      <c r="P48" s="93">
        <f>1/L48*1000000*32</f>
        <v>1374.21626728506</v>
      </c>
      <c r="Q48" s="76"/>
      <c r="R48" s="76"/>
      <c r="S48" s="76"/>
    </row>
    <row r="49" spans="3:19">
      <c r="C49" s="85"/>
      <c r="D49" s="75">
        <v>100</v>
      </c>
      <c r="E49" s="75" t="s">
        <v>62</v>
      </c>
      <c r="F49" s="75" t="s">
        <v>63</v>
      </c>
      <c r="G49" s="87" t="s">
        <v>64</v>
      </c>
      <c r="I49" s="75">
        <v>100</v>
      </c>
      <c r="J49" s="78">
        <v>1835</v>
      </c>
      <c r="K49" s="78">
        <v>8710</v>
      </c>
      <c r="L49" s="78">
        <v>21003</v>
      </c>
      <c r="M49" s="75">
        <v>100</v>
      </c>
      <c r="N49" s="78">
        <f>1/J49*1000000</f>
        <v>544.959128065395</v>
      </c>
      <c r="O49" s="93">
        <f>1/K49*1000000*16</f>
        <v>1836.96900114811</v>
      </c>
      <c r="P49" s="93">
        <f>1/L49*1000000*32</f>
        <v>1523.59186782841</v>
      </c>
      <c r="Q49" s="76"/>
      <c r="R49" s="76"/>
      <c r="S49" s="76"/>
    </row>
    <row r="50" spans="3:7">
      <c r="C50" s="85"/>
      <c r="G50" s="87"/>
    </row>
    <row r="51" spans="3:7">
      <c r="C51" s="85"/>
      <c r="D51" s="75" t="s">
        <v>19</v>
      </c>
      <c r="G51" s="87"/>
    </row>
    <row r="52" spans="3:7">
      <c r="C52" s="85"/>
      <c r="E52" s="75">
        <v>1</v>
      </c>
      <c r="F52" s="75">
        <v>16</v>
      </c>
      <c r="G52" s="87">
        <v>32</v>
      </c>
    </row>
    <row r="53" spans="3:7">
      <c r="C53" s="85"/>
      <c r="D53" s="75">
        <v>10</v>
      </c>
      <c r="E53" s="75" t="s">
        <v>20</v>
      </c>
      <c r="F53" s="75" t="s">
        <v>65</v>
      </c>
      <c r="G53" s="87" t="s">
        <v>66</v>
      </c>
    </row>
    <row r="54" spans="3:7">
      <c r="C54" s="85"/>
      <c r="D54" s="75">
        <v>50</v>
      </c>
      <c r="E54" s="75" t="s">
        <v>26</v>
      </c>
      <c r="F54" s="75" t="s">
        <v>67</v>
      </c>
      <c r="G54" s="87" t="s">
        <v>68</v>
      </c>
    </row>
    <row r="55" spans="3:7">
      <c r="C55" s="85"/>
      <c r="D55" s="75">
        <v>100</v>
      </c>
      <c r="E55" s="88" t="s">
        <v>44</v>
      </c>
      <c r="F55" s="75" t="s">
        <v>69</v>
      </c>
      <c r="G55" s="87" t="s">
        <v>68</v>
      </c>
    </row>
    <row r="56" spans="3:7">
      <c r="C56" s="85"/>
      <c r="G56" s="87"/>
    </row>
    <row r="57" spans="3:7">
      <c r="C57" s="85"/>
      <c r="D57" s="75" t="s">
        <v>29</v>
      </c>
      <c r="G57" s="87"/>
    </row>
    <row r="58" spans="3:7">
      <c r="C58" s="85"/>
      <c r="E58" s="75">
        <v>1</v>
      </c>
      <c r="F58" s="75">
        <v>16</v>
      </c>
      <c r="G58" s="87">
        <v>32</v>
      </c>
    </row>
    <row r="59" spans="3:7">
      <c r="C59" s="85"/>
      <c r="D59" s="75">
        <v>10</v>
      </c>
      <c r="E59" s="75" t="s">
        <v>70</v>
      </c>
      <c r="F59" s="75" t="s">
        <v>70</v>
      </c>
      <c r="G59" s="87" t="s">
        <v>70</v>
      </c>
    </row>
    <row r="60" spans="3:7">
      <c r="C60" s="85"/>
      <c r="D60" s="75">
        <v>50</v>
      </c>
      <c r="E60" s="75" t="s">
        <v>70</v>
      </c>
      <c r="F60" s="75" t="s">
        <v>71</v>
      </c>
      <c r="G60" s="87" t="s">
        <v>72</v>
      </c>
    </row>
    <row r="61" spans="3:7">
      <c r="C61" s="85"/>
      <c r="D61" s="75">
        <v>100</v>
      </c>
      <c r="E61" s="75" t="s">
        <v>70</v>
      </c>
      <c r="F61" s="89" t="s">
        <v>72</v>
      </c>
      <c r="G61" s="87" t="s">
        <v>72</v>
      </c>
    </row>
    <row r="62" ht="15.15" spans="3:7">
      <c r="C62" s="90"/>
      <c r="D62" s="91"/>
      <c r="E62" s="91"/>
      <c r="F62" s="91"/>
      <c r="G62" s="92"/>
    </row>
    <row r="63" ht="15.15"/>
    <row r="64" spans="9:9">
      <c r="I64" s="75" t="s">
        <v>2</v>
      </c>
    </row>
    <row r="65" spans="3:13">
      <c r="C65" s="75" t="s">
        <v>73</v>
      </c>
      <c r="D65" s="75" t="s">
        <v>33</v>
      </c>
      <c r="I65" s="75" t="s">
        <v>5</v>
      </c>
      <c r="M65" s="75" t="s">
        <v>6</v>
      </c>
    </row>
    <row r="66" spans="5:16">
      <c r="E66" s="75">
        <v>1</v>
      </c>
      <c r="F66" s="75">
        <v>16</v>
      </c>
      <c r="G66" s="75">
        <v>32</v>
      </c>
      <c r="J66" s="75">
        <v>1</v>
      </c>
      <c r="K66" s="75">
        <v>16</v>
      </c>
      <c r="L66" s="75">
        <v>32</v>
      </c>
      <c r="N66" s="75">
        <v>1</v>
      </c>
      <c r="O66" s="75">
        <v>16</v>
      </c>
      <c r="P66" s="75">
        <v>32</v>
      </c>
    </row>
    <row r="67" spans="4:16">
      <c r="D67" s="75">
        <v>10</v>
      </c>
      <c r="E67" s="75" t="s">
        <v>74</v>
      </c>
      <c r="F67" s="75" t="s">
        <v>75</v>
      </c>
      <c r="G67" s="75" t="s">
        <v>76</v>
      </c>
      <c r="I67" s="75">
        <v>10</v>
      </c>
      <c r="J67" s="78">
        <v>22343</v>
      </c>
      <c r="K67" s="78">
        <v>203386</v>
      </c>
      <c r="L67" s="78">
        <v>368163</v>
      </c>
      <c r="M67" s="75">
        <v>10</v>
      </c>
      <c r="N67" s="78">
        <f t="shared" ref="N67:N69" si="0">1/J67*1000000</f>
        <v>44.7567470796223</v>
      </c>
      <c r="O67" s="78">
        <f t="shared" ref="O67:O69" si="1">1/K67*1000000*16</f>
        <v>78.6681482501254</v>
      </c>
      <c r="P67" s="78">
        <f t="shared" ref="P67:P69" si="2">1/L67*1000000*32</f>
        <v>86.9180227236306</v>
      </c>
    </row>
    <row r="68" spans="4:16">
      <c r="D68" s="75">
        <v>50</v>
      </c>
      <c r="E68" s="75" t="s">
        <v>77</v>
      </c>
      <c r="F68" s="75" t="s">
        <v>78</v>
      </c>
      <c r="G68" s="75" t="s">
        <v>79</v>
      </c>
      <c r="I68" s="75">
        <v>50</v>
      </c>
      <c r="J68" s="78">
        <v>20476</v>
      </c>
      <c r="K68" s="78">
        <v>54428</v>
      </c>
      <c r="L68" s="78">
        <v>101081</v>
      </c>
      <c r="M68" s="75">
        <v>50</v>
      </c>
      <c r="N68" s="78">
        <f t="shared" si="0"/>
        <v>48.8376636061731</v>
      </c>
      <c r="O68" s="78">
        <f t="shared" si="1"/>
        <v>293.966340853972</v>
      </c>
      <c r="P68" s="78">
        <f t="shared" si="2"/>
        <v>316.577794046359</v>
      </c>
    </row>
    <row r="69" spans="4:16">
      <c r="D69" s="75">
        <v>100</v>
      </c>
      <c r="E69" s="75" t="s">
        <v>80</v>
      </c>
      <c r="F69" s="75" t="s">
        <v>81</v>
      </c>
      <c r="G69" s="75" t="s">
        <v>82</v>
      </c>
      <c r="I69" s="75">
        <v>100</v>
      </c>
      <c r="J69" s="78">
        <v>27402</v>
      </c>
      <c r="K69" s="78">
        <v>43344</v>
      </c>
      <c r="L69" s="78">
        <v>87562</v>
      </c>
      <c r="M69" s="75">
        <v>100</v>
      </c>
      <c r="N69" s="78">
        <f t="shared" si="0"/>
        <v>36.4936865922195</v>
      </c>
      <c r="O69" s="78">
        <f t="shared" si="1"/>
        <v>369.139904023625</v>
      </c>
      <c r="P69" s="78">
        <f t="shared" si="2"/>
        <v>365.455334505836</v>
      </c>
    </row>
    <row r="71" spans="4:4">
      <c r="D71" s="75" t="s">
        <v>19</v>
      </c>
    </row>
    <row r="72" spans="5:7">
      <c r="E72" s="75">
        <v>1</v>
      </c>
      <c r="F72" s="75">
        <v>16</v>
      </c>
      <c r="G72" s="75">
        <v>32</v>
      </c>
    </row>
    <row r="73" spans="4:7">
      <c r="D73" s="75">
        <v>10</v>
      </c>
      <c r="E73" s="75" t="s">
        <v>66</v>
      </c>
      <c r="F73" s="75" t="s">
        <v>83</v>
      </c>
      <c r="G73" s="75" t="s">
        <v>26</v>
      </c>
    </row>
    <row r="74" spans="4:7">
      <c r="D74" s="75">
        <v>50</v>
      </c>
      <c r="E74" s="75" t="s">
        <v>84</v>
      </c>
      <c r="F74" s="75" t="s">
        <v>85</v>
      </c>
      <c r="G74" s="75" t="s">
        <v>86</v>
      </c>
    </row>
    <row r="75" spans="4:7">
      <c r="D75" s="75">
        <v>100</v>
      </c>
      <c r="E75" s="88" t="s">
        <v>87</v>
      </c>
      <c r="F75" s="75" t="s">
        <v>88</v>
      </c>
      <c r="G75" s="75" t="s">
        <v>89</v>
      </c>
    </row>
    <row r="77" spans="4:4">
      <c r="D77" s="75" t="s">
        <v>29</v>
      </c>
    </row>
    <row r="78" spans="5:7">
      <c r="E78" s="75">
        <v>1</v>
      </c>
      <c r="F78" s="75">
        <v>16</v>
      </c>
      <c r="G78" s="75">
        <v>32</v>
      </c>
    </row>
    <row r="79" spans="4:7">
      <c r="D79" s="75">
        <v>10</v>
      </c>
      <c r="E79" s="75" t="s">
        <v>70</v>
      </c>
      <c r="F79" s="75" t="s">
        <v>70</v>
      </c>
      <c r="G79" s="75" t="s">
        <v>90</v>
      </c>
    </row>
    <row r="80" spans="4:7">
      <c r="D80" s="75">
        <v>50</v>
      </c>
      <c r="E80" s="75" t="s">
        <v>90</v>
      </c>
      <c r="F80" s="75" t="s">
        <v>90</v>
      </c>
      <c r="G80" s="75" t="s">
        <v>90</v>
      </c>
    </row>
    <row r="81" spans="4:7">
      <c r="D81" s="75">
        <v>100</v>
      </c>
      <c r="E81" s="75" t="s">
        <v>90</v>
      </c>
      <c r="F81" s="89" t="s">
        <v>90</v>
      </c>
      <c r="G81" s="75" t="s">
        <v>90</v>
      </c>
    </row>
    <row r="85" spans="3:4">
      <c r="C85" s="75" t="s">
        <v>91</v>
      </c>
      <c r="D85" s="75" t="s">
        <v>33</v>
      </c>
    </row>
    <row r="86" spans="5:7">
      <c r="E86" s="75">
        <v>1</v>
      </c>
      <c r="F86" s="75">
        <v>16</v>
      </c>
      <c r="G86" s="75">
        <v>32</v>
      </c>
    </row>
    <row r="87" spans="4:4">
      <c r="D87" s="75">
        <v>10</v>
      </c>
    </row>
    <row r="88" spans="4:4">
      <c r="D88" s="75">
        <v>50</v>
      </c>
    </row>
    <row r="89" spans="4:4">
      <c r="D89" s="75">
        <v>100</v>
      </c>
    </row>
    <row r="91" spans="4:4">
      <c r="D91" s="75" t="s">
        <v>19</v>
      </c>
    </row>
    <row r="92" spans="5:7">
      <c r="E92" s="75">
        <v>1</v>
      </c>
      <c r="F92" s="75">
        <v>16</v>
      </c>
      <c r="G92" s="75">
        <v>32</v>
      </c>
    </row>
    <row r="93" spans="4:7">
      <c r="D93" s="75">
        <v>10</v>
      </c>
      <c r="E93" s="75" t="s">
        <v>92</v>
      </c>
      <c r="F93" s="75" t="s">
        <v>93</v>
      </c>
      <c r="G93" s="75" t="s">
        <v>94</v>
      </c>
    </row>
    <row r="94" spans="4:7">
      <c r="D94" s="75">
        <v>50</v>
      </c>
      <c r="E94" s="75" t="s">
        <v>95</v>
      </c>
      <c r="F94" s="75" t="s">
        <v>96</v>
      </c>
      <c r="G94" s="75" t="s">
        <v>97</v>
      </c>
    </row>
    <row r="95" spans="4:7">
      <c r="D95" s="75">
        <v>100</v>
      </c>
      <c r="E95" s="88" t="s">
        <v>98</v>
      </c>
      <c r="F95" s="75" t="s">
        <v>99</v>
      </c>
      <c r="G95" s="75" t="s">
        <v>100</v>
      </c>
    </row>
    <row r="97" spans="4:4">
      <c r="D97" s="75" t="s">
        <v>29</v>
      </c>
    </row>
    <row r="98" spans="5:7">
      <c r="E98" s="75">
        <v>1</v>
      </c>
      <c r="F98" s="75">
        <v>16</v>
      </c>
      <c r="G98" s="75">
        <v>32</v>
      </c>
    </row>
    <row r="99" spans="4:7">
      <c r="D99" s="75">
        <v>10</v>
      </c>
      <c r="E99" s="75" t="s">
        <v>101</v>
      </c>
      <c r="F99" s="75" t="s">
        <v>70</v>
      </c>
      <c r="G99" s="75" t="s">
        <v>90</v>
      </c>
    </row>
    <row r="100" spans="4:7">
      <c r="D100" s="75">
        <v>50</v>
      </c>
      <c r="E100" s="75" t="s">
        <v>70</v>
      </c>
      <c r="F100" s="75" t="s">
        <v>102</v>
      </c>
      <c r="G100" s="75" t="s">
        <v>71</v>
      </c>
    </row>
    <row r="101" spans="4:7">
      <c r="D101" s="75">
        <v>100</v>
      </c>
      <c r="E101" s="75" t="s">
        <v>103</v>
      </c>
      <c r="F101" s="89" t="s">
        <v>102</v>
      </c>
      <c r="G101" s="75" t="s">
        <v>71</v>
      </c>
    </row>
  </sheetData>
  <mergeCells count="2">
    <mergeCell ref="D1:G4"/>
    <mergeCell ref="Q47:S49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zoomScale="85" zoomScaleNormal="85" workbookViewId="0">
      <selection activeCell="D3" sqref="D3:H3"/>
    </sheetView>
  </sheetViews>
  <sheetFormatPr defaultColWidth="8.88888888888889" defaultRowHeight="14.4"/>
  <cols>
    <col min="1" max="1" width="26" style="1" customWidth="1"/>
    <col min="2" max="3" width="12.2222222222222" style="1" customWidth="1"/>
    <col min="4" max="4" width="19.0740740740741" style="1" customWidth="1"/>
    <col min="5" max="5" width="12.8888888888889" style="1"/>
    <col min="6" max="6" width="36.4444444444444" style="1" customWidth="1"/>
    <col min="7" max="8" width="19.6666666666667" style="1" customWidth="1"/>
    <col min="10" max="10" width="17.4444444444444" customWidth="1"/>
    <col min="11" max="17" width="16.6666666666667" style="1" customWidth="1"/>
  </cols>
  <sheetData>
    <row r="1" ht="15.15" spans="1:10">
      <c r="A1" s="1" t="s">
        <v>281</v>
      </c>
      <c r="J1" t="s">
        <v>282</v>
      </c>
    </row>
    <row r="2" ht="15.15" spans="1:17">
      <c r="A2" s="1" t="s">
        <v>283</v>
      </c>
      <c r="B2" s="3" t="s">
        <v>91</v>
      </c>
      <c r="C2" s="4" t="s">
        <v>284</v>
      </c>
      <c r="D2" s="4" t="s">
        <v>285</v>
      </c>
      <c r="E2" s="4" t="s">
        <v>286</v>
      </c>
      <c r="F2" s="4" t="s">
        <v>287</v>
      </c>
      <c r="G2" s="4" t="s">
        <v>288</v>
      </c>
      <c r="H2" s="5" t="s">
        <v>236</v>
      </c>
      <c r="K2" s="3" t="s">
        <v>91</v>
      </c>
      <c r="L2" s="4"/>
      <c r="M2" s="4"/>
      <c r="N2" s="4"/>
      <c r="O2" s="4"/>
      <c r="P2" s="4"/>
      <c r="Q2" s="5"/>
    </row>
    <row r="3" spans="2:17">
      <c r="B3" s="6"/>
      <c r="D3" s="7">
        <v>-1.26e-6</v>
      </c>
      <c r="E3" s="1">
        <v>0.194094077</v>
      </c>
      <c r="F3" s="1">
        <v>0.229462786</v>
      </c>
      <c r="G3" s="1">
        <v>1.564537374</v>
      </c>
      <c r="H3" s="8">
        <v>4.267739831</v>
      </c>
      <c r="K3" s="6"/>
      <c r="L3" s="1" t="s">
        <v>289</v>
      </c>
      <c r="Q3" s="8"/>
    </row>
    <row r="4" spans="2:17">
      <c r="B4" s="6"/>
      <c r="H4" s="8"/>
      <c r="K4" s="6"/>
      <c r="M4" s="1" t="s">
        <v>290</v>
      </c>
      <c r="N4" s="1" t="s">
        <v>291</v>
      </c>
      <c r="O4" s="1" t="s">
        <v>292</v>
      </c>
      <c r="P4" s="1" t="s">
        <v>293</v>
      </c>
      <c r="Q4" s="8"/>
    </row>
    <row r="5" spans="1:17">
      <c r="A5" s="1" t="s">
        <v>294</v>
      </c>
      <c r="B5" s="6"/>
      <c r="C5" s="1" t="s">
        <v>289</v>
      </c>
      <c r="H5" s="8"/>
      <c r="K5" s="6"/>
      <c r="M5" s="1" t="s">
        <v>91</v>
      </c>
      <c r="N5" s="1" t="s">
        <v>107</v>
      </c>
      <c r="O5" s="9"/>
      <c r="P5" s="9"/>
      <c r="Q5" s="8"/>
    </row>
    <row r="6" spans="2:17">
      <c r="B6" s="6"/>
      <c r="D6" s="1" t="s">
        <v>290</v>
      </c>
      <c r="E6" s="1" t="s">
        <v>291</v>
      </c>
      <c r="F6" s="1" t="s">
        <v>292</v>
      </c>
      <c r="G6" s="1" t="s">
        <v>293</v>
      </c>
      <c r="H6" s="8"/>
      <c r="K6" s="6"/>
      <c r="M6" s="1" t="s">
        <v>91</v>
      </c>
      <c r="N6" s="1" t="s">
        <v>108</v>
      </c>
      <c r="O6" s="9"/>
      <c r="P6" s="9"/>
      <c r="Q6" s="8"/>
    </row>
    <row r="7" spans="2:17">
      <c r="B7" s="6"/>
      <c r="D7" s="1" t="s">
        <v>91</v>
      </c>
      <c r="E7" s="1" t="s">
        <v>107</v>
      </c>
      <c r="F7" s="9">
        <v>0.0739</v>
      </c>
      <c r="G7" s="9">
        <v>0.0741</v>
      </c>
      <c r="H7" s="8"/>
      <c r="K7" s="6"/>
      <c r="M7" s="1" t="s">
        <v>91</v>
      </c>
      <c r="N7" s="1" t="s">
        <v>116</v>
      </c>
      <c r="O7" s="9"/>
      <c r="P7" s="9"/>
      <c r="Q7" s="8"/>
    </row>
    <row r="8" spans="2:17">
      <c r="B8" s="6"/>
      <c r="D8" s="1" t="s">
        <v>91</v>
      </c>
      <c r="E8" s="1" t="s">
        <v>108</v>
      </c>
      <c r="F8" s="9">
        <v>0.0683</v>
      </c>
      <c r="G8" s="9"/>
      <c r="H8" s="8"/>
      <c r="K8" s="6"/>
      <c r="Q8" s="8"/>
    </row>
    <row r="9" ht="15.15" spans="2:17">
      <c r="B9" s="10"/>
      <c r="C9" s="11"/>
      <c r="D9" s="11" t="s">
        <v>91</v>
      </c>
      <c r="E9" s="11" t="s">
        <v>116</v>
      </c>
      <c r="F9" s="12">
        <v>0.0797</v>
      </c>
      <c r="G9" s="12"/>
      <c r="H9" s="13"/>
      <c r="K9" s="10"/>
      <c r="L9" s="11"/>
      <c r="M9" s="11"/>
      <c r="N9" s="11"/>
      <c r="O9" s="11"/>
      <c r="P9" s="11"/>
      <c r="Q9" s="13"/>
    </row>
    <row r="10" ht="15.15"/>
    <row r="11" ht="15.15"/>
    <row r="12" ht="15.15" spans="2:17">
      <c r="B12" s="3" t="s">
        <v>107</v>
      </c>
      <c r="C12" s="4" t="s">
        <v>284</v>
      </c>
      <c r="D12" s="4" t="s">
        <v>285</v>
      </c>
      <c r="E12" s="4" t="s">
        <v>286</v>
      </c>
      <c r="F12" s="4" t="s">
        <v>287</v>
      </c>
      <c r="G12" s="4" t="s">
        <v>288</v>
      </c>
      <c r="H12" s="5" t="s">
        <v>236</v>
      </c>
      <c r="K12" s="3" t="s">
        <v>107</v>
      </c>
      <c r="L12" s="4"/>
      <c r="M12" s="4"/>
      <c r="N12" s="4"/>
      <c r="O12" s="4"/>
      <c r="P12" s="4"/>
      <c r="Q12" s="5"/>
    </row>
    <row r="13" spans="2:17">
      <c r="B13" s="6"/>
      <c r="D13" s="7">
        <v>0.0109726583266314</v>
      </c>
      <c r="E13" s="1">
        <v>30.0327861039679</v>
      </c>
      <c r="F13" s="1">
        <v>7.49719944941294</v>
      </c>
      <c r="G13" s="1">
        <v>0.173492666323726</v>
      </c>
      <c r="H13" s="8">
        <v>54.5711363696222</v>
      </c>
      <c r="K13" s="6"/>
      <c r="L13" s="1" t="s">
        <v>289</v>
      </c>
      <c r="Q13" s="8"/>
    </row>
    <row r="14" spans="2:17">
      <c r="B14" s="6"/>
      <c r="H14" s="8"/>
      <c r="K14" s="6"/>
      <c r="M14" s="1" t="s">
        <v>290</v>
      </c>
      <c r="N14" s="1" t="s">
        <v>291</v>
      </c>
      <c r="O14" s="1" t="s">
        <v>292</v>
      </c>
      <c r="P14" s="1" t="s">
        <v>293</v>
      </c>
      <c r="Q14" s="8"/>
    </row>
    <row r="15" spans="2:17">
      <c r="B15" s="6"/>
      <c r="C15" s="1" t="s">
        <v>289</v>
      </c>
      <c r="H15" s="8"/>
      <c r="K15" s="6"/>
      <c r="M15" s="1" t="s">
        <v>107</v>
      </c>
      <c r="N15" s="1" t="s">
        <v>91</v>
      </c>
      <c r="O15" s="9"/>
      <c r="P15" s="9"/>
      <c r="Q15" s="8"/>
    </row>
    <row r="16" spans="2:17">
      <c r="B16" s="6"/>
      <c r="D16" s="1" t="s">
        <v>290</v>
      </c>
      <c r="E16" s="1" t="s">
        <v>291</v>
      </c>
      <c r="F16" s="1" t="s">
        <v>292</v>
      </c>
      <c r="G16" s="1" t="s">
        <v>293</v>
      </c>
      <c r="H16" s="8"/>
      <c r="K16" s="6"/>
      <c r="M16" s="1" t="s">
        <v>107</v>
      </c>
      <c r="N16" s="1" t="s">
        <v>108</v>
      </c>
      <c r="O16" s="9">
        <v>0.1895</v>
      </c>
      <c r="P16" s="9"/>
      <c r="Q16" s="8"/>
    </row>
    <row r="17" spans="2:17">
      <c r="B17" s="6"/>
      <c r="D17" s="1" t="s">
        <v>107</v>
      </c>
      <c r="E17" s="1" t="s">
        <v>91</v>
      </c>
      <c r="F17" s="9">
        <v>0.0495</v>
      </c>
      <c r="G17" s="9">
        <v>0.0492</v>
      </c>
      <c r="H17" s="8"/>
      <c r="K17" s="6"/>
      <c r="M17" s="1" t="s">
        <v>107</v>
      </c>
      <c r="N17" s="1" t="s">
        <v>116</v>
      </c>
      <c r="O17" s="9">
        <v>0.1881</v>
      </c>
      <c r="P17" s="9"/>
      <c r="Q17" s="8"/>
    </row>
    <row r="18" spans="2:17">
      <c r="B18" s="6"/>
      <c r="D18" s="1" t="s">
        <v>107</v>
      </c>
      <c r="E18" s="1" t="s">
        <v>108</v>
      </c>
      <c r="F18" s="9">
        <v>0.0542</v>
      </c>
      <c r="G18" s="9"/>
      <c r="H18" s="8"/>
      <c r="K18" s="6"/>
      <c r="Q18" s="8"/>
    </row>
    <row r="19" ht="15.15" spans="2:17">
      <c r="B19" s="10"/>
      <c r="C19" s="11"/>
      <c r="D19" s="11" t="s">
        <v>107</v>
      </c>
      <c r="E19" s="11" t="s">
        <v>116</v>
      </c>
      <c r="F19" s="12">
        <v>0.043</v>
      </c>
      <c r="G19" s="12"/>
      <c r="H19" s="13"/>
      <c r="K19" s="10"/>
      <c r="L19" s="11"/>
      <c r="M19" s="11"/>
      <c r="N19" s="11"/>
      <c r="O19" s="11"/>
      <c r="P19" s="11"/>
      <c r="Q19" s="13"/>
    </row>
    <row r="20" ht="15.15"/>
    <row r="21" ht="15.15"/>
    <row r="22" ht="15.15" spans="2:17">
      <c r="B22" s="3" t="s">
        <v>108</v>
      </c>
      <c r="C22" s="4" t="s">
        <v>284</v>
      </c>
      <c r="D22" s="4" t="s">
        <v>285</v>
      </c>
      <c r="E22" s="4" t="s">
        <v>286</v>
      </c>
      <c r="F22" s="4" t="s">
        <v>287</v>
      </c>
      <c r="G22" s="4" t="s">
        <v>288</v>
      </c>
      <c r="H22" s="5" t="s">
        <v>236</v>
      </c>
      <c r="K22" s="3" t="s">
        <v>108</v>
      </c>
      <c r="L22" s="4"/>
      <c r="M22" s="4"/>
      <c r="N22" s="4"/>
      <c r="O22" s="4"/>
      <c r="P22" s="4"/>
      <c r="Q22" s="5"/>
    </row>
    <row r="23" spans="2:17">
      <c r="B23" s="6"/>
      <c r="D23" s="7">
        <v>-0.00328004602711586</v>
      </c>
      <c r="E23" s="1">
        <v>11.59960617335</v>
      </c>
      <c r="F23" s="1">
        <v>2.11501166868697</v>
      </c>
      <c r="G23" s="1">
        <v>0.0974405921057982</v>
      </c>
      <c r="H23" s="8">
        <v>-8.02220527686373</v>
      </c>
      <c r="K23" s="6"/>
      <c r="L23" s="1" t="s">
        <v>289</v>
      </c>
      <c r="Q23" s="8"/>
    </row>
    <row r="24" spans="2:17">
      <c r="B24" s="6"/>
      <c r="H24" s="8"/>
      <c r="K24" s="6"/>
      <c r="M24" s="1" t="s">
        <v>290</v>
      </c>
      <c r="N24" s="1" t="s">
        <v>291</v>
      </c>
      <c r="O24" s="1" t="s">
        <v>292</v>
      </c>
      <c r="P24" s="1" t="s">
        <v>293</v>
      </c>
      <c r="Q24" s="8"/>
    </row>
    <row r="25" spans="2:17">
      <c r="B25" s="6"/>
      <c r="C25" s="1" t="s">
        <v>289</v>
      </c>
      <c r="H25" s="8"/>
      <c r="K25" s="6"/>
      <c r="M25" s="1" t="s">
        <v>108</v>
      </c>
      <c r="N25" s="1" t="s">
        <v>91</v>
      </c>
      <c r="O25" s="9"/>
      <c r="P25" s="9"/>
      <c r="Q25" s="8"/>
    </row>
    <row r="26" spans="2:17">
      <c r="B26" s="6"/>
      <c r="D26" s="1" t="s">
        <v>290</v>
      </c>
      <c r="E26" s="1" t="s">
        <v>291</v>
      </c>
      <c r="F26" s="1" t="s">
        <v>292</v>
      </c>
      <c r="G26" s="1" t="s">
        <v>293</v>
      </c>
      <c r="H26" s="8"/>
      <c r="K26" s="6"/>
      <c r="M26" s="1" t="s">
        <v>108</v>
      </c>
      <c r="N26" s="1" t="s">
        <v>107</v>
      </c>
      <c r="O26" s="9">
        <v>0.1587</v>
      </c>
      <c r="P26" s="9"/>
      <c r="Q26" s="8"/>
    </row>
    <row r="27" spans="2:17">
      <c r="B27" s="6"/>
      <c r="D27" s="1" t="s">
        <v>108</v>
      </c>
      <c r="E27" s="1" t="s">
        <v>91</v>
      </c>
      <c r="F27" s="9">
        <v>0.0366</v>
      </c>
      <c r="G27" s="9">
        <v>0.0362</v>
      </c>
      <c r="H27" s="8"/>
      <c r="K27" s="6"/>
      <c r="M27" s="1" t="s">
        <v>108</v>
      </c>
      <c r="N27" s="1" t="s">
        <v>116</v>
      </c>
      <c r="O27" s="9">
        <v>0.1541</v>
      </c>
      <c r="P27" s="9"/>
      <c r="Q27" s="8"/>
    </row>
    <row r="28" spans="2:17">
      <c r="B28" s="6"/>
      <c r="D28" s="1" t="s">
        <v>108</v>
      </c>
      <c r="E28" s="1" t="s">
        <v>107</v>
      </c>
      <c r="F28" s="9">
        <v>0.0429</v>
      </c>
      <c r="G28" s="9"/>
      <c r="H28" s="8"/>
      <c r="K28" s="6"/>
      <c r="Q28" s="8"/>
    </row>
    <row r="29" ht="15.15" spans="2:17">
      <c r="B29" s="10"/>
      <c r="C29" s="11"/>
      <c r="D29" s="11" t="s">
        <v>108</v>
      </c>
      <c r="E29" s="11" t="s">
        <v>116</v>
      </c>
      <c r="F29" s="12">
        <v>0.0272</v>
      </c>
      <c r="G29" s="12"/>
      <c r="H29" s="13"/>
      <c r="K29" s="10"/>
      <c r="L29" s="11"/>
      <c r="M29" s="11"/>
      <c r="N29" s="11"/>
      <c r="O29" s="11"/>
      <c r="P29" s="11"/>
      <c r="Q29" s="13"/>
    </row>
    <row r="30" ht="15.15"/>
    <row r="31" ht="15.15"/>
    <row r="32" ht="15.15" spans="2:17">
      <c r="B32" s="3" t="s">
        <v>116</v>
      </c>
      <c r="C32" s="4" t="s">
        <v>284</v>
      </c>
      <c r="D32" s="4" t="s">
        <v>285</v>
      </c>
      <c r="E32" s="4" t="s">
        <v>286</v>
      </c>
      <c r="F32" s="4" t="s">
        <v>287</v>
      </c>
      <c r="G32" s="4" t="s">
        <v>288</v>
      </c>
      <c r="H32" s="5" t="s">
        <v>236</v>
      </c>
      <c r="K32" s="3" t="s">
        <v>116</v>
      </c>
      <c r="L32" s="4"/>
      <c r="M32" s="4"/>
      <c r="N32" s="4"/>
      <c r="O32" s="4"/>
      <c r="P32" s="4"/>
      <c r="Q32" s="5"/>
    </row>
    <row r="33" spans="2:17">
      <c r="B33" s="6"/>
      <c r="D33" s="7">
        <v>0.000513087980981257</v>
      </c>
      <c r="E33" s="1">
        <v>0.935922585750079</v>
      </c>
      <c r="F33" s="1">
        <v>1.98348464658452</v>
      </c>
      <c r="G33" s="1">
        <v>2.39933934587099</v>
      </c>
      <c r="H33" s="8">
        <v>172.824993422992</v>
      </c>
      <c r="K33" s="6"/>
      <c r="L33" s="1" t="s">
        <v>289</v>
      </c>
      <c r="Q33" s="8"/>
    </row>
    <row r="34" spans="2:17">
      <c r="B34" s="6"/>
      <c r="H34" s="8"/>
      <c r="K34" s="6"/>
      <c r="M34" s="1" t="s">
        <v>290</v>
      </c>
      <c r="N34" s="1" t="s">
        <v>291</v>
      </c>
      <c r="O34" s="1" t="s">
        <v>292</v>
      </c>
      <c r="P34" s="1" t="s">
        <v>293</v>
      </c>
      <c r="Q34" s="8"/>
    </row>
    <row r="35" spans="2:17">
      <c r="B35" s="6"/>
      <c r="C35" s="1" t="s">
        <v>289</v>
      </c>
      <c r="H35" s="8"/>
      <c r="K35" s="6"/>
      <c r="M35" s="1" t="s">
        <v>116</v>
      </c>
      <c r="N35" s="1" t="s">
        <v>91</v>
      </c>
      <c r="O35" s="9"/>
      <c r="P35" s="9"/>
      <c r="Q35" s="8"/>
    </row>
    <row r="36" spans="2:17">
      <c r="B36" s="6"/>
      <c r="D36" s="1" t="s">
        <v>290</v>
      </c>
      <c r="E36" s="1" t="s">
        <v>291</v>
      </c>
      <c r="F36" s="1" t="s">
        <v>292</v>
      </c>
      <c r="G36" s="1" t="s">
        <v>293</v>
      </c>
      <c r="H36" s="8"/>
      <c r="K36" s="6"/>
      <c r="M36" s="1" t="s">
        <v>116</v>
      </c>
      <c r="N36" s="1" t="s">
        <v>107</v>
      </c>
      <c r="O36" s="9">
        <v>0.1644</v>
      </c>
      <c r="P36" s="9"/>
      <c r="Q36" s="8"/>
    </row>
    <row r="37" spans="2:17">
      <c r="B37" s="6"/>
      <c r="D37" s="1" t="s">
        <v>116</v>
      </c>
      <c r="E37" s="1" t="s">
        <v>91</v>
      </c>
      <c r="F37" s="9">
        <v>0.0586</v>
      </c>
      <c r="G37" s="9">
        <v>0.0619</v>
      </c>
      <c r="H37" s="8"/>
      <c r="K37" s="6"/>
      <c r="M37" s="1" t="s">
        <v>116</v>
      </c>
      <c r="N37" s="1" t="s">
        <v>108</v>
      </c>
      <c r="O37" s="9">
        <v>0.1517</v>
      </c>
      <c r="P37" s="9"/>
      <c r="Q37" s="8"/>
    </row>
    <row r="38" spans="2:17">
      <c r="B38" s="6"/>
      <c r="D38" s="1" t="s">
        <v>116</v>
      </c>
      <c r="E38" s="1" t="s">
        <v>107</v>
      </c>
      <c r="F38" s="9">
        <v>0.0591</v>
      </c>
      <c r="G38" s="9"/>
      <c r="H38" s="8"/>
      <c r="K38" s="6"/>
      <c r="Q38" s="8"/>
    </row>
    <row r="39" ht="15.15" spans="2:17">
      <c r="B39" s="10"/>
      <c r="C39" s="11"/>
      <c r="D39" s="11" t="s">
        <v>116</v>
      </c>
      <c r="E39" s="11" t="s">
        <v>108</v>
      </c>
      <c r="F39" s="12">
        <v>0.0687</v>
      </c>
      <c r="G39" s="12"/>
      <c r="H39" s="13"/>
      <c r="K39" s="10"/>
      <c r="L39" s="11"/>
      <c r="M39" s="11"/>
      <c r="N39" s="11"/>
      <c r="O39" s="11"/>
      <c r="P39" s="11"/>
      <c r="Q39" s="13"/>
    </row>
    <row r="40" ht="15.15"/>
    <row r="43" spans="2:5">
      <c r="B43" s="1" t="s">
        <v>295</v>
      </c>
      <c r="C43" s="1" t="s">
        <v>291</v>
      </c>
      <c r="D43" s="1" t="s">
        <v>296</v>
      </c>
      <c r="E43" s="1" t="s">
        <v>297</v>
      </c>
    </row>
    <row r="44" spans="2:5">
      <c r="B44" s="1" t="s">
        <v>107</v>
      </c>
      <c r="C44" s="1" t="s">
        <v>108</v>
      </c>
      <c r="D44" s="1">
        <v>0.0542</v>
      </c>
      <c r="E44" s="1">
        <v>0.1895</v>
      </c>
    </row>
    <row r="45" spans="2:5">
      <c r="B45" s="1" t="s">
        <v>107</v>
      </c>
      <c r="C45" s="1" t="s">
        <v>116</v>
      </c>
      <c r="D45" s="1">
        <v>0.043</v>
      </c>
      <c r="E45" s="1">
        <v>0.1881</v>
      </c>
    </row>
    <row r="46" spans="2:5">
      <c r="B46" s="1" t="s">
        <v>108</v>
      </c>
      <c r="C46" s="1" t="s">
        <v>107</v>
      </c>
      <c r="D46" s="1">
        <v>0.0429</v>
      </c>
      <c r="E46" s="1">
        <v>0.1587</v>
      </c>
    </row>
    <row r="47" spans="2:5">
      <c r="B47" s="1" t="s">
        <v>108</v>
      </c>
      <c r="C47" s="1" t="s">
        <v>116</v>
      </c>
      <c r="D47" s="1">
        <v>0.0272</v>
      </c>
      <c r="E47" s="1">
        <v>0.1541</v>
      </c>
    </row>
    <row r="48" spans="2:5">
      <c r="B48" s="1" t="s">
        <v>116</v>
      </c>
      <c r="C48" s="1" t="s">
        <v>107</v>
      </c>
      <c r="D48" s="1">
        <v>0.0591</v>
      </c>
      <c r="E48" s="1">
        <v>0.1644</v>
      </c>
    </row>
    <row r="49" spans="2:5">
      <c r="B49" s="1" t="s">
        <v>116</v>
      </c>
      <c r="C49" s="1" t="s">
        <v>108</v>
      </c>
      <c r="D49" s="1">
        <v>0.0687</v>
      </c>
      <c r="E49" s="1">
        <v>0.1517</v>
      </c>
    </row>
  </sheetData>
  <mergeCells count="6">
    <mergeCell ref="A2:A4"/>
    <mergeCell ref="A5:A7"/>
    <mergeCell ref="G7:G9"/>
    <mergeCell ref="G17:G19"/>
    <mergeCell ref="G27:G29"/>
    <mergeCell ref="G37:G39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opLeftCell="D1" workbookViewId="0">
      <selection activeCell="J44" sqref="J44:J47"/>
    </sheetView>
  </sheetViews>
  <sheetFormatPr defaultColWidth="8.88888888888889" defaultRowHeight="14.4"/>
  <cols>
    <col min="1" max="1" width="24" customWidth="1"/>
    <col min="4" max="4" width="27.6666666666667" style="1" customWidth="1"/>
    <col min="5" max="7" width="21" style="1" customWidth="1"/>
    <col min="8" max="9" width="23.1111111111111" style="1" customWidth="1"/>
    <col min="10" max="10" width="20.5555555555556" style="1" customWidth="1"/>
    <col min="11" max="11" width="23.4444444444444" style="1" customWidth="1"/>
    <col min="12" max="17" width="13.4444444444444" customWidth="1"/>
  </cols>
  <sheetData>
    <row r="1" spans="1:10">
      <c r="A1" s="1" t="s">
        <v>298</v>
      </c>
      <c r="D1" s="1" t="s">
        <v>284</v>
      </c>
      <c r="E1" s="1" t="s">
        <v>107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236</v>
      </c>
    </row>
    <row r="2" spans="1:10">
      <c r="A2" s="1" t="s">
        <v>283</v>
      </c>
      <c r="F2" s="1">
        <v>0.0109726583266314</v>
      </c>
      <c r="G2" s="1">
        <v>30.0327861039679</v>
      </c>
      <c r="H2" s="1">
        <v>7.49719944941294</v>
      </c>
      <c r="I2" s="1">
        <v>0.173492666323726</v>
      </c>
      <c r="J2" s="1">
        <v>54.5711363696222</v>
      </c>
    </row>
    <row r="3" spans="1:10">
      <c r="A3" s="1"/>
      <c r="E3" s="1" t="s">
        <v>108</v>
      </c>
      <c r="F3" s="1" t="s">
        <v>285</v>
      </c>
      <c r="G3" s="1" t="s">
        <v>286</v>
      </c>
      <c r="H3" s="1" t="s">
        <v>287</v>
      </c>
      <c r="I3" s="1" t="s">
        <v>288</v>
      </c>
      <c r="J3" s="1" t="s">
        <v>236</v>
      </c>
    </row>
    <row r="4" spans="1:10">
      <c r="A4" s="1"/>
      <c r="F4" s="1">
        <v>-0.00328004602711586</v>
      </c>
      <c r="G4" s="1">
        <v>11.59960617335</v>
      </c>
      <c r="H4" s="1">
        <v>2.11501166868697</v>
      </c>
      <c r="I4" s="1">
        <v>0.0974405921057982</v>
      </c>
      <c r="J4" s="1">
        <v>-8.02220527686373</v>
      </c>
    </row>
    <row r="5" spans="1:10">
      <c r="A5" s="1" t="s">
        <v>299</v>
      </c>
      <c r="E5" s="1" t="s">
        <v>116</v>
      </c>
      <c r="F5" s="1" t="s">
        <v>285</v>
      </c>
      <c r="G5" s="1" t="s">
        <v>286</v>
      </c>
      <c r="H5" s="1" t="s">
        <v>287</v>
      </c>
      <c r="I5" s="1" t="s">
        <v>288</v>
      </c>
      <c r="J5" s="1" t="s">
        <v>236</v>
      </c>
    </row>
    <row r="6" spans="1:10">
      <c r="A6" s="1"/>
      <c r="F6" s="1">
        <v>0.000513087980981257</v>
      </c>
      <c r="G6" s="1">
        <v>0.935922585750079</v>
      </c>
      <c r="H6" s="1">
        <v>1.98348464658452</v>
      </c>
      <c r="I6" s="1">
        <v>2.39933934587099</v>
      </c>
      <c r="J6" s="1">
        <v>172.824993422992</v>
      </c>
    </row>
    <row r="7" spans="1:1">
      <c r="A7" s="1"/>
    </row>
    <row r="10" spans="4:4">
      <c r="D10" s="1" t="s">
        <v>289</v>
      </c>
    </row>
    <row r="11" spans="5:9">
      <c r="E11" s="1" t="s">
        <v>290</v>
      </c>
      <c r="F11" s="1" t="s">
        <v>300</v>
      </c>
      <c r="G11" s="1" t="s">
        <v>301</v>
      </c>
      <c r="H11" s="1" t="s">
        <v>302</v>
      </c>
      <c r="I11" s="1" t="s">
        <v>297</v>
      </c>
    </row>
    <row r="12" spans="5:9">
      <c r="E12" s="1" t="s">
        <v>107</v>
      </c>
      <c r="F12" s="1" t="s">
        <v>116</v>
      </c>
      <c r="G12" s="1" t="s">
        <v>108</v>
      </c>
      <c r="H12" s="1">
        <v>0.0641</v>
      </c>
      <c r="I12" s="1">
        <v>0.1727</v>
      </c>
    </row>
    <row r="13" spans="5:9">
      <c r="E13" s="1" t="s">
        <v>108</v>
      </c>
      <c r="F13" s="1" t="s">
        <v>116</v>
      </c>
      <c r="G13" s="1" t="s">
        <v>107</v>
      </c>
      <c r="H13" s="1">
        <v>0.0401</v>
      </c>
      <c r="I13" s="1">
        <v>0.1585</v>
      </c>
    </row>
    <row r="14" spans="5:9">
      <c r="E14" s="1" t="s">
        <v>116</v>
      </c>
      <c r="F14" s="1" t="s">
        <v>107</v>
      </c>
      <c r="G14" s="1" t="s">
        <v>108</v>
      </c>
      <c r="H14" s="1">
        <v>0.0924</v>
      </c>
      <c r="I14" s="1">
        <v>0.1912</v>
      </c>
    </row>
    <row r="24" spans="1:10">
      <c r="A24" s="1" t="s">
        <v>303</v>
      </c>
      <c r="D24" s="1" t="s">
        <v>304</v>
      </c>
      <c r="E24" s="1" t="s">
        <v>107</v>
      </c>
      <c r="F24" s="1" t="s">
        <v>285</v>
      </c>
      <c r="G24" s="1" t="s">
        <v>286</v>
      </c>
      <c r="H24" s="1" t="s">
        <v>287</v>
      </c>
      <c r="I24" s="1" t="s">
        <v>288</v>
      </c>
      <c r="J24" s="1" t="s">
        <v>236</v>
      </c>
    </row>
    <row r="25" spans="1:10">
      <c r="A25" s="1" t="s">
        <v>283</v>
      </c>
      <c r="F25" s="1">
        <v>0.0109726583266314</v>
      </c>
      <c r="G25" s="1">
        <v>30.0327861039679</v>
      </c>
      <c r="H25" s="1">
        <v>7.49719944941294</v>
      </c>
      <c r="I25" s="1">
        <v>0.173492666323726</v>
      </c>
      <c r="J25" s="1">
        <v>54.5711363696222</v>
      </c>
    </row>
    <row r="26" spans="1:10">
      <c r="A26" s="1"/>
      <c r="E26" s="1" t="s">
        <v>108</v>
      </c>
      <c r="F26" s="1" t="s">
        <v>285</v>
      </c>
      <c r="G26" s="1" t="s">
        <v>286</v>
      </c>
      <c r="H26" s="1" t="s">
        <v>287</v>
      </c>
      <c r="I26" s="1" t="s">
        <v>288</v>
      </c>
      <c r="J26" s="1" t="s">
        <v>236</v>
      </c>
    </row>
    <row r="27" spans="1:10">
      <c r="A27" s="1"/>
      <c r="F27" s="1">
        <v>-0.00328004602711586</v>
      </c>
      <c r="G27" s="1">
        <v>11.59960617335</v>
      </c>
      <c r="H27" s="1">
        <v>2.11501166868697</v>
      </c>
      <c r="I27" s="1">
        <v>0.0974405921057982</v>
      </c>
      <c r="J27" s="1">
        <v>-8.02220527686373</v>
      </c>
    </row>
    <row r="28" spans="1:10">
      <c r="A28" s="1" t="s">
        <v>299</v>
      </c>
      <c r="E28" s="1" t="s">
        <v>116</v>
      </c>
      <c r="F28" s="1" t="s">
        <v>285</v>
      </c>
      <c r="G28" s="1" t="s">
        <v>286</v>
      </c>
      <c r="H28" s="1" t="s">
        <v>287</v>
      </c>
      <c r="I28" s="1" t="s">
        <v>288</v>
      </c>
      <c r="J28" s="1" t="s">
        <v>236</v>
      </c>
    </row>
    <row r="29" spans="1:10">
      <c r="A29" s="1"/>
      <c r="F29" s="1">
        <v>0.000513087980981257</v>
      </c>
      <c r="G29" s="1">
        <v>0.935922585750079</v>
      </c>
      <c r="H29" s="1">
        <v>1.98348464658452</v>
      </c>
      <c r="I29" s="1">
        <v>2.39933934587099</v>
      </c>
      <c r="J29" s="1">
        <v>172.824993422992</v>
      </c>
    </row>
    <row r="30" spans="1:1">
      <c r="A30" s="1"/>
    </row>
    <row r="31" spans="4:4">
      <c r="D31" s="1" t="s">
        <v>289</v>
      </c>
    </row>
    <row r="32" spans="5:10">
      <c r="E32" s="1" t="s">
        <v>290</v>
      </c>
      <c r="F32" s="1" t="s">
        <v>300</v>
      </c>
      <c r="G32" s="1" t="s">
        <v>301</v>
      </c>
      <c r="H32" s="1" t="s">
        <v>305</v>
      </c>
      <c r="I32" s="1" t="s">
        <v>296</v>
      </c>
      <c r="J32" s="1" t="s">
        <v>297</v>
      </c>
    </row>
    <row r="33" spans="5:10">
      <c r="E33" s="1" t="s">
        <v>107</v>
      </c>
      <c r="F33" s="1" t="s">
        <v>116</v>
      </c>
      <c r="G33" s="1" t="s">
        <v>108</v>
      </c>
      <c r="H33" s="1" t="s">
        <v>91</v>
      </c>
      <c r="I33" s="1">
        <v>0.0767</v>
      </c>
      <c r="J33" s="1">
        <v>0.2265</v>
      </c>
    </row>
    <row r="34" spans="5:10">
      <c r="E34" s="1" t="s">
        <v>91</v>
      </c>
      <c r="F34" s="1" t="s">
        <v>107</v>
      </c>
      <c r="G34" s="1" t="s">
        <v>108</v>
      </c>
      <c r="H34" s="1" t="s">
        <v>116</v>
      </c>
      <c r="I34" s="1">
        <v>0.1473</v>
      </c>
      <c r="J34" s="1">
        <v>0.3394</v>
      </c>
    </row>
    <row r="35" spans="5:10">
      <c r="E35" s="1" t="s">
        <v>108</v>
      </c>
      <c r="F35" s="1" t="s">
        <v>116</v>
      </c>
      <c r="G35" s="1" t="s">
        <v>107</v>
      </c>
      <c r="H35" s="1" t="s">
        <v>91</v>
      </c>
      <c r="I35" s="1">
        <v>0.0466</v>
      </c>
      <c r="J35" s="1">
        <v>0.1464</v>
      </c>
    </row>
    <row r="36" spans="5:10">
      <c r="E36" s="1" t="s">
        <v>116</v>
      </c>
      <c r="F36" s="1" t="s">
        <v>107</v>
      </c>
      <c r="G36" s="1" t="s">
        <v>108</v>
      </c>
      <c r="H36" s="1" t="s">
        <v>91</v>
      </c>
      <c r="I36" s="1">
        <v>0.1176</v>
      </c>
      <c r="J36" s="1">
        <v>0.2641</v>
      </c>
    </row>
    <row r="43" spans="10:10">
      <c r="J43" s="1" t="s">
        <v>306</v>
      </c>
    </row>
    <row r="44" spans="10:10">
      <c r="J44" s="1">
        <f>SUM(I33:I36)/4</f>
        <v>0.09705</v>
      </c>
    </row>
  </sheetData>
  <mergeCells count="5">
    <mergeCell ref="A2:A4"/>
    <mergeCell ref="A5:A7"/>
    <mergeCell ref="A25:A27"/>
    <mergeCell ref="A28:A30"/>
    <mergeCell ref="J44:J4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2"/>
  <sheetViews>
    <sheetView tabSelected="1" topLeftCell="AF1" workbookViewId="0">
      <selection activeCell="AT3" sqref="AT3"/>
    </sheetView>
  </sheetViews>
  <sheetFormatPr defaultColWidth="8.88888888888889" defaultRowHeight="14.4"/>
  <cols>
    <col min="3" max="3" width="12.8888888888889"/>
    <col min="4" max="4" width="13" customWidth="1"/>
    <col min="5" max="7" width="12.8888888888889"/>
    <col min="11" max="14" width="13.4444444444444" customWidth="1"/>
    <col min="15" max="15" width="16.2222222222222" customWidth="1"/>
    <col min="18" max="22" width="13.6666666666667" customWidth="1"/>
    <col min="27" max="31" width="12.8888888888889"/>
    <col min="35" max="39" width="14.1111111111111" customWidth="1"/>
    <col min="43" max="47" width="13.3333333333333" customWidth="1"/>
  </cols>
  <sheetData>
    <row r="1" spans="1:42">
      <c r="A1" s="1" t="s">
        <v>307</v>
      </c>
      <c r="B1" s="1"/>
      <c r="I1" s="1" t="s">
        <v>107</v>
      </c>
      <c r="J1" s="1"/>
      <c r="P1" s="1" t="s">
        <v>108</v>
      </c>
      <c r="Q1" s="1"/>
      <c r="Y1" s="1" t="s">
        <v>116</v>
      </c>
      <c r="Z1" s="1"/>
      <c r="AG1" s="1" t="s">
        <v>163</v>
      </c>
      <c r="AH1" s="1"/>
      <c r="AO1" s="1" t="s">
        <v>308</v>
      </c>
      <c r="AP1" s="1"/>
    </row>
    <row r="2" spans="1:47">
      <c r="A2" s="1"/>
      <c r="B2" s="1"/>
      <c r="C2">
        <v>1</v>
      </c>
      <c r="D2">
        <v>4</v>
      </c>
      <c r="E2">
        <v>8</v>
      </c>
      <c r="F2">
        <v>12</v>
      </c>
      <c r="G2">
        <v>16</v>
      </c>
      <c r="I2" s="1"/>
      <c r="J2" s="1"/>
      <c r="K2">
        <v>1</v>
      </c>
      <c r="L2">
        <v>4</v>
      </c>
      <c r="M2">
        <v>8</v>
      </c>
      <c r="N2">
        <v>12</v>
      </c>
      <c r="O2">
        <v>16</v>
      </c>
      <c r="P2" s="1"/>
      <c r="Q2" s="1"/>
      <c r="R2">
        <v>1</v>
      </c>
      <c r="S2">
        <v>4</v>
      </c>
      <c r="T2">
        <v>8</v>
      </c>
      <c r="U2">
        <v>12</v>
      </c>
      <c r="V2">
        <v>16</v>
      </c>
      <c r="Y2" s="1"/>
      <c r="Z2" s="1"/>
      <c r="AA2">
        <v>1</v>
      </c>
      <c r="AB2">
        <v>4</v>
      </c>
      <c r="AC2">
        <v>8</v>
      </c>
      <c r="AD2">
        <v>12</v>
      </c>
      <c r="AE2">
        <v>16</v>
      </c>
      <c r="AG2" s="1"/>
      <c r="AH2" s="1"/>
      <c r="AI2">
        <v>1</v>
      </c>
      <c r="AJ2">
        <v>4</v>
      </c>
      <c r="AK2">
        <v>8</v>
      </c>
      <c r="AL2">
        <v>12</v>
      </c>
      <c r="AM2">
        <v>16</v>
      </c>
      <c r="AO2" s="1"/>
      <c r="AP2" s="1"/>
      <c r="AQ2">
        <v>1</v>
      </c>
      <c r="AR2">
        <v>4</v>
      </c>
      <c r="AS2">
        <v>8</v>
      </c>
      <c r="AT2">
        <v>12</v>
      </c>
      <c r="AU2">
        <v>16</v>
      </c>
    </row>
    <row r="3" spans="2:47">
      <c r="B3">
        <v>10</v>
      </c>
      <c r="C3" s="2">
        <v>4.29538239002227</v>
      </c>
      <c r="D3" s="2">
        <v>9.41689755439758</v>
      </c>
      <c r="E3" s="2">
        <v>17.9904611396789</v>
      </c>
      <c r="F3" s="2">
        <v>27.6025894165039</v>
      </c>
      <c r="G3" s="2">
        <v>35.3530492782592</v>
      </c>
      <c r="J3">
        <v>10</v>
      </c>
      <c r="K3" s="2">
        <v>11.5832518100738</v>
      </c>
      <c r="L3" s="2">
        <v>34.0347925567626</v>
      </c>
      <c r="M3" s="2">
        <v>66.5981478881835</v>
      </c>
      <c r="N3" s="2">
        <v>92.4312181091308</v>
      </c>
      <c r="O3" s="2">
        <v>109.196595916748</v>
      </c>
      <c r="Q3">
        <v>10</v>
      </c>
      <c r="R3" s="2">
        <v>28.1327040290832</v>
      </c>
      <c r="S3" s="2">
        <v>101.480573883056</v>
      </c>
      <c r="T3" s="2">
        <v>230.215192108154</v>
      </c>
      <c r="U3" s="2">
        <v>259.735690612792</v>
      </c>
      <c r="V3" s="2">
        <v>267.412995300292</v>
      </c>
      <c r="Z3">
        <v>10</v>
      </c>
      <c r="AA3" s="2">
        <v>21.2676118278503</v>
      </c>
      <c r="AB3" s="2">
        <v>58.675924873352</v>
      </c>
      <c r="AC3" s="2">
        <v>103.291311264038</v>
      </c>
      <c r="AD3" s="2">
        <v>144.888059539794</v>
      </c>
      <c r="AE3" s="2">
        <v>196.317607574462</v>
      </c>
      <c r="AH3">
        <v>10</v>
      </c>
      <c r="AI3" s="2">
        <v>3.30489951848983</v>
      </c>
      <c r="AJ3" s="2">
        <v>7.28959100723266</v>
      </c>
      <c r="AK3" s="2">
        <v>13.7711769771575</v>
      </c>
      <c r="AL3" s="2">
        <v>14.3704684734344</v>
      </c>
      <c r="AM3" s="2">
        <v>15.2488851451873</v>
      </c>
      <c r="AP3">
        <v>10</v>
      </c>
      <c r="AQ3" s="2">
        <v>18.8263741111755</v>
      </c>
      <c r="AR3" s="2">
        <v>50.8175547790527</v>
      </c>
      <c r="AS3" s="2">
        <v>90.2346561431884</v>
      </c>
      <c r="AT3" s="2">
        <v>120.445010223388</v>
      </c>
      <c r="AU3" s="2">
        <v>149.789044342041</v>
      </c>
    </row>
    <row r="4" spans="2:47">
      <c r="B4">
        <v>20</v>
      </c>
      <c r="C4" s="2">
        <v>5.55066782474517</v>
      </c>
      <c r="D4" s="2">
        <v>5.29650943756103</v>
      </c>
      <c r="E4" s="2">
        <v>9.69177306175232</v>
      </c>
      <c r="F4" s="2">
        <v>14.1726818752288</v>
      </c>
      <c r="G4" s="2">
        <v>18.4364204978942</v>
      </c>
      <c r="J4">
        <v>20</v>
      </c>
      <c r="K4" s="2">
        <v>7.17347518444061</v>
      </c>
      <c r="L4" s="2">
        <v>18.5463726234436</v>
      </c>
      <c r="M4" s="2">
        <v>35.3669374847412</v>
      </c>
      <c r="N4" s="2">
        <v>49.3871839141845</v>
      </c>
      <c r="O4" s="2">
        <v>57.4250950241088</v>
      </c>
      <c r="Q4">
        <v>20</v>
      </c>
      <c r="R4" s="2">
        <v>14.6472239875793</v>
      </c>
      <c r="S4" s="2">
        <v>52.240138092041</v>
      </c>
      <c r="T4" s="2">
        <v>115.970119247436</v>
      </c>
      <c r="U4" s="2">
        <v>131.576231384277</v>
      </c>
      <c r="V4" s="2">
        <v>135.110467376708</v>
      </c>
      <c r="Z4">
        <v>20</v>
      </c>
      <c r="AA4" s="2">
        <v>17.4837238311767</v>
      </c>
      <c r="AB4" s="2">
        <v>34.3883471679687</v>
      </c>
      <c r="AC4" s="2">
        <v>60.0496873092651</v>
      </c>
      <c r="AD4" s="2">
        <v>83.0588688659668</v>
      </c>
      <c r="AE4" s="2">
        <v>106.95201133728</v>
      </c>
      <c r="AH4">
        <v>20</v>
      </c>
      <c r="AI4" s="2">
        <v>2.38998272299766</v>
      </c>
      <c r="AJ4" s="2">
        <v>3.87371167659759</v>
      </c>
      <c r="AK4" s="2">
        <v>6.74177888393402</v>
      </c>
      <c r="AL4" s="2">
        <v>7.38442143440246</v>
      </c>
      <c r="AM4" s="2">
        <v>7.82436641693115</v>
      </c>
      <c r="AP4">
        <v>20</v>
      </c>
      <c r="AQ4" s="2">
        <v>10.9667788696289</v>
      </c>
      <c r="AR4" s="2">
        <v>27.3518482780456</v>
      </c>
      <c r="AS4" s="2">
        <v>47.7017383193969</v>
      </c>
      <c r="AT4" s="2">
        <v>62.4599845123291</v>
      </c>
      <c r="AU4" s="2">
        <v>78.2083716583251</v>
      </c>
    </row>
    <row r="5" spans="2:47">
      <c r="B5">
        <v>30</v>
      </c>
      <c r="C5" s="2">
        <v>4.75620767116546</v>
      </c>
      <c r="D5" s="2">
        <v>4.58578463554382</v>
      </c>
      <c r="E5" s="2">
        <v>6.21995103359222</v>
      </c>
      <c r="F5" s="2">
        <v>9.10341823577881</v>
      </c>
      <c r="G5" s="2">
        <v>11.9870038127899</v>
      </c>
      <c r="J5">
        <v>30</v>
      </c>
      <c r="K5" s="2">
        <v>5.87277215957641</v>
      </c>
      <c r="L5" s="2">
        <v>12.5948701000213</v>
      </c>
      <c r="M5" s="2">
        <v>23.5792941093444</v>
      </c>
      <c r="N5" s="2">
        <v>30.9486709403991</v>
      </c>
      <c r="O5" s="2">
        <v>37.0823188018798</v>
      </c>
      <c r="Q5">
        <v>30</v>
      </c>
      <c r="R5" s="2">
        <v>9.40245733261108</v>
      </c>
      <c r="S5" s="2">
        <v>32.0984446907043</v>
      </c>
      <c r="T5" s="2">
        <v>71.4676869964599</v>
      </c>
      <c r="U5" s="2">
        <v>81.4623313903808</v>
      </c>
      <c r="V5" s="2">
        <v>84.5920548248291</v>
      </c>
      <c r="Z5">
        <v>30</v>
      </c>
      <c r="AA5" s="2">
        <v>17.7063741683959</v>
      </c>
      <c r="AB5" s="2">
        <v>24.966553325653</v>
      </c>
      <c r="AC5" s="2">
        <v>41.3587859725952</v>
      </c>
      <c r="AD5" s="2">
        <v>53.1232522201538</v>
      </c>
      <c r="AE5" s="2">
        <v>72.8327613067626</v>
      </c>
      <c r="AH5">
        <v>30</v>
      </c>
      <c r="AI5" s="2">
        <v>1.5272355222702</v>
      </c>
      <c r="AJ5" s="2">
        <v>3.33230944395065</v>
      </c>
      <c r="AK5" s="2">
        <v>4.17391937732696</v>
      </c>
      <c r="AL5" s="2">
        <v>4.69229950904846</v>
      </c>
      <c r="AM5" s="2">
        <v>4.93960767745971</v>
      </c>
      <c r="AP5">
        <v>30</v>
      </c>
      <c r="AQ5" s="2">
        <v>9.21096000671386</v>
      </c>
      <c r="AR5" s="2">
        <v>17.7767248153686</v>
      </c>
      <c r="AS5" s="2">
        <v>30.1799190902709</v>
      </c>
      <c r="AT5" s="2">
        <v>40.2649377822875</v>
      </c>
      <c r="AU5" s="2">
        <v>49.4169672393798</v>
      </c>
    </row>
    <row r="6" spans="2:47">
      <c r="B6">
        <v>40</v>
      </c>
      <c r="C6" s="2">
        <v>3.91683360338211</v>
      </c>
      <c r="D6" s="2">
        <v>4.92957088470459</v>
      </c>
      <c r="E6" s="2">
        <v>5.55049407958984</v>
      </c>
      <c r="F6" s="2">
        <v>7.5631740617752</v>
      </c>
      <c r="G6" s="2">
        <v>10.0180556869506</v>
      </c>
      <c r="J6">
        <v>40</v>
      </c>
      <c r="K6" s="2">
        <v>5.6899958372116</v>
      </c>
      <c r="L6" s="2">
        <v>10.5424706935882</v>
      </c>
      <c r="M6" s="2">
        <v>18.1212636375427</v>
      </c>
      <c r="N6" s="2">
        <v>25.5491798591613</v>
      </c>
      <c r="O6" s="2">
        <v>29.5374559402465</v>
      </c>
      <c r="Q6">
        <v>40</v>
      </c>
      <c r="R6" s="2">
        <v>7.55286370754242</v>
      </c>
      <c r="S6" s="2">
        <v>24.8977526092529</v>
      </c>
      <c r="T6" s="2">
        <v>42.9232008361816</v>
      </c>
      <c r="U6" s="2">
        <v>48.8319222640991</v>
      </c>
      <c r="V6" s="2">
        <v>52.0725416946411</v>
      </c>
      <c r="Z6">
        <v>40</v>
      </c>
      <c r="AA6" s="2">
        <v>17.5767014503479</v>
      </c>
      <c r="AB6" s="2">
        <v>22.0154598808288</v>
      </c>
      <c r="AC6" s="2">
        <v>33.6094654846191</v>
      </c>
      <c r="AD6" s="2">
        <v>45.6731800079345</v>
      </c>
      <c r="AE6" s="2">
        <v>57.1448992538452</v>
      </c>
      <c r="AH6">
        <v>40</v>
      </c>
      <c r="AI6" s="2">
        <v>1.51726783394813</v>
      </c>
      <c r="AJ6" s="2">
        <v>2.65637312173843</v>
      </c>
      <c r="AK6" s="2">
        <v>3.16367936849594</v>
      </c>
      <c r="AL6" s="2">
        <v>3.53717474222183</v>
      </c>
      <c r="AM6" s="2">
        <v>3.66186239004135</v>
      </c>
      <c r="AP6">
        <v>40</v>
      </c>
      <c r="AQ6" s="2">
        <v>9.19738655090332</v>
      </c>
      <c r="AR6" s="2">
        <v>14.8953583335876</v>
      </c>
      <c r="AS6" s="2">
        <v>24.1389958000183</v>
      </c>
      <c r="AT6" s="2">
        <v>32.6242001724243</v>
      </c>
      <c r="AU6" s="2">
        <v>39.4742453002929</v>
      </c>
    </row>
    <row r="7" spans="2:47">
      <c r="B7">
        <v>50</v>
      </c>
      <c r="C7" s="2">
        <v>4.89004674434661</v>
      </c>
      <c r="D7" s="2">
        <v>4.69835199832916</v>
      </c>
      <c r="E7" s="2">
        <v>6.3374370765686</v>
      </c>
      <c r="F7" s="2">
        <v>6.72383165836334</v>
      </c>
      <c r="G7" s="2">
        <v>8.27974329948425</v>
      </c>
      <c r="J7">
        <v>50</v>
      </c>
      <c r="K7" s="2">
        <v>5.65543904304504</v>
      </c>
      <c r="L7" s="2">
        <v>7.71066815853118</v>
      </c>
      <c r="M7" s="2">
        <v>14.5061545181274</v>
      </c>
      <c r="N7" s="2">
        <v>22.6153056144714</v>
      </c>
      <c r="O7" s="2">
        <v>24.4321849441528</v>
      </c>
      <c r="Q7">
        <v>50</v>
      </c>
      <c r="R7" s="2">
        <v>6.06115104675292</v>
      </c>
      <c r="S7" s="2">
        <v>19.9473542976379</v>
      </c>
      <c r="T7" s="2">
        <v>35.2329938888549</v>
      </c>
      <c r="U7" s="2">
        <v>40.5498463058471</v>
      </c>
      <c r="V7" s="2">
        <v>43.9854464340209</v>
      </c>
      <c r="Z7">
        <v>50</v>
      </c>
      <c r="AA7" s="2">
        <v>18.2341255187988</v>
      </c>
      <c r="AB7" s="2">
        <v>20.1318636322021</v>
      </c>
      <c r="AC7" s="2">
        <v>30.0419727134704</v>
      </c>
      <c r="AD7" s="2">
        <v>41.3354552078247</v>
      </c>
      <c r="AE7" s="2">
        <v>47.6724549865722</v>
      </c>
      <c r="AH7">
        <v>50</v>
      </c>
      <c r="AI7" s="2">
        <v>1.40207615852355</v>
      </c>
      <c r="AJ7" s="2">
        <v>2.04737119793891</v>
      </c>
      <c r="AK7" s="2">
        <v>3.09343552589416</v>
      </c>
      <c r="AL7" s="2">
        <v>3.23742591381073</v>
      </c>
      <c r="AM7" s="2">
        <v>3.45509760379791</v>
      </c>
      <c r="AP7">
        <v>50</v>
      </c>
      <c r="AQ7" s="2">
        <v>9.16991683959961</v>
      </c>
      <c r="AR7" s="2">
        <v>11.9352754878997</v>
      </c>
      <c r="AS7" s="2">
        <v>20.5571743202209</v>
      </c>
      <c r="AT7" s="2">
        <v>26.4014231491088</v>
      </c>
      <c r="AU7" s="2">
        <v>32.6481102752685</v>
      </c>
    </row>
    <row r="8" spans="2:47">
      <c r="B8">
        <v>60</v>
      </c>
      <c r="C8" s="2">
        <v>4.00678464651107</v>
      </c>
      <c r="D8" s="2">
        <v>4.71088864326477</v>
      </c>
      <c r="E8" s="2">
        <v>4.6437811088562</v>
      </c>
      <c r="F8" s="2">
        <v>5.76968638896942</v>
      </c>
      <c r="G8" s="2">
        <v>7.52924798965454</v>
      </c>
      <c r="J8">
        <v>60</v>
      </c>
      <c r="K8" s="2">
        <v>5.48676860809326</v>
      </c>
      <c r="L8" s="2">
        <v>7.22552258968353</v>
      </c>
      <c r="M8" s="2">
        <v>13.3174969577789</v>
      </c>
      <c r="N8" s="2">
        <v>18.201166191101</v>
      </c>
      <c r="O8" s="2">
        <v>21.8647724151611</v>
      </c>
      <c r="Q8">
        <v>60</v>
      </c>
      <c r="R8" s="2">
        <v>5.73749760150909</v>
      </c>
      <c r="S8" s="2">
        <v>17.7322409629821</v>
      </c>
      <c r="T8" s="2">
        <v>31.6960374450683</v>
      </c>
      <c r="U8" s="2">
        <v>37.2114358520507</v>
      </c>
      <c r="V8" s="2">
        <v>40.762405052185</v>
      </c>
      <c r="Z8">
        <v>60</v>
      </c>
      <c r="AA8" s="2">
        <v>18.3759152030944</v>
      </c>
      <c r="AB8" s="2">
        <v>19.9505008506774</v>
      </c>
      <c r="AC8" s="2">
        <v>29.0079398727416</v>
      </c>
      <c r="AD8" s="2">
        <v>36.4788683319091</v>
      </c>
      <c r="AE8" s="2">
        <v>44.8197078704834</v>
      </c>
      <c r="AH8">
        <v>60</v>
      </c>
      <c r="AI8" s="2">
        <v>1.11209408402442</v>
      </c>
      <c r="AJ8" s="2">
        <v>1.90964703798294</v>
      </c>
      <c r="AK8" s="2">
        <v>2.6121641588211</v>
      </c>
      <c r="AL8" s="2">
        <v>2.93936287879943</v>
      </c>
      <c r="AM8" s="2">
        <v>3.12655328035354</v>
      </c>
      <c r="AP8">
        <v>60</v>
      </c>
      <c r="AQ8" s="2">
        <v>9.49146367073059</v>
      </c>
      <c r="AR8" s="2">
        <v>10.536758737564</v>
      </c>
      <c r="AS8" s="2">
        <v>17.0580800247192</v>
      </c>
      <c r="AT8" s="2">
        <v>23.3325036811828</v>
      </c>
      <c r="AU8" s="2">
        <v>28.6278272056579</v>
      </c>
    </row>
    <row r="9" spans="2:47">
      <c r="B9">
        <v>70</v>
      </c>
      <c r="C9" s="2">
        <v>4.46081213712692</v>
      </c>
      <c r="D9" s="2">
        <v>4.44998496055603</v>
      </c>
      <c r="E9" s="2">
        <v>4.92709441184997</v>
      </c>
      <c r="F9" s="2">
        <v>5.4870255947113</v>
      </c>
      <c r="G9" s="2">
        <v>7.14595678806304</v>
      </c>
      <c r="J9">
        <v>70</v>
      </c>
      <c r="K9" s="2">
        <v>5.42293277263641</v>
      </c>
      <c r="L9" s="2">
        <v>7.16005505561828</v>
      </c>
      <c r="M9" s="2">
        <v>12.956436510086</v>
      </c>
      <c r="N9" s="2">
        <v>17.7046339225769</v>
      </c>
      <c r="O9" s="2">
        <v>21.3366064453125</v>
      </c>
      <c r="Q9">
        <v>70</v>
      </c>
      <c r="R9" s="2">
        <v>5.11400129318237</v>
      </c>
      <c r="S9" s="2">
        <v>16.1135852241516</v>
      </c>
      <c r="T9" s="2">
        <v>29.8659977722167</v>
      </c>
      <c r="U9" s="2">
        <v>35.4230198287963</v>
      </c>
      <c r="V9" s="2">
        <v>39.4380723190307</v>
      </c>
      <c r="Z9">
        <v>70</v>
      </c>
      <c r="AA9" s="2">
        <v>18.8018473815918</v>
      </c>
      <c r="AB9" s="2">
        <v>20.0480927467346</v>
      </c>
      <c r="AC9" s="2">
        <v>28.2814931297302</v>
      </c>
      <c r="AD9" s="2">
        <v>35.5010627746582</v>
      </c>
      <c r="AE9" s="2">
        <v>43.6445815658569</v>
      </c>
      <c r="AH9">
        <v>70</v>
      </c>
      <c r="AI9" s="2">
        <v>1.10404863893985</v>
      </c>
      <c r="AJ9" s="2">
        <v>1.65069439888</v>
      </c>
      <c r="AK9" s="2">
        <v>2.54827167749404</v>
      </c>
      <c r="AL9" s="2">
        <v>2.54215968847274</v>
      </c>
      <c r="AM9" s="2">
        <v>2.80961503267288</v>
      </c>
      <c r="AP9">
        <v>70</v>
      </c>
      <c r="AQ9" s="2">
        <v>9.39403007507324</v>
      </c>
      <c r="AR9" s="2">
        <v>10.4564882659912</v>
      </c>
      <c r="AS9" s="2">
        <v>15.8997263526916</v>
      </c>
      <c r="AT9" s="2">
        <v>21.0864481925964</v>
      </c>
      <c r="AU9" s="2">
        <v>27.3652538490295</v>
      </c>
    </row>
    <row r="10" spans="2:47">
      <c r="B10">
        <v>80</v>
      </c>
      <c r="C10" s="2">
        <v>4.16615488529205</v>
      </c>
      <c r="D10" s="2">
        <v>4.39559488296508</v>
      </c>
      <c r="E10" s="2">
        <v>4.57855391979217</v>
      </c>
      <c r="F10" s="2">
        <v>5.752210855484</v>
      </c>
      <c r="G10" s="2">
        <v>6.76821121692657</v>
      </c>
      <c r="J10">
        <v>80</v>
      </c>
      <c r="K10" s="2">
        <v>5.39539168834686</v>
      </c>
      <c r="L10" s="2">
        <v>6.73485376834869</v>
      </c>
      <c r="M10" s="2">
        <v>12.1023010921478</v>
      </c>
      <c r="N10" s="2">
        <v>16.8179759979248</v>
      </c>
      <c r="O10" s="2">
        <v>19.8401263618469</v>
      </c>
      <c r="Q10">
        <v>80</v>
      </c>
      <c r="R10" s="2">
        <v>5.03907680034637</v>
      </c>
      <c r="S10" s="2">
        <v>15.1628592205047</v>
      </c>
      <c r="T10" s="2">
        <v>27.426893787384</v>
      </c>
      <c r="U10" s="2">
        <v>32.9203788185119</v>
      </c>
      <c r="V10" s="2">
        <v>37.4370904922485</v>
      </c>
      <c r="Z10">
        <v>80</v>
      </c>
      <c r="AA10" s="2">
        <v>18.1502885627746</v>
      </c>
      <c r="AB10" s="2">
        <v>19.9989450073242</v>
      </c>
      <c r="AC10" s="2">
        <v>27.2328585243225</v>
      </c>
      <c r="AD10" s="2">
        <v>34.6025486373901</v>
      </c>
      <c r="AE10" s="2">
        <v>41.9901518630981</v>
      </c>
      <c r="AH10">
        <v>80</v>
      </c>
      <c r="AI10" s="2">
        <v>1.12450591921806</v>
      </c>
      <c r="AJ10" s="2">
        <v>1.74758560061454</v>
      </c>
      <c r="AK10" s="2">
        <v>2.19971807479858</v>
      </c>
      <c r="AL10" s="2">
        <v>2.57827263593673</v>
      </c>
      <c r="AM10" s="2">
        <v>2.58388097047805</v>
      </c>
      <c r="AP10">
        <v>80</v>
      </c>
      <c r="AQ10" s="2">
        <v>9.12247326850891</v>
      </c>
      <c r="AR10" s="2">
        <v>11.4207879066467</v>
      </c>
      <c r="AS10" s="2">
        <v>15.2947030448913</v>
      </c>
      <c r="AT10" s="2">
        <v>19.8957004165649</v>
      </c>
      <c r="AU10" s="2">
        <v>25.6899043655395</v>
      </c>
    </row>
    <row r="11" spans="2:47">
      <c r="B11">
        <v>90</v>
      </c>
      <c r="C11" s="2">
        <v>4.32095232009887</v>
      </c>
      <c r="D11" s="2">
        <v>4.5202985715866</v>
      </c>
      <c r="E11" s="2">
        <v>4.81533759117126</v>
      </c>
      <c r="F11" s="2">
        <v>5.63405500888824</v>
      </c>
      <c r="G11" s="2">
        <v>6.53410207748413</v>
      </c>
      <c r="J11">
        <v>90</v>
      </c>
      <c r="K11" s="2">
        <v>5.65102305412292</v>
      </c>
      <c r="L11" s="2">
        <v>6.08273313045501</v>
      </c>
      <c r="M11" s="2">
        <v>11.3232214736938</v>
      </c>
      <c r="N11" s="2">
        <v>15.4414479923248</v>
      </c>
      <c r="O11" s="2">
        <v>18.5843210029602</v>
      </c>
      <c r="Q11">
        <v>90</v>
      </c>
      <c r="R11" s="2">
        <v>4.8264867067337</v>
      </c>
      <c r="S11" s="2">
        <v>14.3624009704589</v>
      </c>
      <c r="T11" s="2">
        <v>25.2745194435119</v>
      </c>
      <c r="U11" s="2">
        <v>30.8711664390563</v>
      </c>
      <c r="V11" s="2">
        <v>35.251495437622</v>
      </c>
      <c r="Z11">
        <v>90</v>
      </c>
      <c r="AA11" s="2">
        <v>22.1976528167724</v>
      </c>
      <c r="AB11" s="2">
        <v>21.7549516487121</v>
      </c>
      <c r="AC11" s="2">
        <v>25.5737181091308</v>
      </c>
      <c r="AD11" s="2">
        <v>33.0116893005371</v>
      </c>
      <c r="AE11" s="2">
        <v>38.0838800811767</v>
      </c>
      <c r="AH11">
        <v>90</v>
      </c>
      <c r="AI11" s="2">
        <v>1.11676991343498</v>
      </c>
      <c r="AJ11" s="2">
        <v>1.97923423767089</v>
      </c>
      <c r="AK11" s="2">
        <v>2.14911041259765</v>
      </c>
      <c r="AL11" s="2">
        <v>2.57029568195343</v>
      </c>
      <c r="AM11" s="2">
        <v>2.52673855781555</v>
      </c>
      <c r="AP11">
        <v>90</v>
      </c>
      <c r="AQ11" s="2">
        <v>10.091008605957</v>
      </c>
      <c r="AR11" s="2">
        <v>11.2818560123443</v>
      </c>
      <c r="AS11" s="2">
        <v>13.2496176338195</v>
      </c>
      <c r="AT11" s="2">
        <v>18.6508078575134</v>
      </c>
      <c r="AU11" s="2">
        <v>22.6728125381469</v>
      </c>
    </row>
    <row r="12" spans="2:47">
      <c r="B12">
        <v>100</v>
      </c>
      <c r="C12" s="2">
        <v>4.52769311904907</v>
      </c>
      <c r="D12" s="2">
        <v>4.91474110603332</v>
      </c>
      <c r="E12" s="2">
        <v>4.4049215888977</v>
      </c>
      <c r="F12" s="2">
        <v>5.22369856834411</v>
      </c>
      <c r="G12" s="2">
        <v>6.33236896038055</v>
      </c>
      <c r="J12">
        <v>100</v>
      </c>
      <c r="K12" s="2">
        <v>5.73790529727935</v>
      </c>
      <c r="L12" s="2">
        <v>5.53933087825775</v>
      </c>
      <c r="M12" s="2">
        <v>10.0251379585266</v>
      </c>
      <c r="N12" s="2">
        <v>15.2340243053436</v>
      </c>
      <c r="O12" s="2">
        <v>17.7069575119018</v>
      </c>
      <c r="Q12">
        <v>100</v>
      </c>
      <c r="R12" s="2">
        <v>4.38148894786834</v>
      </c>
      <c r="S12" s="2">
        <v>13.15248670578</v>
      </c>
      <c r="T12" s="2">
        <v>23.3681674194335</v>
      </c>
      <c r="U12" s="2">
        <v>29.1100649070739</v>
      </c>
      <c r="V12" s="2">
        <v>33.8635208129882</v>
      </c>
      <c r="Z12">
        <v>100</v>
      </c>
      <c r="AA12" s="2">
        <v>22.088235797882</v>
      </c>
      <c r="AB12" s="2">
        <v>21.8448681640625</v>
      </c>
      <c r="AC12" s="2">
        <v>23.8242365264892</v>
      </c>
      <c r="AD12" s="2">
        <v>32.737385520935</v>
      </c>
      <c r="AE12" s="2">
        <v>36.8958333969116</v>
      </c>
      <c r="AH12">
        <v>100</v>
      </c>
      <c r="AI12" s="2">
        <v>1.3937791955471</v>
      </c>
      <c r="AJ12" s="2">
        <v>1.69305503726005</v>
      </c>
      <c r="AK12" s="2">
        <v>1.87171135425567</v>
      </c>
      <c r="AL12" s="2">
        <v>2.20998656272888</v>
      </c>
      <c r="AM12" s="2">
        <v>2.37052191495895</v>
      </c>
      <c r="AP12">
        <v>100</v>
      </c>
      <c r="AQ12" s="2">
        <v>10.3726588630676</v>
      </c>
      <c r="AR12" s="2">
        <v>11.7277382087707</v>
      </c>
      <c r="AS12" s="2">
        <v>12.7226630592346</v>
      </c>
      <c r="AT12" s="2">
        <v>17.9494639968872</v>
      </c>
      <c r="AU12" s="2">
        <v>21.8004418945312</v>
      </c>
    </row>
  </sheetData>
  <mergeCells count="6">
    <mergeCell ref="A1:B2"/>
    <mergeCell ref="I1:J2"/>
    <mergeCell ref="Y1:Z2"/>
    <mergeCell ref="AG1:AH2"/>
    <mergeCell ref="AO1:AP2"/>
    <mergeCell ref="P1:Q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workbookViewId="0">
      <selection activeCell="E52" sqref="E52"/>
    </sheetView>
  </sheetViews>
  <sheetFormatPr defaultColWidth="9" defaultRowHeight="14.4"/>
  <cols>
    <col min="1" max="1" width="9" style="1"/>
    <col min="2" max="2" width="20.8888888888889" style="1" customWidth="1"/>
    <col min="3" max="3" width="11.7777777777778" style="19" customWidth="1"/>
    <col min="4" max="4" width="17.2222222222222" style="19" customWidth="1"/>
    <col min="5" max="5" width="15.8888888888889" style="19" customWidth="1"/>
    <col min="6" max="6" width="15.8888888888889" style="77" customWidth="1"/>
    <col min="7" max="7" width="11.5555555555556" style="77" customWidth="1"/>
    <col min="8" max="8" width="15.6666666666667" style="77" customWidth="1"/>
    <col min="9" max="9" width="15.7777777777778" style="77" customWidth="1"/>
    <col min="10" max="10" width="13.7777777777778" style="77" customWidth="1"/>
    <col min="11" max="11" width="14.6666666666667" style="77" customWidth="1"/>
    <col min="12" max="12" width="14.1111111111111" style="77" customWidth="1"/>
  </cols>
  <sheetData>
    <row r="1" spans="1:1">
      <c r="A1" s="1" t="s">
        <v>104</v>
      </c>
    </row>
    <row r="2" spans="2:2">
      <c r="B2" s="1" t="s">
        <v>105</v>
      </c>
    </row>
    <row r="3" spans="4:12">
      <c r="D3" s="19">
        <v>1</v>
      </c>
      <c r="E3" s="19">
        <v>16</v>
      </c>
      <c r="F3" s="77">
        <v>32</v>
      </c>
      <c r="J3" s="77">
        <v>1</v>
      </c>
      <c r="K3" s="77">
        <v>16</v>
      </c>
      <c r="L3" s="77">
        <v>32</v>
      </c>
    </row>
    <row r="4" spans="3:12">
      <c r="C4" s="19">
        <v>20</v>
      </c>
      <c r="D4" s="19">
        <v>7841</v>
      </c>
      <c r="E4" s="19">
        <v>62774</v>
      </c>
      <c r="F4" s="77">
        <v>124967</v>
      </c>
      <c r="I4" s="77">
        <v>20</v>
      </c>
      <c r="J4" s="77">
        <v>127.4</v>
      </c>
      <c r="K4" s="77">
        <v>256</v>
      </c>
      <c r="L4" s="77">
        <v>256</v>
      </c>
    </row>
    <row r="5" spans="3:12">
      <c r="C5" s="19">
        <v>30</v>
      </c>
      <c r="D5" s="19">
        <v>7035</v>
      </c>
      <c r="E5" s="19">
        <v>42806</v>
      </c>
      <c r="F5" s="77">
        <v>87307</v>
      </c>
      <c r="I5" s="77">
        <v>30</v>
      </c>
      <c r="J5" s="77">
        <v>143</v>
      </c>
      <c r="K5" s="77">
        <v>378.667</v>
      </c>
      <c r="L5" s="77">
        <v>362.667</v>
      </c>
    </row>
    <row r="6" spans="3:12">
      <c r="C6" s="19">
        <v>40</v>
      </c>
      <c r="D6" s="19">
        <v>7028</v>
      </c>
      <c r="E6" s="19">
        <v>35411</v>
      </c>
      <c r="F6" s="77">
        <v>70469</v>
      </c>
      <c r="I6" s="77">
        <v>40</v>
      </c>
      <c r="J6" s="77">
        <v>144</v>
      </c>
      <c r="K6" s="77">
        <v>448</v>
      </c>
      <c r="L6" s="77">
        <v>458</v>
      </c>
    </row>
    <row r="7" spans="3:12">
      <c r="C7" s="19">
        <v>50</v>
      </c>
      <c r="D7" s="19">
        <v>6644</v>
      </c>
      <c r="E7" s="19">
        <v>30574</v>
      </c>
      <c r="F7" s="77">
        <v>62213</v>
      </c>
      <c r="I7" s="77">
        <v>50</v>
      </c>
      <c r="J7" s="77">
        <v>149</v>
      </c>
      <c r="K7" s="77">
        <v>518</v>
      </c>
      <c r="L7" s="77">
        <v>525</v>
      </c>
    </row>
    <row r="8" spans="3:12">
      <c r="C8" s="19">
        <v>75</v>
      </c>
      <c r="D8" s="19">
        <v>6547</v>
      </c>
      <c r="E8" s="19">
        <v>25954</v>
      </c>
      <c r="F8" s="77">
        <v>53789</v>
      </c>
      <c r="I8" s="77">
        <v>75</v>
      </c>
      <c r="J8" s="77">
        <v>148</v>
      </c>
      <c r="K8" s="77">
        <v>621</v>
      </c>
      <c r="L8" s="77">
        <v>601.6</v>
      </c>
    </row>
    <row r="9" spans="3:12">
      <c r="C9" s="19">
        <v>100</v>
      </c>
      <c r="D9" s="19">
        <v>6460</v>
      </c>
      <c r="E9" s="19">
        <v>23758</v>
      </c>
      <c r="F9" s="77">
        <v>50434</v>
      </c>
      <c r="I9" s="77">
        <v>100</v>
      </c>
      <c r="J9" s="77">
        <v>155</v>
      </c>
      <c r="K9" s="77">
        <v>672</v>
      </c>
      <c r="L9" s="77">
        <v>627</v>
      </c>
    </row>
    <row r="13" spans="2:7">
      <c r="B13" s="1" t="s">
        <v>106</v>
      </c>
      <c r="C13" s="19" t="s">
        <v>107</v>
      </c>
      <c r="G13" s="77" t="s">
        <v>108</v>
      </c>
    </row>
    <row r="14" spans="3:8">
      <c r="C14" s="19" t="s">
        <v>109</v>
      </c>
      <c r="D14" s="19">
        <v>50</v>
      </c>
      <c r="G14" s="77" t="s">
        <v>109</v>
      </c>
      <c r="H14" s="77">
        <v>50</v>
      </c>
    </row>
    <row r="15" spans="4:9">
      <c r="D15" s="19" t="s">
        <v>33</v>
      </c>
      <c r="E15" s="19" t="s">
        <v>110</v>
      </c>
      <c r="H15" s="77" t="s">
        <v>33</v>
      </c>
      <c r="I15" s="77" t="s">
        <v>110</v>
      </c>
    </row>
    <row r="16" spans="3:9">
      <c r="C16" s="19" t="s">
        <v>111</v>
      </c>
      <c r="D16" s="19">
        <v>44229.1</v>
      </c>
      <c r="E16" s="19">
        <v>361.9</v>
      </c>
      <c r="G16" s="77" t="s">
        <v>111</v>
      </c>
      <c r="H16" s="78">
        <v>68292.1</v>
      </c>
      <c r="I16" s="78">
        <v>234.34</v>
      </c>
    </row>
    <row r="17" spans="3:9">
      <c r="C17" s="19" t="s">
        <v>112</v>
      </c>
      <c r="D17" s="19">
        <v>41384</v>
      </c>
      <c r="E17" s="19">
        <v>385.6</v>
      </c>
      <c r="G17" s="77" t="s">
        <v>112</v>
      </c>
      <c r="H17" s="78">
        <v>62458</v>
      </c>
      <c r="I17" s="78">
        <v>257.6</v>
      </c>
    </row>
    <row r="18" spans="3:9">
      <c r="C18" s="19" t="s">
        <v>113</v>
      </c>
      <c r="D18" s="19">
        <f>(D16-D17)/D17</f>
        <v>0.0687487918035956</v>
      </c>
      <c r="E18" s="19">
        <f>ABS(E16-E17)/E17</f>
        <v>0.0614626556016599</v>
      </c>
      <c r="F18" s="79"/>
      <c r="G18" s="77" t="s">
        <v>113</v>
      </c>
      <c r="H18" s="79">
        <f>(H16-H17)/H17</f>
        <v>0.0934083704249256</v>
      </c>
      <c r="I18" s="79">
        <f>ABS(I16-I17)/I17</f>
        <v>0.0902950310559007</v>
      </c>
    </row>
    <row r="21" spans="3:8">
      <c r="C21" s="19" t="s">
        <v>109</v>
      </c>
      <c r="D21" s="19">
        <v>10</v>
      </c>
      <c r="G21" s="77" t="s">
        <v>109</v>
      </c>
      <c r="H21" s="77">
        <v>50</v>
      </c>
    </row>
    <row r="22" spans="4:9">
      <c r="D22" s="19" t="s">
        <v>33</v>
      </c>
      <c r="E22" s="19" t="s">
        <v>110</v>
      </c>
      <c r="H22" s="77" t="s">
        <v>33</v>
      </c>
      <c r="I22" s="77" t="s">
        <v>110</v>
      </c>
    </row>
    <row r="23" spans="3:9">
      <c r="C23" s="19" t="s">
        <v>111</v>
      </c>
      <c r="D23" s="19">
        <v>133683.9</v>
      </c>
      <c r="E23" s="19">
        <v>119.6</v>
      </c>
      <c r="G23" s="77" t="s">
        <v>111</v>
      </c>
      <c r="H23" s="78">
        <v>58457.1</v>
      </c>
      <c r="I23" s="78">
        <v>274.1</v>
      </c>
    </row>
    <row r="24" spans="3:9">
      <c r="C24" s="19" t="s">
        <v>112</v>
      </c>
      <c r="D24" s="19">
        <v>147092</v>
      </c>
      <c r="E24" s="19">
        <v>108.8</v>
      </c>
      <c r="G24" s="77" t="s">
        <v>112</v>
      </c>
      <c r="H24" s="78">
        <v>52170</v>
      </c>
      <c r="I24" s="78">
        <v>305.6</v>
      </c>
    </row>
    <row r="25" spans="3:9">
      <c r="C25" s="19" t="s">
        <v>113</v>
      </c>
      <c r="D25" s="19">
        <f>ABS(D24-D23)/D24</f>
        <v>0.0911545155412939</v>
      </c>
      <c r="E25" s="19">
        <f>ABS(E24-E23)/E24</f>
        <v>0.0992647058823529</v>
      </c>
      <c r="F25" s="79"/>
      <c r="G25" s="77" t="s">
        <v>113</v>
      </c>
      <c r="H25" s="79">
        <f>ABS(H24-H23)/H24</f>
        <v>0.120511788384129</v>
      </c>
      <c r="I25" s="79">
        <f>ABS(I24-I23)/I24</f>
        <v>0.103075916230366</v>
      </c>
    </row>
    <row r="28" spans="1:5">
      <c r="A28" s="1" t="s">
        <v>114</v>
      </c>
      <c r="B28" s="16" t="s">
        <v>115</v>
      </c>
      <c r="C28" s="18" t="s">
        <v>108</v>
      </c>
      <c r="D28" s="18" t="s">
        <v>107</v>
      </c>
      <c r="E28" s="18" t="s">
        <v>116</v>
      </c>
    </row>
    <row r="29" spans="2:5">
      <c r="B29" s="16" t="s">
        <v>117</v>
      </c>
      <c r="C29" s="18">
        <v>40</v>
      </c>
      <c r="D29" s="18">
        <v>10</v>
      </c>
      <c r="E29" s="18">
        <v>10</v>
      </c>
    </row>
    <row r="30" spans="2:5">
      <c r="B30" s="16" t="s">
        <v>118</v>
      </c>
      <c r="C30" s="18">
        <v>8</v>
      </c>
      <c r="D30" s="18">
        <v>8</v>
      </c>
      <c r="E30" s="18">
        <v>8</v>
      </c>
    </row>
    <row r="31" spans="2:5">
      <c r="B31" s="16" t="s">
        <v>119</v>
      </c>
      <c r="C31" s="18">
        <v>163.656181755829</v>
      </c>
      <c r="D31" s="18">
        <v>96.4910279062444</v>
      </c>
      <c r="E31" s="18">
        <v>58.8143224779688</v>
      </c>
    </row>
    <row r="32" spans="2:5">
      <c r="B32" s="16" t="s">
        <v>120</v>
      </c>
      <c r="C32" s="18">
        <v>48.8907882732329</v>
      </c>
      <c r="D32" s="18">
        <v>82.9170825346012</v>
      </c>
      <c r="E32" s="18">
        <v>136.029109399528</v>
      </c>
    </row>
    <row r="34" spans="1:5">
      <c r="A34" s="1" t="s">
        <v>121</v>
      </c>
      <c r="B34" s="16" t="s">
        <v>119</v>
      </c>
      <c r="C34" s="18">
        <v>166.4</v>
      </c>
      <c r="D34" s="18">
        <v>96.8</v>
      </c>
      <c r="E34" s="18">
        <v>56</v>
      </c>
    </row>
    <row r="35" spans="2:5">
      <c r="B35" s="16" t="s">
        <v>120</v>
      </c>
      <c r="C35" s="18">
        <v>51.824</v>
      </c>
      <c r="D35" s="18">
        <v>90.048</v>
      </c>
      <c r="E35" s="18">
        <v>152.753</v>
      </c>
    </row>
    <row r="43" spans="1:5">
      <c r="A43" s="1" t="s">
        <v>114</v>
      </c>
      <c r="B43" s="16" t="s">
        <v>115</v>
      </c>
      <c r="C43" s="18" t="s">
        <v>108</v>
      </c>
      <c r="D43" s="18" t="s">
        <v>107</v>
      </c>
      <c r="E43" s="18" t="s">
        <v>116</v>
      </c>
    </row>
    <row r="44" spans="2:5">
      <c r="B44" s="16" t="s">
        <v>117</v>
      </c>
      <c r="C44" s="18">
        <v>10</v>
      </c>
      <c r="D44" s="18">
        <v>10</v>
      </c>
      <c r="E44" s="18">
        <v>40</v>
      </c>
    </row>
    <row r="45" spans="2:5">
      <c r="B45" s="16" t="s">
        <v>118</v>
      </c>
      <c r="C45" s="18">
        <v>16</v>
      </c>
      <c r="D45" s="18">
        <v>16</v>
      </c>
      <c r="E45" s="18">
        <v>1</v>
      </c>
    </row>
    <row r="46" spans="2:5">
      <c r="B46" s="16" t="s">
        <v>119</v>
      </c>
      <c r="C46" s="18">
        <v>51.2436970679224</v>
      </c>
      <c r="D46" s="18">
        <v>119.218849582804</v>
      </c>
      <c r="E46" s="18">
        <v>37.0041602103264</v>
      </c>
    </row>
    <row r="47" spans="2:5">
      <c r="B47" s="16" t="s">
        <v>120</v>
      </c>
      <c r="C47" s="18">
        <v>312.249160964036</v>
      </c>
      <c r="D47" s="18">
        <v>134.222604496687</v>
      </c>
      <c r="E47" s="18">
        <v>27.0249659551935</v>
      </c>
    </row>
    <row r="49" spans="1:5">
      <c r="A49" s="1" t="s">
        <v>121</v>
      </c>
      <c r="B49" s="16" t="s">
        <v>119</v>
      </c>
      <c r="C49" s="18">
        <v>56</v>
      </c>
      <c r="D49" s="18">
        <v>132.8</v>
      </c>
      <c r="E49" s="18">
        <v>41.1</v>
      </c>
    </row>
    <row r="50" spans="2:5">
      <c r="B50" s="16" t="s">
        <v>120</v>
      </c>
      <c r="C50" s="18">
        <v>309.679</v>
      </c>
      <c r="D50" s="18">
        <v>129.589</v>
      </c>
      <c r="E50" s="18">
        <v>26.701</v>
      </c>
    </row>
    <row r="56" spans="1:5">
      <c r="A56" s="1" t="s">
        <v>114</v>
      </c>
      <c r="B56" s="16" t="s">
        <v>115</v>
      </c>
      <c r="C56" s="18" t="s">
        <v>108</v>
      </c>
      <c r="D56" s="18" t="s">
        <v>107</v>
      </c>
      <c r="E56" s="18" t="s">
        <v>116</v>
      </c>
    </row>
    <row r="57" spans="2:5">
      <c r="B57" s="16" t="s">
        <v>117</v>
      </c>
      <c r="C57" s="18">
        <v>80</v>
      </c>
      <c r="D57" s="18">
        <v>10</v>
      </c>
      <c r="E57" s="18">
        <v>10</v>
      </c>
    </row>
    <row r="58" spans="2:5">
      <c r="B58" s="16" t="s">
        <v>118</v>
      </c>
      <c r="C58" s="18">
        <v>8</v>
      </c>
      <c r="D58" s="18">
        <v>8</v>
      </c>
      <c r="E58" s="18">
        <v>8</v>
      </c>
    </row>
    <row r="59" spans="2:5">
      <c r="B59" s="16" t="s">
        <v>119</v>
      </c>
      <c r="C59" s="18">
        <v>246.878596475979</v>
      </c>
      <c r="D59" s="18">
        <v>87.1449241204763</v>
      </c>
      <c r="E59" s="18">
        <v>54.824092321305</v>
      </c>
    </row>
    <row r="60" spans="2:5">
      <c r="B60" s="16" t="s">
        <v>120</v>
      </c>
      <c r="C60" s="18">
        <v>32.4124108572894</v>
      </c>
      <c r="D60" s="18">
        <v>91.8089208564431</v>
      </c>
      <c r="E60" s="18">
        <v>145.929068147232</v>
      </c>
    </row>
    <row r="62" spans="1:5">
      <c r="A62" s="1" t="s">
        <v>121</v>
      </c>
      <c r="B62" s="16" t="s">
        <v>119</v>
      </c>
      <c r="C62" s="18">
        <v>256</v>
      </c>
      <c r="D62" s="18">
        <v>77.6</v>
      </c>
      <c r="E62" s="18">
        <v>44</v>
      </c>
    </row>
    <row r="63" spans="2:5">
      <c r="B63" s="16" t="s">
        <v>120</v>
      </c>
      <c r="C63" s="18">
        <v>34.301</v>
      </c>
      <c r="D63" s="18">
        <v>112.399</v>
      </c>
      <c r="E63" s="18">
        <v>198.494</v>
      </c>
    </row>
    <row r="64" spans="2:5">
      <c r="B64" s="1" t="s">
        <v>122</v>
      </c>
      <c r="C64" s="80">
        <f>ABS(C62-C59)/C62</f>
        <v>0.035630482515707</v>
      </c>
      <c r="D64" s="80">
        <f>ABS(D62-D59)/D62</f>
        <v>0.123001599490674</v>
      </c>
      <c r="E64" s="80">
        <f>ABS(E62-E59)/E62</f>
        <v>0.246002098211477</v>
      </c>
    </row>
    <row r="65" spans="2:5">
      <c r="B65" s="1" t="s">
        <v>123</v>
      </c>
      <c r="C65" s="80">
        <f>ABS(C63-C60)/C63</f>
        <v>0.0550593027232617</v>
      </c>
      <c r="D65" s="80">
        <f>ABS(D63-D60)/D63</f>
        <v>0.18318738728598</v>
      </c>
      <c r="E65" s="80">
        <f>ABS(E63-E60)/E63</f>
        <v>0.264818744409242</v>
      </c>
    </row>
  </sheetData>
  <mergeCells count="6">
    <mergeCell ref="D13:E13"/>
    <mergeCell ref="H13:I13"/>
    <mergeCell ref="D14:E14"/>
    <mergeCell ref="H14:I14"/>
    <mergeCell ref="D21:E21"/>
    <mergeCell ref="H21:I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7"/>
  <sheetViews>
    <sheetView workbookViewId="0">
      <selection activeCell="D25" sqref="D25"/>
    </sheetView>
  </sheetViews>
  <sheetFormatPr defaultColWidth="9" defaultRowHeight="14.4"/>
  <cols>
    <col min="1" max="1" width="16.4444444444444" style="75" customWidth="1"/>
    <col min="2" max="2" width="11.8888888888889" style="75" customWidth="1"/>
    <col min="3" max="3" width="21.7777777777778" style="75" customWidth="1"/>
    <col min="4" max="4" width="26.5555555555556" style="75" customWidth="1"/>
    <col min="5" max="5" width="9" style="1"/>
    <col min="6" max="6" width="14.6666666666667" customWidth="1"/>
    <col min="7" max="7" width="19.7777777777778" customWidth="1"/>
    <col min="8" max="8" width="24.8888888888889" style="1" customWidth="1"/>
    <col min="10" max="10" width="11.8888888888889" customWidth="1"/>
    <col min="11" max="11" width="19.7777777777778" customWidth="1"/>
    <col min="12" max="12" width="26.5555555555556" style="1" customWidth="1"/>
  </cols>
  <sheetData>
    <row r="2" spans="1:5">
      <c r="A2" s="76" t="s">
        <v>124</v>
      </c>
      <c r="B2" s="76"/>
      <c r="C2" s="76"/>
      <c r="D2" s="76"/>
      <c r="E2" s="76"/>
    </row>
    <row r="3" spans="1:5">
      <c r="A3" s="76"/>
      <c r="B3" s="76"/>
      <c r="C3" s="76"/>
      <c r="D3" s="76"/>
      <c r="E3" s="76"/>
    </row>
    <row r="4" spans="1:5">
      <c r="A4" s="76"/>
      <c r="B4" s="76"/>
      <c r="C4" s="76"/>
      <c r="D4" s="76"/>
      <c r="E4" s="76"/>
    </row>
    <row r="5" spans="1:5">
      <c r="A5" s="76"/>
      <c r="B5" s="76"/>
      <c r="C5" s="76"/>
      <c r="D5" s="76"/>
      <c r="E5" s="76"/>
    </row>
    <row r="8" spans="1:12">
      <c r="A8" s="75" t="s">
        <v>108</v>
      </c>
      <c r="B8" s="75" t="s">
        <v>125</v>
      </c>
      <c r="F8" s="75" t="s">
        <v>126</v>
      </c>
      <c r="G8" s="75"/>
      <c r="H8" s="75"/>
      <c r="J8" s="75" t="s">
        <v>127</v>
      </c>
      <c r="K8" s="75"/>
      <c r="L8" s="75"/>
    </row>
    <row r="9" spans="2:12">
      <c r="B9" s="75" t="s">
        <v>128</v>
      </c>
      <c r="F9" s="75" t="s">
        <v>128</v>
      </c>
      <c r="G9" s="75"/>
      <c r="H9" s="75"/>
      <c r="J9" s="75" t="s">
        <v>128</v>
      </c>
      <c r="K9" s="75"/>
      <c r="L9" s="75"/>
    </row>
    <row r="10" spans="3:12">
      <c r="C10" s="75" t="s">
        <v>129</v>
      </c>
      <c r="D10" s="75" t="s">
        <v>130</v>
      </c>
      <c r="F10" s="75"/>
      <c r="G10" s="75" t="s">
        <v>129</v>
      </c>
      <c r="H10" s="75" t="s">
        <v>130</v>
      </c>
      <c r="J10" s="75"/>
      <c r="K10" s="75" t="s">
        <v>129</v>
      </c>
      <c r="L10" s="75" t="s">
        <v>130</v>
      </c>
    </row>
    <row r="11" spans="3:12">
      <c r="C11" s="75" t="s">
        <v>131</v>
      </c>
      <c r="D11" s="75" t="s">
        <v>132</v>
      </c>
      <c r="F11" s="75"/>
      <c r="G11" s="75" t="s">
        <v>131</v>
      </c>
      <c r="H11" s="75" t="s">
        <v>133</v>
      </c>
      <c r="J11" s="75"/>
      <c r="K11" s="75" t="s">
        <v>131</v>
      </c>
      <c r="L11" s="75" t="s">
        <v>134</v>
      </c>
    </row>
    <row r="12" spans="3:12">
      <c r="C12" s="75" t="s">
        <v>135</v>
      </c>
      <c r="D12" s="75" t="s">
        <v>136</v>
      </c>
      <c r="F12" s="75"/>
      <c r="G12" s="75" t="s">
        <v>135</v>
      </c>
      <c r="H12" s="75" t="s">
        <v>137</v>
      </c>
      <c r="J12" s="75"/>
      <c r="K12" s="75" t="s">
        <v>135</v>
      </c>
      <c r="L12" s="75" t="s">
        <v>138</v>
      </c>
    </row>
    <row r="13" spans="3:12">
      <c r="C13" s="75" t="s">
        <v>139</v>
      </c>
      <c r="D13" s="75" t="s">
        <v>140</v>
      </c>
      <c r="F13" s="75"/>
      <c r="G13" s="75" t="s">
        <v>139</v>
      </c>
      <c r="H13" s="75" t="s">
        <v>141</v>
      </c>
      <c r="J13" s="75"/>
      <c r="K13" s="75" t="s">
        <v>139</v>
      </c>
      <c r="L13" s="75" t="s">
        <v>142</v>
      </c>
    </row>
    <row r="14" spans="3:12">
      <c r="C14" s="75" t="s">
        <v>143</v>
      </c>
      <c r="D14" s="75" t="s">
        <v>144</v>
      </c>
      <c r="F14" s="75"/>
      <c r="G14" s="75" t="s">
        <v>143</v>
      </c>
      <c r="H14" s="75" t="s">
        <v>144</v>
      </c>
      <c r="J14" s="75"/>
      <c r="K14" s="75" t="s">
        <v>143</v>
      </c>
      <c r="L14" s="75" t="s">
        <v>144</v>
      </c>
    </row>
    <row r="15" spans="3:12">
      <c r="C15" s="75" t="s">
        <v>145</v>
      </c>
      <c r="D15" s="75" t="s">
        <v>146</v>
      </c>
      <c r="F15" s="75"/>
      <c r="G15" s="75" t="s">
        <v>145</v>
      </c>
      <c r="H15" s="75" t="s">
        <v>146</v>
      </c>
      <c r="J15" s="75"/>
      <c r="K15" s="75" t="s">
        <v>145</v>
      </c>
      <c r="L15" s="75" t="s">
        <v>146</v>
      </c>
    </row>
    <row r="16" spans="3:12">
      <c r="C16" s="75" t="s">
        <v>147</v>
      </c>
      <c r="D16" s="75" t="s">
        <v>148</v>
      </c>
      <c r="G16" s="75" t="s">
        <v>147</v>
      </c>
      <c r="H16" s="1" t="s">
        <v>149</v>
      </c>
      <c r="K16" s="75" t="s">
        <v>147</v>
      </c>
      <c r="L16" s="1" t="s">
        <v>150</v>
      </c>
    </row>
    <row r="17" spans="6:12">
      <c r="F17" s="75"/>
      <c r="G17" s="75"/>
      <c r="H17" s="75"/>
      <c r="J17" s="75"/>
      <c r="K17" s="75"/>
      <c r="L17" s="75"/>
    </row>
    <row r="18" spans="1:12">
      <c r="A18" s="75" t="s">
        <v>107</v>
      </c>
      <c r="B18" s="75" t="s">
        <v>125</v>
      </c>
      <c r="F18" s="75" t="s">
        <v>126</v>
      </c>
      <c r="G18" s="75"/>
      <c r="H18" s="75"/>
      <c r="J18" s="75" t="s">
        <v>127</v>
      </c>
      <c r="K18" s="75"/>
      <c r="L18" s="75"/>
    </row>
    <row r="19" spans="2:12">
      <c r="B19" s="75" t="s">
        <v>128</v>
      </c>
      <c r="F19" s="75" t="s">
        <v>128</v>
      </c>
      <c r="G19" s="75"/>
      <c r="H19" s="75"/>
      <c r="J19" s="75" t="s">
        <v>128</v>
      </c>
      <c r="K19" s="75"/>
      <c r="L19" s="75"/>
    </row>
    <row r="20" spans="3:12">
      <c r="C20" s="75" t="s">
        <v>129</v>
      </c>
      <c r="D20" s="75" t="s">
        <v>151</v>
      </c>
      <c r="F20" s="75"/>
      <c r="G20" s="75" t="s">
        <v>129</v>
      </c>
      <c r="H20" s="75" t="s">
        <v>151</v>
      </c>
      <c r="J20" s="75"/>
      <c r="K20" s="75" t="s">
        <v>129</v>
      </c>
      <c r="L20" s="75" t="s">
        <v>151</v>
      </c>
    </row>
    <row r="21" spans="3:12">
      <c r="C21" s="75" t="s">
        <v>131</v>
      </c>
      <c r="D21" s="75" t="s">
        <v>152</v>
      </c>
      <c r="F21" s="75"/>
      <c r="G21" s="75" t="s">
        <v>131</v>
      </c>
      <c r="H21" s="75" t="s">
        <v>153</v>
      </c>
      <c r="J21" s="75"/>
      <c r="K21" s="75" t="s">
        <v>131</v>
      </c>
      <c r="L21" s="75" t="s">
        <v>154</v>
      </c>
    </row>
    <row r="22" spans="3:12">
      <c r="C22" s="75" t="s">
        <v>135</v>
      </c>
      <c r="D22" s="75" t="s">
        <v>152</v>
      </c>
      <c r="F22" s="75"/>
      <c r="G22" s="75" t="s">
        <v>135</v>
      </c>
      <c r="H22" s="75" t="s">
        <v>155</v>
      </c>
      <c r="J22" s="75"/>
      <c r="K22" s="75" t="s">
        <v>135</v>
      </c>
      <c r="L22" s="75" t="s">
        <v>156</v>
      </c>
    </row>
    <row r="23" spans="3:12">
      <c r="C23" s="75" t="s">
        <v>139</v>
      </c>
      <c r="D23" s="75" t="s">
        <v>157</v>
      </c>
      <c r="F23" s="75"/>
      <c r="G23" s="75" t="s">
        <v>139</v>
      </c>
      <c r="H23" s="75" t="s">
        <v>158</v>
      </c>
      <c r="J23" s="75"/>
      <c r="K23" s="75" t="s">
        <v>139</v>
      </c>
      <c r="L23" s="75" t="s">
        <v>159</v>
      </c>
    </row>
    <row r="24" spans="3:12">
      <c r="C24" s="75" t="s">
        <v>143</v>
      </c>
      <c r="D24" s="75" t="s">
        <v>144</v>
      </c>
      <c r="F24" s="75"/>
      <c r="G24" s="75" t="s">
        <v>143</v>
      </c>
      <c r="H24" s="75" t="s">
        <v>144</v>
      </c>
      <c r="J24" s="75"/>
      <c r="K24" s="75" t="s">
        <v>143</v>
      </c>
      <c r="L24" s="75" t="s">
        <v>144</v>
      </c>
    </row>
    <row r="25" spans="3:12">
      <c r="C25" s="75" t="s">
        <v>145</v>
      </c>
      <c r="D25" s="75" t="s">
        <v>146</v>
      </c>
      <c r="F25" s="75"/>
      <c r="G25" s="75" t="s">
        <v>145</v>
      </c>
      <c r="H25" s="75" t="s">
        <v>146</v>
      </c>
      <c r="J25" s="75"/>
      <c r="K25" s="75" t="s">
        <v>145</v>
      </c>
      <c r="L25" s="75" t="s">
        <v>146</v>
      </c>
    </row>
    <row r="26" spans="3:12">
      <c r="C26" s="75" t="s">
        <v>147</v>
      </c>
      <c r="D26" s="75" t="s">
        <v>160</v>
      </c>
      <c r="G26" s="75" t="s">
        <v>147</v>
      </c>
      <c r="H26" s="1" t="s">
        <v>161</v>
      </c>
      <c r="K26" s="75" t="s">
        <v>147</v>
      </c>
      <c r="L26" s="1" t="s">
        <v>162</v>
      </c>
    </row>
    <row r="27" spans="6:12">
      <c r="F27" s="75"/>
      <c r="G27" s="75"/>
      <c r="H27" s="75"/>
      <c r="J27" s="75"/>
      <c r="K27" s="75"/>
      <c r="L27" s="75"/>
    </row>
    <row r="28" spans="1:12">
      <c r="A28" s="75" t="s">
        <v>163</v>
      </c>
      <c r="B28" s="75" t="s">
        <v>125</v>
      </c>
      <c r="F28" s="75" t="s">
        <v>126</v>
      </c>
      <c r="G28" s="75"/>
      <c r="H28" s="75"/>
      <c r="J28" s="75" t="s">
        <v>127</v>
      </c>
      <c r="K28" s="75"/>
      <c r="L28" s="75"/>
    </row>
    <row r="29" spans="2:12">
      <c r="B29" s="75" t="s">
        <v>128</v>
      </c>
      <c r="F29" s="75" t="s">
        <v>128</v>
      </c>
      <c r="G29" s="75"/>
      <c r="H29" s="75"/>
      <c r="J29" s="75" t="s">
        <v>128</v>
      </c>
      <c r="K29" s="75"/>
      <c r="L29" s="75"/>
    </row>
    <row r="30" spans="3:12">
      <c r="C30" s="75" t="s">
        <v>129</v>
      </c>
      <c r="D30" s="75" t="s">
        <v>164</v>
      </c>
      <c r="F30" s="75"/>
      <c r="G30" s="75" t="s">
        <v>129</v>
      </c>
      <c r="H30" s="75" t="s">
        <v>164</v>
      </c>
      <c r="J30" s="75"/>
      <c r="K30" s="75" t="s">
        <v>129</v>
      </c>
      <c r="L30" s="75" t="s">
        <v>164</v>
      </c>
    </row>
    <row r="31" spans="3:12">
      <c r="C31" s="75" t="s">
        <v>131</v>
      </c>
      <c r="D31" s="75" t="s">
        <v>165</v>
      </c>
      <c r="F31" s="75"/>
      <c r="G31" s="75" t="s">
        <v>131</v>
      </c>
      <c r="H31" s="75" t="s">
        <v>166</v>
      </c>
      <c r="J31" s="75"/>
      <c r="K31" s="75" t="s">
        <v>131</v>
      </c>
      <c r="L31" s="75" t="s">
        <v>167</v>
      </c>
    </row>
    <row r="32" spans="3:12">
      <c r="C32" s="75" t="s">
        <v>135</v>
      </c>
      <c r="D32" s="75" t="s">
        <v>168</v>
      </c>
      <c r="F32" s="75"/>
      <c r="G32" s="75" t="s">
        <v>135</v>
      </c>
      <c r="H32" s="75" t="s">
        <v>169</v>
      </c>
      <c r="J32" s="75"/>
      <c r="K32" s="75" t="s">
        <v>135</v>
      </c>
      <c r="L32" s="75" t="s">
        <v>170</v>
      </c>
    </row>
    <row r="33" spans="3:12">
      <c r="C33" s="75" t="s">
        <v>139</v>
      </c>
      <c r="D33" s="75" t="s">
        <v>171</v>
      </c>
      <c r="F33" s="75"/>
      <c r="G33" s="75" t="s">
        <v>139</v>
      </c>
      <c r="H33" s="75" t="s">
        <v>172</v>
      </c>
      <c r="J33" s="75"/>
      <c r="K33" s="75" t="s">
        <v>139</v>
      </c>
      <c r="L33" s="75" t="s">
        <v>173</v>
      </c>
    </row>
    <row r="34" spans="3:12">
      <c r="C34" s="75" t="s">
        <v>143</v>
      </c>
      <c r="D34" s="75" t="s">
        <v>174</v>
      </c>
      <c r="F34" s="75"/>
      <c r="G34" s="75" t="s">
        <v>143</v>
      </c>
      <c r="H34" s="75" t="s">
        <v>174</v>
      </c>
      <c r="J34" s="75"/>
      <c r="K34" s="75" t="s">
        <v>143</v>
      </c>
      <c r="L34" s="75" t="s">
        <v>174</v>
      </c>
    </row>
    <row r="35" spans="3:12">
      <c r="C35" s="75" t="s">
        <v>145</v>
      </c>
      <c r="D35" s="75" t="s">
        <v>146</v>
      </c>
      <c r="F35" s="75"/>
      <c r="G35" s="75" t="s">
        <v>145</v>
      </c>
      <c r="H35" s="75" t="s">
        <v>146</v>
      </c>
      <c r="J35" s="75"/>
      <c r="K35" s="75" t="s">
        <v>145</v>
      </c>
      <c r="L35" s="75" t="s">
        <v>146</v>
      </c>
    </row>
    <row r="36" spans="3:12">
      <c r="C36" s="75" t="s">
        <v>147</v>
      </c>
      <c r="D36" s="75" t="s">
        <v>175</v>
      </c>
      <c r="F36" s="75"/>
      <c r="G36" s="75" t="s">
        <v>147</v>
      </c>
      <c r="H36" s="75" t="s">
        <v>176</v>
      </c>
      <c r="K36" s="75" t="s">
        <v>147</v>
      </c>
      <c r="L36" s="1" t="s">
        <v>177</v>
      </c>
    </row>
    <row r="37" spans="6:8">
      <c r="F37" s="75"/>
      <c r="G37" s="75"/>
      <c r="H37" s="75"/>
    </row>
    <row r="41" spans="1:2">
      <c r="A41" s="76" t="s">
        <v>178</v>
      </c>
      <c r="B41" s="75" t="s">
        <v>125</v>
      </c>
    </row>
    <row r="42" spans="1:4">
      <c r="A42" s="76"/>
      <c r="B42" s="75" t="s">
        <v>128</v>
      </c>
      <c r="C42" s="75" t="s">
        <v>129</v>
      </c>
      <c r="D42" s="75" t="s">
        <v>179</v>
      </c>
    </row>
    <row r="44" spans="1:2">
      <c r="A44" s="76" t="s">
        <v>180</v>
      </c>
      <c r="B44" s="75" t="s">
        <v>125</v>
      </c>
    </row>
    <row r="45" spans="1:4">
      <c r="A45" s="76"/>
      <c r="B45" s="75" t="s">
        <v>128</v>
      </c>
      <c r="C45" s="75" t="s">
        <v>129</v>
      </c>
      <c r="D45" s="75" t="s">
        <v>179</v>
      </c>
    </row>
    <row r="46" spans="3:4">
      <c r="C46" s="75" t="s">
        <v>181</v>
      </c>
      <c r="D46" s="75" t="s">
        <v>182</v>
      </c>
    </row>
    <row r="47" spans="3:4">
      <c r="C47" s="75" t="s">
        <v>183</v>
      </c>
      <c r="D47" s="75" t="s">
        <v>184</v>
      </c>
    </row>
  </sheetData>
  <mergeCells count="3">
    <mergeCell ref="A41:A42"/>
    <mergeCell ref="A44:A45"/>
    <mergeCell ref="A2:E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D51"/>
  <sheetViews>
    <sheetView topLeftCell="A19" workbookViewId="0">
      <selection activeCell="D58" sqref="D58"/>
    </sheetView>
  </sheetViews>
  <sheetFormatPr defaultColWidth="8.88888888888889" defaultRowHeight="14.4" outlineLevelCol="3"/>
  <cols>
    <col min="4" max="4" width="125.777777777778" customWidth="1"/>
  </cols>
  <sheetData>
    <row r="1" spans="4:4">
      <c r="D1" t="s">
        <v>185</v>
      </c>
    </row>
    <row r="2" spans="4:4">
      <c r="D2" t="s">
        <v>186</v>
      </c>
    </row>
    <row r="4" spans="4:4">
      <c r="D4" t="s">
        <v>187</v>
      </c>
    </row>
    <row r="5" spans="4:4">
      <c r="D5" t="s">
        <v>188</v>
      </c>
    </row>
    <row r="7" spans="4:4">
      <c r="D7" t="s">
        <v>189</v>
      </c>
    </row>
    <row r="8" spans="4:4">
      <c r="D8" t="s">
        <v>190</v>
      </c>
    </row>
    <row r="10" spans="4:4">
      <c r="D10" t="s">
        <v>191</v>
      </c>
    </row>
    <row r="11" spans="4:4">
      <c r="D11" t="s">
        <v>192</v>
      </c>
    </row>
    <row r="12" spans="4:4">
      <c r="D12" t="s">
        <v>193</v>
      </c>
    </row>
    <row r="13" spans="4:4">
      <c r="D13" t="s">
        <v>194</v>
      </c>
    </row>
    <row r="16" spans="4:4">
      <c r="D16" t="s">
        <v>195</v>
      </c>
    </row>
    <row r="17" spans="4:4">
      <c r="D17" t="s">
        <v>196</v>
      </c>
    </row>
    <row r="18" spans="4:4">
      <c r="D18" t="s">
        <v>197</v>
      </c>
    </row>
    <row r="20" spans="4:4">
      <c r="D20" t="s">
        <v>198</v>
      </c>
    </row>
    <row r="21" spans="4:4">
      <c r="D21" t="s">
        <v>199</v>
      </c>
    </row>
    <row r="23" spans="4:4">
      <c r="D23" t="s">
        <v>200</v>
      </c>
    </row>
    <row r="24" spans="4:4">
      <c r="D24" t="s">
        <v>201</v>
      </c>
    </row>
    <row r="26" spans="4:4">
      <c r="D26" t="s">
        <v>202</v>
      </c>
    </row>
    <row r="27" spans="4:4">
      <c r="D27" t="s">
        <v>203</v>
      </c>
    </row>
    <row r="28" spans="4:4">
      <c r="D28" t="s">
        <v>204</v>
      </c>
    </row>
    <row r="30" spans="4:4">
      <c r="D30" t="s">
        <v>205</v>
      </c>
    </row>
    <row r="31" spans="4:4">
      <c r="D31" s="74" t="s">
        <v>206</v>
      </c>
    </row>
    <row r="32" spans="4:4">
      <c r="D32" s="74"/>
    </row>
    <row r="33" spans="4:4">
      <c r="D33" s="74"/>
    </row>
    <row r="34" spans="4:4">
      <c r="D34" s="74"/>
    </row>
    <row r="36" spans="4:4">
      <c r="D36" s="74" t="s">
        <v>207</v>
      </c>
    </row>
    <row r="37" spans="4:4">
      <c r="D37" s="74"/>
    </row>
    <row r="38" spans="4:4">
      <c r="D38" s="74"/>
    </row>
    <row r="39" spans="4:4">
      <c r="D39" s="74"/>
    </row>
    <row r="41" spans="4:4">
      <c r="D41" s="74" t="s">
        <v>208</v>
      </c>
    </row>
    <row r="42" spans="4:4">
      <c r="D42" s="74"/>
    </row>
    <row r="43" spans="4:4">
      <c r="D43" s="74"/>
    </row>
    <row r="44" spans="4:4">
      <c r="D44" s="74"/>
    </row>
    <row r="46" spans="4:4">
      <c r="D46" s="74" t="s">
        <v>209</v>
      </c>
    </row>
    <row r="47" spans="4:4">
      <c r="D47" s="74"/>
    </row>
    <row r="48" spans="4:4">
      <c r="D48" s="74"/>
    </row>
    <row r="49" spans="4:4">
      <c r="D49" s="74"/>
    </row>
    <row r="51" spans="4:4">
      <c r="D51" t="s">
        <v>210</v>
      </c>
    </row>
  </sheetData>
  <mergeCells count="4">
    <mergeCell ref="D31:D34"/>
    <mergeCell ref="D36:D39"/>
    <mergeCell ref="D41:D44"/>
    <mergeCell ref="D46:D4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AC112"/>
  <sheetViews>
    <sheetView zoomScale="70" zoomScaleNormal="70" workbookViewId="0">
      <selection activeCell="N48" sqref="N48:N52"/>
    </sheetView>
  </sheetViews>
  <sheetFormatPr defaultColWidth="8.88888888888889" defaultRowHeight="14.4"/>
  <cols>
    <col min="4" max="4" width="13" style="1" customWidth="1"/>
    <col min="5" max="5" width="17.5555555555556" style="1" customWidth="1"/>
    <col min="6" max="6" width="11.3333333333333" style="1" customWidth="1"/>
    <col min="7" max="7" width="11.1111111111111" style="1" customWidth="1"/>
    <col min="8" max="8" width="10.4444444444444" style="1" customWidth="1"/>
    <col min="9" max="9" width="10.7777777777778" style="1" customWidth="1"/>
    <col min="11" max="11" width="14.2222222222222" customWidth="1"/>
    <col min="12" max="12" width="30" style="1" customWidth="1"/>
    <col min="13" max="13" width="8.88888888888889" style="1"/>
    <col min="14" max="14" width="17.4444444444444" style="1" customWidth="1"/>
    <col min="15" max="15" width="21.1111111111111" style="1" customWidth="1"/>
    <col min="16" max="16" width="76" style="1" customWidth="1"/>
    <col min="17" max="19" width="39" style="1" customWidth="1"/>
    <col min="20" max="20" width="14" style="1" customWidth="1"/>
    <col min="21" max="22" width="12.8888888888889" style="1"/>
    <col min="23" max="23" width="12.8888888888889" style="20"/>
    <col min="24" max="24" width="12.6851851851852" style="1" customWidth="1"/>
    <col min="25" max="25" width="13.8055555555556" style="1" customWidth="1"/>
    <col min="26" max="26" width="12.2222222222222" style="20" customWidth="1"/>
    <col min="27" max="27" width="14.287037037037" style="1" customWidth="1"/>
    <col min="28" max="28" width="13.6481481481481" customWidth="1"/>
    <col min="29" max="29" width="15.0740740740741" customWidth="1"/>
  </cols>
  <sheetData>
    <row r="4" ht="15.15"/>
    <row r="5" ht="15.15" spans="4:11">
      <c r="D5" s="3" t="s">
        <v>3</v>
      </c>
      <c r="E5" s="4" t="s">
        <v>33</v>
      </c>
      <c r="F5" s="4"/>
      <c r="G5" s="4"/>
      <c r="H5" s="4"/>
      <c r="I5" s="5"/>
      <c r="K5" s="1" t="s">
        <v>211</v>
      </c>
    </row>
    <row r="6" spans="4:29">
      <c r="D6" s="6"/>
      <c r="F6" s="1">
        <v>1</v>
      </c>
      <c r="G6" s="1">
        <v>8</v>
      </c>
      <c r="H6" s="1">
        <v>16</v>
      </c>
      <c r="I6" s="8">
        <v>32</v>
      </c>
      <c r="K6" s="1"/>
      <c r="L6" s="1" t="s">
        <v>212</v>
      </c>
      <c r="M6" s="1" t="s">
        <v>213</v>
      </c>
      <c r="N6" s="1" t="s">
        <v>214</v>
      </c>
      <c r="O6" s="1" t="s">
        <v>215</v>
      </c>
      <c r="P6" s="1" t="s">
        <v>216</v>
      </c>
      <c r="Q6" s="1" t="s">
        <v>217</v>
      </c>
      <c r="R6" s="1" t="s">
        <v>218</v>
      </c>
      <c r="S6" s="1" t="s">
        <v>219</v>
      </c>
      <c r="T6" s="1" t="s">
        <v>220</v>
      </c>
      <c r="U6" s="1" t="s">
        <v>111</v>
      </c>
      <c r="V6" s="1" t="s">
        <v>221</v>
      </c>
      <c r="W6" s="20" t="s">
        <v>222</v>
      </c>
      <c r="X6" s="1" t="s">
        <v>223</v>
      </c>
      <c r="Y6" s="1" t="s">
        <v>224</v>
      </c>
      <c r="Z6" s="20" t="s">
        <v>225</v>
      </c>
      <c r="AA6" s="1" t="s">
        <v>226</v>
      </c>
      <c r="AB6" s="1" t="s">
        <v>227</v>
      </c>
      <c r="AC6" s="20" t="s">
        <v>228</v>
      </c>
    </row>
    <row r="7" spans="4:29">
      <c r="D7" s="6"/>
      <c r="E7" s="1">
        <v>10</v>
      </c>
      <c r="F7" s="1">
        <v>16.19</v>
      </c>
      <c r="G7" s="1">
        <v>65.7</v>
      </c>
      <c r="H7" s="1">
        <v>109.7</v>
      </c>
      <c r="I7" s="8">
        <v>201.51</v>
      </c>
      <c r="K7" s="1">
        <v>10</v>
      </c>
      <c r="L7" s="16">
        <v>23.894</v>
      </c>
      <c r="M7" s="1">
        <v>16.19</v>
      </c>
      <c r="N7" s="1">
        <f>M7/L7</f>
        <v>0.677575960492174</v>
      </c>
      <c r="O7" s="1">
        <v>0.748</v>
      </c>
      <c r="P7" s="16">
        <v>1.987</v>
      </c>
      <c r="Q7" s="1">
        <f>P7*N7/(K7/100)*1.1</f>
        <v>14.8097777684774</v>
      </c>
      <c r="R7" s="1">
        <f t="shared" ref="R7:R11" si="0">P7*O7/(K7/100)</f>
        <v>14.86276</v>
      </c>
      <c r="S7" s="1">
        <v>15.04</v>
      </c>
      <c r="T7" s="1">
        <v>1.45</v>
      </c>
      <c r="U7" s="1">
        <f>T7+Q7</f>
        <v>16.2597777684774</v>
      </c>
      <c r="V7" s="1">
        <f>ABS(U7-M7)</f>
        <v>0.0697777684774472</v>
      </c>
      <c r="W7" s="20">
        <f>V7/M7</f>
        <v>0.00430993010978673</v>
      </c>
      <c r="X7" s="1">
        <f t="shared" ref="X7:X11" si="1">R7+T7</f>
        <v>16.31276</v>
      </c>
      <c r="Y7" s="1">
        <f t="shared" ref="Y7:Y11" si="2">ABS(X7-M7)</f>
        <v>0.12276</v>
      </c>
      <c r="Z7" s="20">
        <f t="shared" ref="Z7:Z11" si="3">Y7/M7</f>
        <v>0.00758245830759725</v>
      </c>
      <c r="AA7" s="1">
        <f t="shared" ref="AA7:AA11" si="4">S7+T7</f>
        <v>16.49</v>
      </c>
      <c r="AB7" s="1">
        <f t="shared" ref="AB7:AB11" si="5">ABS(AA7-M7)</f>
        <v>0.299999999999997</v>
      </c>
      <c r="AC7" s="20">
        <f t="shared" ref="AC7:AC11" si="6">AB7/M7</f>
        <v>0.018529956763434</v>
      </c>
    </row>
    <row r="8" spans="4:29">
      <c r="D8" s="6"/>
      <c r="E8" s="1">
        <v>25</v>
      </c>
      <c r="F8" s="1">
        <v>7.22</v>
      </c>
      <c r="G8" s="1">
        <v>27.54</v>
      </c>
      <c r="H8" s="1">
        <v>45.43</v>
      </c>
      <c r="I8" s="8">
        <v>82.42</v>
      </c>
      <c r="K8" s="1">
        <v>25</v>
      </c>
      <c r="L8" s="16">
        <v>9.912</v>
      </c>
      <c r="M8" s="1">
        <v>7.22</v>
      </c>
      <c r="N8" s="1">
        <f>M8/L8</f>
        <v>0.728410008071025</v>
      </c>
      <c r="O8" s="1">
        <v>0.76</v>
      </c>
      <c r="P8" s="1">
        <v>2.117</v>
      </c>
      <c r="Q8" s="1">
        <f>P8*N8/(K8/100)*1.05</f>
        <v>6.47658474576271</v>
      </c>
      <c r="R8" s="1">
        <f t="shared" si="0"/>
        <v>6.43568</v>
      </c>
      <c r="S8" s="1">
        <v>6.44</v>
      </c>
      <c r="T8" s="1">
        <v>1.45</v>
      </c>
      <c r="U8" s="1">
        <f>T8+Q8</f>
        <v>7.92658474576271</v>
      </c>
      <c r="V8" s="1">
        <f>ABS(U8-M8)</f>
        <v>0.706584745762712</v>
      </c>
      <c r="W8" s="20">
        <f>V8/M8</f>
        <v>0.0978649232358327</v>
      </c>
      <c r="X8" s="1">
        <f t="shared" si="1"/>
        <v>7.88568</v>
      </c>
      <c r="Y8" s="1">
        <f t="shared" si="2"/>
        <v>0.66568</v>
      </c>
      <c r="Z8" s="20">
        <f t="shared" si="3"/>
        <v>0.0921994459833795</v>
      </c>
      <c r="AA8" s="1">
        <f t="shared" si="4"/>
        <v>7.89</v>
      </c>
      <c r="AB8" s="1">
        <f t="shared" si="5"/>
        <v>0.670000000000001</v>
      </c>
      <c r="AC8" s="20">
        <f t="shared" si="6"/>
        <v>0.0927977839335181</v>
      </c>
    </row>
    <row r="9" spans="4:29">
      <c r="D9" s="6"/>
      <c r="E9" s="1">
        <v>50</v>
      </c>
      <c r="F9" s="1">
        <v>5.77</v>
      </c>
      <c r="G9" s="1">
        <v>16.78</v>
      </c>
      <c r="H9" s="1">
        <v>27.28</v>
      </c>
      <c r="I9" s="8">
        <v>49.61</v>
      </c>
      <c r="K9" s="1">
        <v>50</v>
      </c>
      <c r="L9" s="1">
        <v>6.251</v>
      </c>
      <c r="M9" s="1">
        <v>5.77</v>
      </c>
      <c r="N9" s="1">
        <f>M9/L9</f>
        <v>0.923052311630139</v>
      </c>
      <c r="O9" s="1">
        <v>0.7725</v>
      </c>
      <c r="P9" s="1">
        <v>2.477</v>
      </c>
      <c r="Q9" s="1">
        <f>P9*N9/(K9/100)*1.03</f>
        <v>4.70998518637018</v>
      </c>
      <c r="R9" s="1">
        <f t="shared" si="0"/>
        <v>3.826965</v>
      </c>
      <c r="S9" s="1">
        <v>3.8</v>
      </c>
      <c r="T9" s="1">
        <v>1.45</v>
      </c>
      <c r="U9" s="1">
        <f>T9+Q9</f>
        <v>6.15998518637018</v>
      </c>
      <c r="V9" s="1">
        <f>ABS(U9-M9)</f>
        <v>0.389985186370181</v>
      </c>
      <c r="W9" s="20">
        <f>V9/M9</f>
        <v>0.0675884205147627</v>
      </c>
      <c r="X9" s="1">
        <f t="shared" si="1"/>
        <v>5.276965</v>
      </c>
      <c r="Y9" s="1">
        <f t="shared" si="2"/>
        <v>0.493035</v>
      </c>
      <c r="Z9" s="20">
        <f t="shared" si="3"/>
        <v>0.085448006932409</v>
      </c>
      <c r="AA9" s="1">
        <f t="shared" si="4"/>
        <v>5.25</v>
      </c>
      <c r="AB9" s="1">
        <f t="shared" si="5"/>
        <v>0.52</v>
      </c>
      <c r="AC9" s="20">
        <f t="shared" si="6"/>
        <v>0.0901213171577122</v>
      </c>
    </row>
    <row r="10" spans="4:29">
      <c r="D10" s="6"/>
      <c r="E10" s="1">
        <v>75</v>
      </c>
      <c r="F10" s="1">
        <v>5.38</v>
      </c>
      <c r="G10" s="1">
        <v>13.62</v>
      </c>
      <c r="H10" s="1">
        <v>22.59</v>
      </c>
      <c r="I10" s="8">
        <v>41.66</v>
      </c>
      <c r="K10" s="1">
        <v>75</v>
      </c>
      <c r="L10" s="1">
        <v>5.583</v>
      </c>
      <c r="M10" s="1">
        <v>5.49</v>
      </c>
      <c r="N10" s="1">
        <f t="shared" ref="N10:N17" si="7">M10/L10</f>
        <v>0.983342289091886</v>
      </c>
      <c r="O10" s="1">
        <v>0.8262</v>
      </c>
      <c r="P10" s="16">
        <v>2.852</v>
      </c>
      <c r="Q10" s="1">
        <f>P10*N10/(K10/100)*1.02</f>
        <v>3.81410940354648</v>
      </c>
      <c r="R10" s="1">
        <f t="shared" si="0"/>
        <v>3.1417632</v>
      </c>
      <c r="S10" s="1">
        <v>2.965</v>
      </c>
      <c r="T10" s="1">
        <v>1.45</v>
      </c>
      <c r="U10" s="1">
        <f t="shared" ref="U10:U17" si="8">T10+Q10</f>
        <v>5.26410940354648</v>
      </c>
      <c r="V10" s="1">
        <f t="shared" ref="V10:V17" si="9">ABS(U10-M10)</f>
        <v>0.22589059645352</v>
      </c>
      <c r="W10" s="20">
        <f t="shared" ref="W10:W17" si="10">V10/M10</f>
        <v>0.0411458281336102</v>
      </c>
      <c r="X10" s="1">
        <f t="shared" si="1"/>
        <v>4.5917632</v>
      </c>
      <c r="Y10" s="1">
        <f t="shared" si="2"/>
        <v>0.8982368</v>
      </c>
      <c r="Z10" s="20">
        <f t="shared" si="3"/>
        <v>0.163613260473588</v>
      </c>
      <c r="AA10" s="1">
        <f t="shared" si="4"/>
        <v>4.415</v>
      </c>
      <c r="AB10" s="1">
        <f t="shared" si="5"/>
        <v>1.075</v>
      </c>
      <c r="AC10" s="20">
        <f t="shared" si="6"/>
        <v>0.195810564663024</v>
      </c>
    </row>
    <row r="11" ht="15.15" spans="4:29">
      <c r="D11" s="10"/>
      <c r="E11" s="11">
        <v>100</v>
      </c>
      <c r="F11" s="11">
        <v>5.2</v>
      </c>
      <c r="G11" s="11">
        <v>10.71</v>
      </c>
      <c r="H11" s="11">
        <v>20.67</v>
      </c>
      <c r="I11" s="13">
        <v>38.01</v>
      </c>
      <c r="K11" s="1">
        <v>100</v>
      </c>
      <c r="L11" s="1">
        <v>5.027</v>
      </c>
      <c r="M11" s="1">
        <v>5.2</v>
      </c>
      <c r="N11" s="1">
        <f t="shared" si="7"/>
        <v>1.03441416351701</v>
      </c>
      <c r="O11" s="1">
        <v>0.9</v>
      </c>
      <c r="P11" s="1">
        <v>3.304</v>
      </c>
      <c r="Q11" s="1">
        <f>P11*N11/(K11/100)</f>
        <v>3.41770439626019</v>
      </c>
      <c r="R11" s="1">
        <f t="shared" si="0"/>
        <v>2.9736</v>
      </c>
      <c r="S11" s="1">
        <v>2.91</v>
      </c>
      <c r="T11" s="1">
        <v>1.45</v>
      </c>
      <c r="U11" s="1">
        <f t="shared" si="8"/>
        <v>4.86770439626019</v>
      </c>
      <c r="V11" s="1">
        <f t="shared" si="9"/>
        <v>0.332295603739806</v>
      </c>
      <c r="W11" s="20">
        <f t="shared" si="10"/>
        <v>0.0639030007191934</v>
      </c>
      <c r="X11" s="1">
        <f t="shared" si="1"/>
        <v>4.4236</v>
      </c>
      <c r="Y11" s="1">
        <f t="shared" si="2"/>
        <v>0.776400000000001</v>
      </c>
      <c r="Z11" s="20">
        <f t="shared" si="3"/>
        <v>0.149307692307692</v>
      </c>
      <c r="AA11" s="1">
        <f t="shared" si="4"/>
        <v>4.36</v>
      </c>
      <c r="AB11" s="1">
        <f t="shared" si="5"/>
        <v>0.84</v>
      </c>
      <c r="AC11" s="20">
        <f t="shared" si="6"/>
        <v>0.161538461538461</v>
      </c>
    </row>
    <row r="12" ht="15.15" spans="11:11">
      <c r="K12" s="1"/>
    </row>
    <row r="13" spans="5:11">
      <c r="E13" s="1" t="s">
        <v>229</v>
      </c>
      <c r="F13" s="1">
        <v>1</v>
      </c>
      <c r="G13" s="1">
        <v>8</v>
      </c>
      <c r="H13" s="1">
        <v>16</v>
      </c>
      <c r="K13" s="1" t="s">
        <v>230</v>
      </c>
    </row>
    <row r="14" spans="5:29">
      <c r="E14" s="1">
        <v>10</v>
      </c>
      <c r="F14" s="1">
        <v>15.57</v>
      </c>
      <c r="G14" s="1">
        <v>63.81</v>
      </c>
      <c r="H14" s="1">
        <v>102.31</v>
      </c>
      <c r="K14" s="1"/>
      <c r="L14" s="1" t="s">
        <v>212</v>
      </c>
      <c r="M14" s="1" t="s">
        <v>213</v>
      </c>
      <c r="N14" s="1" t="s">
        <v>214</v>
      </c>
      <c r="O14" s="1" t="s">
        <v>215</v>
      </c>
      <c r="P14" s="1" t="s">
        <v>216</v>
      </c>
      <c r="Q14" s="1" t="s">
        <v>217</v>
      </c>
      <c r="R14" s="1" t="s">
        <v>218</v>
      </c>
      <c r="S14" s="1" t="s">
        <v>219</v>
      </c>
      <c r="T14" s="1" t="s">
        <v>220</v>
      </c>
      <c r="U14" s="1" t="s">
        <v>111</v>
      </c>
      <c r="V14" s="1" t="s">
        <v>221</v>
      </c>
      <c r="W14" s="20" t="s">
        <v>222</v>
      </c>
      <c r="X14" s="1" t="s">
        <v>223</v>
      </c>
      <c r="Y14" s="1" t="s">
        <v>224</v>
      </c>
      <c r="Z14" s="20" t="s">
        <v>225</v>
      </c>
      <c r="AA14" s="1" t="s">
        <v>226</v>
      </c>
      <c r="AB14" s="1" t="s">
        <v>227</v>
      </c>
      <c r="AC14" s="20" t="s">
        <v>228</v>
      </c>
    </row>
    <row r="15" spans="5:29">
      <c r="E15" s="1">
        <v>25</v>
      </c>
      <c r="F15" s="1">
        <v>7.46</v>
      </c>
      <c r="G15" s="1">
        <v>29.13</v>
      </c>
      <c r="H15" s="1">
        <v>47.12</v>
      </c>
      <c r="K15" s="1">
        <v>10</v>
      </c>
      <c r="L15" s="16">
        <v>96.45</v>
      </c>
      <c r="M15" s="1">
        <v>67.7</v>
      </c>
      <c r="N15" s="1">
        <f t="shared" si="7"/>
        <v>0.701918092275791</v>
      </c>
      <c r="O15" s="1">
        <v>0.748</v>
      </c>
      <c r="P15" s="16">
        <v>8.3</v>
      </c>
      <c r="Q15" s="1">
        <f>P15*N15/(K15/100)*1.1</f>
        <v>64.0851218247797</v>
      </c>
      <c r="R15" s="1">
        <f t="shared" ref="R11:R19" si="11">P15*O15/(K15/100)</f>
        <v>62.084</v>
      </c>
      <c r="S15" s="1">
        <v>62.58</v>
      </c>
      <c r="T15" s="1">
        <v>1.45</v>
      </c>
      <c r="U15" s="1">
        <f t="shared" si="8"/>
        <v>65.5351218247797</v>
      </c>
      <c r="V15" s="1">
        <f t="shared" si="9"/>
        <v>2.16487817522031</v>
      </c>
      <c r="W15" s="20">
        <f t="shared" si="10"/>
        <v>0.0319775210519987</v>
      </c>
      <c r="X15" s="1">
        <f>R15+T15</f>
        <v>63.534</v>
      </c>
      <c r="Y15" s="1">
        <f>ABS(X15-M15)</f>
        <v>4.166</v>
      </c>
      <c r="Z15" s="20">
        <f>Y15/M15</f>
        <v>0.061536189069424</v>
      </c>
      <c r="AA15" s="1">
        <f>S15+T15</f>
        <v>64.03</v>
      </c>
      <c r="AB15" s="1">
        <f>ABS(AA15-M15)</f>
        <v>3.67</v>
      </c>
      <c r="AC15" s="20">
        <f>AB15/M15</f>
        <v>0.0542097488921714</v>
      </c>
    </row>
    <row r="16" spans="5:29">
      <c r="E16" s="1">
        <v>50</v>
      </c>
      <c r="F16" s="1">
        <v>5.12</v>
      </c>
      <c r="G16" s="1">
        <v>17.21</v>
      </c>
      <c r="H16" s="1">
        <v>28.33</v>
      </c>
      <c r="K16" s="1">
        <v>25</v>
      </c>
      <c r="L16" s="16">
        <v>38.41</v>
      </c>
      <c r="M16" s="1">
        <v>27.54</v>
      </c>
      <c r="N16" s="1">
        <f t="shared" si="7"/>
        <v>0.717000781046602</v>
      </c>
      <c r="O16" s="1">
        <v>0.76</v>
      </c>
      <c r="P16" s="16">
        <v>8.541</v>
      </c>
      <c r="Q16" s="1">
        <f>P16*N16/(K16/100)*1.05</f>
        <v>25.7203954178599</v>
      </c>
      <c r="R16" s="1">
        <f t="shared" si="11"/>
        <v>25.96464</v>
      </c>
      <c r="S16" s="1">
        <v>26.13</v>
      </c>
      <c r="T16" s="1">
        <v>1.45</v>
      </c>
      <c r="U16" s="1">
        <f t="shared" si="8"/>
        <v>27.1703954178599</v>
      </c>
      <c r="V16" s="1">
        <f t="shared" si="9"/>
        <v>0.369604582140067</v>
      </c>
      <c r="W16" s="20">
        <f t="shared" si="10"/>
        <v>0.0134206456840983</v>
      </c>
      <c r="X16" s="1">
        <f>R16+T16</f>
        <v>27.41464</v>
      </c>
      <c r="Y16" s="1">
        <f>ABS(X16-M16)</f>
        <v>0.125359999999997</v>
      </c>
      <c r="Z16" s="20">
        <f>Y16/M16</f>
        <v>0.00455192447349299</v>
      </c>
      <c r="AA16" s="1">
        <f>S16+T16</f>
        <v>27.58</v>
      </c>
      <c r="AB16" s="1">
        <f t="shared" ref="AB15:AB19" si="12">ABS(AA16-M16)</f>
        <v>0.0399999999999991</v>
      </c>
      <c r="AC16" s="20">
        <f t="shared" ref="AC15:AC19" si="13">AB16/M16</f>
        <v>0.00145243282498181</v>
      </c>
    </row>
    <row r="17" spans="5:29">
      <c r="E17" s="1">
        <v>75</v>
      </c>
      <c r="F17" s="1">
        <v>4.56</v>
      </c>
      <c r="G17" s="1">
        <v>13.92</v>
      </c>
      <c r="H17" s="1">
        <v>22.28</v>
      </c>
      <c r="K17" s="1">
        <v>50</v>
      </c>
      <c r="L17" s="1">
        <v>20.86</v>
      </c>
      <c r="M17" s="1">
        <v>15.78</v>
      </c>
      <c r="N17" s="1">
        <f t="shared" si="7"/>
        <v>0.75647171620326</v>
      </c>
      <c r="O17" s="1">
        <v>0.7725</v>
      </c>
      <c r="P17" s="16">
        <v>9.28</v>
      </c>
      <c r="Q17" s="1">
        <f>P17*N17/(K17/100)*1.03</f>
        <v>14.4613185043145</v>
      </c>
      <c r="R17" s="1">
        <f t="shared" si="11"/>
        <v>14.3376</v>
      </c>
      <c r="S17" s="1">
        <v>14.28</v>
      </c>
      <c r="T17" s="1">
        <v>1.45</v>
      </c>
      <c r="U17" s="1">
        <f t="shared" si="8"/>
        <v>15.9113185043145</v>
      </c>
      <c r="V17" s="1">
        <f t="shared" si="9"/>
        <v>0.131318504314477</v>
      </c>
      <c r="W17" s="20">
        <f t="shared" si="10"/>
        <v>0.00832183170560689</v>
      </c>
      <c r="X17" s="1">
        <f>R17+T17</f>
        <v>15.7876</v>
      </c>
      <c r="Y17" s="1">
        <f>ABS(X17-M17)</f>
        <v>0.00759999999999827</v>
      </c>
      <c r="Z17" s="20">
        <f>Y17/M17</f>
        <v>0.000481622306717254</v>
      </c>
      <c r="AA17" s="1">
        <f>S17+T17</f>
        <v>15.73</v>
      </c>
      <c r="AB17" s="1">
        <f t="shared" si="12"/>
        <v>0.0500000000000007</v>
      </c>
      <c r="AC17" s="20">
        <f t="shared" si="13"/>
        <v>0.00316856780735112</v>
      </c>
    </row>
    <row r="18" spans="5:29">
      <c r="E18" s="1">
        <v>100</v>
      </c>
      <c r="F18" s="1">
        <v>4.14</v>
      </c>
      <c r="G18" s="1">
        <v>10.9</v>
      </c>
      <c r="H18" s="1">
        <v>19.17</v>
      </c>
      <c r="K18" s="1">
        <v>75</v>
      </c>
      <c r="L18" s="1">
        <v>17.037</v>
      </c>
      <c r="M18" s="1">
        <v>13.22</v>
      </c>
      <c r="N18" s="1">
        <f t="shared" ref="N18:N27" si="14">M18/L18</f>
        <v>0.775958208604801</v>
      </c>
      <c r="O18" s="1">
        <v>0.8262</v>
      </c>
      <c r="P18" s="16">
        <v>10.24</v>
      </c>
      <c r="Q18" s="1">
        <f>P18*N18/(K18/100)*1.02</f>
        <v>10.8063043963139</v>
      </c>
      <c r="R18" s="1">
        <f t="shared" si="11"/>
        <v>11.280384</v>
      </c>
      <c r="S18" s="1">
        <v>10.9</v>
      </c>
      <c r="T18" s="1">
        <v>1.45</v>
      </c>
      <c r="U18" s="1">
        <f t="shared" ref="U18:U27" si="15">T18+Q18</f>
        <v>12.2563043963139</v>
      </c>
      <c r="V18" s="1">
        <f t="shared" ref="V18:V27" si="16">ABS(U18-M18)</f>
        <v>0.963695603686096</v>
      </c>
      <c r="W18" s="20">
        <f t="shared" ref="W18:W27" si="17">V18/M18</f>
        <v>0.0728967930171026</v>
      </c>
      <c r="X18" s="1">
        <f t="shared" ref="X18:X27" si="18">R18+T18</f>
        <v>12.730384</v>
      </c>
      <c r="Y18" s="1">
        <f t="shared" ref="Y18:Y27" si="19">ABS(X18-M18)</f>
        <v>0.489616000000002</v>
      </c>
      <c r="Z18" s="20">
        <f t="shared" ref="Z18:Z27" si="20">Y18/M18</f>
        <v>0.0370360060514373</v>
      </c>
      <c r="AA18" s="1">
        <f>S18+T18</f>
        <v>12.35</v>
      </c>
      <c r="AB18" s="1">
        <f t="shared" si="12"/>
        <v>0.870000000000001</v>
      </c>
      <c r="AC18" s="20">
        <f t="shared" si="13"/>
        <v>0.0658093797276854</v>
      </c>
    </row>
    <row r="19" spans="11:29">
      <c r="K19" s="1">
        <v>100</v>
      </c>
      <c r="L19" s="1">
        <v>13.269</v>
      </c>
      <c r="M19" s="1">
        <v>10.71</v>
      </c>
      <c r="N19" s="1">
        <f t="shared" si="14"/>
        <v>0.807144472077775</v>
      </c>
      <c r="O19" s="1">
        <v>0.9</v>
      </c>
      <c r="P19" s="16">
        <v>11.28</v>
      </c>
      <c r="Q19" s="1">
        <f>P19*N19/(K19/100)</f>
        <v>9.1045896450373</v>
      </c>
      <c r="R19" s="1">
        <f t="shared" si="11"/>
        <v>10.152</v>
      </c>
      <c r="S19" s="1">
        <v>10.52</v>
      </c>
      <c r="T19" s="1">
        <v>1.45</v>
      </c>
      <c r="U19" s="1">
        <f t="shared" si="15"/>
        <v>10.5545896450373</v>
      </c>
      <c r="V19" s="1">
        <f t="shared" si="16"/>
        <v>0.155410354962697</v>
      </c>
      <c r="W19" s="20">
        <f t="shared" si="17"/>
        <v>0.0145107707714937</v>
      </c>
      <c r="X19" s="1">
        <f t="shared" si="18"/>
        <v>11.602</v>
      </c>
      <c r="Y19" s="1">
        <f t="shared" si="19"/>
        <v>0.891999999999998</v>
      </c>
      <c r="Z19" s="20">
        <f t="shared" si="20"/>
        <v>0.0832866479925301</v>
      </c>
      <c r="AA19" s="1">
        <f>S19+T19</f>
        <v>11.97</v>
      </c>
      <c r="AB19" s="1">
        <f t="shared" si="12"/>
        <v>1.26</v>
      </c>
      <c r="AC19" s="20">
        <f t="shared" si="13"/>
        <v>0.117647058823529</v>
      </c>
    </row>
    <row r="20" spans="6:11">
      <c r="F20" s="1">
        <f>ABS(F14-F7)/F7</f>
        <v>0.0382952439777641</v>
      </c>
      <c r="G20" s="1">
        <f>ABS(G14-G7)/G7</f>
        <v>0.0287671232876712</v>
      </c>
      <c r="H20" s="1">
        <f>ABS(H14-H7)/H7</f>
        <v>0.0673655423883318</v>
      </c>
      <c r="K20" s="1"/>
    </row>
    <row r="21" spans="6:11">
      <c r="F21" s="1">
        <f>ABS(F15-F8)/F8</f>
        <v>0.0332409972299169</v>
      </c>
      <c r="G21" s="1">
        <f>ABS(G15-G8)/G8</f>
        <v>0.0577342047930283</v>
      </c>
      <c r="H21" s="1">
        <f>ABS(H15-H8)/H8</f>
        <v>0.0372000880475456</v>
      </c>
      <c r="K21" s="1" t="s">
        <v>231</v>
      </c>
    </row>
    <row r="22" spans="6:29">
      <c r="F22" s="1">
        <f>ABS(F16-F9)/F9</f>
        <v>0.11265164644714</v>
      </c>
      <c r="G22" s="1">
        <f>ABS(G16-G9)/G9</f>
        <v>0.0256257449344457</v>
      </c>
      <c r="H22" s="1">
        <f>ABS(H16-H9)/H9</f>
        <v>0.0384897360703811</v>
      </c>
      <c r="K22" s="1"/>
      <c r="L22" s="1" t="s">
        <v>212</v>
      </c>
      <c r="M22" s="1" t="s">
        <v>213</v>
      </c>
      <c r="N22" s="1" t="s">
        <v>214</v>
      </c>
      <c r="O22" s="1" t="s">
        <v>215</v>
      </c>
      <c r="P22" s="1" t="s">
        <v>216</v>
      </c>
      <c r="Q22" s="1" t="s">
        <v>217</v>
      </c>
      <c r="R22" s="1" t="s">
        <v>218</v>
      </c>
      <c r="S22" s="1" t="s">
        <v>219</v>
      </c>
      <c r="T22" s="1" t="s">
        <v>220</v>
      </c>
      <c r="U22" s="1" t="s">
        <v>111</v>
      </c>
      <c r="V22" s="1" t="s">
        <v>221</v>
      </c>
      <c r="W22" s="20" t="s">
        <v>222</v>
      </c>
      <c r="X22" s="1" t="s">
        <v>223</v>
      </c>
      <c r="Y22" s="1" t="s">
        <v>224</v>
      </c>
      <c r="Z22" s="20" t="s">
        <v>225</v>
      </c>
      <c r="AA22" s="1" t="s">
        <v>226</v>
      </c>
      <c r="AB22" s="1" t="s">
        <v>227</v>
      </c>
      <c r="AC22" s="20" t="s">
        <v>228</v>
      </c>
    </row>
    <row r="23" spans="6:29">
      <c r="F23" s="1">
        <f>ABS(F17-F10)/F10</f>
        <v>0.152416356877323</v>
      </c>
      <c r="G23" s="1">
        <f>ABS(G17-G10)/G10</f>
        <v>0.0220264317180617</v>
      </c>
      <c r="H23" s="1">
        <f>ABS(H17-H10)/H10</f>
        <v>0.0137228862328463</v>
      </c>
      <c r="K23" s="1">
        <v>10</v>
      </c>
      <c r="L23" s="16">
        <v>156.47</v>
      </c>
      <c r="M23" s="1">
        <v>109.7</v>
      </c>
      <c r="N23" s="1">
        <f t="shared" si="14"/>
        <v>0.701092861251358</v>
      </c>
      <c r="O23" s="1">
        <v>0.748</v>
      </c>
      <c r="P23" s="16">
        <v>13.568</v>
      </c>
      <c r="Q23" s="1">
        <f>P23*N23/(K23/100)*1.1</f>
        <v>104.636707356043</v>
      </c>
      <c r="R23" s="1">
        <f t="shared" ref="R19:R27" si="21">P23*O23/(K23/100)</f>
        <v>101.48864</v>
      </c>
      <c r="S23" s="1">
        <v>102.5</v>
      </c>
      <c r="T23" s="1">
        <v>1.45</v>
      </c>
      <c r="U23" s="1">
        <f t="shared" si="15"/>
        <v>106.086707356043</v>
      </c>
      <c r="V23" s="1">
        <f t="shared" si="16"/>
        <v>3.61329264395729</v>
      </c>
      <c r="W23" s="20">
        <f t="shared" si="17"/>
        <v>0.0329379457060829</v>
      </c>
      <c r="X23" s="1">
        <f t="shared" si="18"/>
        <v>102.93864</v>
      </c>
      <c r="Y23" s="1">
        <f t="shared" si="19"/>
        <v>6.76136</v>
      </c>
      <c r="Z23" s="20">
        <f t="shared" si="20"/>
        <v>0.0616350045578851</v>
      </c>
      <c r="AA23" s="1">
        <f>S23+T23</f>
        <v>103.95</v>
      </c>
      <c r="AB23" s="1">
        <f>ABS(AA23-M23)</f>
        <v>5.75</v>
      </c>
      <c r="AC23" s="20">
        <f>AB23/M23</f>
        <v>0.0524156791248861</v>
      </c>
    </row>
    <row r="24" spans="6:29">
      <c r="F24" s="1">
        <f>ABS(F18-F11)/F11</f>
        <v>0.203846153846154</v>
      </c>
      <c r="G24" s="1">
        <f>ABS(G18-G11)/G11</f>
        <v>0.0177404295051353</v>
      </c>
      <c r="H24" s="1">
        <f>ABS(H18-H11)/H11</f>
        <v>0.0725689404934688</v>
      </c>
      <c r="K24" s="1">
        <v>25</v>
      </c>
      <c r="L24" s="16">
        <v>62.36</v>
      </c>
      <c r="M24" s="1">
        <v>45.43</v>
      </c>
      <c r="N24" s="1">
        <f t="shared" si="14"/>
        <v>0.728511866581142</v>
      </c>
      <c r="O24" s="1">
        <v>0.76</v>
      </c>
      <c r="P24" s="16">
        <v>14.02</v>
      </c>
      <c r="Q24" s="1">
        <f>P24*N24/(K24/100)*1.05</f>
        <v>42.897692751764</v>
      </c>
      <c r="R24" s="1">
        <f t="shared" si="21"/>
        <v>42.6208</v>
      </c>
      <c r="S24" s="1">
        <v>43.123</v>
      </c>
      <c r="T24" s="1">
        <v>1.45</v>
      </c>
      <c r="U24" s="1">
        <f t="shared" si="15"/>
        <v>44.347692751764</v>
      </c>
      <c r="V24" s="1">
        <f t="shared" si="16"/>
        <v>1.08230724823604</v>
      </c>
      <c r="W24" s="20">
        <f t="shared" si="17"/>
        <v>0.0238236242182708</v>
      </c>
      <c r="X24" s="1">
        <f t="shared" si="18"/>
        <v>44.0708</v>
      </c>
      <c r="Y24" s="1">
        <f t="shared" si="19"/>
        <v>1.35919999999999</v>
      </c>
      <c r="Z24" s="20">
        <f t="shared" si="20"/>
        <v>0.0299185560202508</v>
      </c>
      <c r="AA24" s="1">
        <f>S24+T24</f>
        <v>44.573</v>
      </c>
      <c r="AB24" s="1">
        <f>ABS(AA24-M24)</f>
        <v>0.856999999999999</v>
      </c>
      <c r="AC24" s="20">
        <f>AB24/M24</f>
        <v>0.0188641866607968</v>
      </c>
    </row>
    <row r="25" spans="11:29">
      <c r="K25" s="1">
        <v>50</v>
      </c>
      <c r="L25" s="1">
        <v>34.58</v>
      </c>
      <c r="M25" s="1">
        <v>27.28</v>
      </c>
      <c r="N25" s="1">
        <f t="shared" si="14"/>
        <v>0.788895315211105</v>
      </c>
      <c r="O25" s="1">
        <v>0.7725</v>
      </c>
      <c r="P25" s="16">
        <v>15.97</v>
      </c>
      <c r="Q25" s="1">
        <f>P25*N25/(K25/100)*1.03</f>
        <v>25.953235858878</v>
      </c>
      <c r="R25" s="1">
        <f t="shared" si="21"/>
        <v>24.67365</v>
      </c>
      <c r="S25" s="1">
        <v>24.03</v>
      </c>
      <c r="T25" s="1">
        <v>1.45</v>
      </c>
      <c r="U25" s="1">
        <f t="shared" si="15"/>
        <v>27.403235858878</v>
      </c>
      <c r="V25" s="1">
        <f t="shared" si="16"/>
        <v>0.123235858877969</v>
      </c>
      <c r="W25" s="20">
        <f t="shared" si="17"/>
        <v>0.00451744350725693</v>
      </c>
      <c r="X25" s="1">
        <f t="shared" si="18"/>
        <v>26.12365</v>
      </c>
      <c r="Y25" s="1">
        <f t="shared" si="19"/>
        <v>1.15635</v>
      </c>
      <c r="Z25" s="20">
        <f t="shared" si="20"/>
        <v>0.0423881964809385</v>
      </c>
      <c r="AA25" s="1">
        <f>S25+T25</f>
        <v>25.48</v>
      </c>
      <c r="AB25" s="1">
        <f>ABS(AA25-M25)</f>
        <v>1.8</v>
      </c>
      <c r="AC25" s="20">
        <f>AB25/M25</f>
        <v>0.0659824046920821</v>
      </c>
    </row>
    <row r="26" spans="11:29">
      <c r="K26" s="1">
        <v>75</v>
      </c>
      <c r="L26" s="1">
        <v>27.04</v>
      </c>
      <c r="M26" s="1">
        <v>22.59</v>
      </c>
      <c r="N26" s="1">
        <f t="shared" si="14"/>
        <v>0.83542899408284</v>
      </c>
      <c r="O26" s="1">
        <v>0.8262</v>
      </c>
      <c r="P26" s="16">
        <v>18.19</v>
      </c>
      <c r="Q26" s="1">
        <f>P26*N26/(K26/100)*1.02</f>
        <v>20.6671766272189</v>
      </c>
      <c r="R26" s="1">
        <f t="shared" si="21"/>
        <v>20.038104</v>
      </c>
      <c r="S26" s="1">
        <v>18.881</v>
      </c>
      <c r="T26" s="1">
        <v>1.45</v>
      </c>
      <c r="U26" s="1">
        <f t="shared" si="15"/>
        <v>22.1171766272189</v>
      </c>
      <c r="V26" s="1">
        <f t="shared" si="16"/>
        <v>0.472823372781065</v>
      </c>
      <c r="W26" s="20">
        <f t="shared" si="17"/>
        <v>0.0209306495255009</v>
      </c>
      <c r="X26" s="1">
        <f t="shared" si="18"/>
        <v>21.488104</v>
      </c>
      <c r="Y26" s="1">
        <f t="shared" si="19"/>
        <v>1.101896</v>
      </c>
      <c r="Z26" s="20">
        <f t="shared" si="20"/>
        <v>0.0487780433820274</v>
      </c>
      <c r="AA26" s="1">
        <f>S26+T26</f>
        <v>20.331</v>
      </c>
      <c r="AB26" s="1">
        <f>ABS(AA26-M26)</f>
        <v>2.259</v>
      </c>
      <c r="AC26" s="20">
        <f>AB26/M26</f>
        <v>0.1</v>
      </c>
    </row>
    <row r="27" spans="11:29">
      <c r="K27" s="1">
        <v>100</v>
      </c>
      <c r="L27" s="1">
        <v>23.36</v>
      </c>
      <c r="M27" s="1">
        <v>20.67</v>
      </c>
      <c r="N27" s="1">
        <f t="shared" si="14"/>
        <v>0.884845890410959</v>
      </c>
      <c r="O27" s="1">
        <v>0.9</v>
      </c>
      <c r="P27" s="16">
        <v>20.823</v>
      </c>
      <c r="Q27" s="1">
        <f>P27*N27/(K27/100)</f>
        <v>18.4251459760274</v>
      </c>
      <c r="R27" s="1">
        <f t="shared" si="21"/>
        <v>18.7407</v>
      </c>
      <c r="S27" s="1">
        <v>20.74</v>
      </c>
      <c r="T27" s="1">
        <v>1.45</v>
      </c>
      <c r="U27" s="1">
        <f t="shared" si="15"/>
        <v>19.8751459760274</v>
      </c>
      <c r="V27" s="1">
        <f t="shared" si="16"/>
        <v>0.794854023972604</v>
      </c>
      <c r="W27" s="20">
        <f t="shared" si="17"/>
        <v>0.0384544762444414</v>
      </c>
      <c r="X27" s="1">
        <f t="shared" si="18"/>
        <v>20.1907</v>
      </c>
      <c r="Y27" s="1">
        <f t="shared" si="19"/>
        <v>0.479300000000002</v>
      </c>
      <c r="Z27" s="20">
        <f t="shared" si="20"/>
        <v>0.0231881954523465</v>
      </c>
      <c r="AA27" s="1">
        <f>S27+T27</f>
        <v>22.19</v>
      </c>
      <c r="AB27" s="1">
        <f>ABS(AA27-M27)</f>
        <v>1.52</v>
      </c>
      <c r="AC27" s="20">
        <f>AB27/M27</f>
        <v>0.0735365263667148</v>
      </c>
    </row>
    <row r="28" spans="11:11">
      <c r="K28" s="1"/>
    </row>
    <row r="29" ht="15.15" spans="11:11">
      <c r="K29" s="1"/>
    </row>
    <row r="30" ht="15.15" spans="4:11">
      <c r="D30" s="3" t="s">
        <v>32</v>
      </c>
      <c r="E30" s="4" t="s">
        <v>33</v>
      </c>
      <c r="F30" s="4"/>
      <c r="G30" s="4"/>
      <c r="H30" s="4"/>
      <c r="I30" s="5"/>
      <c r="K30" s="1" t="s">
        <v>211</v>
      </c>
    </row>
    <row r="31" spans="4:29">
      <c r="D31" s="6"/>
      <c r="F31" s="1">
        <v>1</v>
      </c>
      <c r="G31" s="1">
        <v>8</v>
      </c>
      <c r="H31" s="1">
        <v>16</v>
      </c>
      <c r="I31" s="8">
        <v>32</v>
      </c>
      <c r="K31" s="1"/>
      <c r="L31" s="1" t="s">
        <v>212</v>
      </c>
      <c r="M31" s="1" t="s">
        <v>213</v>
      </c>
      <c r="N31" s="1" t="s">
        <v>214</v>
      </c>
      <c r="O31" s="1" t="s">
        <v>215</v>
      </c>
      <c r="P31" s="1" t="s">
        <v>216</v>
      </c>
      <c r="Q31" s="1" t="s">
        <v>217</v>
      </c>
      <c r="R31" s="1" t="s">
        <v>218</v>
      </c>
      <c r="S31" s="1" t="s">
        <v>219</v>
      </c>
      <c r="T31" s="1" t="s">
        <v>220</v>
      </c>
      <c r="U31" s="1" t="s">
        <v>111</v>
      </c>
      <c r="V31" s="1" t="s">
        <v>221</v>
      </c>
      <c r="W31" s="20" t="s">
        <v>222</v>
      </c>
      <c r="X31" s="1" t="s">
        <v>223</v>
      </c>
      <c r="Y31" s="1" t="s">
        <v>224</v>
      </c>
      <c r="Z31" s="20" t="s">
        <v>225</v>
      </c>
      <c r="AA31" s="1" t="s">
        <v>226</v>
      </c>
      <c r="AB31" s="1" t="s">
        <v>227</v>
      </c>
      <c r="AC31" s="20" t="s">
        <v>228</v>
      </c>
    </row>
    <row r="32" spans="4:29">
      <c r="D32" s="6"/>
      <c r="E32" s="1">
        <v>10</v>
      </c>
      <c r="F32" s="1">
        <v>27.1</v>
      </c>
      <c r="G32" s="1">
        <v>172.15</v>
      </c>
      <c r="H32" s="1">
        <v>208.56</v>
      </c>
      <c r="I32" s="8">
        <v>399.5</v>
      </c>
      <c r="K32" s="1">
        <v>10</v>
      </c>
      <c r="L32" s="1">
        <v>39.28</v>
      </c>
      <c r="M32" s="1">
        <v>27.1</v>
      </c>
      <c r="N32" s="1">
        <f>M32/L32</f>
        <v>0.689918533604888</v>
      </c>
      <c r="O32" s="1">
        <v>0.748</v>
      </c>
      <c r="P32" s="16">
        <v>3.36</v>
      </c>
      <c r="Q32" s="1">
        <f>P32*N32/(K32/100)*1.1</f>
        <v>25.4993890020367</v>
      </c>
      <c r="R32" s="1">
        <f>P32*O32/(K32/100)</f>
        <v>25.1328</v>
      </c>
      <c r="S32" s="1">
        <v>25.27</v>
      </c>
      <c r="T32" s="1">
        <v>0.5</v>
      </c>
      <c r="U32" s="1">
        <f>T32+Q32</f>
        <v>25.9993890020367</v>
      </c>
      <c r="V32" s="1">
        <f>ABS(U32-M32)</f>
        <v>1.10061099796334</v>
      </c>
      <c r="W32" s="20">
        <f>V32/M32</f>
        <v>0.0406129519543668</v>
      </c>
      <c r="X32" s="1">
        <f t="shared" ref="X32:X36" si="22">R32+T32</f>
        <v>25.6328</v>
      </c>
      <c r="Y32" s="1">
        <f t="shared" ref="Y32:Y36" si="23">ABS(X32-M32)</f>
        <v>1.4672</v>
      </c>
      <c r="Z32" s="20">
        <f t="shared" ref="Z32:Z36" si="24">Y32/M32</f>
        <v>0.0541402214022141</v>
      </c>
      <c r="AA32" s="1">
        <f t="shared" ref="AA32:AA36" si="25">S32+T32</f>
        <v>25.77</v>
      </c>
      <c r="AB32" s="1">
        <f t="shared" ref="AB32:AB36" si="26">ABS(AA32-M32)</f>
        <v>1.33</v>
      </c>
      <c r="AC32" s="20">
        <f t="shared" ref="AC32:AC36" si="27">AB32/M32</f>
        <v>0.0490774907749078</v>
      </c>
    </row>
    <row r="33" spans="4:29">
      <c r="D33" s="6"/>
      <c r="E33" s="1">
        <v>25</v>
      </c>
      <c r="F33" s="1">
        <v>10.81</v>
      </c>
      <c r="G33" s="1">
        <v>66.36</v>
      </c>
      <c r="H33" s="1">
        <v>80.58</v>
      </c>
      <c r="I33" s="8">
        <v>155.76</v>
      </c>
      <c r="K33" s="1">
        <v>25</v>
      </c>
      <c r="L33" s="1">
        <v>14.92</v>
      </c>
      <c r="M33" s="1">
        <v>10.51</v>
      </c>
      <c r="N33" s="1">
        <f>M33/L33</f>
        <v>0.704423592493298</v>
      </c>
      <c r="O33" s="1">
        <v>0.76</v>
      </c>
      <c r="P33" s="1">
        <v>3.44</v>
      </c>
      <c r="Q33" s="1">
        <f>P33*N33/(K33/100)*1.05</f>
        <v>10.1775120643432</v>
      </c>
      <c r="R33" s="1">
        <f t="shared" ref="R32:R36" si="28">P33*O33/(K33/100)</f>
        <v>10.4576</v>
      </c>
      <c r="S33" s="1">
        <v>10.51</v>
      </c>
      <c r="T33" s="1">
        <v>0.5</v>
      </c>
      <c r="U33" s="1">
        <f>T33+Q33</f>
        <v>10.6775120643432</v>
      </c>
      <c r="V33" s="1">
        <f>ABS(U33-M33)</f>
        <v>0.167512064343169</v>
      </c>
      <c r="W33" s="20">
        <f>V33/M33</f>
        <v>0.0159383505559628</v>
      </c>
      <c r="X33" s="1">
        <f t="shared" si="22"/>
        <v>10.9576</v>
      </c>
      <c r="Y33" s="1">
        <f t="shared" si="23"/>
        <v>0.4476</v>
      </c>
      <c r="Z33" s="20">
        <f t="shared" si="24"/>
        <v>0.0425880114176974</v>
      </c>
      <c r="AA33" s="1">
        <f t="shared" si="25"/>
        <v>11.01</v>
      </c>
      <c r="AB33" s="1">
        <f t="shared" si="26"/>
        <v>0.5</v>
      </c>
      <c r="AC33" s="20">
        <f t="shared" si="27"/>
        <v>0.0475737392959087</v>
      </c>
    </row>
    <row r="34" spans="4:29">
      <c r="D34" s="6"/>
      <c r="E34" s="1">
        <v>50</v>
      </c>
      <c r="F34" s="1">
        <v>6.29</v>
      </c>
      <c r="G34" s="1">
        <v>35.27</v>
      </c>
      <c r="H34" s="1">
        <v>45.04</v>
      </c>
      <c r="I34" s="8">
        <v>86.03</v>
      </c>
      <c r="K34" s="1">
        <v>50</v>
      </c>
      <c r="L34" s="1">
        <v>7.853</v>
      </c>
      <c r="M34" s="1">
        <v>6.02</v>
      </c>
      <c r="N34" s="1">
        <f>M34/L34</f>
        <v>0.766586018082262</v>
      </c>
      <c r="O34" s="1">
        <v>0.7725</v>
      </c>
      <c r="P34" s="1">
        <v>3.657</v>
      </c>
      <c r="Q34" s="1">
        <f>P34*N34/(K34/100)*1.03</f>
        <v>5.77501444034128</v>
      </c>
      <c r="R34" s="1">
        <f t="shared" si="28"/>
        <v>5.650065</v>
      </c>
      <c r="S34" s="1">
        <v>5.71</v>
      </c>
      <c r="T34" s="1">
        <v>0.5</v>
      </c>
      <c r="U34" s="1">
        <f>T34+Q34</f>
        <v>6.27501444034128</v>
      </c>
      <c r="V34" s="1">
        <f>ABS(U34-M34)</f>
        <v>0.255014440341276</v>
      </c>
      <c r="W34" s="20">
        <f>V34/M34</f>
        <v>0.0423612027144976</v>
      </c>
      <c r="X34" s="1">
        <f t="shared" si="22"/>
        <v>6.150065</v>
      </c>
      <c r="Y34" s="1">
        <f t="shared" si="23"/>
        <v>0.130065</v>
      </c>
      <c r="Z34" s="20">
        <f t="shared" si="24"/>
        <v>0.0216054817275748</v>
      </c>
      <c r="AA34" s="1">
        <f t="shared" si="25"/>
        <v>6.21</v>
      </c>
      <c r="AB34" s="1">
        <f t="shared" si="26"/>
        <v>0.19</v>
      </c>
      <c r="AC34" s="20">
        <f t="shared" si="27"/>
        <v>0.03156146179402</v>
      </c>
    </row>
    <row r="35" spans="4:29">
      <c r="D35" s="6"/>
      <c r="E35" s="1">
        <v>75</v>
      </c>
      <c r="F35" s="1">
        <v>5.4</v>
      </c>
      <c r="G35" s="1">
        <v>27.91</v>
      </c>
      <c r="H35" s="1">
        <v>37.35</v>
      </c>
      <c r="I35" s="8">
        <v>71.09</v>
      </c>
      <c r="K35" s="1">
        <v>75</v>
      </c>
      <c r="L35" s="1">
        <v>6.41</v>
      </c>
      <c r="M35" s="1">
        <v>5.2</v>
      </c>
      <c r="N35" s="1">
        <f t="shared" ref="N35:N42" si="29">M35/L35</f>
        <v>0.811232449297972</v>
      </c>
      <c r="O35" s="1">
        <v>0.8262</v>
      </c>
      <c r="P35" s="1">
        <v>4.077</v>
      </c>
      <c r="Q35" s="1">
        <f>P35*N35/(K35/100)*1.02</f>
        <v>4.49805678627145</v>
      </c>
      <c r="R35" s="1">
        <f t="shared" si="28"/>
        <v>4.4912232</v>
      </c>
      <c r="S35" s="1">
        <v>4.34</v>
      </c>
      <c r="T35" s="1">
        <v>0.5</v>
      </c>
      <c r="U35" s="1">
        <f t="shared" ref="U35:U42" si="30">T35+Q35</f>
        <v>4.99805678627145</v>
      </c>
      <c r="V35" s="1">
        <f t="shared" ref="V35:V42" si="31">ABS(U35-M35)</f>
        <v>0.201943213728549</v>
      </c>
      <c r="W35" s="20">
        <f t="shared" ref="W35:W42" si="32">V35/M35</f>
        <v>0.0388352334093363</v>
      </c>
      <c r="X35" s="1">
        <f t="shared" si="22"/>
        <v>4.9912232</v>
      </c>
      <c r="Y35" s="1">
        <f t="shared" si="23"/>
        <v>0.2087768</v>
      </c>
      <c r="Z35" s="20">
        <f t="shared" si="24"/>
        <v>0.0401493846153846</v>
      </c>
      <c r="AA35" s="1">
        <f t="shared" si="25"/>
        <v>4.84</v>
      </c>
      <c r="AB35" s="1">
        <f t="shared" si="26"/>
        <v>0.36</v>
      </c>
      <c r="AC35" s="20">
        <f t="shared" si="27"/>
        <v>0.0692307692307693</v>
      </c>
    </row>
    <row r="36" ht="15.15" spans="4:29">
      <c r="D36" s="10"/>
      <c r="E36" s="11">
        <v>100</v>
      </c>
      <c r="F36" s="11">
        <v>4.68</v>
      </c>
      <c r="G36" s="11">
        <v>23.35</v>
      </c>
      <c r="H36" s="11">
        <v>32.85</v>
      </c>
      <c r="I36" s="13">
        <v>62.65</v>
      </c>
      <c r="K36" s="1">
        <v>100</v>
      </c>
      <c r="L36" s="1">
        <v>5.324</v>
      </c>
      <c r="M36" s="1">
        <v>4.68</v>
      </c>
      <c r="N36" s="1">
        <f t="shared" si="29"/>
        <v>0.879038317054846</v>
      </c>
      <c r="O36" s="1">
        <v>0.9</v>
      </c>
      <c r="P36" s="1">
        <v>4.516</v>
      </c>
      <c r="Q36" s="1">
        <f>P36*N36/(K36/100)</f>
        <v>3.96973703981968</v>
      </c>
      <c r="R36" s="1">
        <f t="shared" si="28"/>
        <v>4.0644</v>
      </c>
      <c r="S36" s="1">
        <v>3.87</v>
      </c>
      <c r="T36" s="1">
        <v>0.5</v>
      </c>
      <c r="U36" s="1">
        <f t="shared" si="30"/>
        <v>4.46973703981968</v>
      </c>
      <c r="V36" s="1">
        <f t="shared" si="31"/>
        <v>0.210262960180315</v>
      </c>
      <c r="W36" s="20">
        <f t="shared" si="32"/>
        <v>0.0449279829445118</v>
      </c>
      <c r="X36" s="1">
        <f t="shared" si="22"/>
        <v>4.5644</v>
      </c>
      <c r="Y36" s="1">
        <f t="shared" si="23"/>
        <v>0.1156</v>
      </c>
      <c r="Z36" s="20">
        <f t="shared" si="24"/>
        <v>0.0247008547008546</v>
      </c>
      <c r="AA36" s="1">
        <f t="shared" si="25"/>
        <v>4.37</v>
      </c>
      <c r="AB36" s="1">
        <f t="shared" si="26"/>
        <v>0.31</v>
      </c>
      <c r="AC36" s="20">
        <f t="shared" si="27"/>
        <v>0.0662393162393162</v>
      </c>
    </row>
    <row r="37" ht="15.15"/>
    <row r="38" spans="5:11">
      <c r="E38" s="1" t="s">
        <v>229</v>
      </c>
      <c r="F38" s="1">
        <v>1</v>
      </c>
      <c r="G38" s="1">
        <v>8</v>
      </c>
      <c r="H38" s="1">
        <v>16</v>
      </c>
      <c r="K38" s="1" t="s">
        <v>230</v>
      </c>
    </row>
    <row r="39" spans="5:29">
      <c r="E39" s="1">
        <v>10</v>
      </c>
      <c r="F39" s="1">
        <v>25.6</v>
      </c>
      <c r="G39" s="1">
        <v>161.61</v>
      </c>
      <c r="H39" s="1">
        <v>193.63</v>
      </c>
      <c r="K39" s="1"/>
      <c r="L39" s="1" t="s">
        <v>212</v>
      </c>
      <c r="M39" s="1" t="s">
        <v>213</v>
      </c>
      <c r="N39" s="1" t="s">
        <v>214</v>
      </c>
      <c r="O39" s="1" t="s">
        <v>215</v>
      </c>
      <c r="P39" s="1" t="s">
        <v>216</v>
      </c>
      <c r="Q39" s="1" t="s">
        <v>217</v>
      </c>
      <c r="R39" s="1" t="s">
        <v>218</v>
      </c>
      <c r="S39" s="1" t="s">
        <v>219</v>
      </c>
      <c r="T39" s="1" t="s">
        <v>220</v>
      </c>
      <c r="U39" s="1" t="s">
        <v>111</v>
      </c>
      <c r="V39" s="1" t="s">
        <v>221</v>
      </c>
      <c r="W39" s="20" t="s">
        <v>222</v>
      </c>
      <c r="X39" s="1" t="s">
        <v>223</v>
      </c>
      <c r="Y39" s="1" t="s">
        <v>224</v>
      </c>
      <c r="Z39" s="20" t="s">
        <v>225</v>
      </c>
      <c r="AA39" s="1" t="s">
        <v>226</v>
      </c>
      <c r="AB39" s="1" t="s">
        <v>227</v>
      </c>
      <c r="AC39" s="20" t="s">
        <v>228</v>
      </c>
    </row>
    <row r="40" spans="5:29">
      <c r="E40" s="1">
        <v>25</v>
      </c>
      <c r="F40" s="1">
        <v>11.2</v>
      </c>
      <c r="G40" s="1">
        <v>70.12</v>
      </c>
      <c r="H40" s="1">
        <v>84.5</v>
      </c>
      <c r="K40" s="1">
        <v>10</v>
      </c>
      <c r="L40" s="1">
        <v>246.3</v>
      </c>
      <c r="M40" s="1">
        <v>172.15</v>
      </c>
      <c r="N40" s="1">
        <f t="shared" si="29"/>
        <v>0.698944376776289</v>
      </c>
      <c r="O40" s="1">
        <v>0.748</v>
      </c>
      <c r="P40" s="16">
        <v>21.66</v>
      </c>
      <c r="Q40" s="1">
        <f>P40*N40/(K40/100)*1.1</f>
        <v>166.530487210719</v>
      </c>
      <c r="R40" s="1">
        <f t="shared" ref="R36:R44" si="33">P40*O40/(K40/100)</f>
        <v>162.0168</v>
      </c>
      <c r="S40" s="1">
        <v>162.47</v>
      </c>
      <c r="T40" s="1">
        <v>0.5</v>
      </c>
      <c r="U40" s="1">
        <f t="shared" si="30"/>
        <v>167.030487210719</v>
      </c>
      <c r="V40" s="1">
        <f t="shared" si="31"/>
        <v>5.1195127892814</v>
      </c>
      <c r="W40" s="20">
        <f t="shared" si="32"/>
        <v>0.029738674349587</v>
      </c>
      <c r="X40" s="1">
        <f t="shared" ref="X40:X44" si="34">R40+T40</f>
        <v>162.5168</v>
      </c>
      <c r="Y40" s="1">
        <f t="shared" ref="Y40:Y44" si="35">ABS(X40-M40)</f>
        <v>9.63320000000002</v>
      </c>
      <c r="Z40" s="20">
        <f t="shared" ref="Z40:Z44" si="36">Y40/M40</f>
        <v>0.0559581760092943</v>
      </c>
      <c r="AA40" s="1">
        <f t="shared" ref="AA40:AA44" si="37">S40+T40</f>
        <v>162.97</v>
      </c>
      <c r="AB40" s="1">
        <f t="shared" ref="AB40:AB44" si="38">ABS(AA40-M40)</f>
        <v>9.18000000000001</v>
      </c>
      <c r="AC40" s="20">
        <f t="shared" ref="AC40:AC44" si="39">AB40/M40</f>
        <v>0.0533255881498693</v>
      </c>
    </row>
    <row r="41" spans="5:29">
      <c r="E41" s="1">
        <v>50</v>
      </c>
      <c r="F41" s="1">
        <v>6.39</v>
      </c>
      <c r="G41" s="1">
        <v>37.71</v>
      </c>
      <c r="H41" s="1">
        <v>46.38</v>
      </c>
      <c r="K41" s="1">
        <v>25</v>
      </c>
      <c r="L41" s="1">
        <v>93.72</v>
      </c>
      <c r="M41" s="1">
        <v>66.36</v>
      </c>
      <c r="N41" s="1">
        <f t="shared" si="29"/>
        <v>0.708066581306018</v>
      </c>
      <c r="O41" s="1">
        <v>0.76</v>
      </c>
      <c r="P41" s="1">
        <v>21.87</v>
      </c>
      <c r="Q41" s="1">
        <f>P41*N41/(K41/100)*1.05</f>
        <v>65.038747759283</v>
      </c>
      <c r="R41" s="1">
        <f t="shared" si="33"/>
        <v>66.4848</v>
      </c>
      <c r="S41" s="1">
        <v>66.94</v>
      </c>
      <c r="T41" s="1">
        <v>0.5</v>
      </c>
      <c r="U41" s="1">
        <f t="shared" si="30"/>
        <v>65.538747759283</v>
      </c>
      <c r="V41" s="1">
        <f t="shared" si="31"/>
        <v>0.821252240717016</v>
      </c>
      <c r="W41" s="20">
        <f t="shared" si="32"/>
        <v>0.0123757118854282</v>
      </c>
      <c r="X41" s="1">
        <f t="shared" si="34"/>
        <v>66.9848</v>
      </c>
      <c r="Y41" s="1">
        <f t="shared" si="35"/>
        <v>0.624800000000008</v>
      </c>
      <c r="Z41" s="20">
        <f t="shared" si="36"/>
        <v>0.00941531042796877</v>
      </c>
      <c r="AA41" s="1">
        <f t="shared" si="37"/>
        <v>67.44</v>
      </c>
      <c r="AB41" s="1">
        <f t="shared" si="38"/>
        <v>1.08</v>
      </c>
      <c r="AC41" s="20">
        <f t="shared" si="39"/>
        <v>0.0162748643761302</v>
      </c>
    </row>
    <row r="42" spans="5:29">
      <c r="E42" s="1">
        <v>75</v>
      </c>
      <c r="F42" s="1">
        <v>5.15</v>
      </c>
      <c r="G42" s="1">
        <v>28.23</v>
      </c>
      <c r="H42" s="1">
        <v>35.65</v>
      </c>
      <c r="K42" s="1">
        <v>50</v>
      </c>
      <c r="L42" s="1">
        <v>46.53</v>
      </c>
      <c r="M42" s="1">
        <v>35.27</v>
      </c>
      <c r="N42" s="1">
        <f t="shared" si="29"/>
        <v>0.758005587792822</v>
      </c>
      <c r="O42" s="1">
        <v>0.7725</v>
      </c>
      <c r="P42" s="1">
        <v>22.73</v>
      </c>
      <c r="Q42" s="1">
        <f>P42*N42/(K42/100)*1.03</f>
        <v>35.4927020416935</v>
      </c>
      <c r="R42" s="1">
        <f t="shared" si="33"/>
        <v>35.11785</v>
      </c>
      <c r="S42" s="1">
        <v>35.81</v>
      </c>
      <c r="T42" s="1">
        <v>0.5</v>
      </c>
      <c r="U42" s="1">
        <f t="shared" si="30"/>
        <v>35.9927020416935</v>
      </c>
      <c r="V42" s="1">
        <f t="shared" si="31"/>
        <v>0.722702041693537</v>
      </c>
      <c r="W42" s="20">
        <f t="shared" si="32"/>
        <v>0.020490559730466</v>
      </c>
      <c r="X42" s="1">
        <f t="shared" si="34"/>
        <v>35.61785</v>
      </c>
      <c r="Y42" s="1">
        <f t="shared" si="35"/>
        <v>0.347849999999994</v>
      </c>
      <c r="Z42" s="20">
        <f t="shared" si="36"/>
        <v>0.00986248936773445</v>
      </c>
      <c r="AA42" s="1">
        <f t="shared" si="37"/>
        <v>36.31</v>
      </c>
      <c r="AB42" s="1">
        <f t="shared" si="38"/>
        <v>1.04</v>
      </c>
      <c r="AC42" s="20">
        <f t="shared" si="39"/>
        <v>0.0294868159909271</v>
      </c>
    </row>
    <row r="43" spans="5:29">
      <c r="E43" s="1">
        <v>100</v>
      </c>
      <c r="F43" s="1">
        <v>4.48</v>
      </c>
      <c r="G43" s="1">
        <v>22.62</v>
      </c>
      <c r="H43" s="1">
        <v>30.18</v>
      </c>
      <c r="K43" s="1">
        <v>75</v>
      </c>
      <c r="L43" s="1">
        <v>34.67</v>
      </c>
      <c r="M43" s="1">
        <v>27.91</v>
      </c>
      <c r="N43" s="1">
        <f t="shared" ref="N43:N52" si="40">M43/L43</f>
        <v>0.805018748197289</v>
      </c>
      <c r="O43" s="1">
        <v>0.8262</v>
      </c>
      <c r="P43" s="1">
        <v>24.63</v>
      </c>
      <c r="Q43" s="1">
        <f>P43*N43/(K43/100)*1.02</f>
        <v>26.9655520046149</v>
      </c>
      <c r="R43" s="1">
        <f t="shared" si="33"/>
        <v>27.132408</v>
      </c>
      <c r="S43" s="1">
        <v>26.38</v>
      </c>
      <c r="T43" s="1">
        <v>0.5</v>
      </c>
      <c r="U43" s="1">
        <f t="shared" ref="U43:U52" si="41">T43+Q43</f>
        <v>27.4655520046149</v>
      </c>
      <c r="V43" s="1">
        <f t="shared" ref="V43:V52" si="42">ABS(U43-M43)</f>
        <v>0.444447995385101</v>
      </c>
      <c r="W43" s="20">
        <f t="shared" ref="W43:W52" si="43">V43/M43</f>
        <v>0.0159243280324293</v>
      </c>
      <c r="X43" s="1">
        <f t="shared" si="34"/>
        <v>27.632408</v>
      </c>
      <c r="Y43" s="1">
        <f t="shared" si="35"/>
        <v>0.277592000000002</v>
      </c>
      <c r="Z43" s="20">
        <f t="shared" si="36"/>
        <v>0.00994596918667152</v>
      </c>
      <c r="AA43" s="1">
        <f t="shared" si="37"/>
        <v>26.88</v>
      </c>
      <c r="AB43" s="1">
        <f t="shared" si="38"/>
        <v>1.03</v>
      </c>
      <c r="AC43" s="20">
        <f t="shared" si="39"/>
        <v>0.036904335363669</v>
      </c>
    </row>
    <row r="44" spans="11:29">
      <c r="K44" s="1">
        <v>100</v>
      </c>
      <c r="L44" s="1">
        <v>27.64</v>
      </c>
      <c r="M44" s="1">
        <v>23.35</v>
      </c>
      <c r="N44" s="1">
        <f t="shared" si="40"/>
        <v>0.84479015918958</v>
      </c>
      <c r="O44" s="1">
        <v>0.9</v>
      </c>
      <c r="P44" s="1">
        <v>26.82</v>
      </c>
      <c r="Q44" s="1">
        <f>P44*N44/(K44/100)</f>
        <v>22.6572720694645</v>
      </c>
      <c r="R44" s="1">
        <f t="shared" si="33"/>
        <v>24.138</v>
      </c>
      <c r="S44" s="1">
        <v>22.68</v>
      </c>
      <c r="T44" s="1">
        <v>0.5</v>
      </c>
      <c r="U44" s="1">
        <f t="shared" si="41"/>
        <v>23.1572720694645</v>
      </c>
      <c r="V44" s="1">
        <f t="shared" si="42"/>
        <v>0.192727930535501</v>
      </c>
      <c r="W44" s="20">
        <f t="shared" si="43"/>
        <v>0.00825387282807284</v>
      </c>
      <c r="X44" s="1">
        <f t="shared" si="34"/>
        <v>24.638</v>
      </c>
      <c r="Y44" s="1">
        <f t="shared" si="35"/>
        <v>1.288</v>
      </c>
      <c r="Z44" s="20">
        <f t="shared" si="36"/>
        <v>0.0551605995717345</v>
      </c>
      <c r="AA44" s="1">
        <f t="shared" si="37"/>
        <v>23.18</v>
      </c>
      <c r="AB44" s="1">
        <f t="shared" si="38"/>
        <v>0.170000000000002</v>
      </c>
      <c r="AC44" s="20">
        <f t="shared" si="39"/>
        <v>0.00728051391862962</v>
      </c>
    </row>
    <row r="45" spans="6:8">
      <c r="F45" s="20">
        <f>ABS(F39-F32)/F32</f>
        <v>0.0553505535055351</v>
      </c>
      <c r="G45" s="20">
        <f>ABS(G39-G32)/G32</f>
        <v>0.0612256752831832</v>
      </c>
      <c r="H45" s="20">
        <f>ABS(H39-H32)/H32</f>
        <v>0.0715861143076333</v>
      </c>
    </row>
    <row r="46" spans="6:11">
      <c r="F46" s="20">
        <f>ABS(F40-F33)/F33</f>
        <v>0.036077705827937</v>
      </c>
      <c r="G46" s="20">
        <f>ABS(G40-G33)/G33</f>
        <v>0.05666063893912</v>
      </c>
      <c r="H46" s="20">
        <f>ABS(H40-H33)/H33</f>
        <v>0.0486473070240755</v>
      </c>
      <c r="K46" s="1" t="s">
        <v>231</v>
      </c>
    </row>
    <row r="47" spans="6:29">
      <c r="F47" s="20">
        <f>ABS(F41-F34)/F34</f>
        <v>0.0158982511923688</v>
      </c>
      <c r="G47" s="20">
        <f>ABS(G41-G34)/G34</f>
        <v>0.0691806067479444</v>
      </c>
      <c r="H47" s="20">
        <f>ABS(H41-H34)/H34</f>
        <v>0.0297513321492008</v>
      </c>
      <c r="K47" s="1"/>
      <c r="L47" s="1" t="s">
        <v>212</v>
      </c>
      <c r="M47" s="1" t="s">
        <v>213</v>
      </c>
      <c r="N47" s="1" t="s">
        <v>214</v>
      </c>
      <c r="O47" s="1" t="s">
        <v>215</v>
      </c>
      <c r="P47" s="1" t="s">
        <v>216</v>
      </c>
      <c r="Q47" s="1" t="s">
        <v>217</v>
      </c>
      <c r="R47" s="1" t="s">
        <v>218</v>
      </c>
      <c r="S47" s="1" t="s">
        <v>219</v>
      </c>
      <c r="T47" s="1" t="s">
        <v>220</v>
      </c>
      <c r="U47" s="1" t="s">
        <v>111</v>
      </c>
      <c r="V47" s="1" t="s">
        <v>221</v>
      </c>
      <c r="W47" s="20" t="s">
        <v>222</v>
      </c>
      <c r="X47" s="1" t="s">
        <v>223</v>
      </c>
      <c r="Y47" s="1" t="s">
        <v>224</v>
      </c>
      <c r="Z47" s="20" t="s">
        <v>225</v>
      </c>
      <c r="AA47" s="1" t="s">
        <v>226</v>
      </c>
      <c r="AB47" s="1" t="s">
        <v>227</v>
      </c>
      <c r="AC47" s="20" t="s">
        <v>228</v>
      </c>
    </row>
    <row r="48" spans="6:29">
      <c r="F48" s="20">
        <f>ABS(F42-F35)/F35</f>
        <v>0.0462962962962963</v>
      </c>
      <c r="G48" s="20">
        <f>ABS(G42-G35)/G35</f>
        <v>0.011465424579004</v>
      </c>
      <c r="H48" s="20">
        <f>ABS(H42-H35)/H35</f>
        <v>0.0455153949129853</v>
      </c>
      <c r="K48" s="1">
        <v>10</v>
      </c>
      <c r="L48" s="1">
        <v>295.49</v>
      </c>
      <c r="M48" s="1">
        <v>208.56</v>
      </c>
      <c r="N48" s="1">
        <f t="shared" si="40"/>
        <v>0.705810687332905</v>
      </c>
      <c r="O48" s="1">
        <v>0.748</v>
      </c>
      <c r="P48" s="16">
        <v>25.97</v>
      </c>
      <c r="Q48" s="1">
        <f>P48*N48/(K48/100)*1.1</f>
        <v>201.628939050391</v>
      </c>
      <c r="R48" s="1">
        <f>P48*O48/(K48/100)</f>
        <v>194.2556</v>
      </c>
      <c r="S48" s="1">
        <v>193.648</v>
      </c>
      <c r="T48" s="1">
        <v>0.5</v>
      </c>
      <c r="U48" s="1">
        <f>T48+Q48</f>
        <v>202.128939050391</v>
      </c>
      <c r="V48" s="1">
        <f t="shared" si="42"/>
        <v>6.43106094960902</v>
      </c>
      <c r="W48" s="20">
        <f t="shared" si="43"/>
        <v>0.0308355434868096</v>
      </c>
      <c r="X48" s="1">
        <f t="shared" ref="X48:X52" si="44">R48+T48</f>
        <v>194.7556</v>
      </c>
      <c r="Y48" s="1">
        <f t="shared" ref="Y48:Y52" si="45">ABS(X48-M48)</f>
        <v>13.8044</v>
      </c>
      <c r="Z48" s="20">
        <f>Y48/M48</f>
        <v>0.0661891062523975</v>
      </c>
      <c r="AA48" s="1">
        <f t="shared" ref="AA48:AA52" si="46">S48+T48</f>
        <v>194.148</v>
      </c>
      <c r="AB48" s="1">
        <f t="shared" ref="AB48:AB52" si="47">ABS(AA48-M48)</f>
        <v>14.412</v>
      </c>
      <c r="AC48" s="20">
        <f t="shared" ref="AC48:AC52" si="48">AB48/M48</f>
        <v>0.069102416570771</v>
      </c>
    </row>
    <row r="49" spans="6:29">
      <c r="F49" s="20">
        <f>ABS(F43-F36)/F36</f>
        <v>0.0427350427350426</v>
      </c>
      <c r="G49" s="20">
        <f>ABS(G43-G36)/G36</f>
        <v>0.0312633832976446</v>
      </c>
      <c r="H49" s="20">
        <f>ABS(H43-H36)/H36</f>
        <v>0.0812785388127854</v>
      </c>
      <c r="K49" s="1">
        <v>25</v>
      </c>
      <c r="L49" s="1">
        <v>112.27</v>
      </c>
      <c r="M49" s="1">
        <v>80.58</v>
      </c>
      <c r="N49" s="1">
        <f t="shared" si="40"/>
        <v>0.717734034025118</v>
      </c>
      <c r="O49" s="1">
        <v>0.76</v>
      </c>
      <c r="P49" s="1">
        <v>26.296</v>
      </c>
      <c r="Q49" s="1">
        <f>P49*N49/(K49/100)*1.05</f>
        <v>79.2688434666429</v>
      </c>
      <c r="R49" s="1">
        <f>P49*O49/(K49/100)</f>
        <v>79.93984</v>
      </c>
      <c r="S49" s="1">
        <v>80.69</v>
      </c>
      <c r="T49" s="1">
        <v>0.5</v>
      </c>
      <c r="U49" s="1">
        <f t="shared" si="41"/>
        <v>79.7688434666429</v>
      </c>
      <c r="V49" s="1">
        <f t="shared" si="42"/>
        <v>0.811156533357092</v>
      </c>
      <c r="W49" s="20">
        <f t="shared" si="43"/>
        <v>0.0100664747252059</v>
      </c>
      <c r="X49" s="1">
        <f t="shared" si="44"/>
        <v>80.43984</v>
      </c>
      <c r="Y49" s="1">
        <f t="shared" si="45"/>
        <v>0.140159999999995</v>
      </c>
      <c r="Z49" s="20">
        <f t="shared" ref="Z48:Z52" si="49">Y49/M49</f>
        <v>0.00173938942665667</v>
      </c>
      <c r="AA49" s="1">
        <f t="shared" si="46"/>
        <v>81.19</v>
      </c>
      <c r="AB49" s="1">
        <f t="shared" si="47"/>
        <v>0.609999999999999</v>
      </c>
      <c r="AC49" s="20">
        <f t="shared" si="48"/>
        <v>0.00757011665425663</v>
      </c>
    </row>
    <row r="50" spans="11:29">
      <c r="K50" s="1">
        <v>50</v>
      </c>
      <c r="L50" s="1">
        <v>57.01</v>
      </c>
      <c r="M50" s="1">
        <v>45.04</v>
      </c>
      <c r="N50" s="1">
        <f t="shared" si="40"/>
        <v>0.79003683564287</v>
      </c>
      <c r="O50" s="1">
        <v>0.7725</v>
      </c>
      <c r="P50" s="1">
        <v>28.176</v>
      </c>
      <c r="Q50" s="1">
        <f>P50*N50/(K50/100)*1.03</f>
        <v>45.8557604350114</v>
      </c>
      <c r="R50" s="1">
        <f>P50*O50/(K50/100)</f>
        <v>43.53192</v>
      </c>
      <c r="S50" s="1">
        <v>43.821</v>
      </c>
      <c r="T50" s="1">
        <v>0.5</v>
      </c>
      <c r="U50" s="1">
        <f t="shared" si="41"/>
        <v>46.3557604350114</v>
      </c>
      <c r="V50" s="1">
        <f t="shared" si="42"/>
        <v>1.3157604350114</v>
      </c>
      <c r="W50" s="20">
        <f t="shared" si="43"/>
        <v>0.0292131535304485</v>
      </c>
      <c r="X50" s="1">
        <f t="shared" si="44"/>
        <v>44.03192</v>
      </c>
      <c r="Y50" s="1">
        <f t="shared" si="45"/>
        <v>1.00808</v>
      </c>
      <c r="Z50" s="20">
        <f t="shared" si="49"/>
        <v>0.0223818827708703</v>
      </c>
      <c r="AA50" s="1">
        <f t="shared" si="46"/>
        <v>44.321</v>
      </c>
      <c r="AB50" s="1">
        <f t="shared" si="47"/>
        <v>0.719000000000001</v>
      </c>
      <c r="AC50" s="20">
        <f t="shared" si="48"/>
        <v>0.0159635879218473</v>
      </c>
    </row>
    <row r="51" spans="11:29">
      <c r="K51" s="1">
        <v>75</v>
      </c>
      <c r="L51" s="1">
        <v>43.7</v>
      </c>
      <c r="M51" s="1">
        <v>37.35</v>
      </c>
      <c r="N51" s="1">
        <f t="shared" si="40"/>
        <v>0.854691075514874</v>
      </c>
      <c r="O51" s="1">
        <v>0.8262</v>
      </c>
      <c r="P51" s="1">
        <v>31.378</v>
      </c>
      <c r="Q51" s="1">
        <f>P51*N51/(K51/100)*1.02</f>
        <v>36.4731553318078</v>
      </c>
      <c r="R51" s="1">
        <f>P51*O51/(K51/100)</f>
        <v>34.5660048</v>
      </c>
      <c r="S51" s="1">
        <v>33.236</v>
      </c>
      <c r="T51" s="1">
        <v>0.5</v>
      </c>
      <c r="U51" s="1">
        <f t="shared" si="41"/>
        <v>36.9731553318078</v>
      </c>
      <c r="V51" s="1">
        <f t="shared" si="42"/>
        <v>0.376844668192234</v>
      </c>
      <c r="W51" s="20">
        <f t="shared" si="43"/>
        <v>0.0100895493491897</v>
      </c>
      <c r="X51" s="1">
        <f t="shared" si="44"/>
        <v>35.0660048</v>
      </c>
      <c r="Y51" s="1">
        <f t="shared" si="45"/>
        <v>2.2839952</v>
      </c>
      <c r="Z51" s="20">
        <f t="shared" si="49"/>
        <v>0.0611511432396252</v>
      </c>
      <c r="AA51" s="1">
        <f t="shared" si="46"/>
        <v>33.736</v>
      </c>
      <c r="AB51" s="1">
        <f t="shared" si="47"/>
        <v>3.614</v>
      </c>
      <c r="AC51" s="20">
        <f t="shared" si="48"/>
        <v>0.0967603748326641</v>
      </c>
    </row>
    <row r="52" spans="11:29">
      <c r="K52" s="1">
        <v>100</v>
      </c>
      <c r="L52" s="1">
        <v>36.9</v>
      </c>
      <c r="M52" s="1">
        <v>32.85</v>
      </c>
      <c r="N52" s="1">
        <f t="shared" si="40"/>
        <v>0.890243902439025</v>
      </c>
      <c r="O52" s="1">
        <v>0.9</v>
      </c>
      <c r="P52" s="1">
        <v>35.98</v>
      </c>
      <c r="Q52" s="1">
        <f>P52*N52/(K52/100)</f>
        <v>32.0309756097561</v>
      </c>
      <c r="R52" s="1">
        <f>P52*O52/(K52/100)</f>
        <v>32.382</v>
      </c>
      <c r="S52" s="1">
        <v>30.718</v>
      </c>
      <c r="T52" s="1">
        <v>0.5</v>
      </c>
      <c r="U52" s="1">
        <f t="shared" si="41"/>
        <v>32.5309756097561</v>
      </c>
      <c r="V52" s="1">
        <f t="shared" si="42"/>
        <v>0.319024390243904</v>
      </c>
      <c r="W52" s="20">
        <f t="shared" si="43"/>
        <v>0.00971154917028626</v>
      </c>
      <c r="X52" s="1">
        <f t="shared" si="44"/>
        <v>32.882</v>
      </c>
      <c r="Y52" s="1">
        <f t="shared" si="45"/>
        <v>0.0319999999999965</v>
      </c>
      <c r="Z52" s="20">
        <f t="shared" si="49"/>
        <v>0.000974124809741141</v>
      </c>
      <c r="AA52" s="1">
        <f t="shared" si="46"/>
        <v>31.218</v>
      </c>
      <c r="AB52" s="1">
        <f t="shared" si="47"/>
        <v>1.632</v>
      </c>
      <c r="AC52" s="20">
        <f t="shared" si="48"/>
        <v>0.0496803652968037</v>
      </c>
    </row>
    <row r="56" ht="15.15"/>
    <row r="57" ht="15.15" spans="4:11">
      <c r="D57" s="3" t="s">
        <v>232</v>
      </c>
      <c r="E57" s="4" t="s">
        <v>33</v>
      </c>
      <c r="F57" s="4"/>
      <c r="G57" s="4"/>
      <c r="H57" s="4"/>
      <c r="I57" s="5"/>
      <c r="K57" s="1" t="s">
        <v>211</v>
      </c>
    </row>
    <row r="58" spans="4:29">
      <c r="D58" s="6"/>
      <c r="F58" s="1">
        <v>1</v>
      </c>
      <c r="G58" s="1">
        <v>8</v>
      </c>
      <c r="H58" s="1">
        <v>16</v>
      </c>
      <c r="I58" s="8">
        <v>32</v>
      </c>
      <c r="K58" s="1"/>
      <c r="L58" s="1" t="s">
        <v>212</v>
      </c>
      <c r="M58" s="1" t="s">
        <v>213</v>
      </c>
      <c r="N58" s="1" t="s">
        <v>214</v>
      </c>
      <c r="O58" s="1" t="s">
        <v>215</v>
      </c>
      <c r="P58" s="1" t="s">
        <v>216</v>
      </c>
      <c r="Q58" s="1" t="s">
        <v>217</v>
      </c>
      <c r="R58" s="1" t="s">
        <v>218</v>
      </c>
      <c r="S58" s="1" t="s">
        <v>219</v>
      </c>
      <c r="T58" s="1" t="s">
        <v>220</v>
      </c>
      <c r="U58" s="1" t="s">
        <v>111</v>
      </c>
      <c r="V58" s="1" t="s">
        <v>221</v>
      </c>
      <c r="W58" s="20" t="s">
        <v>222</v>
      </c>
      <c r="X58" s="1" t="s">
        <v>223</v>
      </c>
      <c r="Y58" s="1" t="s">
        <v>224</v>
      </c>
      <c r="Z58" s="20" t="s">
        <v>225</v>
      </c>
      <c r="AA58" s="1" t="s">
        <v>226</v>
      </c>
      <c r="AB58" s="1" t="s">
        <v>227</v>
      </c>
      <c r="AC58" s="20" t="s">
        <v>228</v>
      </c>
    </row>
    <row r="59" spans="4:29">
      <c r="D59" s="6"/>
      <c r="E59" s="1">
        <v>10</v>
      </c>
      <c r="F59" s="1">
        <v>47.8</v>
      </c>
      <c r="G59" s="1">
        <v>118.04</v>
      </c>
      <c r="H59" s="1">
        <v>186.54</v>
      </c>
      <c r="I59" s="8">
        <v>330.61</v>
      </c>
      <c r="K59" s="1">
        <v>10</v>
      </c>
      <c r="L59" s="1">
        <v>53.28</v>
      </c>
      <c r="M59" s="1">
        <v>47.8</v>
      </c>
      <c r="N59" s="1">
        <f t="shared" ref="N59:N63" si="50">M59/L59</f>
        <v>0.897147147147147</v>
      </c>
      <c r="P59" s="16"/>
      <c r="Q59" s="1">
        <f>P59*N59/(K59/100)*1.1</f>
        <v>0</v>
      </c>
      <c r="S59" s="1">
        <v>33.183</v>
      </c>
      <c r="T59" s="1">
        <v>7</v>
      </c>
      <c r="U59" s="1">
        <f t="shared" ref="U59:U63" si="51">T59+Q59</f>
        <v>7</v>
      </c>
      <c r="V59" s="1">
        <f t="shared" ref="V59:V63" si="52">ABS(U59-M59)</f>
        <v>40.8</v>
      </c>
      <c r="W59" s="20">
        <f t="shared" ref="W59:W63" si="53">V59/M59</f>
        <v>0.853556485355649</v>
      </c>
      <c r="AA59" s="1">
        <f>S59+T59</f>
        <v>40.183</v>
      </c>
      <c r="AB59" s="1">
        <f t="shared" ref="AB59:AB63" si="54">ABS(AA59-M59)</f>
        <v>7.617</v>
      </c>
      <c r="AC59" s="20">
        <f>AB59/M59</f>
        <v>0.159351464435146</v>
      </c>
    </row>
    <row r="60" spans="4:29">
      <c r="D60" s="6"/>
      <c r="E60" s="1">
        <v>25</v>
      </c>
      <c r="F60" s="1">
        <v>31.3</v>
      </c>
      <c r="G60" s="1">
        <v>64.33</v>
      </c>
      <c r="H60" s="1">
        <v>110.32</v>
      </c>
      <c r="I60" s="8">
        <v>185.12</v>
      </c>
      <c r="K60" s="1">
        <v>25</v>
      </c>
      <c r="L60" s="1">
        <v>28.28</v>
      </c>
      <c r="M60" s="1">
        <v>31.3</v>
      </c>
      <c r="N60" s="1">
        <f t="shared" si="50"/>
        <v>1.10678925035361</v>
      </c>
      <c r="Q60" s="1">
        <f>P60*N60/(K60/100)*1.05</f>
        <v>0</v>
      </c>
      <c r="S60" s="1">
        <v>14.42</v>
      </c>
      <c r="T60" s="1">
        <v>7</v>
      </c>
      <c r="U60" s="1">
        <f t="shared" si="51"/>
        <v>7</v>
      </c>
      <c r="V60" s="1">
        <f t="shared" si="52"/>
        <v>24.3</v>
      </c>
      <c r="W60" s="20">
        <f t="shared" si="53"/>
        <v>0.776357827476038</v>
      </c>
      <c r="AA60" s="1">
        <f>S60+T60</f>
        <v>21.42</v>
      </c>
      <c r="AB60" s="1">
        <f t="shared" si="54"/>
        <v>9.88</v>
      </c>
      <c r="AC60" s="20">
        <f>AB60/M60</f>
        <v>0.315654952076677</v>
      </c>
    </row>
    <row r="61" spans="4:29">
      <c r="D61" s="6"/>
      <c r="E61" s="1">
        <v>50</v>
      </c>
      <c r="F61" s="1">
        <v>28.6</v>
      </c>
      <c r="G61" s="1">
        <v>39.89</v>
      </c>
      <c r="H61" s="1">
        <v>62.48</v>
      </c>
      <c r="I61" s="8">
        <v>103.64</v>
      </c>
      <c r="K61" s="1">
        <v>50</v>
      </c>
      <c r="L61" s="1">
        <v>20.36</v>
      </c>
      <c r="M61" s="1">
        <v>28.6</v>
      </c>
      <c r="N61" s="1">
        <f t="shared" si="50"/>
        <v>1.40471512770138</v>
      </c>
      <c r="Q61" s="1">
        <f>P61*N61/(K61/100)*1.03</f>
        <v>0</v>
      </c>
      <c r="S61" s="1">
        <v>8.36</v>
      </c>
      <c r="T61" s="1">
        <v>7</v>
      </c>
      <c r="U61" s="1">
        <f t="shared" si="51"/>
        <v>7</v>
      </c>
      <c r="V61" s="1">
        <f t="shared" si="52"/>
        <v>21.6</v>
      </c>
      <c r="W61" s="20">
        <f t="shared" si="53"/>
        <v>0.755244755244755</v>
      </c>
      <c r="AA61" s="1">
        <f>S61+T61</f>
        <v>15.36</v>
      </c>
      <c r="AB61" s="1">
        <f t="shared" si="54"/>
        <v>13.24</v>
      </c>
      <c r="AC61" s="20">
        <f t="shared" ref="AC59:AC63" si="55">AB61/M61</f>
        <v>0.462937062937063</v>
      </c>
    </row>
    <row r="62" spans="4:29">
      <c r="D62" s="6"/>
      <c r="E62" s="1">
        <v>75</v>
      </c>
      <c r="F62" s="1">
        <v>24.4</v>
      </c>
      <c r="G62" s="1">
        <v>32.19</v>
      </c>
      <c r="H62" s="1">
        <v>49.51</v>
      </c>
      <c r="I62" s="8">
        <v>82.81</v>
      </c>
      <c r="K62" s="1">
        <v>75</v>
      </c>
      <c r="L62" s="1">
        <v>18.51</v>
      </c>
      <c r="M62" s="1">
        <v>24.4</v>
      </c>
      <c r="N62" s="1">
        <f t="shared" si="50"/>
        <v>1.31820637493247</v>
      </c>
      <c r="Q62" s="1">
        <f>P62*N62/(K62/100)*1.02</f>
        <v>0</v>
      </c>
      <c r="S62" s="1">
        <v>6.61</v>
      </c>
      <c r="T62" s="1">
        <v>7</v>
      </c>
      <c r="U62" s="1">
        <f t="shared" si="51"/>
        <v>7</v>
      </c>
      <c r="V62" s="1">
        <f t="shared" si="52"/>
        <v>17.4</v>
      </c>
      <c r="W62" s="20">
        <f t="shared" si="53"/>
        <v>0.713114754098361</v>
      </c>
      <c r="AA62" s="1">
        <f>S62+T62</f>
        <v>13.61</v>
      </c>
      <c r="AB62" s="1">
        <f t="shared" si="54"/>
        <v>10.79</v>
      </c>
      <c r="AC62" s="20">
        <f t="shared" si="55"/>
        <v>0.442213114754098</v>
      </c>
    </row>
    <row r="63" ht="15.15" spans="4:29">
      <c r="D63" s="10"/>
      <c r="E63" s="11">
        <v>100</v>
      </c>
      <c r="F63" s="11">
        <v>23.5</v>
      </c>
      <c r="G63" s="11">
        <v>29.51</v>
      </c>
      <c r="H63" s="11">
        <v>38.71</v>
      </c>
      <c r="I63" s="13">
        <v>68.17</v>
      </c>
      <c r="K63" s="1">
        <v>100</v>
      </c>
      <c r="L63" s="1">
        <v>17.53</v>
      </c>
      <c r="M63" s="1">
        <v>23.5</v>
      </c>
      <c r="N63" s="1">
        <f t="shared" si="50"/>
        <v>1.3405590416429</v>
      </c>
      <c r="Q63" s="1">
        <f>P63*N63/(K63/100)</f>
        <v>0</v>
      </c>
      <c r="S63" s="1">
        <v>6.38</v>
      </c>
      <c r="T63" s="1">
        <v>7</v>
      </c>
      <c r="U63" s="1">
        <f t="shared" si="51"/>
        <v>7</v>
      </c>
      <c r="V63" s="1">
        <f t="shared" si="52"/>
        <v>16.5</v>
      </c>
      <c r="W63" s="20">
        <f t="shared" si="53"/>
        <v>0.702127659574468</v>
      </c>
      <c r="AA63" s="1">
        <f>S63+T63</f>
        <v>13.38</v>
      </c>
      <c r="AB63" s="1">
        <f t="shared" si="54"/>
        <v>10.12</v>
      </c>
      <c r="AC63" s="20">
        <f t="shared" si="55"/>
        <v>0.43063829787234</v>
      </c>
    </row>
    <row r="64" ht="15.15"/>
    <row r="65" spans="11:11">
      <c r="K65" s="1" t="s">
        <v>230</v>
      </c>
    </row>
    <row r="66" spans="11:29">
      <c r="K66" s="1"/>
      <c r="L66" s="1" t="s">
        <v>212</v>
      </c>
      <c r="M66" s="1" t="s">
        <v>213</v>
      </c>
      <c r="N66" s="1" t="s">
        <v>214</v>
      </c>
      <c r="O66" s="1" t="s">
        <v>215</v>
      </c>
      <c r="P66" s="1" t="s">
        <v>216</v>
      </c>
      <c r="Q66" s="1" t="s">
        <v>217</v>
      </c>
      <c r="R66" s="1" t="s">
        <v>218</v>
      </c>
      <c r="S66" s="1" t="s">
        <v>219</v>
      </c>
      <c r="T66" s="1" t="s">
        <v>220</v>
      </c>
      <c r="U66" s="1" t="s">
        <v>111</v>
      </c>
      <c r="V66" s="1" t="s">
        <v>221</v>
      </c>
      <c r="W66" s="20" t="s">
        <v>222</v>
      </c>
      <c r="X66" s="1" t="s">
        <v>223</v>
      </c>
      <c r="Y66" s="1" t="s">
        <v>224</v>
      </c>
      <c r="Z66" s="20" t="s">
        <v>225</v>
      </c>
      <c r="AA66" s="1" t="s">
        <v>226</v>
      </c>
      <c r="AB66" s="1" t="s">
        <v>227</v>
      </c>
      <c r="AC66" s="20" t="s">
        <v>228</v>
      </c>
    </row>
    <row r="67" spans="11:29">
      <c r="K67" s="1">
        <v>10</v>
      </c>
      <c r="L67" s="1">
        <v>169.61</v>
      </c>
      <c r="M67" s="1">
        <v>118.04</v>
      </c>
      <c r="N67" s="1">
        <f t="shared" ref="N67:N71" si="56">M67/L67</f>
        <v>0.695949531277637</v>
      </c>
      <c r="P67" s="16"/>
      <c r="Q67" s="1">
        <f>P67*N67/(K67/100)*1.1</f>
        <v>0</v>
      </c>
      <c r="S67" s="1">
        <v>108.16</v>
      </c>
      <c r="T67" s="1">
        <v>7</v>
      </c>
      <c r="U67" s="1">
        <f>T68+Q67</f>
        <v>7</v>
      </c>
      <c r="V67" s="1">
        <f t="shared" ref="V67:V71" si="57">ABS(U67-M67)</f>
        <v>111.04</v>
      </c>
      <c r="W67" s="20">
        <f t="shared" ref="W67:W71" si="58">V67/M67</f>
        <v>0.940698068451372</v>
      </c>
      <c r="AA67" s="1">
        <f>S67+T68</f>
        <v>115.16</v>
      </c>
      <c r="AB67" s="1">
        <f t="shared" ref="AB67:AB71" si="59">ABS(AA67-M67)</f>
        <v>2.88000000000001</v>
      </c>
      <c r="AC67" s="20">
        <f t="shared" ref="AC67:AC71" si="60">AB67/M67</f>
        <v>0.0243985089800069</v>
      </c>
    </row>
    <row r="68" spans="11:29">
      <c r="K68" s="1">
        <v>25</v>
      </c>
      <c r="L68" s="1">
        <v>67.95</v>
      </c>
      <c r="M68" s="1">
        <v>64.33</v>
      </c>
      <c r="N68" s="1">
        <f t="shared" si="56"/>
        <v>0.9467255334805</v>
      </c>
      <c r="Q68" s="1">
        <f>P68*N68/(K68/100)*1.05</f>
        <v>0</v>
      </c>
      <c r="S68" s="1">
        <v>47.67</v>
      </c>
      <c r="T68" s="1">
        <v>7</v>
      </c>
      <c r="U68" s="1" t="e">
        <f>#REF!+Q68</f>
        <v>#REF!</v>
      </c>
      <c r="V68" s="1" t="e">
        <f t="shared" si="57"/>
        <v>#REF!</v>
      </c>
      <c r="W68" s="20" t="e">
        <f t="shared" si="58"/>
        <v>#REF!</v>
      </c>
      <c r="AA68" s="1">
        <f>S68+T68</f>
        <v>54.67</v>
      </c>
      <c r="AB68" s="1">
        <f t="shared" si="59"/>
        <v>9.66</v>
      </c>
      <c r="AC68" s="20">
        <f t="shared" si="60"/>
        <v>0.150163220892274</v>
      </c>
    </row>
    <row r="69" spans="11:29">
      <c r="K69" s="1">
        <v>50</v>
      </c>
      <c r="L69" s="1">
        <v>39.8</v>
      </c>
      <c r="M69" s="1">
        <v>39.89</v>
      </c>
      <c r="N69" s="1">
        <f t="shared" si="56"/>
        <v>1.00226130653266</v>
      </c>
      <c r="Q69" s="1">
        <f>P69*N69/(K69/100)*1.03</f>
        <v>0</v>
      </c>
      <c r="S69" s="1">
        <v>26.39</v>
      </c>
      <c r="T69" s="1">
        <v>7</v>
      </c>
      <c r="U69" s="1">
        <f>T69+Q69</f>
        <v>7</v>
      </c>
      <c r="V69" s="1">
        <f t="shared" si="57"/>
        <v>32.89</v>
      </c>
      <c r="W69" s="20">
        <f t="shared" si="58"/>
        <v>0.824517422913011</v>
      </c>
      <c r="AA69" s="1">
        <f>S69+T69</f>
        <v>33.39</v>
      </c>
      <c r="AB69" s="1">
        <f t="shared" si="59"/>
        <v>6.5</v>
      </c>
      <c r="AC69" s="20">
        <f t="shared" si="60"/>
        <v>0.162948107295061</v>
      </c>
    </row>
    <row r="70" spans="11:29">
      <c r="K70" s="1">
        <v>75</v>
      </c>
      <c r="L70" s="1">
        <v>32.14</v>
      </c>
      <c r="M70" s="1">
        <v>32.19</v>
      </c>
      <c r="N70" s="1">
        <f t="shared" si="56"/>
        <v>1.00155569383945</v>
      </c>
      <c r="Q70" s="1">
        <f>P70*N70/(K70/100)*1.02</f>
        <v>0</v>
      </c>
      <c r="S70" s="1">
        <v>20.46</v>
      </c>
      <c r="T70" s="1">
        <v>7</v>
      </c>
      <c r="U70" s="1">
        <f>T70+Q70</f>
        <v>7</v>
      </c>
      <c r="V70" s="1">
        <f t="shared" si="57"/>
        <v>25.19</v>
      </c>
      <c r="W70" s="20">
        <f t="shared" si="58"/>
        <v>0.782541161851507</v>
      </c>
      <c r="AA70" s="1">
        <f>S70+T70</f>
        <v>27.46</v>
      </c>
      <c r="AB70" s="1">
        <f t="shared" si="59"/>
        <v>4.73</v>
      </c>
      <c r="AC70" s="20">
        <f t="shared" si="60"/>
        <v>0.146940043491768</v>
      </c>
    </row>
    <row r="71" spans="11:29">
      <c r="K71" s="1">
        <v>100</v>
      </c>
      <c r="L71" s="1">
        <v>28.12</v>
      </c>
      <c r="M71" s="1">
        <v>29.51</v>
      </c>
      <c r="N71" s="1">
        <f t="shared" si="56"/>
        <v>1.04943100995733</v>
      </c>
      <c r="Q71" s="1">
        <f>P71*N71/(K71/100)</f>
        <v>0</v>
      </c>
      <c r="S71" s="1">
        <v>18.91</v>
      </c>
      <c r="T71" s="1">
        <v>7</v>
      </c>
      <c r="U71" s="1">
        <f>T71+Q71</f>
        <v>7</v>
      </c>
      <c r="V71" s="1">
        <f t="shared" si="57"/>
        <v>22.51</v>
      </c>
      <c r="W71" s="20">
        <f t="shared" si="58"/>
        <v>0.76279227380549</v>
      </c>
      <c r="AA71" s="1">
        <f>S71+T71</f>
        <v>25.91</v>
      </c>
      <c r="AB71" s="1">
        <f t="shared" si="59"/>
        <v>3.6</v>
      </c>
      <c r="AC71" s="20">
        <f t="shared" si="60"/>
        <v>0.121992544900034</v>
      </c>
    </row>
    <row r="73" spans="11:11">
      <c r="K73" s="1" t="s">
        <v>231</v>
      </c>
    </row>
    <row r="74" spans="11:29">
      <c r="K74" s="1"/>
      <c r="L74" s="1" t="s">
        <v>212</v>
      </c>
      <c r="M74" s="1" t="s">
        <v>213</v>
      </c>
      <c r="N74" s="1" t="s">
        <v>214</v>
      </c>
      <c r="O74" s="1" t="s">
        <v>215</v>
      </c>
      <c r="P74" s="1" t="s">
        <v>216</v>
      </c>
      <c r="Q74" s="1" t="s">
        <v>217</v>
      </c>
      <c r="R74" s="1" t="s">
        <v>218</v>
      </c>
      <c r="S74" s="1" t="s">
        <v>219</v>
      </c>
      <c r="T74" s="1" t="s">
        <v>220</v>
      </c>
      <c r="U74" s="1" t="s">
        <v>111</v>
      </c>
      <c r="V74" s="1" t="s">
        <v>221</v>
      </c>
      <c r="W74" s="20" t="s">
        <v>222</v>
      </c>
      <c r="X74" s="1" t="s">
        <v>223</v>
      </c>
      <c r="Y74" s="1" t="s">
        <v>224</v>
      </c>
      <c r="Z74" s="20" t="s">
        <v>225</v>
      </c>
      <c r="AA74" s="1" t="s">
        <v>226</v>
      </c>
      <c r="AB74" s="1" t="s">
        <v>227</v>
      </c>
      <c r="AC74" s="20" t="s">
        <v>228</v>
      </c>
    </row>
    <row r="75" spans="11:29">
      <c r="K75" s="1">
        <v>10</v>
      </c>
      <c r="L75" s="1">
        <v>265.54</v>
      </c>
      <c r="M75" s="1">
        <v>186.54</v>
      </c>
      <c r="N75" s="1">
        <f t="shared" ref="N75:N79" si="61">M75/L75</f>
        <v>0.702493033064698</v>
      </c>
      <c r="P75" s="16"/>
      <c r="Q75" s="1">
        <f>P75*N75/(K75/100)*1.1</f>
        <v>0</v>
      </c>
      <c r="S75" s="1">
        <v>170.34</v>
      </c>
      <c r="T75" s="1">
        <v>7</v>
      </c>
      <c r="U75" s="1">
        <f t="shared" ref="U75:U79" si="62">T75+Q75</f>
        <v>7</v>
      </c>
      <c r="V75" s="1">
        <f t="shared" ref="V75:V79" si="63">ABS(U75-M75)</f>
        <v>179.54</v>
      </c>
      <c r="W75" s="20">
        <f t="shared" ref="W75:W79" si="64">V75/M75</f>
        <v>0.962474536292484</v>
      </c>
      <c r="AA75" s="1">
        <f t="shared" ref="AA75:AA79" si="65">S75+T75</f>
        <v>177.34</v>
      </c>
      <c r="AB75" s="1">
        <f t="shared" ref="AB75:AB79" si="66">ABS(AA75-M75)</f>
        <v>9.19999999999999</v>
      </c>
      <c r="AC75" s="20">
        <f t="shared" ref="AC75:AC79" si="67">AB75/M75</f>
        <v>0.049319180872735</v>
      </c>
    </row>
    <row r="76" spans="11:29">
      <c r="K76" s="1">
        <v>25</v>
      </c>
      <c r="L76" s="1">
        <v>112.01</v>
      </c>
      <c r="M76" s="1">
        <v>110.32</v>
      </c>
      <c r="N76" s="1">
        <f t="shared" si="61"/>
        <v>0.984912061423087</v>
      </c>
      <c r="Q76" s="1">
        <f>P76*N76/(K76/100)*1.05</f>
        <v>0</v>
      </c>
      <c r="S76" s="1">
        <v>74.27</v>
      </c>
      <c r="T76" s="1">
        <v>7</v>
      </c>
      <c r="U76" s="1">
        <f t="shared" si="62"/>
        <v>7</v>
      </c>
      <c r="V76" s="1">
        <f t="shared" si="63"/>
        <v>103.32</v>
      </c>
      <c r="W76" s="20">
        <f t="shared" si="64"/>
        <v>0.936548223350254</v>
      </c>
      <c r="AA76" s="1">
        <f t="shared" si="65"/>
        <v>81.27</v>
      </c>
      <c r="AB76" s="1">
        <f t="shared" si="66"/>
        <v>29.05</v>
      </c>
      <c r="AC76" s="20">
        <f t="shared" si="67"/>
        <v>0.263324873096447</v>
      </c>
    </row>
    <row r="77" spans="11:29">
      <c r="K77" s="1">
        <v>50</v>
      </c>
      <c r="L77" s="1">
        <v>62.54</v>
      </c>
      <c r="M77" s="1">
        <v>62.48</v>
      </c>
      <c r="N77" s="1">
        <f t="shared" si="61"/>
        <v>0.999040614007035</v>
      </c>
      <c r="Q77" s="1">
        <f>P77*N77/(K77/100)*1.03</f>
        <v>0</v>
      </c>
      <c r="S77" s="1">
        <v>42.658</v>
      </c>
      <c r="T77" s="1">
        <v>7</v>
      </c>
      <c r="U77" s="1">
        <f t="shared" si="62"/>
        <v>7</v>
      </c>
      <c r="V77" s="1">
        <f t="shared" si="63"/>
        <v>55.48</v>
      </c>
      <c r="W77" s="20">
        <f t="shared" si="64"/>
        <v>0.887964148527529</v>
      </c>
      <c r="AA77" s="1">
        <f t="shared" si="65"/>
        <v>49.658</v>
      </c>
      <c r="AB77" s="1">
        <f t="shared" si="66"/>
        <v>12.822</v>
      </c>
      <c r="AC77" s="20">
        <f t="shared" si="67"/>
        <v>0.205217669654289</v>
      </c>
    </row>
    <row r="78" spans="11:29">
      <c r="K78" s="1">
        <v>75</v>
      </c>
      <c r="L78" s="1">
        <v>49.51</v>
      </c>
      <c r="M78" s="1">
        <v>49.51</v>
      </c>
      <c r="N78" s="1">
        <f t="shared" si="61"/>
        <v>1</v>
      </c>
      <c r="Q78" s="1">
        <f>P78*N78/(K78/100)*1.02</f>
        <v>0</v>
      </c>
      <c r="S78" s="1">
        <v>34.209</v>
      </c>
      <c r="T78" s="1">
        <v>7</v>
      </c>
      <c r="U78" s="1">
        <f t="shared" si="62"/>
        <v>7</v>
      </c>
      <c r="V78" s="1">
        <f t="shared" si="63"/>
        <v>42.51</v>
      </c>
      <c r="W78" s="20">
        <f t="shared" si="64"/>
        <v>0.858614421329024</v>
      </c>
      <c r="AA78" s="1">
        <f t="shared" si="65"/>
        <v>41.209</v>
      </c>
      <c r="AB78" s="1">
        <f t="shared" si="66"/>
        <v>8.30099999999999</v>
      </c>
      <c r="AC78" s="20">
        <f t="shared" si="67"/>
        <v>0.167663098363967</v>
      </c>
    </row>
    <row r="79" spans="11:29">
      <c r="K79" s="1">
        <v>100</v>
      </c>
      <c r="L79" s="1">
        <v>45.6</v>
      </c>
      <c r="M79" s="1">
        <v>38.71</v>
      </c>
      <c r="N79" s="1">
        <f t="shared" si="61"/>
        <v>0.84890350877193</v>
      </c>
      <c r="Q79" s="1">
        <f>P79*N79/(K79/100)</f>
        <v>0</v>
      </c>
      <c r="S79" s="1">
        <v>33.71</v>
      </c>
      <c r="T79" s="1">
        <v>7</v>
      </c>
      <c r="U79" s="1">
        <f t="shared" si="62"/>
        <v>7</v>
      </c>
      <c r="V79" s="1">
        <f t="shared" si="63"/>
        <v>31.71</v>
      </c>
      <c r="W79" s="20">
        <f t="shared" si="64"/>
        <v>0.819168173598553</v>
      </c>
      <c r="AA79" s="1">
        <f t="shared" si="65"/>
        <v>40.71</v>
      </c>
      <c r="AB79" s="1">
        <f t="shared" si="66"/>
        <v>2</v>
      </c>
      <c r="AC79" s="20">
        <f t="shared" si="67"/>
        <v>0.051666236114699</v>
      </c>
    </row>
    <row r="82" s="73" customFormat="1" spans="4:27"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71"/>
      <c r="X82" s="9"/>
      <c r="Y82" s="9"/>
      <c r="Z82" s="71"/>
      <c r="AA82" s="9"/>
    </row>
    <row r="83" spans="11:11">
      <c r="K83" s="1"/>
    </row>
    <row r="84" spans="11:16">
      <c r="K84" s="1"/>
      <c r="P84" s="20"/>
    </row>
    <row r="85" spans="11:16">
      <c r="K85" s="1"/>
      <c r="P85" s="20"/>
    </row>
    <row r="86" spans="11:16">
      <c r="K86" s="1"/>
      <c r="P86" s="20"/>
    </row>
    <row r="87" spans="11:16">
      <c r="K87" s="1"/>
      <c r="P87" s="20"/>
    </row>
    <row r="88" spans="11:16">
      <c r="K88" s="1"/>
      <c r="P88" s="20"/>
    </row>
    <row r="89" spans="16:16">
      <c r="P89" s="20"/>
    </row>
    <row r="90" spans="11:16">
      <c r="K90" s="1"/>
      <c r="P90" s="20"/>
    </row>
    <row r="91" spans="11:11">
      <c r="K91" s="1"/>
    </row>
    <row r="92" spans="11:16">
      <c r="K92" s="1"/>
      <c r="P92" s="20"/>
    </row>
    <row r="93" spans="11:16">
      <c r="K93" s="1"/>
      <c r="P93" s="20"/>
    </row>
    <row r="94" spans="11:16">
      <c r="K94" s="1"/>
      <c r="P94" s="20"/>
    </row>
    <row r="95" spans="11:16">
      <c r="K95" s="1"/>
      <c r="P95" s="20"/>
    </row>
    <row r="96" spans="11:16">
      <c r="K96" s="1"/>
      <c r="P96" s="20"/>
    </row>
    <row r="97" spans="16:16">
      <c r="P97" s="20"/>
    </row>
    <row r="98" spans="11:16">
      <c r="K98" s="1"/>
      <c r="P98" s="20"/>
    </row>
    <row r="99" spans="11:11">
      <c r="K99" s="1"/>
    </row>
    <row r="100" spans="11:16">
      <c r="K100" s="1"/>
      <c r="P100" s="20"/>
    </row>
    <row r="101" spans="11:16">
      <c r="K101" s="1"/>
      <c r="P101" s="20"/>
    </row>
    <row r="102" spans="11:16">
      <c r="K102" s="1"/>
      <c r="P102" s="20"/>
    </row>
    <row r="103" spans="11:16">
      <c r="K103" s="1"/>
      <c r="P103" s="20"/>
    </row>
    <row r="104" spans="11:16">
      <c r="K104" s="1"/>
      <c r="P104" s="20"/>
    </row>
    <row r="108" spans="4:5">
      <c r="D108" s="1" t="s">
        <v>233</v>
      </c>
      <c r="E108" s="1" t="s">
        <v>33</v>
      </c>
    </row>
    <row r="109" spans="6:9">
      <c r="F109" s="1">
        <v>1</v>
      </c>
      <c r="G109" s="1">
        <v>8</v>
      </c>
      <c r="H109" s="1">
        <v>16</v>
      </c>
      <c r="I109" s="1">
        <v>32</v>
      </c>
    </row>
    <row r="110" spans="5:9">
      <c r="E110" s="1">
        <v>10</v>
      </c>
      <c r="F110" s="1">
        <v>5.864</v>
      </c>
      <c r="G110" s="1">
        <v>19.42</v>
      </c>
      <c r="H110" s="1">
        <v>33.97</v>
      </c>
      <c r="I110" s="1">
        <v>62.88</v>
      </c>
    </row>
    <row r="111" spans="5:9">
      <c r="E111" s="1">
        <v>50</v>
      </c>
      <c r="F111" s="1" t="s">
        <v>234</v>
      </c>
      <c r="G111" s="1" t="s">
        <v>235</v>
      </c>
      <c r="H111" s="1">
        <v>9.05</v>
      </c>
      <c r="I111" s="1">
        <v>16.92</v>
      </c>
    </row>
    <row r="112" spans="5:9">
      <c r="E112" s="1">
        <v>100</v>
      </c>
      <c r="F112" s="1">
        <v>5.02</v>
      </c>
      <c r="G112" s="1">
        <v>5.18</v>
      </c>
      <c r="H112" s="1">
        <v>7.03</v>
      </c>
      <c r="I112" s="1">
        <v>13.66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66"/>
  <sheetViews>
    <sheetView zoomScale="70" zoomScaleNormal="70" workbookViewId="0">
      <selection activeCell="H27" sqref="H27"/>
    </sheetView>
  </sheetViews>
  <sheetFormatPr defaultColWidth="8.88888888888889" defaultRowHeight="14.4"/>
  <cols>
    <col min="4" max="4" width="14.3333333333333" customWidth="1"/>
    <col min="10" max="10" width="6.18518518518519" style="1" customWidth="1"/>
    <col min="11" max="11" width="6.66666666666667" customWidth="1"/>
    <col min="12" max="12" width="6.66666666666667" style="1" customWidth="1"/>
    <col min="13" max="14" width="18.4444444444444" customWidth="1"/>
    <col min="15" max="17" width="12.8888888888889"/>
  </cols>
  <sheetData>
    <row r="1" spans="3:3">
      <c r="C1">
        <v>6.19</v>
      </c>
    </row>
    <row r="2" spans="3:8">
      <c r="C2" s="1" t="s">
        <v>3</v>
      </c>
      <c r="D2" s="1" t="s">
        <v>33</v>
      </c>
      <c r="E2" s="1"/>
      <c r="F2" s="1"/>
      <c r="G2" s="1"/>
      <c r="H2" s="1"/>
    </row>
    <row r="3" spans="3:8">
      <c r="C3" s="1"/>
      <c r="D3" s="1"/>
      <c r="E3" s="1">
        <v>1</v>
      </c>
      <c r="F3" s="1">
        <v>8</v>
      </c>
      <c r="G3" s="1">
        <v>16</v>
      </c>
      <c r="H3" s="1">
        <v>32</v>
      </c>
    </row>
    <row r="4" spans="3:8">
      <c r="C4" s="1"/>
      <c r="D4" s="1">
        <v>10</v>
      </c>
      <c r="E4" s="1">
        <v>16.19</v>
      </c>
      <c r="F4" s="1">
        <v>65.7</v>
      </c>
      <c r="G4" s="1">
        <v>109.7</v>
      </c>
      <c r="H4" s="1">
        <v>201.51</v>
      </c>
    </row>
    <row r="5" spans="3:8">
      <c r="C5" s="1"/>
      <c r="D5" s="1">
        <v>25</v>
      </c>
      <c r="E5" s="1">
        <v>7.22</v>
      </c>
      <c r="F5" s="1">
        <v>27.54</v>
      </c>
      <c r="G5" s="1">
        <v>45.43</v>
      </c>
      <c r="H5" s="1">
        <v>82.42</v>
      </c>
    </row>
    <row r="6" spans="3:8">
      <c r="C6" s="1"/>
      <c r="D6" s="1">
        <v>50</v>
      </c>
      <c r="E6" s="1">
        <v>5.77</v>
      </c>
      <c r="F6" s="1">
        <v>16.78</v>
      </c>
      <c r="G6" s="1">
        <v>27.28</v>
      </c>
      <c r="H6" s="1">
        <v>49.61</v>
      </c>
    </row>
    <row r="7" spans="3:8">
      <c r="C7" s="1"/>
      <c r="D7" s="1">
        <v>75</v>
      </c>
      <c r="E7" s="1">
        <v>5.38</v>
      </c>
      <c r="F7" s="1">
        <v>13.62</v>
      </c>
      <c r="G7" s="1">
        <v>22.59</v>
      </c>
      <c r="H7" s="1">
        <v>41.66</v>
      </c>
    </row>
    <row r="8" spans="3:8">
      <c r="C8" s="1"/>
      <c r="D8" s="1">
        <v>100</v>
      </c>
      <c r="E8" s="1">
        <v>5.2</v>
      </c>
      <c r="F8" s="1">
        <v>10.71</v>
      </c>
      <c r="G8" s="1">
        <v>20.67</v>
      </c>
      <c r="H8" s="1">
        <v>38.01</v>
      </c>
    </row>
    <row r="9" spans="3:8">
      <c r="C9" s="1"/>
      <c r="D9" s="1"/>
      <c r="E9" s="1"/>
      <c r="F9" s="1"/>
      <c r="G9" s="1"/>
      <c r="H9" s="1"/>
    </row>
    <row r="10" spans="3:17">
      <c r="C10" s="1"/>
      <c r="D10" s="1" t="s">
        <v>229</v>
      </c>
      <c r="E10" s="1">
        <v>1</v>
      </c>
      <c r="F10" s="1">
        <v>8</v>
      </c>
      <c r="G10" s="1">
        <v>16</v>
      </c>
      <c r="H10" s="1"/>
      <c r="I10" s="1" t="s">
        <v>236</v>
      </c>
      <c r="J10" s="1">
        <v>1</v>
      </c>
      <c r="K10" s="1">
        <v>8</v>
      </c>
      <c r="L10" s="1">
        <v>16</v>
      </c>
      <c r="M10" s="1"/>
      <c r="N10" s="1" t="s">
        <v>237</v>
      </c>
      <c r="O10" s="1">
        <v>1</v>
      </c>
      <c r="P10" s="1">
        <v>8</v>
      </c>
      <c r="Q10" s="1">
        <v>16</v>
      </c>
    </row>
    <row r="11" spans="3:17">
      <c r="C11" s="1"/>
      <c r="D11" s="1">
        <v>10</v>
      </c>
      <c r="E11" s="70">
        <v>15.5768496282535</v>
      </c>
      <c r="F11" s="70">
        <v>63.0828306429435</v>
      </c>
      <c r="G11" s="70">
        <v>102.31061262171</v>
      </c>
      <c r="H11" s="1"/>
      <c r="I11" s="1">
        <v>10</v>
      </c>
      <c r="J11" s="1">
        <v>1.2</v>
      </c>
      <c r="K11" s="1">
        <v>0.8</v>
      </c>
      <c r="L11" s="1">
        <v>0.6</v>
      </c>
      <c r="M11" s="1"/>
      <c r="N11" s="1">
        <v>10</v>
      </c>
      <c r="O11" s="1">
        <v>15.28</v>
      </c>
      <c r="P11" s="1">
        <v>59.54</v>
      </c>
      <c r="Q11" s="1">
        <v>108.39</v>
      </c>
    </row>
    <row r="12" spans="3:17">
      <c r="C12" s="1"/>
      <c r="D12" s="1">
        <v>25</v>
      </c>
      <c r="E12" s="70">
        <v>7.46258625439078</v>
      </c>
      <c r="F12" s="70">
        <v>29.1234584466991</v>
      </c>
      <c r="G12" s="70">
        <v>47.1239999628814</v>
      </c>
      <c r="H12" s="1"/>
      <c r="I12" s="1">
        <v>25</v>
      </c>
      <c r="J12" s="1">
        <v>1.2</v>
      </c>
      <c r="K12" s="1">
        <v>0.8</v>
      </c>
      <c r="L12" s="1">
        <v>0.6</v>
      </c>
      <c r="M12" s="1"/>
      <c r="N12" s="1">
        <v>25</v>
      </c>
      <c r="O12" s="1">
        <v>10.17</v>
      </c>
      <c r="P12" s="1">
        <v>30.29</v>
      </c>
      <c r="Q12" s="1">
        <v>50.47</v>
      </c>
    </row>
    <row r="13" spans="3:17">
      <c r="C13" s="1"/>
      <c r="D13" s="1">
        <v>50</v>
      </c>
      <c r="E13" s="70">
        <v>5.09485081248788</v>
      </c>
      <c r="F13" s="70">
        <v>17.2386047319983</v>
      </c>
      <c r="G13" s="70">
        <v>28.3342301183531</v>
      </c>
      <c r="H13" s="1"/>
      <c r="I13" s="1">
        <v>50</v>
      </c>
      <c r="J13" s="1">
        <v>1.2</v>
      </c>
      <c r="K13" s="1">
        <v>0.8</v>
      </c>
      <c r="L13" s="1">
        <v>0.6</v>
      </c>
      <c r="M13" s="1"/>
      <c r="N13" s="1">
        <v>50</v>
      </c>
      <c r="O13" s="1">
        <v>8.14</v>
      </c>
      <c r="P13" s="1">
        <v>18.68</v>
      </c>
      <c r="Q13" s="1">
        <v>29.31</v>
      </c>
    </row>
    <row r="14" spans="3:17">
      <c r="C14" s="1"/>
      <c r="D14" s="1">
        <v>75</v>
      </c>
      <c r="E14" s="70">
        <v>4.55992225502469</v>
      </c>
      <c r="F14" s="70">
        <v>13.9274970863949</v>
      </c>
      <c r="G14" s="70">
        <v>22.284673759668</v>
      </c>
      <c r="H14" s="1"/>
      <c r="I14" s="1">
        <v>75</v>
      </c>
      <c r="J14" s="1">
        <v>1.2</v>
      </c>
      <c r="K14" s="1">
        <v>0.8</v>
      </c>
      <c r="L14" s="1">
        <v>0.6</v>
      </c>
      <c r="M14" s="1"/>
      <c r="N14" s="1">
        <v>75</v>
      </c>
      <c r="O14" s="1">
        <v>7.41</v>
      </c>
      <c r="P14" s="1">
        <v>14.77</v>
      </c>
      <c r="Q14" s="1">
        <v>24.44</v>
      </c>
    </row>
    <row r="15" spans="3:17">
      <c r="C15" s="1"/>
      <c r="D15" s="1">
        <v>100</v>
      </c>
      <c r="E15" s="70">
        <v>4.13799935444723</v>
      </c>
      <c r="F15" s="70">
        <v>10.9036323266217</v>
      </c>
      <c r="G15" s="70">
        <v>19.1718209215467</v>
      </c>
      <c r="H15" s="1"/>
      <c r="I15" s="1">
        <v>100</v>
      </c>
      <c r="J15" s="1">
        <v>1.2</v>
      </c>
      <c r="K15" s="1">
        <v>0.8</v>
      </c>
      <c r="L15" s="1">
        <v>0.6</v>
      </c>
      <c r="M15" s="1"/>
      <c r="N15" s="1">
        <v>100</v>
      </c>
      <c r="O15" s="1">
        <v>7.05</v>
      </c>
      <c r="P15" s="1">
        <v>12.26</v>
      </c>
      <c r="Q15" s="1">
        <v>18.62</v>
      </c>
    </row>
    <row r="16" spans="3:8">
      <c r="C16" s="1"/>
      <c r="H16" s="1"/>
    </row>
    <row r="17" spans="3:17">
      <c r="C17" s="1"/>
      <c r="D17" s="1" t="s">
        <v>238</v>
      </c>
      <c r="E17" s="1">
        <v>1</v>
      </c>
      <c r="F17" s="1">
        <v>8</v>
      </c>
      <c r="G17" s="1">
        <v>16</v>
      </c>
      <c r="H17" s="1"/>
      <c r="K17" s="1"/>
      <c r="M17" s="1"/>
      <c r="N17" s="1" t="s">
        <v>238</v>
      </c>
      <c r="O17" s="1">
        <v>1</v>
      </c>
      <c r="P17" s="1">
        <v>8</v>
      </c>
      <c r="Q17" s="1">
        <v>16</v>
      </c>
    </row>
    <row r="18" spans="3:17">
      <c r="C18" s="1"/>
      <c r="D18" s="1">
        <v>10</v>
      </c>
      <c r="E18" s="71">
        <f>ABS(E11+J11-E4)/E4</f>
        <v>0.036247660793916</v>
      </c>
      <c r="F18" s="71">
        <f>ABS(F11+K11-F4)/F4</f>
        <v>0.0276585899095359</v>
      </c>
      <c r="G18" s="71">
        <f>ABS(G11+L11-G4)/G4</f>
        <v>0.0618904957</v>
      </c>
      <c r="H18" s="1"/>
      <c r="K18" s="1"/>
      <c r="M18" s="1"/>
      <c r="N18" s="1">
        <v>10</v>
      </c>
      <c r="O18" s="69">
        <f>ABS(O11-E4)/E4</f>
        <v>0.0562075355157506</v>
      </c>
      <c r="P18" s="69">
        <f>ABS(P11-F4)/F4</f>
        <v>0.0937595129375952</v>
      </c>
      <c r="Q18" s="69">
        <f>ABS(Q11-G4)/G4</f>
        <v>0.0119416590701915</v>
      </c>
    </row>
    <row r="19" spans="3:17">
      <c r="C19" s="1"/>
      <c r="D19" s="1">
        <v>25</v>
      </c>
      <c r="E19" s="71">
        <f>ABS(E12+J12-E5)/E5</f>
        <v>0.199804190358834</v>
      </c>
      <c r="F19" s="71">
        <f>ABS(F12+K12-F5)/F5</f>
        <v>0.0865453321241504</v>
      </c>
      <c r="G19" s="71">
        <f>ABS(G12+L12-G5)/G5</f>
        <v>0.0504952666273696</v>
      </c>
      <c r="H19" s="1"/>
      <c r="K19" s="1"/>
      <c r="M19" s="1"/>
      <c r="N19" s="1">
        <v>25</v>
      </c>
      <c r="O19" s="69">
        <f>ABS(O12-E5)/E5</f>
        <v>0.408587257617729</v>
      </c>
      <c r="P19" s="69">
        <f>ABS(P12-F5)/F5</f>
        <v>0.0998547567175018</v>
      </c>
      <c r="Q19" s="69">
        <f>ABS(Q12-G5)/G5</f>
        <v>0.110939907550077</v>
      </c>
    </row>
    <row r="20" spans="3:17">
      <c r="C20" s="1"/>
      <c r="D20" s="1">
        <v>50</v>
      </c>
      <c r="E20" s="71">
        <f>ABS(E13+J13-E6)/E6</f>
        <v>0.0909620125628909</v>
      </c>
      <c r="F20" s="71">
        <f>ABS(F13+K13-F6)/F6</f>
        <v>0.0750062414778486</v>
      </c>
      <c r="G20" s="71">
        <f>ABS(G13+L13-G6)/G6</f>
        <v>0.0606389339572251</v>
      </c>
      <c r="H20" s="1"/>
      <c r="K20" s="1"/>
      <c r="M20" s="1"/>
      <c r="N20" s="1">
        <v>50</v>
      </c>
      <c r="O20" s="69">
        <f>ABS(O13-E6)/E6</f>
        <v>0.410745233968804</v>
      </c>
      <c r="P20" s="69">
        <f>ABS(P13-F6)/F6</f>
        <v>0.113230035756853</v>
      </c>
      <c r="Q20" s="69">
        <f>ABS(Q13-G6)/G6</f>
        <v>0.0744134897360703</v>
      </c>
    </row>
    <row r="21" spans="3:17">
      <c r="C21" s="1"/>
      <c r="D21" s="1">
        <v>75</v>
      </c>
      <c r="E21" s="71">
        <f>ABS(E14+J14-E7)/E7</f>
        <v>0.0706175195213178</v>
      </c>
      <c r="F21" s="71">
        <f>ABS(F14+K14-F7)/F7</f>
        <v>0.0813140298380986</v>
      </c>
      <c r="G21" s="71">
        <f>ABS(G14+L14-G7)/G7</f>
        <v>0.0130444338055777</v>
      </c>
      <c r="H21" s="1"/>
      <c r="K21" s="1"/>
      <c r="M21" s="1"/>
      <c r="N21" s="1">
        <v>75</v>
      </c>
      <c r="O21" s="69">
        <f>ABS(O14-E7)/E7</f>
        <v>0.377323420074349</v>
      </c>
      <c r="P21" s="69">
        <f>ABS(P14-F7)/F7</f>
        <v>0.0844346549192364</v>
      </c>
      <c r="Q21" s="69">
        <f>ABS(Q14-G7)/G7</f>
        <v>0.0818946436476318</v>
      </c>
    </row>
    <row r="22" spans="4:17">
      <c r="D22" s="1">
        <v>100</v>
      </c>
      <c r="E22" s="71">
        <f>ABS(E15+J15-E8)/E8</f>
        <v>0.0265383373936982</v>
      </c>
      <c r="F22" s="71">
        <f>ABS(F15+K15-F8)/F8</f>
        <v>0.0927761276023996</v>
      </c>
      <c r="G22" s="71">
        <f>ABS(G15+L15-G8)/G8</f>
        <v>0.0434532693978374</v>
      </c>
      <c r="K22" s="1"/>
      <c r="M22" s="1"/>
      <c r="N22" s="1">
        <v>100</v>
      </c>
      <c r="O22" s="69">
        <f>ABS(O15-E8)/E8</f>
        <v>0.355769230769231</v>
      </c>
      <c r="P22" s="69">
        <f>ABS(P15-F8)/F8</f>
        <v>0.144724556489262</v>
      </c>
      <c r="Q22" s="69">
        <f>ABS(Q15-G8)/G8</f>
        <v>0.0991775520077407</v>
      </c>
    </row>
    <row r="24" spans="3:8">
      <c r="C24" s="1" t="s">
        <v>32</v>
      </c>
      <c r="D24" s="1" t="s">
        <v>33</v>
      </c>
      <c r="E24" s="1"/>
      <c r="F24" s="1"/>
      <c r="G24" s="1"/>
      <c r="H24" s="1"/>
    </row>
    <row r="25" spans="3:8">
      <c r="C25" s="1"/>
      <c r="D25" s="1"/>
      <c r="E25" s="1">
        <v>1</v>
      </c>
      <c r="F25" s="1">
        <v>8</v>
      </c>
      <c r="G25" s="1">
        <v>16</v>
      </c>
      <c r="H25" s="1">
        <v>32</v>
      </c>
    </row>
    <row r="26" spans="3:8">
      <c r="C26" s="1"/>
      <c r="D26" s="1">
        <v>10</v>
      </c>
      <c r="E26" s="1">
        <v>27.1</v>
      </c>
      <c r="F26" s="1">
        <v>172.15</v>
      </c>
      <c r="G26" s="1">
        <v>208.56</v>
      </c>
      <c r="H26" s="1">
        <v>399.5</v>
      </c>
    </row>
    <row r="27" spans="3:8">
      <c r="C27" s="1"/>
      <c r="D27" s="1">
        <v>25</v>
      </c>
      <c r="E27" s="1">
        <v>10.81</v>
      </c>
      <c r="F27" s="1">
        <v>66.36</v>
      </c>
      <c r="G27" s="1">
        <v>80.58</v>
      </c>
      <c r="H27" s="1">
        <v>155.76</v>
      </c>
    </row>
    <row r="28" spans="3:8">
      <c r="C28" s="1"/>
      <c r="D28" s="1">
        <v>50</v>
      </c>
      <c r="E28" s="1">
        <v>6.29</v>
      </c>
      <c r="F28" s="1">
        <v>35.27</v>
      </c>
      <c r="G28" s="1">
        <v>45.04</v>
      </c>
      <c r="H28" s="1">
        <v>86.03</v>
      </c>
    </row>
    <row r="29" spans="3:8">
      <c r="C29" s="1"/>
      <c r="D29" s="1">
        <v>75</v>
      </c>
      <c r="E29" s="1">
        <v>5.4</v>
      </c>
      <c r="F29" s="1">
        <v>27.91</v>
      </c>
      <c r="G29" s="1">
        <v>37.35</v>
      </c>
      <c r="H29" s="1">
        <v>71.09</v>
      </c>
    </row>
    <row r="30" spans="3:8">
      <c r="C30" s="1"/>
      <c r="D30" s="1">
        <v>100</v>
      </c>
      <c r="E30" s="1">
        <v>4.68</v>
      </c>
      <c r="F30" s="1">
        <v>23.35</v>
      </c>
      <c r="G30" s="1">
        <v>32.85</v>
      </c>
      <c r="H30" s="1">
        <v>62.65</v>
      </c>
    </row>
    <row r="31" spans="3:8">
      <c r="C31" s="1"/>
      <c r="D31" s="1"/>
      <c r="E31" s="1"/>
      <c r="F31" s="1"/>
      <c r="G31" s="1"/>
      <c r="H31" s="1"/>
    </row>
    <row r="32" spans="3:17">
      <c r="C32" s="1"/>
      <c r="D32" s="1" t="s">
        <v>229</v>
      </c>
      <c r="E32" s="1">
        <v>1</v>
      </c>
      <c r="F32" s="1">
        <v>8</v>
      </c>
      <c r="G32" s="1">
        <v>16</v>
      </c>
      <c r="H32" s="1"/>
      <c r="I32" s="1" t="s">
        <v>236</v>
      </c>
      <c r="J32" s="1">
        <v>1</v>
      </c>
      <c r="K32" s="1">
        <v>8</v>
      </c>
      <c r="L32" s="1">
        <v>16</v>
      </c>
      <c r="M32" s="1"/>
      <c r="N32" s="1" t="s">
        <v>237</v>
      </c>
      <c r="O32" s="1">
        <v>1</v>
      </c>
      <c r="P32" s="1">
        <v>8</v>
      </c>
      <c r="Q32" s="1">
        <v>16</v>
      </c>
    </row>
    <row r="33" spans="3:17">
      <c r="C33" s="1"/>
      <c r="D33" s="1">
        <v>10</v>
      </c>
      <c r="E33" s="70">
        <v>25.6302990136445</v>
      </c>
      <c r="F33" s="70">
        <v>160.693000598965</v>
      </c>
      <c r="G33" s="70">
        <v>192.91375597871</v>
      </c>
      <c r="H33" s="1"/>
      <c r="I33" s="1">
        <v>10</v>
      </c>
      <c r="J33" s="1">
        <v>0.5</v>
      </c>
      <c r="K33" s="1">
        <v>0.4</v>
      </c>
      <c r="L33" s="1">
        <v>0.3</v>
      </c>
      <c r="M33" s="1"/>
      <c r="N33" s="1">
        <v>10</v>
      </c>
      <c r="O33" s="1">
        <v>25.78</v>
      </c>
      <c r="P33" s="1">
        <v>111.46</v>
      </c>
      <c r="Q33" s="1">
        <v>206.59</v>
      </c>
    </row>
    <row r="34" spans="3:17">
      <c r="C34" s="1"/>
      <c r="D34" s="1">
        <v>25</v>
      </c>
      <c r="E34" s="70">
        <v>11.2047065879396</v>
      </c>
      <c r="F34" s="70">
        <v>70.5051352046974</v>
      </c>
      <c r="G34" s="70">
        <v>84.5140575023294</v>
      </c>
      <c r="H34" s="1"/>
      <c r="I34" s="1">
        <v>25</v>
      </c>
      <c r="J34" s="1">
        <v>0.5</v>
      </c>
      <c r="K34" s="1">
        <v>0.4</v>
      </c>
      <c r="L34" s="1">
        <v>0.3</v>
      </c>
      <c r="M34" s="1"/>
      <c r="N34" s="1">
        <v>25</v>
      </c>
      <c r="O34" s="1">
        <v>13.06</v>
      </c>
      <c r="P34" s="1">
        <v>50.54</v>
      </c>
      <c r="Q34" s="1">
        <v>89.81</v>
      </c>
    </row>
    <row r="35" spans="3:17">
      <c r="C35" s="1"/>
      <c r="D35" s="1">
        <v>50</v>
      </c>
      <c r="E35" s="70">
        <v>6.39137154776442</v>
      </c>
      <c r="F35" s="70">
        <v>37.7794438338715</v>
      </c>
      <c r="G35" s="70">
        <v>46.3893441776822</v>
      </c>
      <c r="H35" s="1"/>
      <c r="I35" s="1">
        <v>50</v>
      </c>
      <c r="J35" s="1">
        <v>0.5</v>
      </c>
      <c r="K35" s="1">
        <v>0.4</v>
      </c>
      <c r="L35" s="1">
        <v>0.3</v>
      </c>
      <c r="M35" s="1"/>
      <c r="N35" s="1">
        <v>50</v>
      </c>
      <c r="O35" s="1">
        <v>8.91</v>
      </c>
      <c r="P35" s="1">
        <v>29.93</v>
      </c>
      <c r="Q35" s="1">
        <v>48.39</v>
      </c>
    </row>
    <row r="36" spans="3:17">
      <c r="C36" s="1"/>
      <c r="D36" s="1">
        <v>75</v>
      </c>
      <c r="E36" s="70">
        <v>5.15156552367953</v>
      </c>
      <c r="F36" s="70">
        <v>28.2387931933576</v>
      </c>
      <c r="G36" s="70">
        <v>35.5654158356968</v>
      </c>
      <c r="H36" s="1"/>
      <c r="I36" s="1">
        <v>75</v>
      </c>
      <c r="J36" s="1">
        <v>0.5</v>
      </c>
      <c r="K36" s="1">
        <v>0.4</v>
      </c>
      <c r="L36" s="1">
        <v>0.3</v>
      </c>
      <c r="M36" s="1"/>
      <c r="N36" s="1">
        <v>75</v>
      </c>
      <c r="O36" s="1">
        <v>6.49</v>
      </c>
      <c r="P36" s="1">
        <v>21.58</v>
      </c>
      <c r="Q36" s="1">
        <v>34.31</v>
      </c>
    </row>
    <row r="37" spans="3:17">
      <c r="C37" s="1"/>
      <c r="D37" s="1">
        <v>100</v>
      </c>
      <c r="E37" s="70">
        <v>4.48598554433004</v>
      </c>
      <c r="F37" s="70">
        <v>22.6235566184764</v>
      </c>
      <c r="G37" s="70">
        <v>30.1886161920965</v>
      </c>
      <c r="H37" s="1"/>
      <c r="I37" s="1">
        <v>100</v>
      </c>
      <c r="J37" s="1">
        <v>0.5</v>
      </c>
      <c r="K37" s="1">
        <v>0.4</v>
      </c>
      <c r="L37" s="1">
        <v>0.3</v>
      </c>
      <c r="M37" s="1"/>
      <c r="N37" s="1">
        <v>100</v>
      </c>
      <c r="O37" s="1">
        <v>6.78</v>
      </c>
      <c r="P37" s="1">
        <v>17.87</v>
      </c>
      <c r="Q37" s="1">
        <v>27.19</v>
      </c>
    </row>
    <row r="38" spans="3:8">
      <c r="C38" s="1"/>
      <c r="H38" s="1"/>
    </row>
    <row r="39" spans="3:17">
      <c r="C39" s="1"/>
      <c r="D39" s="1" t="s">
        <v>238</v>
      </c>
      <c r="E39" s="1">
        <v>1</v>
      </c>
      <c r="F39" s="1">
        <v>8</v>
      </c>
      <c r="G39" s="1">
        <v>16</v>
      </c>
      <c r="H39" s="1"/>
      <c r="K39" s="1"/>
      <c r="M39" s="1"/>
      <c r="N39" s="1" t="s">
        <v>238</v>
      </c>
      <c r="O39" s="1">
        <v>1</v>
      </c>
      <c r="P39" s="1">
        <v>8</v>
      </c>
      <c r="Q39" s="1">
        <v>16</v>
      </c>
    </row>
    <row r="40" spans="3:17">
      <c r="C40" s="1"/>
      <c r="D40" s="1">
        <v>10</v>
      </c>
      <c r="E40" s="71">
        <f>ABS(E33+J33-E26)/E26</f>
        <v>0.0357823242197602</v>
      </c>
      <c r="F40" s="71">
        <f>ABS(F33+K33-F26)/F26</f>
        <v>0.0642288666920418</v>
      </c>
      <c r="G40" s="71">
        <f>ABS(G33+L33-G26)/G26</f>
        <v>0.0735819141795647</v>
      </c>
      <c r="H40" s="1"/>
      <c r="K40" s="1"/>
      <c r="M40" s="1"/>
      <c r="N40" s="1">
        <v>10</v>
      </c>
      <c r="O40" s="69">
        <f>ABS(O33-E26)/E26</f>
        <v>0.0487084870848709</v>
      </c>
      <c r="P40" s="69">
        <f>ABS(P33-F26)/F26</f>
        <v>0.352541388324136</v>
      </c>
      <c r="Q40" s="69">
        <f>ABS(Q33-G26)/G26</f>
        <v>0.00944572305331799</v>
      </c>
    </row>
    <row r="41" spans="3:17">
      <c r="C41" s="1"/>
      <c r="D41" s="1">
        <v>25</v>
      </c>
      <c r="E41" s="71">
        <f>ABS(E34+J34-E27)/E27</f>
        <v>0.0827665668769288</v>
      </c>
      <c r="F41" s="71">
        <f>ABS(F34+K34-F27)/F27</f>
        <v>0.0684920916922454</v>
      </c>
      <c r="G41" s="71">
        <f>ABS(G34+L34-G27)/G27</f>
        <v>0.0525447692024</v>
      </c>
      <c r="H41" s="1"/>
      <c r="K41" s="1"/>
      <c r="M41" s="1"/>
      <c r="N41" s="1">
        <v>25</v>
      </c>
      <c r="O41" s="69">
        <f>ABS(O34-E27)/E27</f>
        <v>0.208140610545791</v>
      </c>
      <c r="P41" s="69">
        <f>ABS(P34-F27)/F27</f>
        <v>0.238396624472574</v>
      </c>
      <c r="Q41" s="69">
        <f>ABS(Q34-G27)/G27</f>
        <v>0.114544551998014</v>
      </c>
    </row>
    <row r="42" spans="3:17">
      <c r="C42" s="1"/>
      <c r="D42" s="1">
        <v>50</v>
      </c>
      <c r="E42" s="71">
        <f>ABS(E35+J35-E28)/E28</f>
        <v>0.0956075592630238</v>
      </c>
      <c r="F42" s="71">
        <f>ABS(F35+K35-F28)/F28</f>
        <v>0.0824906105435637</v>
      </c>
      <c r="G42" s="71">
        <f>ABS(G35+L35-G28)/G28</f>
        <v>0.0366195421332637</v>
      </c>
      <c r="H42" s="1"/>
      <c r="K42" s="1"/>
      <c r="M42" s="1"/>
      <c r="N42" s="1">
        <v>50</v>
      </c>
      <c r="O42" s="69">
        <f>ABS(O35-E28)/E28</f>
        <v>0.416534181240064</v>
      </c>
      <c r="P42" s="69">
        <f>ABS(P35-F28)/F28</f>
        <v>0.151403459030337</v>
      </c>
      <c r="Q42" s="69">
        <f>ABS(Q35-G28)/G28</f>
        <v>0.0743783303730018</v>
      </c>
    </row>
    <row r="43" spans="3:17">
      <c r="C43" s="1"/>
      <c r="D43" s="1">
        <v>75</v>
      </c>
      <c r="E43" s="71">
        <f>ABS(E36+J36-E29)/E29</f>
        <v>0.0465862080888017</v>
      </c>
      <c r="F43" s="71">
        <f>ABS(F36+K36-F29)/F29</f>
        <v>0.0261122606004156</v>
      </c>
      <c r="G43" s="71">
        <f>ABS(G36+L36-G29)/G29</f>
        <v>0.0397479026587204</v>
      </c>
      <c r="H43" s="1"/>
      <c r="K43" s="1"/>
      <c r="M43" s="1"/>
      <c r="N43" s="1">
        <v>75</v>
      </c>
      <c r="O43" s="69">
        <f>ABS(O36-E29)/E29</f>
        <v>0.201851851851852</v>
      </c>
      <c r="P43" s="69">
        <f>ABS(P36-F29)/F29</f>
        <v>0.226800429953422</v>
      </c>
      <c r="Q43" s="69">
        <f>ABS(Q36-G29)/G29</f>
        <v>0.0813922356091031</v>
      </c>
    </row>
    <row r="44" spans="4:17">
      <c r="D44" s="1">
        <v>100</v>
      </c>
      <c r="E44" s="71">
        <f>ABS(E37+J37-E30)/E30</f>
        <v>0.0653815265662479</v>
      </c>
      <c r="F44" s="71">
        <f>ABS(F37+K37-F30)/F30</f>
        <v>0.0139804446048652</v>
      </c>
      <c r="G44" s="71">
        <f>ABS(G37+L37-G30)/G30</f>
        <v>0.0718838297687519</v>
      </c>
      <c r="K44" s="1"/>
      <c r="M44" s="1"/>
      <c r="N44" s="1">
        <v>100</v>
      </c>
      <c r="O44" s="69">
        <f>ABS(O37-E30)/E30</f>
        <v>0.448717948717949</v>
      </c>
      <c r="P44" s="69">
        <f>ABS(P37-F30)/F30</f>
        <v>0.234689507494647</v>
      </c>
      <c r="Q44" s="69">
        <f>ABS(Q37-G30)/G30</f>
        <v>0.172298325722983</v>
      </c>
    </row>
    <row r="46" spans="3:8">
      <c r="C46" s="1" t="s">
        <v>232</v>
      </c>
      <c r="D46" s="1" t="s">
        <v>33</v>
      </c>
      <c r="E46" s="1"/>
      <c r="F46" s="1"/>
      <c r="G46" s="1"/>
      <c r="H46" s="1"/>
    </row>
    <row r="47" spans="3:8">
      <c r="C47" s="1"/>
      <c r="D47" s="1"/>
      <c r="E47" s="1">
        <v>1</v>
      </c>
      <c r="F47" s="1">
        <v>8</v>
      </c>
      <c r="G47" s="1">
        <v>16</v>
      </c>
      <c r="H47" s="1">
        <v>32</v>
      </c>
    </row>
    <row r="48" spans="3:8">
      <c r="C48" s="1"/>
      <c r="D48" s="1">
        <v>10</v>
      </c>
      <c r="E48" s="1">
        <v>47.8</v>
      </c>
      <c r="F48" s="1">
        <v>118.04</v>
      </c>
      <c r="G48" s="1">
        <v>186.54</v>
      </c>
      <c r="H48" s="1">
        <v>330.61</v>
      </c>
    </row>
    <row r="49" spans="3:8">
      <c r="C49" s="1"/>
      <c r="D49" s="1">
        <v>25</v>
      </c>
      <c r="E49" s="1">
        <v>31.3</v>
      </c>
      <c r="F49" s="1">
        <v>64.11</v>
      </c>
      <c r="G49" s="1">
        <v>110.32</v>
      </c>
      <c r="H49" s="1">
        <v>185.12</v>
      </c>
    </row>
    <row r="50" spans="3:8">
      <c r="C50" s="1"/>
      <c r="D50" s="1">
        <v>50</v>
      </c>
      <c r="E50" s="1">
        <v>28.6</v>
      </c>
      <c r="F50" s="1">
        <v>39.89</v>
      </c>
      <c r="G50" s="1">
        <v>62.48</v>
      </c>
      <c r="H50" s="1">
        <v>103.64</v>
      </c>
    </row>
    <row r="51" spans="3:8">
      <c r="C51" s="1"/>
      <c r="D51" s="1">
        <v>75</v>
      </c>
      <c r="E51" s="1">
        <v>24.4</v>
      </c>
      <c r="F51" s="1">
        <v>32.19</v>
      </c>
      <c r="G51" s="1">
        <v>49.69</v>
      </c>
      <c r="H51" s="1">
        <v>82.81</v>
      </c>
    </row>
    <row r="52" spans="3:8">
      <c r="C52" s="1"/>
      <c r="D52" s="1">
        <v>100</v>
      </c>
      <c r="E52" s="1">
        <v>23.5</v>
      </c>
      <c r="F52" s="1">
        <v>29.51</v>
      </c>
      <c r="G52" s="1">
        <v>46.35</v>
      </c>
      <c r="H52" s="1">
        <v>68.17</v>
      </c>
    </row>
    <row r="54" spans="4:17">
      <c r="D54" s="1" t="s">
        <v>229</v>
      </c>
      <c r="E54" s="1">
        <v>1</v>
      </c>
      <c r="F54" s="1">
        <v>8</v>
      </c>
      <c r="G54" s="1">
        <v>16</v>
      </c>
      <c r="I54" s="1" t="s">
        <v>236</v>
      </c>
      <c r="J54" s="1">
        <v>1</v>
      </c>
      <c r="K54" s="1">
        <v>8</v>
      </c>
      <c r="L54" s="1">
        <v>16</v>
      </c>
      <c r="N54" s="1" t="s">
        <v>237</v>
      </c>
      <c r="O54" s="1">
        <v>1</v>
      </c>
      <c r="P54" s="1">
        <v>8</v>
      </c>
      <c r="Q54" s="1">
        <v>16</v>
      </c>
    </row>
    <row r="55" spans="4:17">
      <c r="D55" s="1">
        <v>10</v>
      </c>
      <c r="E55" s="70">
        <v>34.9360939686819</v>
      </c>
      <c r="F55" s="70">
        <v>111.082796777245</v>
      </c>
      <c r="G55" s="70">
        <v>173.490644904301</v>
      </c>
      <c r="I55" s="1">
        <v>10</v>
      </c>
      <c r="J55" s="1">
        <v>11</v>
      </c>
      <c r="K55" s="1">
        <v>8</v>
      </c>
      <c r="L55" s="1">
        <v>5</v>
      </c>
      <c r="M55" s="1"/>
      <c r="N55" s="1">
        <v>10</v>
      </c>
      <c r="O55" s="1">
        <v>37.15</v>
      </c>
      <c r="P55" s="1">
        <v>106.99</v>
      </c>
      <c r="Q55" s="1">
        <v>183.59</v>
      </c>
    </row>
    <row r="56" spans="4:17">
      <c r="D56" s="1">
        <v>25</v>
      </c>
      <c r="E56" s="70">
        <v>21.3004786748393</v>
      </c>
      <c r="F56" s="70">
        <v>51.8864836112823</v>
      </c>
      <c r="G56" s="70">
        <v>84.4983278281959</v>
      </c>
      <c r="I56" s="1">
        <v>25</v>
      </c>
      <c r="J56" s="1">
        <v>11</v>
      </c>
      <c r="K56" s="1">
        <v>8</v>
      </c>
      <c r="L56" s="1">
        <v>5</v>
      </c>
      <c r="M56" s="1"/>
      <c r="N56" s="1">
        <v>25</v>
      </c>
      <c r="O56" s="1">
        <v>29.72</v>
      </c>
      <c r="P56" s="1">
        <v>63.39</v>
      </c>
      <c r="Q56" s="1">
        <v>100.31</v>
      </c>
    </row>
    <row r="57" spans="4:17">
      <c r="D57" s="1">
        <v>50</v>
      </c>
      <c r="E57" s="70">
        <v>16.5572589755608</v>
      </c>
      <c r="F57" s="70">
        <v>33.1455515857297</v>
      </c>
      <c r="G57" s="70">
        <v>51.2987146339462</v>
      </c>
      <c r="I57" s="1">
        <v>50</v>
      </c>
      <c r="J57" s="1">
        <v>11</v>
      </c>
      <c r="K57" s="1">
        <v>8</v>
      </c>
      <c r="L57" s="1">
        <v>5</v>
      </c>
      <c r="M57" s="1"/>
      <c r="N57" s="1">
        <v>50</v>
      </c>
      <c r="O57" s="1">
        <v>26.53</v>
      </c>
      <c r="P57" s="1">
        <v>44.59</v>
      </c>
      <c r="Q57" s="1">
        <v>64.41</v>
      </c>
    </row>
    <row r="58" spans="4:17">
      <c r="D58" s="1">
        <v>75</v>
      </c>
      <c r="E58" s="70">
        <v>15.0739553252495</v>
      </c>
      <c r="F58" s="70">
        <v>26.2732248436781</v>
      </c>
      <c r="G58" s="70">
        <v>40.9617100735544</v>
      </c>
      <c r="I58" s="1">
        <v>75</v>
      </c>
      <c r="J58" s="1">
        <v>11</v>
      </c>
      <c r="K58" s="1">
        <v>8</v>
      </c>
      <c r="L58" s="1">
        <v>5</v>
      </c>
      <c r="M58" s="1"/>
      <c r="N58" s="1">
        <v>75</v>
      </c>
      <c r="O58" s="1">
        <v>25.36</v>
      </c>
      <c r="P58" s="1">
        <v>37.71</v>
      </c>
      <c r="Q58" s="1">
        <v>51.24</v>
      </c>
    </row>
    <row r="59" spans="4:17">
      <c r="D59" s="1">
        <v>100</v>
      </c>
      <c r="E59" s="70">
        <v>14.2966856345181</v>
      </c>
      <c r="F59" s="70">
        <v>23.0318850207096</v>
      </c>
      <c r="G59" s="70">
        <v>38.1541411547533</v>
      </c>
      <c r="I59" s="1">
        <v>100</v>
      </c>
      <c r="J59" s="1">
        <v>11</v>
      </c>
      <c r="K59" s="1">
        <v>8</v>
      </c>
      <c r="L59" s="1">
        <v>5</v>
      </c>
      <c r="M59" s="1"/>
      <c r="N59" s="1">
        <v>100</v>
      </c>
      <c r="O59" s="1">
        <v>24.75</v>
      </c>
      <c r="P59" s="1">
        <v>34.13</v>
      </c>
      <c r="Q59" s="1">
        <v>44.41</v>
      </c>
    </row>
    <row r="61" spans="4:17">
      <c r="D61" s="1" t="s">
        <v>238</v>
      </c>
      <c r="E61" s="1">
        <v>1</v>
      </c>
      <c r="F61" s="1">
        <v>8</v>
      </c>
      <c r="G61" s="1">
        <v>16</v>
      </c>
      <c r="K61" s="1"/>
      <c r="M61" s="1"/>
      <c r="N61" s="1" t="s">
        <v>238</v>
      </c>
      <c r="O61" s="1">
        <v>1</v>
      </c>
      <c r="P61" s="1">
        <v>8</v>
      </c>
      <c r="Q61" s="1">
        <v>16</v>
      </c>
    </row>
    <row r="62" spans="4:17">
      <c r="D62" s="1">
        <v>10</v>
      </c>
      <c r="E62" s="72">
        <f>ABS(E55+J55-E48)/E48</f>
        <v>0.0389938500275752</v>
      </c>
      <c r="F62" s="72">
        <f>ABS(F55+K55-F48)/F48</f>
        <v>0.00883426615761596</v>
      </c>
      <c r="G62" s="72">
        <f>ABS(G55+L55-G48)/G48</f>
        <v>0.0431508260732228</v>
      </c>
      <c r="K62" s="1"/>
      <c r="M62" s="1"/>
      <c r="N62" s="1">
        <v>10</v>
      </c>
      <c r="O62" s="69">
        <f t="shared" ref="O62:Q62" si="0">ABS(O55-E48)/E48</f>
        <v>0.222803347280335</v>
      </c>
      <c r="P62" s="69">
        <f t="shared" si="0"/>
        <v>0.0936123348017622</v>
      </c>
      <c r="Q62" s="69">
        <f t="shared" si="0"/>
        <v>0.015814302562453</v>
      </c>
    </row>
    <row r="63" spans="4:17">
      <c r="D63" s="1">
        <v>25</v>
      </c>
      <c r="E63" s="72">
        <f>ABS(E56+J56-E49)/E49</f>
        <v>0.0319641749149935</v>
      </c>
      <c r="F63" s="72">
        <f>ABS(F56+K56-F49)/F49</f>
        <v>0.0658792136752098</v>
      </c>
      <c r="G63" s="72">
        <f>ABS(G56+L56-G49)/G49</f>
        <v>0.188738870302793</v>
      </c>
      <c r="K63" s="1"/>
      <c r="M63" s="1"/>
      <c r="N63" s="1">
        <v>25</v>
      </c>
      <c r="O63" s="69">
        <f t="shared" ref="O63:Q63" si="1">ABS(O56-E49)/E49</f>
        <v>0.0504792332268371</v>
      </c>
      <c r="P63" s="69">
        <f t="shared" si="1"/>
        <v>0.0112306972391202</v>
      </c>
      <c r="Q63" s="69">
        <f t="shared" si="1"/>
        <v>0.090736040609137</v>
      </c>
    </row>
    <row r="64" spans="4:17">
      <c r="D64" s="1">
        <v>50</v>
      </c>
      <c r="E64" s="72">
        <f>ABS(E57+J57-E50)/E50</f>
        <v>0.0364594763789931</v>
      </c>
      <c r="F64" s="72">
        <f>ABS(F57+K57-F50)/F50</f>
        <v>0.0314753468470719</v>
      </c>
      <c r="G64" s="72">
        <f>ABS(G57+L57-G50)/G50</f>
        <v>0.0989322241685947</v>
      </c>
      <c r="K64" s="1"/>
      <c r="M64" s="1"/>
      <c r="N64" s="1">
        <v>50</v>
      </c>
      <c r="O64" s="69">
        <f t="shared" ref="O64:Q64" si="2">ABS(O57-E50)/E50</f>
        <v>0.0723776223776224</v>
      </c>
      <c r="P64" s="69">
        <f t="shared" si="2"/>
        <v>0.117824016044121</v>
      </c>
      <c r="Q64" s="69">
        <f t="shared" si="2"/>
        <v>0.0308898847631242</v>
      </c>
    </row>
    <row r="65" spans="4:17">
      <c r="D65" s="1">
        <v>75</v>
      </c>
      <c r="E65" s="72">
        <f>ABS(E58+J58-E51)/E51</f>
        <v>0.0686047264446517</v>
      </c>
      <c r="F65" s="72">
        <f>ABS(F58+K58-F51)/F51</f>
        <v>0.0647165220154738</v>
      </c>
      <c r="G65" s="72">
        <f>ABS(G58+L58-G51)/G51</f>
        <v>0.0750309906710726</v>
      </c>
      <c r="K65" s="1"/>
      <c r="M65" s="1"/>
      <c r="N65" s="1">
        <v>75</v>
      </c>
      <c r="O65" s="69">
        <f t="shared" ref="O65:Q65" si="3">ABS(O58-E51)/E51</f>
        <v>0.039344262295082</v>
      </c>
      <c r="P65" s="69">
        <f t="shared" si="3"/>
        <v>0.171481826654241</v>
      </c>
      <c r="Q65" s="69">
        <f t="shared" si="3"/>
        <v>0.0311933990742605</v>
      </c>
    </row>
    <row r="66" spans="4:17">
      <c r="D66" s="1">
        <v>100</v>
      </c>
      <c r="E66" s="72">
        <f>ABS(E59+J59-E52)/E52</f>
        <v>0.076454707851834</v>
      </c>
      <c r="F66" s="72">
        <f>ABS(F59+K59-F52)/F52</f>
        <v>0.0515718407560012</v>
      </c>
      <c r="G66" s="72">
        <f>ABS(G59+L59-G52)/G52</f>
        <v>0.0689505683979871</v>
      </c>
      <c r="K66" s="1"/>
      <c r="M66" s="1"/>
      <c r="N66" s="1">
        <v>100</v>
      </c>
      <c r="O66" s="69">
        <f t="shared" ref="O66:Q66" si="4">ABS(O59-E52)/E52</f>
        <v>0.0531914893617021</v>
      </c>
      <c r="P66" s="69">
        <f t="shared" si="4"/>
        <v>0.156557099288377</v>
      </c>
      <c r="Q66" s="69">
        <f t="shared" si="4"/>
        <v>0.0418554476806905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J57"/>
  <sheetViews>
    <sheetView zoomScale="85" zoomScaleNormal="85" workbookViewId="0">
      <selection activeCell="R3" sqref="R3:V26"/>
    </sheetView>
  </sheetViews>
  <sheetFormatPr defaultColWidth="8.88888888888889" defaultRowHeight="14.4"/>
  <cols>
    <col min="2" max="2" width="14" customWidth="1"/>
    <col min="9" max="9" width="15.2222222222222" customWidth="1"/>
    <col min="18" max="18" width="20.5185185185185" style="1" customWidth="1"/>
    <col min="19" max="20" width="9.7962962962963" style="19" customWidth="1"/>
    <col min="21" max="21" width="8.62962962962963" style="19" customWidth="1"/>
    <col min="22" max="22" width="9.7962962962963" style="19" customWidth="1"/>
    <col min="23" max="23" width="9.7962962962963" style="1" customWidth="1"/>
    <col min="24" max="24" width="18.287037037037" style="1" customWidth="1"/>
    <col min="25" max="29" width="9.7962962962963" style="1" customWidth="1"/>
    <col min="30" max="30" width="28.7777777777778" style="1" customWidth="1"/>
    <col min="31" max="37" width="11.3703703703704" style="19" customWidth="1"/>
    <col min="38" max="38" width="12.0277777777778" style="1" customWidth="1"/>
    <col min="40" max="40" width="11.1111111111111" style="1" customWidth="1"/>
    <col min="41" max="42" width="8.55555555555556" style="1" customWidth="1"/>
    <col min="43" max="43" width="8" style="1" customWidth="1"/>
    <col min="44" max="45" width="7.88888888888889" style="1" customWidth="1"/>
    <col min="47" max="47" width="8.88888888888889" style="1"/>
    <col min="49" max="49" width="12.1574074074074" customWidth="1"/>
    <col min="51" max="51" width="13.3333333333333" customWidth="1"/>
    <col min="52" max="52" width="8.88888888888889" style="65"/>
    <col min="59" max="59" width="8.36111111111111" customWidth="1"/>
    <col min="60" max="60" width="12.8888888888889" style="1"/>
    <col min="62" max="62" width="11.7592592592593" customWidth="1"/>
    <col min="69" max="69" width="14.7685185185185" style="1" customWidth="1"/>
    <col min="72" max="72" width="8.88888888888889" style="1"/>
    <col min="75" max="75" width="8.88888888888889" style="1"/>
    <col min="80" max="80" width="12.8888888888889" style="1"/>
    <col min="81" max="81" width="12.8888888888889"/>
    <col min="83" max="83" width="11.5" style="1" customWidth="1"/>
    <col min="84" max="87" width="9.00925925925926" customWidth="1"/>
    <col min="88" max="88" width="12.8888888888889" style="1"/>
  </cols>
  <sheetData>
    <row r="1" ht="15.15" spans="61:61">
      <c r="BI1" t="s">
        <v>239</v>
      </c>
    </row>
    <row r="2" ht="15.15" spans="2:68">
      <c r="B2" s="3" t="s">
        <v>3</v>
      </c>
      <c r="C2" s="4" t="s">
        <v>33</v>
      </c>
      <c r="D2" s="4"/>
      <c r="E2" s="4"/>
      <c r="F2" s="4"/>
      <c r="G2" s="5"/>
      <c r="I2" s="3" t="s">
        <v>3</v>
      </c>
      <c r="J2" s="4" t="s">
        <v>33</v>
      </c>
      <c r="K2" s="4"/>
      <c r="L2" s="4"/>
      <c r="M2" s="4"/>
      <c r="N2" s="4"/>
      <c r="O2" s="4"/>
      <c r="P2" s="5"/>
      <c r="AD2" s="1" t="s">
        <v>240</v>
      </c>
      <c r="BJ2" s="3" t="s">
        <v>3</v>
      </c>
      <c r="BK2" s="4" t="s">
        <v>33</v>
      </c>
      <c r="BL2" s="4"/>
      <c r="BM2" s="4"/>
      <c r="BN2" s="4"/>
      <c r="BO2" s="5"/>
      <c r="BP2" s="1"/>
    </row>
    <row r="3" spans="2:88">
      <c r="B3" s="6"/>
      <c r="C3" s="1"/>
      <c r="D3" s="1">
        <v>1</v>
      </c>
      <c r="E3" s="1">
        <v>8</v>
      </c>
      <c r="F3" s="1">
        <v>16</v>
      </c>
      <c r="G3" s="8">
        <v>32</v>
      </c>
      <c r="I3" s="6"/>
      <c r="J3" s="1"/>
      <c r="K3" s="1">
        <v>1</v>
      </c>
      <c r="L3" s="1">
        <v>4</v>
      </c>
      <c r="M3" s="1">
        <v>8</v>
      </c>
      <c r="N3" s="1">
        <v>12</v>
      </c>
      <c r="O3" s="1">
        <v>16</v>
      </c>
      <c r="P3" s="8">
        <v>32</v>
      </c>
      <c r="R3" s="1" t="s">
        <v>241</v>
      </c>
      <c r="S3" s="17">
        <v>1</v>
      </c>
      <c r="T3" s="17">
        <v>8</v>
      </c>
      <c r="U3" s="17">
        <v>16</v>
      </c>
      <c r="V3" s="17">
        <v>32</v>
      </c>
      <c r="X3" s="1" t="s">
        <v>242</v>
      </c>
      <c r="Y3" s="1">
        <v>1</v>
      </c>
      <c r="Z3" s="1">
        <v>8</v>
      </c>
      <c r="AA3" s="1">
        <v>16</v>
      </c>
      <c r="AB3" s="1">
        <v>32</v>
      </c>
      <c r="AE3" s="17">
        <v>1</v>
      </c>
      <c r="AF3" s="17" t="s">
        <v>236</v>
      </c>
      <c r="AG3" s="17">
        <v>8</v>
      </c>
      <c r="AH3" s="17" t="s">
        <v>236</v>
      </c>
      <c r="AI3" s="17">
        <v>16</v>
      </c>
      <c r="AJ3" s="17" t="s">
        <v>236</v>
      </c>
      <c r="AK3" s="17">
        <v>32</v>
      </c>
      <c r="AL3" s="1" t="s">
        <v>236</v>
      </c>
      <c r="AN3" s="1" t="s">
        <v>238</v>
      </c>
      <c r="AO3" s="1">
        <v>1</v>
      </c>
      <c r="AQ3" s="1">
        <v>8</v>
      </c>
      <c r="AS3" s="1">
        <v>16</v>
      </c>
      <c r="AU3" s="1">
        <v>32</v>
      </c>
      <c r="AW3" s="1" t="s">
        <v>243</v>
      </c>
      <c r="AY3" s="1" t="s">
        <v>244</v>
      </c>
      <c r="AZ3" s="17">
        <v>1</v>
      </c>
      <c r="BA3" s="17"/>
      <c r="BB3" s="17">
        <v>8</v>
      </c>
      <c r="BC3" s="17"/>
      <c r="BD3" s="17">
        <v>16</v>
      </c>
      <c r="BE3" s="68"/>
      <c r="BF3" s="17">
        <v>32</v>
      </c>
      <c r="BH3" s="1" t="s">
        <v>243</v>
      </c>
      <c r="BJ3" s="6"/>
      <c r="BK3" s="1"/>
      <c r="BL3" s="1">
        <v>1</v>
      </c>
      <c r="BM3" s="1">
        <v>8</v>
      </c>
      <c r="BN3" s="1">
        <v>16</v>
      </c>
      <c r="BO3" s="8">
        <v>32</v>
      </c>
      <c r="BP3" s="1"/>
      <c r="BQ3" s="1" t="s">
        <v>245</v>
      </c>
      <c r="BR3" s="17">
        <v>1</v>
      </c>
      <c r="BS3" s="17">
        <v>8</v>
      </c>
      <c r="BT3" s="17">
        <v>16</v>
      </c>
      <c r="BU3" s="17">
        <v>32</v>
      </c>
      <c r="BW3" s="1" t="s">
        <v>221</v>
      </c>
      <c r="BX3" s="17">
        <v>1</v>
      </c>
      <c r="BY3" s="17">
        <v>8</v>
      </c>
      <c r="BZ3" s="17">
        <v>16</v>
      </c>
      <c r="CA3" s="17">
        <v>32</v>
      </c>
      <c r="CB3" s="1" t="s">
        <v>243</v>
      </c>
      <c r="CE3" s="1" t="s">
        <v>238</v>
      </c>
      <c r="CF3" s="17">
        <v>1</v>
      </c>
      <c r="CG3" s="17">
        <v>8</v>
      </c>
      <c r="CH3" s="17">
        <v>16</v>
      </c>
      <c r="CI3" s="17">
        <v>32</v>
      </c>
      <c r="CJ3" s="1" t="s">
        <v>243</v>
      </c>
    </row>
    <row r="4" spans="2:88">
      <c r="B4" s="6"/>
      <c r="C4" s="1">
        <v>10</v>
      </c>
      <c r="D4" s="1">
        <v>16.19</v>
      </c>
      <c r="E4" s="1">
        <v>65.7</v>
      </c>
      <c r="F4" s="1">
        <v>109.7</v>
      </c>
      <c r="G4" s="8">
        <v>201.51</v>
      </c>
      <c r="I4" s="6"/>
      <c r="J4" s="1">
        <v>10</v>
      </c>
      <c r="K4" s="1">
        <v>23.1</v>
      </c>
      <c r="L4" s="1">
        <v>56.54</v>
      </c>
      <c r="M4" s="1">
        <v>96.8</v>
      </c>
      <c r="N4" s="1">
        <v>125.12</v>
      </c>
      <c r="O4" s="1">
        <v>157.8</v>
      </c>
      <c r="P4" s="8">
        <v>287.1</v>
      </c>
      <c r="R4" s="1">
        <v>10</v>
      </c>
      <c r="S4" s="18">
        <v>23.8948699999999</v>
      </c>
      <c r="T4" s="18">
        <v>96.4499999999999</v>
      </c>
      <c r="U4" s="18">
        <v>156.47</v>
      </c>
      <c r="V4" s="18">
        <v>285.519999999999</v>
      </c>
      <c r="X4" s="1">
        <v>10</v>
      </c>
      <c r="Y4" s="18">
        <f>K4-S4</f>
        <v>-0.7948699999999</v>
      </c>
      <c r="Z4" s="18">
        <f>M4-T4</f>
        <v>0.350000000000094</v>
      </c>
      <c r="AA4" s="18">
        <f>O4-U4</f>
        <v>1.33000000000001</v>
      </c>
      <c r="AB4" s="18">
        <f t="shared" ref="AB4:AB8" si="0">P4-V4</f>
        <v>1.58000000000101</v>
      </c>
      <c r="AD4" s="1">
        <v>10</v>
      </c>
      <c r="AE4" s="18">
        <v>20.6167868761509</v>
      </c>
      <c r="AF4" s="19">
        <f>253*0.007/AE3*(AD4/100)</f>
        <v>0.1771</v>
      </c>
      <c r="AG4" s="18">
        <v>92.232642561273</v>
      </c>
      <c r="AH4" s="19">
        <f>253*0.007/AG3*(AD4/100)</f>
        <v>0.0221375</v>
      </c>
      <c r="AI4" s="18">
        <v>156.782466345132</v>
      </c>
      <c r="AJ4" s="19">
        <f>253*0.007/AI3*(AD4/100)</f>
        <v>0.01106875</v>
      </c>
      <c r="AK4" s="18">
        <v>276.183557526949</v>
      </c>
      <c r="AL4" s="19">
        <f>253*0.007/AK3*(AD4/100)</f>
        <v>0.005534375</v>
      </c>
      <c r="AN4" s="1">
        <v>10</v>
      </c>
      <c r="AO4" s="20">
        <f t="shared" ref="AO4:AO8" si="1">ABS(AE4-K4+AF4)/K4</f>
        <v>0.0998317369631645</v>
      </c>
      <c r="AP4" s="20"/>
      <c r="AQ4" s="20">
        <f t="shared" ref="AQ4:AQ8" si="2">ABS(AG4-M4+AH4)/M4</f>
        <v>0.0469547514331302</v>
      </c>
      <c r="AR4" s="20"/>
      <c r="AS4" s="20">
        <f t="shared" ref="AS4:AS8" si="3">ABS(AI4-O4+AJ4)/O4</f>
        <v>0.00637810459358684</v>
      </c>
      <c r="AU4" s="20">
        <f t="shared" ref="AU4:AU8" si="4">ABS(AK4-P4+AL4)/P4</f>
        <v>0.0380038596240021</v>
      </c>
      <c r="AW4" s="1">
        <f>SUM(AO4:AO8)+SUM(AQ4:AQ8)+SUM(AS4:AS8)+SUM(AU4:AU8)</f>
        <v>0.629887812696613</v>
      </c>
      <c r="AY4" s="1">
        <v>10</v>
      </c>
      <c r="AZ4" s="65">
        <f>ABS(AE4-K4+AF4)</f>
        <v>2.3061131238491</v>
      </c>
      <c r="BA4" s="65"/>
      <c r="BB4" s="65">
        <f t="shared" ref="BB4:BB8" si="5">ABS(AG4-M4+AH4)</f>
        <v>4.545219938727</v>
      </c>
      <c r="BC4" s="65"/>
      <c r="BD4" s="65">
        <f t="shared" ref="BD4:BD8" si="6">ABS(AI4-O4+AJ4)</f>
        <v>1.006464904868</v>
      </c>
      <c r="BE4" s="65"/>
      <c r="BF4" s="65">
        <f>ABS(AK4-P4+AL4)</f>
        <v>10.910908098051</v>
      </c>
      <c r="BH4" s="1">
        <f>SUM(AZ4:AZ8)+SUM(BB4:BB8)+SUM(BD4:BD8)+SUM(BF4:BF8)</f>
        <v>29.4577125019353</v>
      </c>
      <c r="BJ4" s="6"/>
      <c r="BK4" s="1">
        <v>10</v>
      </c>
      <c r="BL4" s="1">
        <v>23.1</v>
      </c>
      <c r="BM4" s="1">
        <v>96.8</v>
      </c>
      <c r="BN4" s="1">
        <v>157.8</v>
      </c>
      <c r="BO4" s="8">
        <v>287.1</v>
      </c>
      <c r="BP4" s="1"/>
      <c r="BQ4" s="1">
        <v>10</v>
      </c>
      <c r="BR4" s="18">
        <v>22.07</v>
      </c>
      <c r="BS4" s="18">
        <v>86.35</v>
      </c>
      <c r="BT4" s="1">
        <v>156.33</v>
      </c>
      <c r="BU4" s="18">
        <v>285.09</v>
      </c>
      <c r="BW4" s="1">
        <v>10</v>
      </c>
      <c r="BX4">
        <f>ABS(BR4-BL4)</f>
        <v>1.03</v>
      </c>
      <c r="BY4">
        <f>ABS(BS4-BM4)</f>
        <v>10.45</v>
      </c>
      <c r="BZ4">
        <f>ABS(BT4-BN4)</f>
        <v>1.47</v>
      </c>
      <c r="CA4">
        <f>ABS(BU4-BO4)</f>
        <v>2.01000000000005</v>
      </c>
      <c r="CB4" s="1">
        <f>SUM(BX4:CA8)</f>
        <v>61.2900000000001</v>
      </c>
      <c r="CE4" s="1">
        <v>10</v>
      </c>
      <c r="CF4" s="69">
        <f>BX4/BL4</f>
        <v>0.0445887445887446</v>
      </c>
      <c r="CG4" s="69">
        <f>BY4/BM4</f>
        <v>0.107954545454545</v>
      </c>
      <c r="CH4" s="69">
        <f>BZ4/BN4</f>
        <v>0.00931558935361216</v>
      </c>
      <c r="CI4" s="69">
        <f>CA4/BO4</f>
        <v>0.00700104493207958</v>
      </c>
      <c r="CJ4" s="1">
        <f>SUM(CF4:CI8)</f>
        <v>2.38347516227955</v>
      </c>
    </row>
    <row r="5" spans="2:88">
      <c r="B5" s="6"/>
      <c r="C5" s="1">
        <v>25</v>
      </c>
      <c r="D5" s="1">
        <v>7.22</v>
      </c>
      <c r="E5" s="1">
        <v>27.54</v>
      </c>
      <c r="F5" s="1">
        <v>45.43</v>
      </c>
      <c r="G5" s="8">
        <v>82.42</v>
      </c>
      <c r="I5" s="6"/>
      <c r="J5" s="1">
        <v>25</v>
      </c>
      <c r="K5" s="1">
        <v>10.75</v>
      </c>
      <c r="L5" s="1">
        <v>22.61</v>
      </c>
      <c r="M5" s="1">
        <v>38.9</v>
      </c>
      <c r="N5" s="1">
        <v>49.76</v>
      </c>
      <c r="O5" s="1">
        <v>63.4</v>
      </c>
      <c r="P5" s="8">
        <v>113.5</v>
      </c>
      <c r="R5" s="1">
        <v>25</v>
      </c>
      <c r="S5" s="18">
        <v>9.91251</v>
      </c>
      <c r="T5" s="18">
        <v>38.41</v>
      </c>
      <c r="U5" s="18">
        <v>62.3599999999999</v>
      </c>
      <c r="V5" s="18">
        <v>112.579999999999</v>
      </c>
      <c r="X5" s="1">
        <v>25</v>
      </c>
      <c r="Y5" s="18">
        <f>K5-S5</f>
        <v>0.837490000000001</v>
      </c>
      <c r="Z5" s="18">
        <f>M5-T5</f>
        <v>0.490000000000002</v>
      </c>
      <c r="AA5" s="18">
        <f>O5-U5</f>
        <v>1.0400000000001</v>
      </c>
      <c r="AB5" s="18">
        <f t="shared" si="0"/>
        <v>0.920000000000996</v>
      </c>
      <c r="AD5" s="1">
        <v>25</v>
      </c>
      <c r="AE5" s="18">
        <v>10.0859389172139</v>
      </c>
      <c r="AF5" s="19">
        <f>253*0.007/AE3*AD5/100</f>
        <v>0.44275</v>
      </c>
      <c r="AG5" s="18">
        <v>39.4615170629512</v>
      </c>
      <c r="AH5" s="19">
        <f>253*0.007/AG3*AD5/100</f>
        <v>0.05534375</v>
      </c>
      <c r="AI5" s="18">
        <v>62.4031278642746</v>
      </c>
      <c r="AJ5" s="19">
        <f>253*0.007/AI3*AD5/100</f>
        <v>0.027671875</v>
      </c>
      <c r="AK5" s="18">
        <v>114.261396483565</v>
      </c>
      <c r="AL5" s="19">
        <f>253*0.007/AK3*AD5/100</f>
        <v>0.0138359375</v>
      </c>
      <c r="AN5" s="1">
        <v>25</v>
      </c>
      <c r="AO5" s="20">
        <f t="shared" si="1"/>
        <v>0.0205870774684744</v>
      </c>
      <c r="AP5" s="20"/>
      <c r="AQ5" s="20">
        <f t="shared" si="2"/>
        <v>0.0158576044460464</v>
      </c>
      <c r="AR5" s="20"/>
      <c r="AS5" s="20">
        <f t="shared" si="3"/>
        <v>0.0152870703584447</v>
      </c>
      <c r="AU5" s="20">
        <f t="shared" si="4"/>
        <v>0.00683024159528629</v>
      </c>
      <c r="AW5" s="1" t="s">
        <v>246</v>
      </c>
      <c r="AY5" s="1">
        <v>25</v>
      </c>
      <c r="AZ5" s="65">
        <f>ABS(AE5-K5+AF5)</f>
        <v>0.2213110827861</v>
      </c>
      <c r="BA5" s="65"/>
      <c r="BB5" s="65">
        <f t="shared" si="5"/>
        <v>0.616860812951204</v>
      </c>
      <c r="BC5" s="65"/>
      <c r="BD5" s="65">
        <f t="shared" si="6"/>
        <v>0.969200260725397</v>
      </c>
      <c r="BE5" s="65"/>
      <c r="BF5" s="65">
        <f>ABS(AK5-P5+AL5)</f>
        <v>0.775232421064994</v>
      </c>
      <c r="BH5" s="1" t="s">
        <v>246</v>
      </c>
      <c r="BJ5" s="6"/>
      <c r="BK5" s="1">
        <v>25</v>
      </c>
      <c r="BL5" s="1">
        <v>10.75</v>
      </c>
      <c r="BM5" s="1">
        <v>38.9</v>
      </c>
      <c r="BN5" s="1">
        <v>63.4</v>
      </c>
      <c r="BO5" s="8">
        <v>113.5</v>
      </c>
      <c r="BP5" s="1"/>
      <c r="BQ5" s="1">
        <v>25</v>
      </c>
      <c r="BR5" s="18">
        <v>13.54</v>
      </c>
      <c r="BS5" s="18">
        <v>39.83</v>
      </c>
      <c r="BT5" s="18">
        <v>68.43</v>
      </c>
      <c r="BU5" s="18">
        <v>121.07</v>
      </c>
      <c r="BW5" s="1">
        <v>25</v>
      </c>
      <c r="BX5">
        <f>ABS(BR5-BL5)</f>
        <v>2.79</v>
      </c>
      <c r="BY5">
        <f>ABS(BS5-BM5)</f>
        <v>0.93</v>
      </c>
      <c r="BZ5">
        <f>ABS(BT5-BN5)</f>
        <v>5.03000000000001</v>
      </c>
      <c r="CA5">
        <f>ABS(BU5-BO5)</f>
        <v>7.56999999999999</v>
      </c>
      <c r="CB5" s="1" t="s">
        <v>246</v>
      </c>
      <c r="CE5" s="1">
        <v>25</v>
      </c>
      <c r="CF5" s="69">
        <f>BX5/BL5</f>
        <v>0.25953488372093</v>
      </c>
      <c r="CG5" s="69">
        <f>BY5/BM5</f>
        <v>0.0239074550128535</v>
      </c>
      <c r="CH5" s="69">
        <f>BZ5/BN5</f>
        <v>0.0793375394321768</v>
      </c>
      <c r="CI5" s="69">
        <f>CA5/BO5</f>
        <v>0.0666960352422907</v>
      </c>
      <c r="CJ5" s="1" t="s">
        <v>246</v>
      </c>
    </row>
    <row r="6" spans="2:88">
      <c r="B6" s="6"/>
      <c r="C6" s="1">
        <v>50</v>
      </c>
      <c r="D6" s="1">
        <v>5.77</v>
      </c>
      <c r="E6" s="1">
        <v>16.78</v>
      </c>
      <c r="F6" s="1">
        <v>27.28</v>
      </c>
      <c r="G6" s="8">
        <v>49.61</v>
      </c>
      <c r="I6" s="6"/>
      <c r="J6" s="1">
        <v>50</v>
      </c>
      <c r="K6" s="1">
        <v>7.26</v>
      </c>
      <c r="L6" s="1">
        <v>12.37</v>
      </c>
      <c r="M6" s="1">
        <v>21.52</v>
      </c>
      <c r="N6" s="1">
        <v>28.16</v>
      </c>
      <c r="O6" s="1">
        <v>35.17</v>
      </c>
      <c r="P6" s="8">
        <v>63.28</v>
      </c>
      <c r="R6" s="1">
        <v>50</v>
      </c>
      <c r="S6" s="18">
        <v>6.25198999999999</v>
      </c>
      <c r="T6" s="18">
        <v>20.86</v>
      </c>
      <c r="U6" s="18">
        <v>34.58</v>
      </c>
      <c r="V6" s="18">
        <v>62.35</v>
      </c>
      <c r="X6" s="1">
        <v>50</v>
      </c>
      <c r="Y6" s="18">
        <f>K6-S6</f>
        <v>1.00801000000001</v>
      </c>
      <c r="Z6" s="18">
        <f>M6-T6</f>
        <v>0.66</v>
      </c>
      <c r="AA6" s="18">
        <f>O6-U6</f>
        <v>0.590000000000003</v>
      </c>
      <c r="AB6" s="18">
        <f t="shared" si="0"/>
        <v>0.93</v>
      </c>
      <c r="AD6" s="1">
        <v>50</v>
      </c>
      <c r="AE6" s="18">
        <v>6.91146918771541</v>
      </c>
      <c r="AF6" s="19">
        <f>253*0.007/AE3*AD6/100</f>
        <v>0.8855</v>
      </c>
      <c r="AG6" s="18">
        <v>22.3046158933964</v>
      </c>
      <c r="AH6" s="19">
        <f>253*0.007/AG3*AD6/100</f>
        <v>0.1106875</v>
      </c>
      <c r="AI6" s="18">
        <v>36.2400517771249</v>
      </c>
      <c r="AJ6" s="19">
        <f>253*0.007/AI3*AD6/100</f>
        <v>0.05534375</v>
      </c>
      <c r="AK6" s="18">
        <v>65.9774614821158</v>
      </c>
      <c r="AL6" s="19">
        <f>253*0.007/AK3*AD6/100</f>
        <v>0.027671875</v>
      </c>
      <c r="AN6" s="1">
        <v>50</v>
      </c>
      <c r="AO6" s="20">
        <f t="shared" si="1"/>
        <v>0.0739626980324256</v>
      </c>
      <c r="AP6" s="20"/>
      <c r="AQ6" s="20">
        <f t="shared" si="2"/>
        <v>0.0416033175370074</v>
      </c>
      <c r="AR6" s="20"/>
      <c r="AS6" s="20">
        <f t="shared" si="3"/>
        <v>0.0319987354883394</v>
      </c>
      <c r="AU6" s="20">
        <f t="shared" si="4"/>
        <v>0.0430646864272408</v>
      </c>
      <c r="AW6" s="1">
        <f>AW4/16</f>
        <v>0.0393679882935383</v>
      </c>
      <c r="AY6" s="1">
        <v>50</v>
      </c>
      <c r="AZ6" s="65">
        <f>ABS(AE6-K6+AF6)</f>
        <v>0.53696918771541</v>
      </c>
      <c r="BA6" s="65"/>
      <c r="BB6" s="65">
        <f t="shared" si="5"/>
        <v>0.895303393396399</v>
      </c>
      <c r="BC6" s="65"/>
      <c r="BD6" s="65">
        <f t="shared" si="6"/>
        <v>1.1253955271249</v>
      </c>
      <c r="BE6" s="65"/>
      <c r="BF6" s="65">
        <f>ABS(AK6-P6+AL6)</f>
        <v>2.7251333571158</v>
      </c>
      <c r="BH6" s="1">
        <f>BH4/16</f>
        <v>1.84110703137096</v>
      </c>
      <c r="BJ6" s="6"/>
      <c r="BK6" s="1">
        <v>50</v>
      </c>
      <c r="BL6" s="1">
        <v>7.26</v>
      </c>
      <c r="BM6" s="1">
        <v>21.52</v>
      </c>
      <c r="BN6" s="1">
        <v>35.17</v>
      </c>
      <c r="BO6" s="8">
        <v>63.28</v>
      </c>
      <c r="BP6" s="1"/>
      <c r="BQ6" s="1">
        <v>50</v>
      </c>
      <c r="BR6" s="18">
        <v>10.63</v>
      </c>
      <c r="BS6" s="18">
        <v>23.87</v>
      </c>
      <c r="BT6" s="18">
        <v>38.28</v>
      </c>
      <c r="BU6" s="18">
        <v>64.79</v>
      </c>
      <c r="BW6" s="1">
        <v>50</v>
      </c>
      <c r="BX6">
        <f>ABS(BR6-BL6)</f>
        <v>3.37</v>
      </c>
      <c r="BY6">
        <f>ABS(BS6-BM6)</f>
        <v>2.35</v>
      </c>
      <c r="BZ6">
        <f>ABS(BT6-BN6)</f>
        <v>3.11</v>
      </c>
      <c r="CA6">
        <f>ABS(BU6-BO6)</f>
        <v>1.51000000000001</v>
      </c>
      <c r="CB6" s="1">
        <f>CB4/20</f>
        <v>3.0645</v>
      </c>
      <c r="CE6" s="1">
        <v>50</v>
      </c>
      <c r="CF6" s="69">
        <f>BX6/BL6</f>
        <v>0.464187327823692</v>
      </c>
      <c r="CG6" s="69">
        <f>BY6/BM6</f>
        <v>0.109200743494424</v>
      </c>
      <c r="CH6" s="69">
        <f>BZ6/BN6</f>
        <v>0.0884276371907876</v>
      </c>
      <c r="CI6" s="69">
        <f>CA6/BO6</f>
        <v>0.0238621997471556</v>
      </c>
      <c r="CJ6" s="1">
        <f>CJ4/20</f>
        <v>0.119173758113978</v>
      </c>
    </row>
    <row r="7" spans="2:87">
      <c r="B7" s="6"/>
      <c r="C7" s="1">
        <v>75</v>
      </c>
      <c r="D7" s="1">
        <v>5.38</v>
      </c>
      <c r="E7" s="1">
        <v>13.62</v>
      </c>
      <c r="F7" s="1">
        <v>22.59</v>
      </c>
      <c r="G7" s="8">
        <v>41.66</v>
      </c>
      <c r="I7" s="6"/>
      <c r="J7" s="1">
        <v>75</v>
      </c>
      <c r="K7" s="9">
        <v>6.96</v>
      </c>
      <c r="L7" s="1">
        <v>10.39</v>
      </c>
      <c r="M7" s="1">
        <v>17.15</v>
      </c>
      <c r="N7" s="1">
        <v>21.73</v>
      </c>
      <c r="O7" s="1">
        <v>27.54</v>
      </c>
      <c r="P7" s="8">
        <v>50.18</v>
      </c>
      <c r="R7" s="1">
        <v>75</v>
      </c>
      <c r="S7" s="18">
        <v>5.5839</v>
      </c>
      <c r="T7" s="18">
        <v>17.04055</v>
      </c>
      <c r="U7" s="18">
        <v>27.04</v>
      </c>
      <c r="V7" s="18">
        <v>49.55</v>
      </c>
      <c r="X7" s="1">
        <v>75</v>
      </c>
      <c r="Y7" s="18">
        <f>K7-S7</f>
        <v>1.3761</v>
      </c>
      <c r="Z7" s="18">
        <f>M7-T7</f>
        <v>0.109449999999999</v>
      </c>
      <c r="AA7" s="18">
        <f>O7-U7</f>
        <v>0.5</v>
      </c>
      <c r="AB7" s="18">
        <f t="shared" si="0"/>
        <v>0.630000000000003</v>
      </c>
      <c r="AD7" s="1">
        <v>75</v>
      </c>
      <c r="AE7" s="18">
        <v>5.56251202936345</v>
      </c>
      <c r="AF7" s="19">
        <f>253*0.007/AE3*AD7/100</f>
        <v>1.32825</v>
      </c>
      <c r="AG7" s="18">
        <v>16.3789208798794</v>
      </c>
      <c r="AH7" s="19">
        <f>253*0.007/AG3*AD7/100</f>
        <v>0.16603125</v>
      </c>
      <c r="AI7" s="18">
        <v>27.4582933512212</v>
      </c>
      <c r="AJ7" s="19">
        <f>253*0.007/AI3*AD7/100</f>
        <v>0.083015625</v>
      </c>
      <c r="AK7" s="18">
        <v>50.0578950457376</v>
      </c>
      <c r="AL7" s="19">
        <f>253*0.007/AK3*AD7/100</f>
        <v>0.0415078125</v>
      </c>
      <c r="AN7" s="1">
        <v>75</v>
      </c>
      <c r="AO7" s="20">
        <f t="shared" si="1"/>
        <v>0.0099479842868606</v>
      </c>
      <c r="AP7" s="20"/>
      <c r="AQ7" s="20">
        <f t="shared" si="2"/>
        <v>0.0352797591907055</v>
      </c>
      <c r="AR7" s="20"/>
      <c r="AS7" s="20">
        <f t="shared" si="3"/>
        <v>4.75300007698511e-5</v>
      </c>
      <c r="AU7" s="20">
        <f t="shared" si="4"/>
        <v>0.00160616065688317</v>
      </c>
      <c r="AY7" s="1">
        <v>75</v>
      </c>
      <c r="AZ7" s="65">
        <f>ABS(AE7-K7+AF7)</f>
        <v>0.0692379706365498</v>
      </c>
      <c r="BA7" s="65"/>
      <c r="BB7" s="65">
        <f t="shared" si="5"/>
        <v>0.6050478701206</v>
      </c>
      <c r="BC7" s="65"/>
      <c r="BD7" s="65">
        <f t="shared" si="6"/>
        <v>0.0013089762212017</v>
      </c>
      <c r="BE7" s="65"/>
      <c r="BF7" s="65">
        <f>ABS(AK7-P7+AL7)</f>
        <v>0.0805971417623973</v>
      </c>
      <c r="BJ7" s="6"/>
      <c r="BK7" s="1">
        <v>75</v>
      </c>
      <c r="BL7" s="9">
        <v>6.96</v>
      </c>
      <c r="BM7" s="1">
        <v>17.15</v>
      </c>
      <c r="BN7" s="1">
        <v>27.54</v>
      </c>
      <c r="BO7" s="8">
        <v>50.18</v>
      </c>
      <c r="BP7" s="1"/>
      <c r="BQ7" s="1">
        <v>75</v>
      </c>
      <c r="BR7" s="18">
        <v>9.65</v>
      </c>
      <c r="BS7" s="18">
        <v>18.49</v>
      </c>
      <c r="BT7" s="18">
        <v>28.13</v>
      </c>
      <c r="BU7" s="18">
        <v>45.85</v>
      </c>
      <c r="BW7" s="1">
        <v>75</v>
      </c>
      <c r="BX7">
        <f>ABS(BR7-BL7)</f>
        <v>2.69</v>
      </c>
      <c r="BY7">
        <f>ABS(BS7-BM7)</f>
        <v>1.34</v>
      </c>
      <c r="BZ7">
        <f>ABS(BT7-BN7)</f>
        <v>0.59</v>
      </c>
      <c r="CA7">
        <f>ABS(BU7-BO7)</f>
        <v>4.33</v>
      </c>
      <c r="CE7" s="1">
        <v>75</v>
      </c>
      <c r="CF7" s="69">
        <f>BX7/BL7</f>
        <v>0.386494252873563</v>
      </c>
      <c r="CG7" s="69">
        <f>BY7/BM7</f>
        <v>0.078134110787172</v>
      </c>
      <c r="CH7" s="69">
        <f>BZ7/BN7</f>
        <v>0.0214233841684822</v>
      </c>
      <c r="CI7" s="69">
        <f>CA7/BO7</f>
        <v>0.0862893583100837</v>
      </c>
    </row>
    <row r="8" ht="15.15" spans="2:87">
      <c r="B8" s="10"/>
      <c r="C8" s="11">
        <v>100</v>
      </c>
      <c r="D8" s="11">
        <v>5.2</v>
      </c>
      <c r="E8" s="11">
        <v>10.71</v>
      </c>
      <c r="F8" s="11">
        <v>20.67</v>
      </c>
      <c r="G8" s="13">
        <v>38.01</v>
      </c>
      <c r="I8" s="10"/>
      <c r="J8" s="11">
        <v>100</v>
      </c>
      <c r="K8" s="12">
        <v>7.44</v>
      </c>
      <c r="L8" s="11">
        <v>8.23</v>
      </c>
      <c r="M8" s="11">
        <v>13.75</v>
      </c>
      <c r="N8" s="11">
        <v>19.18</v>
      </c>
      <c r="O8" s="11">
        <v>23.74</v>
      </c>
      <c r="P8" s="13">
        <v>42.81</v>
      </c>
      <c r="R8" s="1">
        <v>100</v>
      </c>
      <c r="S8" s="18">
        <v>5.02758</v>
      </c>
      <c r="T8" s="18">
        <v>13.2721299999999</v>
      </c>
      <c r="U8" s="18">
        <v>23.3642199999999</v>
      </c>
      <c r="V8" s="18">
        <v>42.38</v>
      </c>
      <c r="X8" s="1">
        <v>100</v>
      </c>
      <c r="Y8" s="18">
        <f>K8-S8</f>
        <v>2.41242</v>
      </c>
      <c r="Z8" s="18">
        <f>M8-T8</f>
        <v>0.477870000000101</v>
      </c>
      <c r="AA8" s="18">
        <f>O8-U8</f>
        <v>0.375780000000098</v>
      </c>
      <c r="AB8" s="18">
        <f t="shared" si="0"/>
        <v>0.43</v>
      </c>
      <c r="AD8" s="1">
        <v>100</v>
      </c>
      <c r="AE8" s="18">
        <v>4.97650122614416</v>
      </c>
      <c r="AF8" s="19">
        <f>253*0.007/AE3*AD8/100</f>
        <v>1.771</v>
      </c>
      <c r="AG8" s="18">
        <v>13.3917313179132</v>
      </c>
      <c r="AH8" s="19">
        <f>253*0.007/AG3*AD8/100</f>
        <v>0.221375</v>
      </c>
      <c r="AI8" s="18">
        <v>23.0593932608325</v>
      </c>
      <c r="AJ8" s="19">
        <f>253*0.007/AI3*AD8/100</f>
        <v>0.1106875</v>
      </c>
      <c r="AK8" s="18">
        <v>42.0865595102909</v>
      </c>
      <c r="AL8" s="19">
        <f>253*0.007/AK3*AD8/100</f>
        <v>0.05534375</v>
      </c>
      <c r="AN8" s="1">
        <v>100</v>
      </c>
      <c r="AO8" s="20">
        <f t="shared" si="1"/>
        <v>0.0930777921849248</v>
      </c>
      <c r="AP8" s="20"/>
      <c r="AQ8" s="20">
        <f t="shared" si="2"/>
        <v>0.00995590415176729</v>
      </c>
      <c r="AR8" s="20"/>
      <c r="AS8" s="20">
        <f t="shared" si="3"/>
        <v>0.0240067076313184</v>
      </c>
      <c r="AU8" s="20">
        <f t="shared" si="4"/>
        <v>0.0156060906262346</v>
      </c>
      <c r="AY8" s="1">
        <v>100</v>
      </c>
      <c r="AZ8" s="65">
        <f>ABS(AE8-K8+AF8)</f>
        <v>0.69249877385584</v>
      </c>
      <c r="BA8" s="65"/>
      <c r="BB8" s="65">
        <f t="shared" si="5"/>
        <v>0.1368936820868</v>
      </c>
      <c r="BC8" s="65"/>
      <c r="BD8" s="65">
        <f t="shared" si="6"/>
        <v>0.569919239167498</v>
      </c>
      <c r="BE8" s="65"/>
      <c r="BF8" s="65">
        <f>ABS(AK8-P8+AL8)</f>
        <v>0.668096739709105</v>
      </c>
      <c r="BJ8" s="10"/>
      <c r="BK8" s="11">
        <v>100</v>
      </c>
      <c r="BL8" s="12">
        <v>7.64</v>
      </c>
      <c r="BM8" s="11">
        <v>13.75</v>
      </c>
      <c r="BN8" s="11">
        <v>23.74</v>
      </c>
      <c r="BO8" s="13">
        <v>42.81</v>
      </c>
      <c r="BP8" s="1"/>
      <c r="BQ8" s="1">
        <v>100</v>
      </c>
      <c r="BR8" s="18">
        <v>9.15</v>
      </c>
      <c r="BS8" s="18">
        <v>15.8</v>
      </c>
      <c r="BT8" s="18">
        <v>23.04</v>
      </c>
      <c r="BU8" s="18">
        <v>36.35</v>
      </c>
      <c r="BW8" s="1">
        <v>100</v>
      </c>
      <c r="BX8">
        <f>ABS(BR8-BL8)</f>
        <v>1.51</v>
      </c>
      <c r="BY8">
        <f>ABS(BS8-BM8)</f>
        <v>2.05</v>
      </c>
      <c r="BZ8">
        <f>ABS(BT8-BN8)</f>
        <v>0.699999999999999</v>
      </c>
      <c r="CA8">
        <f>ABS(BU8-BO8)</f>
        <v>6.46</v>
      </c>
      <c r="CE8" s="1">
        <v>100</v>
      </c>
      <c r="CF8" s="69">
        <f>BX8/BL8</f>
        <v>0.197643979057592</v>
      </c>
      <c r="CG8" s="69">
        <f>BY8/BM8</f>
        <v>0.149090909090909</v>
      </c>
      <c r="CH8" s="69">
        <f>BZ8/BN8</f>
        <v>0.029486099410278</v>
      </c>
      <c r="CI8" s="69">
        <f>CA8/BO8</f>
        <v>0.15089932258818</v>
      </c>
    </row>
    <row r="9" ht="15.15"/>
    <row r="10" ht="15.15"/>
    <row r="11" ht="15.15" spans="2:68">
      <c r="B11" s="3" t="s">
        <v>32</v>
      </c>
      <c r="C11" s="4" t="s">
        <v>33</v>
      </c>
      <c r="D11" s="4"/>
      <c r="E11" s="4"/>
      <c r="F11" s="4"/>
      <c r="G11" s="5"/>
      <c r="I11" s="3" t="s">
        <v>32</v>
      </c>
      <c r="J11" s="4" t="s">
        <v>33</v>
      </c>
      <c r="K11" s="4"/>
      <c r="L11" s="4"/>
      <c r="M11" s="4"/>
      <c r="N11" s="4"/>
      <c r="O11" s="4"/>
      <c r="P11" s="5"/>
      <c r="AD11" s="1" t="s">
        <v>240</v>
      </c>
      <c r="BJ11" s="3" t="s">
        <v>32</v>
      </c>
      <c r="BK11" s="4" t="s">
        <v>33</v>
      </c>
      <c r="BL11" s="4"/>
      <c r="BM11" s="4"/>
      <c r="BN11" s="4"/>
      <c r="BO11" s="5"/>
      <c r="BP11" s="1"/>
    </row>
    <row r="12" spans="2:88">
      <c r="B12" s="6"/>
      <c r="C12" s="1"/>
      <c r="D12" s="1">
        <v>1</v>
      </c>
      <c r="E12" s="1">
        <v>8</v>
      </c>
      <c r="F12" s="1">
        <v>16</v>
      </c>
      <c r="G12" s="8">
        <v>32</v>
      </c>
      <c r="I12" s="6"/>
      <c r="J12" s="1"/>
      <c r="K12" s="1">
        <v>1</v>
      </c>
      <c r="L12" s="1">
        <v>4</v>
      </c>
      <c r="M12" s="1">
        <v>8</v>
      </c>
      <c r="N12" s="1">
        <v>12</v>
      </c>
      <c r="O12" s="1">
        <v>16</v>
      </c>
      <c r="P12" s="8">
        <v>32</v>
      </c>
      <c r="R12" s="1" t="s">
        <v>241</v>
      </c>
      <c r="S12" s="17">
        <v>1</v>
      </c>
      <c r="T12" s="17">
        <v>8</v>
      </c>
      <c r="U12" s="17">
        <v>16</v>
      </c>
      <c r="V12" s="17">
        <v>32</v>
      </c>
      <c r="X12" s="1" t="s">
        <v>242</v>
      </c>
      <c r="Y12" s="1">
        <v>1</v>
      </c>
      <c r="Z12" s="1">
        <v>8</v>
      </c>
      <c r="AA12" s="1">
        <v>16</v>
      </c>
      <c r="AB12" s="1">
        <v>32</v>
      </c>
      <c r="AE12" s="17">
        <v>1</v>
      </c>
      <c r="AF12" s="17" t="s">
        <v>236</v>
      </c>
      <c r="AG12" s="17">
        <v>8</v>
      </c>
      <c r="AH12" s="17" t="s">
        <v>236</v>
      </c>
      <c r="AI12" s="17">
        <v>16</v>
      </c>
      <c r="AJ12" s="17" t="s">
        <v>236</v>
      </c>
      <c r="AK12" s="17">
        <v>32</v>
      </c>
      <c r="AL12" s="1" t="s">
        <v>236</v>
      </c>
      <c r="AN12" s="1" t="s">
        <v>238</v>
      </c>
      <c r="AO12" s="1">
        <v>1</v>
      </c>
      <c r="AQ12" s="1">
        <v>8</v>
      </c>
      <c r="AS12" s="1">
        <v>16</v>
      </c>
      <c r="AU12" s="1">
        <v>32</v>
      </c>
      <c r="AW12" s="1" t="s">
        <v>243</v>
      </c>
      <c r="AY12" s="1" t="s">
        <v>244</v>
      </c>
      <c r="AZ12" s="17">
        <v>1</v>
      </c>
      <c r="BA12" s="17"/>
      <c r="BB12" s="17">
        <v>8</v>
      </c>
      <c r="BC12" s="17"/>
      <c r="BD12" s="17">
        <v>16</v>
      </c>
      <c r="BE12" s="68"/>
      <c r="BF12" s="17">
        <v>32</v>
      </c>
      <c r="BH12" s="1" t="s">
        <v>243</v>
      </c>
      <c r="BJ12" s="6"/>
      <c r="BK12" s="1"/>
      <c r="BL12" s="1">
        <v>1</v>
      </c>
      <c r="BM12" s="1">
        <v>8</v>
      </c>
      <c r="BN12" s="1">
        <v>16</v>
      </c>
      <c r="BO12" s="8">
        <v>32</v>
      </c>
      <c r="BP12" s="1"/>
      <c r="BQ12" s="1" t="s">
        <v>245</v>
      </c>
      <c r="BR12" s="17">
        <v>1</v>
      </c>
      <c r="BS12" s="17">
        <v>8</v>
      </c>
      <c r="BT12" s="17">
        <v>16</v>
      </c>
      <c r="BU12" s="17">
        <v>32</v>
      </c>
      <c r="BW12" s="1" t="s">
        <v>221</v>
      </c>
      <c r="BX12" s="17">
        <v>1</v>
      </c>
      <c r="BY12" s="17">
        <v>8</v>
      </c>
      <c r="BZ12" s="17">
        <v>16</v>
      </c>
      <c r="CA12" s="17">
        <v>32</v>
      </c>
      <c r="CB12" s="1" t="s">
        <v>243</v>
      </c>
      <c r="CE12" s="1" t="s">
        <v>238</v>
      </c>
      <c r="CF12" s="17">
        <v>1</v>
      </c>
      <c r="CG12" s="17">
        <v>8</v>
      </c>
      <c r="CH12" s="17">
        <v>16</v>
      </c>
      <c r="CI12" s="17">
        <v>32</v>
      </c>
      <c r="CJ12" s="1" t="s">
        <v>243</v>
      </c>
    </row>
    <row r="13" spans="2:88">
      <c r="B13" s="6"/>
      <c r="C13" s="1">
        <v>10</v>
      </c>
      <c r="D13" s="1">
        <v>27.1</v>
      </c>
      <c r="E13" s="1">
        <v>172.15</v>
      </c>
      <c r="F13" s="1">
        <v>208.56</v>
      </c>
      <c r="G13" s="8">
        <v>399.5</v>
      </c>
      <c r="I13" s="6"/>
      <c r="J13" s="1">
        <v>10</v>
      </c>
      <c r="K13" s="1">
        <v>39.1</v>
      </c>
      <c r="L13" s="1">
        <v>146.74</v>
      </c>
      <c r="M13" s="1">
        <v>247.9</v>
      </c>
      <c r="N13" s="1">
        <v>275</v>
      </c>
      <c r="O13" s="1">
        <v>297.7</v>
      </c>
      <c r="P13" s="8">
        <v>567.5</v>
      </c>
      <c r="R13" s="1">
        <v>10</v>
      </c>
      <c r="S13" s="18">
        <v>39.2799999999999</v>
      </c>
      <c r="T13" s="18">
        <v>246.299999999999</v>
      </c>
      <c r="U13" s="18">
        <v>295.489999999999</v>
      </c>
      <c r="V13" s="18">
        <v>565.699999999999</v>
      </c>
      <c r="X13" s="1">
        <v>10</v>
      </c>
      <c r="Y13" s="18">
        <f t="shared" ref="Y13:Y17" si="7">K13-S13</f>
        <v>-0.1799999999999</v>
      </c>
      <c r="Z13" s="18">
        <f t="shared" ref="Z13:Z17" si="8">M13-T13</f>
        <v>1.60000000000102</v>
      </c>
      <c r="AA13" s="18">
        <f t="shared" ref="AA13:AA17" si="9">O13-U13</f>
        <v>2.210000000001</v>
      </c>
      <c r="AB13" s="18">
        <f>P13-V13</f>
        <v>1.80000000000098</v>
      </c>
      <c r="AD13" s="1">
        <v>10</v>
      </c>
      <c r="AE13" s="18">
        <v>35.8505455979423</v>
      </c>
      <c r="AF13" s="19">
        <f>70*0.007/AE12*(AD13/100)</f>
        <v>0.049</v>
      </c>
      <c r="AG13" s="18">
        <v>239.740648101248</v>
      </c>
      <c r="AH13" s="19">
        <f>70*0.007/AG12*(AD13/100)</f>
        <v>0.006125</v>
      </c>
      <c r="AI13" s="18">
        <v>286.011853937511</v>
      </c>
      <c r="AJ13" s="19">
        <f>70*0.007/AI12*(AD13/100)</f>
        <v>0.0030625</v>
      </c>
      <c r="AK13" s="18">
        <v>486.184742905425</v>
      </c>
      <c r="AL13" s="19">
        <f>70*0.007/AK12*(AD13/100)</f>
        <v>0.00153125</v>
      </c>
      <c r="AN13" s="1">
        <v>10</v>
      </c>
      <c r="AO13" s="20">
        <f t="shared" ref="AO13:AO17" si="10">ABS(AE13-K13+AF13)/K13</f>
        <v>0.0818530537610665</v>
      </c>
      <c r="AP13" s="20"/>
      <c r="AQ13" s="20">
        <f t="shared" ref="AQ13:AQ17" si="11">ABS(AG13-M13+AH13)/M13</f>
        <v>0.0328891766791125</v>
      </c>
      <c r="AR13" s="20"/>
      <c r="AS13" s="20">
        <f t="shared" ref="AS13:AS17" si="12">ABS(AI13-O13+AJ13)/O13</f>
        <v>0.0392512044423548</v>
      </c>
      <c r="AU13" s="20">
        <f t="shared" ref="AU13:AU17" si="13">ABS(AK13-P13+AL13)/P13</f>
        <v>0.143284098404537</v>
      </c>
      <c r="AW13" s="1">
        <f>SUM(AO13:AO17)+SUM(AQ13:AQ17)+SUM(AS13:AS17)+SUM(AU13:AU17)</f>
        <v>0.825195311739181</v>
      </c>
      <c r="AY13" s="1">
        <v>10</v>
      </c>
      <c r="AZ13" s="65">
        <f t="shared" ref="AZ13:AZ17" si="14">ABS(AE13-K13+AF13)</f>
        <v>3.2004544020577</v>
      </c>
      <c r="BA13" s="65"/>
      <c r="BB13" s="65">
        <f t="shared" ref="BB13:BB17" si="15">ABS(AG13-M13+AH13)</f>
        <v>8.15322689875199</v>
      </c>
      <c r="BC13" s="65"/>
      <c r="BD13" s="65">
        <f t="shared" ref="BD13:BD17" si="16">ABS(AI13-O13+AJ13)</f>
        <v>11.685083562489</v>
      </c>
      <c r="BE13" s="65"/>
      <c r="BF13" s="65">
        <f t="shared" ref="BF13:BF17" si="17">ABS(AK13-P13+AL13)</f>
        <v>81.313725844575</v>
      </c>
      <c r="BH13" s="1">
        <f>SUM(AZ13:AZ17)+SUM(BB13:BB17)+SUM(BD13:BD17)+SUM(BF13:BF17)</f>
        <v>135.417783884365</v>
      </c>
      <c r="BJ13" s="6"/>
      <c r="BK13" s="1">
        <v>10</v>
      </c>
      <c r="BL13" s="1">
        <v>39.1</v>
      </c>
      <c r="BM13" s="1">
        <v>247.9</v>
      </c>
      <c r="BN13" s="1">
        <v>297.7</v>
      </c>
      <c r="BO13" s="8">
        <v>567.5</v>
      </c>
      <c r="BP13" s="1"/>
      <c r="BQ13" s="1">
        <v>10</v>
      </c>
      <c r="BR13" s="18">
        <v>38.02</v>
      </c>
      <c r="BS13" s="18">
        <v>158.73</v>
      </c>
      <c r="BT13" s="18">
        <v>295.21</v>
      </c>
      <c r="BU13" s="18">
        <v>563.4</v>
      </c>
      <c r="BW13" s="1">
        <v>10</v>
      </c>
      <c r="BX13">
        <f t="shared" ref="BX13:CA13" si="18">ABS(BR13-BL13)</f>
        <v>1.08</v>
      </c>
      <c r="BY13">
        <f t="shared" si="18"/>
        <v>89.17</v>
      </c>
      <c r="BZ13">
        <f t="shared" si="18"/>
        <v>2.49000000000001</v>
      </c>
      <c r="CA13">
        <f t="shared" si="18"/>
        <v>4.10000000000002</v>
      </c>
      <c r="CB13" s="1">
        <f>SUM(BX13:CA17)</f>
        <v>211.74</v>
      </c>
      <c r="CE13" s="1">
        <v>10</v>
      </c>
      <c r="CF13" s="69">
        <f t="shared" ref="CF13:CI13" si="19">BX13/BL13</f>
        <v>0.027621483375959</v>
      </c>
      <c r="CG13" s="69">
        <f t="shared" si="19"/>
        <v>0.359701492537313</v>
      </c>
      <c r="CH13" s="69">
        <f t="shared" si="19"/>
        <v>0.00836412495801145</v>
      </c>
      <c r="CI13" s="69">
        <f t="shared" si="19"/>
        <v>0.00722466960352427</v>
      </c>
      <c r="CJ13" s="1">
        <f>SUM(CF13:CI17)</f>
        <v>3.57969786772638</v>
      </c>
    </row>
    <row r="14" spans="2:88">
      <c r="B14" s="6"/>
      <c r="C14" s="1">
        <v>25</v>
      </c>
      <c r="D14" s="1">
        <v>10.81</v>
      </c>
      <c r="E14" s="1">
        <v>66.36</v>
      </c>
      <c r="F14" s="1">
        <v>80.58</v>
      </c>
      <c r="G14" s="8">
        <v>155.76</v>
      </c>
      <c r="I14" s="6"/>
      <c r="J14" s="1">
        <v>25</v>
      </c>
      <c r="K14" s="1">
        <v>15.1</v>
      </c>
      <c r="L14" s="1">
        <v>55.98</v>
      </c>
      <c r="M14" s="1">
        <v>95.36</v>
      </c>
      <c r="N14" s="1">
        <v>104.62</v>
      </c>
      <c r="O14" s="1">
        <v>114.3</v>
      </c>
      <c r="P14" s="8">
        <v>216.8</v>
      </c>
      <c r="R14" s="1">
        <v>25</v>
      </c>
      <c r="S14" s="18">
        <v>14.9199999999999</v>
      </c>
      <c r="T14" s="18">
        <v>93.72</v>
      </c>
      <c r="U14" s="18">
        <v>112.269999999999</v>
      </c>
      <c r="V14" s="18">
        <v>214.749999999999</v>
      </c>
      <c r="X14" s="1">
        <v>25</v>
      </c>
      <c r="Y14" s="18">
        <f t="shared" si="7"/>
        <v>0.180000000000099</v>
      </c>
      <c r="Z14" s="18">
        <f t="shared" si="8"/>
        <v>1.64</v>
      </c>
      <c r="AA14" s="18">
        <f t="shared" si="9"/>
        <v>2.030000000001</v>
      </c>
      <c r="AB14" s="18">
        <f>P14-V14</f>
        <v>2.05000000000101</v>
      </c>
      <c r="AD14" s="1">
        <v>25</v>
      </c>
      <c r="AE14" s="18">
        <v>14.9016959310578</v>
      </c>
      <c r="AF14" s="19">
        <f>70*0.007/AE12*AD14/100</f>
        <v>0.1225</v>
      </c>
      <c r="AG14" s="18">
        <v>93.5733943811996</v>
      </c>
      <c r="AH14" s="19">
        <f>70*0.007/AG12*AD14/100</f>
        <v>0.0153125</v>
      </c>
      <c r="AI14" s="18">
        <v>111.651692086703</v>
      </c>
      <c r="AJ14" s="19">
        <f>70*0.007/AI12*AD14/100</f>
        <v>0.00765625</v>
      </c>
      <c r="AK14" s="18">
        <v>232.700848858769</v>
      </c>
      <c r="AL14" s="19">
        <f>70*0.007/AK12*AD14/100</f>
        <v>0.003828125</v>
      </c>
      <c r="AN14" s="1">
        <v>25</v>
      </c>
      <c r="AO14" s="20">
        <f t="shared" si="10"/>
        <v>0.00502013701603972</v>
      </c>
      <c r="AP14" s="20"/>
      <c r="AQ14" s="20">
        <f t="shared" si="11"/>
        <v>0.0185748020008431</v>
      </c>
      <c r="AR14" s="20"/>
      <c r="AS14" s="20">
        <f t="shared" si="12"/>
        <v>0.0231028142020735</v>
      </c>
      <c r="AU14" s="20">
        <f t="shared" si="13"/>
        <v>0.0733610561981965</v>
      </c>
      <c r="AW14" s="1" t="s">
        <v>246</v>
      </c>
      <c r="AY14" s="1">
        <v>25</v>
      </c>
      <c r="AZ14" s="65">
        <f t="shared" si="14"/>
        <v>0.0758040689421998</v>
      </c>
      <c r="BA14" s="65"/>
      <c r="BB14" s="65">
        <f t="shared" si="15"/>
        <v>1.77129311880039</v>
      </c>
      <c r="BC14" s="65"/>
      <c r="BD14" s="65">
        <f t="shared" si="16"/>
        <v>2.640651663297</v>
      </c>
      <c r="BE14" s="65"/>
      <c r="BF14" s="65">
        <f t="shared" si="17"/>
        <v>15.904676983769</v>
      </c>
      <c r="BH14" s="1" t="s">
        <v>246</v>
      </c>
      <c r="BJ14" s="6"/>
      <c r="BK14" s="1">
        <v>25</v>
      </c>
      <c r="BL14" s="1">
        <v>15.1</v>
      </c>
      <c r="BM14" s="1">
        <v>95.36</v>
      </c>
      <c r="BN14" s="1">
        <v>114.3</v>
      </c>
      <c r="BO14" s="8">
        <v>216.8</v>
      </c>
      <c r="BP14" s="1"/>
      <c r="BQ14" s="1">
        <v>25</v>
      </c>
      <c r="BR14" s="18">
        <v>17.61</v>
      </c>
      <c r="BS14" s="18">
        <v>64.63</v>
      </c>
      <c r="BT14" s="18">
        <v>117.78</v>
      </c>
      <c r="BU14" s="18">
        <v>222.24</v>
      </c>
      <c r="BW14" s="1">
        <v>25</v>
      </c>
      <c r="BX14">
        <f t="shared" ref="BX14:CA14" si="20">ABS(BR14-BL14)</f>
        <v>2.51</v>
      </c>
      <c r="BY14">
        <f t="shared" si="20"/>
        <v>30.73</v>
      </c>
      <c r="BZ14">
        <f t="shared" si="20"/>
        <v>3.48</v>
      </c>
      <c r="CA14">
        <f t="shared" si="20"/>
        <v>5.44</v>
      </c>
      <c r="CB14" s="1" t="s">
        <v>246</v>
      </c>
      <c r="CE14" s="1">
        <v>25</v>
      </c>
      <c r="CF14" s="69">
        <f t="shared" ref="CF14:CI14" si="21">BX14/BL14</f>
        <v>0.166225165562914</v>
      </c>
      <c r="CG14" s="69">
        <f t="shared" si="21"/>
        <v>0.322252516778524</v>
      </c>
      <c r="CH14" s="69">
        <f t="shared" si="21"/>
        <v>0.0304461942257218</v>
      </c>
      <c r="CI14" s="69">
        <f t="shared" si="21"/>
        <v>0.0250922509225092</v>
      </c>
      <c r="CJ14" s="1" t="s">
        <v>246</v>
      </c>
    </row>
    <row r="15" spans="2:88">
      <c r="B15" s="6"/>
      <c r="C15" s="1">
        <v>50</v>
      </c>
      <c r="D15" s="1">
        <v>6.29</v>
      </c>
      <c r="E15" s="1">
        <v>35.27</v>
      </c>
      <c r="F15" s="1">
        <v>45.04</v>
      </c>
      <c r="G15" s="8">
        <v>86.03</v>
      </c>
      <c r="I15" s="6"/>
      <c r="J15" s="1">
        <v>50</v>
      </c>
      <c r="K15" s="1">
        <v>7.99</v>
      </c>
      <c r="L15" s="1">
        <v>27.77</v>
      </c>
      <c r="M15" s="1">
        <v>47.3</v>
      </c>
      <c r="N15" s="1">
        <v>52.91</v>
      </c>
      <c r="O15" s="1">
        <v>58.81</v>
      </c>
      <c r="P15" s="8">
        <v>111.38</v>
      </c>
      <c r="R15" s="1">
        <v>50</v>
      </c>
      <c r="S15" s="18">
        <v>7.85331</v>
      </c>
      <c r="T15" s="18">
        <v>46.53</v>
      </c>
      <c r="U15" s="18">
        <v>57.01</v>
      </c>
      <c r="V15" s="18">
        <v>109.009999999999</v>
      </c>
      <c r="X15" s="1">
        <v>50</v>
      </c>
      <c r="Y15" s="18">
        <f t="shared" si="7"/>
        <v>0.136690000000001</v>
      </c>
      <c r="Z15" s="18">
        <f t="shared" si="8"/>
        <v>0.769999999999996</v>
      </c>
      <c r="AA15" s="18">
        <f t="shared" si="9"/>
        <v>1.8</v>
      </c>
      <c r="AB15" s="18">
        <f>P15-V15</f>
        <v>2.370000000001</v>
      </c>
      <c r="AD15" s="1">
        <v>50</v>
      </c>
      <c r="AE15" s="18">
        <v>8.46278261743987</v>
      </c>
      <c r="AF15" s="19">
        <f>70*0.007/AE12*AD15/100</f>
        <v>0.245</v>
      </c>
      <c r="AG15" s="18">
        <v>49.1685456351753</v>
      </c>
      <c r="AH15" s="19">
        <f>70*0.007/AG12*AD15/100</f>
        <v>0.030625</v>
      </c>
      <c r="AI15" s="18">
        <v>60.1819144198159</v>
      </c>
      <c r="AJ15" s="19">
        <f>70*0.007/AI12*AD15/100</f>
        <v>0.0153125</v>
      </c>
      <c r="AK15" s="18">
        <v>110.063031357661</v>
      </c>
      <c r="AL15" s="19">
        <f>70*0.007/AK12*AD15/100</f>
        <v>0.00765625</v>
      </c>
      <c r="AN15" s="1">
        <v>50</v>
      </c>
      <c r="AO15" s="20">
        <f t="shared" si="10"/>
        <v>0.0898351210813355</v>
      </c>
      <c r="AP15" s="20"/>
      <c r="AQ15" s="20">
        <f t="shared" si="11"/>
        <v>0.040151599052332</v>
      </c>
      <c r="AR15" s="20"/>
      <c r="AS15" s="20">
        <f t="shared" si="12"/>
        <v>0.0235882829419469</v>
      </c>
      <c r="AU15" s="20">
        <f t="shared" si="13"/>
        <v>0.0117553635512569</v>
      </c>
      <c r="AW15" s="1">
        <f>AW13/16</f>
        <v>0.0515747069836988</v>
      </c>
      <c r="AY15" s="1">
        <v>50</v>
      </c>
      <c r="AZ15" s="65">
        <f t="shared" si="14"/>
        <v>0.71778261743987</v>
      </c>
      <c r="BA15" s="65"/>
      <c r="BB15" s="65">
        <f t="shared" si="15"/>
        <v>1.8991706351753</v>
      </c>
      <c r="BC15" s="65"/>
      <c r="BD15" s="65">
        <f t="shared" si="16"/>
        <v>1.38722691981589</v>
      </c>
      <c r="BE15" s="65"/>
      <c r="BF15" s="65">
        <f t="shared" si="17"/>
        <v>1.30931239233899</v>
      </c>
      <c r="BH15" s="1">
        <f>BH13/16</f>
        <v>8.46361149277279</v>
      </c>
      <c r="BJ15" s="6"/>
      <c r="BK15" s="1">
        <v>50</v>
      </c>
      <c r="BL15" s="1">
        <v>7.99</v>
      </c>
      <c r="BM15" s="1">
        <v>47.3</v>
      </c>
      <c r="BN15" s="1">
        <v>58.81</v>
      </c>
      <c r="BO15" s="8">
        <v>111.38</v>
      </c>
      <c r="BP15" s="1"/>
      <c r="BQ15" s="1">
        <v>50</v>
      </c>
      <c r="BR15" s="18">
        <v>11.05</v>
      </c>
      <c r="BS15" s="18">
        <v>34.36</v>
      </c>
      <c r="BT15" s="18">
        <v>60.7</v>
      </c>
      <c r="BU15" s="18">
        <v>112.48</v>
      </c>
      <c r="BW15" s="1">
        <v>50</v>
      </c>
      <c r="BX15">
        <f t="shared" ref="BX15:CA15" si="22">ABS(BR15-BL15)</f>
        <v>3.06</v>
      </c>
      <c r="BY15">
        <f t="shared" si="22"/>
        <v>12.94</v>
      </c>
      <c r="BZ15">
        <f t="shared" si="22"/>
        <v>1.89</v>
      </c>
      <c r="CA15">
        <f t="shared" si="22"/>
        <v>1.10000000000001</v>
      </c>
      <c r="CB15" s="1">
        <f>CB13/20</f>
        <v>10.587</v>
      </c>
      <c r="CE15" s="1">
        <v>50</v>
      </c>
      <c r="CF15" s="69">
        <f t="shared" ref="CF15:CI15" si="23">BX15/BL15</f>
        <v>0.382978723404255</v>
      </c>
      <c r="CG15" s="69">
        <f t="shared" si="23"/>
        <v>0.273572938689218</v>
      </c>
      <c r="CH15" s="69">
        <f t="shared" si="23"/>
        <v>0.032137391600068</v>
      </c>
      <c r="CI15" s="69">
        <f t="shared" si="23"/>
        <v>0.00987609983839117</v>
      </c>
      <c r="CJ15" s="1">
        <f>CJ13/20</f>
        <v>0.178984893386319</v>
      </c>
    </row>
    <row r="16" spans="2:87">
      <c r="B16" s="6"/>
      <c r="C16" s="1">
        <v>75</v>
      </c>
      <c r="D16" s="1">
        <v>5.4</v>
      </c>
      <c r="E16" s="1">
        <v>27.91</v>
      </c>
      <c r="F16" s="1">
        <v>37.35</v>
      </c>
      <c r="G16" s="8">
        <v>71.09</v>
      </c>
      <c r="I16" s="6"/>
      <c r="J16" s="1">
        <v>75</v>
      </c>
      <c r="K16" s="1">
        <v>6.42</v>
      </c>
      <c r="L16" s="1">
        <v>19.77</v>
      </c>
      <c r="M16" s="1">
        <v>35.45</v>
      </c>
      <c r="N16" s="1">
        <v>40.33</v>
      </c>
      <c r="O16" s="1">
        <v>44.87</v>
      </c>
      <c r="P16" s="8">
        <v>85.39</v>
      </c>
      <c r="R16" s="1">
        <v>75</v>
      </c>
      <c r="S16" s="18">
        <v>6.40067</v>
      </c>
      <c r="T16" s="18">
        <v>34.67</v>
      </c>
      <c r="U16" s="18">
        <v>43.7</v>
      </c>
      <c r="V16" s="18">
        <v>83.1599999999999</v>
      </c>
      <c r="X16" s="1">
        <v>75</v>
      </c>
      <c r="Y16" s="18">
        <f t="shared" si="7"/>
        <v>0.0193300000000001</v>
      </c>
      <c r="Z16" s="18">
        <f t="shared" si="8"/>
        <v>0.780000000000001</v>
      </c>
      <c r="AA16" s="18">
        <f t="shared" si="9"/>
        <v>1.16999999999999</v>
      </c>
      <c r="AB16" s="18">
        <f>P16-V16</f>
        <v>2.2300000000001</v>
      </c>
      <c r="AD16" s="1">
        <v>75</v>
      </c>
      <c r="AE16" s="18">
        <v>6.24462523110881</v>
      </c>
      <c r="AF16" s="19">
        <f>70*0.007/AE12*AD16/100</f>
        <v>0.3675</v>
      </c>
      <c r="AG16" s="18">
        <v>33.8083879859697</v>
      </c>
      <c r="AH16" s="19">
        <f>70*0.007/AG12*AD16/100</f>
        <v>0.0459375</v>
      </c>
      <c r="AI16" s="18">
        <v>43.3372247671402</v>
      </c>
      <c r="AJ16" s="19">
        <f>70*0.007/AI12*AD16/100</f>
        <v>0.02296875</v>
      </c>
      <c r="AK16" s="18">
        <v>84.985409662576</v>
      </c>
      <c r="AL16" s="19">
        <f>70*0.007/AK12*AD16/100</f>
        <v>0.011484375</v>
      </c>
      <c r="AN16" s="1">
        <v>75</v>
      </c>
      <c r="AO16" s="20">
        <f t="shared" si="10"/>
        <v>0.0299260484593163</v>
      </c>
      <c r="AP16" s="20"/>
      <c r="AQ16" s="20">
        <f t="shared" si="11"/>
        <v>0.0450119750079069</v>
      </c>
      <c r="AR16" s="20"/>
      <c r="AS16" s="20">
        <f t="shared" si="12"/>
        <v>0.0336484618422063</v>
      </c>
      <c r="AU16" s="20">
        <f t="shared" si="13"/>
        <v>0.00460365338358118</v>
      </c>
      <c r="AY16" s="1">
        <v>75</v>
      </c>
      <c r="AZ16" s="65">
        <f t="shared" si="14"/>
        <v>0.19212523110881</v>
      </c>
      <c r="BA16" s="65"/>
      <c r="BB16" s="65">
        <f t="shared" si="15"/>
        <v>1.5956745140303</v>
      </c>
      <c r="BC16" s="65"/>
      <c r="BD16" s="65">
        <f t="shared" si="16"/>
        <v>1.5098064828598</v>
      </c>
      <c r="BE16" s="65"/>
      <c r="BF16" s="65">
        <f t="shared" si="17"/>
        <v>0.393105962423997</v>
      </c>
      <c r="BJ16" s="6"/>
      <c r="BK16" s="1">
        <v>75</v>
      </c>
      <c r="BL16" s="1">
        <v>6.42</v>
      </c>
      <c r="BM16" s="1">
        <v>35.45</v>
      </c>
      <c r="BN16" s="1">
        <v>44.87</v>
      </c>
      <c r="BO16" s="8">
        <v>85.39</v>
      </c>
      <c r="BP16" s="1"/>
      <c r="BQ16" s="1">
        <v>75</v>
      </c>
      <c r="BR16" s="18">
        <v>8.89</v>
      </c>
      <c r="BS16" s="18">
        <v>24.39</v>
      </c>
      <c r="BT16" s="18">
        <v>41.9</v>
      </c>
      <c r="BU16" s="18">
        <v>76.32</v>
      </c>
      <c r="BW16" s="1">
        <v>75</v>
      </c>
      <c r="BX16">
        <f t="shared" ref="BX16:CA16" si="24">ABS(BR16-BL16)</f>
        <v>2.47</v>
      </c>
      <c r="BY16">
        <f t="shared" si="24"/>
        <v>11.06</v>
      </c>
      <c r="BZ16">
        <f t="shared" si="24"/>
        <v>2.97</v>
      </c>
      <c r="CA16">
        <f t="shared" si="24"/>
        <v>9.07000000000001</v>
      </c>
      <c r="CE16" s="1">
        <v>75</v>
      </c>
      <c r="CF16" s="69">
        <f t="shared" ref="CF16:CI16" si="25">BX16/BL16</f>
        <v>0.384735202492212</v>
      </c>
      <c r="CG16" s="69">
        <f t="shared" si="25"/>
        <v>0.311988716502116</v>
      </c>
      <c r="CH16" s="69">
        <f t="shared" si="25"/>
        <v>0.0661912190773345</v>
      </c>
      <c r="CI16" s="69">
        <f t="shared" si="25"/>
        <v>0.106218526759574</v>
      </c>
    </row>
    <row r="17" ht="15.15" spans="2:87">
      <c r="B17" s="10"/>
      <c r="C17" s="11">
        <v>100</v>
      </c>
      <c r="D17" s="11">
        <v>4.68</v>
      </c>
      <c r="E17" s="11">
        <v>23.35</v>
      </c>
      <c r="F17" s="11">
        <v>32.85</v>
      </c>
      <c r="G17" s="13">
        <v>62.65</v>
      </c>
      <c r="I17" s="10"/>
      <c r="J17" s="11">
        <v>100</v>
      </c>
      <c r="K17" s="11">
        <v>5.37</v>
      </c>
      <c r="L17" s="11">
        <v>15.34</v>
      </c>
      <c r="M17" s="11">
        <v>28.11</v>
      </c>
      <c r="N17" s="11">
        <v>34.02</v>
      </c>
      <c r="O17" s="11">
        <v>37.56</v>
      </c>
      <c r="P17" s="13">
        <v>71.65</v>
      </c>
      <c r="R17" s="1">
        <v>100</v>
      </c>
      <c r="S17" s="18">
        <v>5.32405</v>
      </c>
      <c r="T17" s="18">
        <v>27.64</v>
      </c>
      <c r="U17" s="18">
        <v>36.9</v>
      </c>
      <c r="V17" s="18">
        <v>70.23</v>
      </c>
      <c r="X17" s="1">
        <v>100</v>
      </c>
      <c r="Y17" s="18">
        <f t="shared" si="7"/>
        <v>0.0459500000000004</v>
      </c>
      <c r="Z17" s="18">
        <f t="shared" si="8"/>
        <v>0.469999999999999</v>
      </c>
      <c r="AA17" s="18">
        <f t="shared" si="9"/>
        <v>0.660000000000004</v>
      </c>
      <c r="AB17" s="18">
        <f>P17-V17</f>
        <v>1.42</v>
      </c>
      <c r="AD17" s="1">
        <v>100</v>
      </c>
      <c r="AE17" s="18">
        <v>5.41921590785003</v>
      </c>
      <c r="AF17" s="19">
        <f>70*0.007/AE12*AD17/100</f>
        <v>0.49</v>
      </c>
      <c r="AG17" s="18">
        <v>28.2219005604385</v>
      </c>
      <c r="AH17" s="19">
        <f>70*0.007/AG12*AD17/100</f>
        <v>0.06125</v>
      </c>
      <c r="AI17" s="18">
        <v>36.7857854118952</v>
      </c>
      <c r="AJ17" s="19">
        <f>70*0.007/AI12*AD17/100</f>
        <v>0.030625</v>
      </c>
      <c r="AK17" s="18">
        <v>71.847394030096</v>
      </c>
      <c r="AL17" s="19">
        <f>70*0.007/AK12*AD17/100</f>
        <v>0.0153125</v>
      </c>
      <c r="AN17" s="1">
        <v>100</v>
      </c>
      <c r="AO17" s="20">
        <f t="shared" si="10"/>
        <v>0.100412645782128</v>
      </c>
      <c r="AP17" s="20"/>
      <c r="AQ17" s="20">
        <f t="shared" si="11"/>
        <v>0.00615974957091781</v>
      </c>
      <c r="AR17" s="20"/>
      <c r="AS17" s="20">
        <f t="shared" si="12"/>
        <v>0.0197973798749948</v>
      </c>
      <c r="AU17" s="20">
        <f t="shared" si="13"/>
        <v>0.00296868848703409</v>
      </c>
      <c r="AY17" s="1">
        <v>100</v>
      </c>
      <c r="AZ17" s="65">
        <f t="shared" si="14"/>
        <v>0.53921590785003</v>
      </c>
      <c r="BA17" s="65"/>
      <c r="BB17" s="65">
        <f t="shared" si="15"/>
        <v>0.173150560438499</v>
      </c>
      <c r="BC17" s="65"/>
      <c r="BD17" s="65">
        <f t="shared" si="16"/>
        <v>0.743589588104805</v>
      </c>
      <c r="BE17" s="65"/>
      <c r="BF17" s="65">
        <f t="shared" si="17"/>
        <v>0.212706530095992</v>
      </c>
      <c r="BJ17" s="10"/>
      <c r="BK17" s="11">
        <v>100</v>
      </c>
      <c r="BL17" s="11">
        <v>5.37</v>
      </c>
      <c r="BM17" s="11">
        <v>28.11</v>
      </c>
      <c r="BN17" s="11">
        <v>37.56</v>
      </c>
      <c r="BO17" s="13">
        <v>71.65</v>
      </c>
      <c r="BP17" s="1"/>
      <c r="BQ17" s="1">
        <v>100</v>
      </c>
      <c r="BR17" s="18">
        <v>7.81</v>
      </c>
      <c r="BS17" s="18">
        <v>19.42</v>
      </c>
      <c r="BT17" s="18">
        <v>32.54</v>
      </c>
      <c r="BU17" s="18">
        <v>59.62</v>
      </c>
      <c r="BW17" s="1">
        <v>100</v>
      </c>
      <c r="BX17">
        <f t="shared" ref="BX17:CA17" si="26">ABS(BR17-BL17)</f>
        <v>2.44</v>
      </c>
      <c r="BY17">
        <f t="shared" si="26"/>
        <v>8.69</v>
      </c>
      <c r="BZ17">
        <f t="shared" si="26"/>
        <v>5.02</v>
      </c>
      <c r="CA17">
        <f t="shared" si="26"/>
        <v>12.03</v>
      </c>
      <c r="CE17" s="1">
        <v>100</v>
      </c>
      <c r="CF17" s="69">
        <f t="shared" ref="CF17:CI17" si="27">BX17/BL17</f>
        <v>0.45437616387337</v>
      </c>
      <c r="CG17" s="69">
        <f t="shared" si="27"/>
        <v>0.309142653859836</v>
      </c>
      <c r="CH17" s="69">
        <f t="shared" si="27"/>
        <v>0.133652822151225</v>
      </c>
      <c r="CI17" s="69">
        <f t="shared" si="27"/>
        <v>0.167899511514306</v>
      </c>
    </row>
    <row r="18" ht="15.15"/>
    <row r="19" ht="15.15"/>
    <row r="20" ht="15.15" spans="2:68">
      <c r="B20" s="3" t="s">
        <v>232</v>
      </c>
      <c r="C20" s="4" t="s">
        <v>33</v>
      </c>
      <c r="D20" s="4"/>
      <c r="E20" s="4"/>
      <c r="F20" s="4"/>
      <c r="G20" s="5"/>
      <c r="I20" s="3" t="s">
        <v>232</v>
      </c>
      <c r="J20" s="4" t="s">
        <v>33</v>
      </c>
      <c r="K20" s="4"/>
      <c r="L20" s="4"/>
      <c r="M20" s="4"/>
      <c r="N20" s="4"/>
      <c r="O20" s="4"/>
      <c r="P20" s="5"/>
      <c r="AD20" s="1" t="s">
        <v>240</v>
      </c>
      <c r="BJ20" s="3" t="s">
        <v>232</v>
      </c>
      <c r="BK20" s="4" t="s">
        <v>33</v>
      </c>
      <c r="BL20" s="4"/>
      <c r="BM20" s="4"/>
      <c r="BN20" s="4"/>
      <c r="BO20" s="5"/>
      <c r="BP20" s="1"/>
    </row>
    <row r="21" spans="2:88">
      <c r="B21" s="6"/>
      <c r="C21" s="1"/>
      <c r="D21" s="1">
        <v>1</v>
      </c>
      <c r="E21" s="1">
        <v>8</v>
      </c>
      <c r="F21" s="1">
        <v>16</v>
      </c>
      <c r="G21" s="8">
        <v>32</v>
      </c>
      <c r="I21" s="6"/>
      <c r="J21" s="1"/>
      <c r="K21" s="1">
        <v>1</v>
      </c>
      <c r="L21" s="1">
        <v>4</v>
      </c>
      <c r="M21" s="1">
        <v>8</v>
      </c>
      <c r="N21" s="1">
        <v>12</v>
      </c>
      <c r="O21" s="1">
        <v>16</v>
      </c>
      <c r="P21" s="8">
        <v>32</v>
      </c>
      <c r="R21" s="1" t="s">
        <v>241</v>
      </c>
      <c r="S21" s="17">
        <v>1</v>
      </c>
      <c r="T21" s="17">
        <v>8</v>
      </c>
      <c r="U21" s="17">
        <v>16</v>
      </c>
      <c r="V21" s="17">
        <v>32</v>
      </c>
      <c r="X21" s="1" t="s">
        <v>242</v>
      </c>
      <c r="Y21" s="1">
        <v>1</v>
      </c>
      <c r="Z21" s="1">
        <v>8</v>
      </c>
      <c r="AA21" s="1">
        <v>16</v>
      </c>
      <c r="AB21" s="1">
        <v>32</v>
      </c>
      <c r="AE21" s="17">
        <v>1</v>
      </c>
      <c r="AF21" s="17" t="s">
        <v>236</v>
      </c>
      <c r="AG21" s="17">
        <v>8</v>
      </c>
      <c r="AH21" s="17" t="s">
        <v>236</v>
      </c>
      <c r="AI21" s="17">
        <v>16</v>
      </c>
      <c r="AJ21" s="17" t="s">
        <v>236</v>
      </c>
      <c r="AK21" s="17">
        <v>32</v>
      </c>
      <c r="AL21" s="1" t="s">
        <v>236</v>
      </c>
      <c r="AN21" s="1" t="s">
        <v>238</v>
      </c>
      <c r="AO21" s="1">
        <v>1</v>
      </c>
      <c r="AQ21" s="1">
        <v>8</v>
      </c>
      <c r="AS21" s="1">
        <v>16</v>
      </c>
      <c r="AU21" s="1">
        <v>32</v>
      </c>
      <c r="AW21" s="1" t="s">
        <v>243</v>
      </c>
      <c r="AY21" s="1" t="s">
        <v>244</v>
      </c>
      <c r="AZ21" s="17">
        <v>1</v>
      </c>
      <c r="BA21" s="17"/>
      <c r="BB21" s="17">
        <v>8</v>
      </c>
      <c r="BC21" s="17"/>
      <c r="BD21" s="17">
        <v>16</v>
      </c>
      <c r="BE21" s="68"/>
      <c r="BF21" s="17">
        <v>32</v>
      </c>
      <c r="BH21" s="1" t="s">
        <v>243</v>
      </c>
      <c r="BJ21" s="6"/>
      <c r="BK21" s="1"/>
      <c r="BL21" s="1">
        <v>1</v>
      </c>
      <c r="BM21" s="1">
        <v>8</v>
      </c>
      <c r="BN21" s="1">
        <v>16</v>
      </c>
      <c r="BO21" s="8">
        <v>32</v>
      </c>
      <c r="BP21" s="1"/>
      <c r="BQ21" s="1" t="s">
        <v>245</v>
      </c>
      <c r="BR21" s="17">
        <v>1</v>
      </c>
      <c r="BS21" s="17">
        <v>8</v>
      </c>
      <c r="BT21" s="17">
        <v>16</v>
      </c>
      <c r="BU21" s="17">
        <v>32</v>
      </c>
      <c r="BW21" s="1" t="s">
        <v>221</v>
      </c>
      <c r="BX21" s="17">
        <v>1</v>
      </c>
      <c r="BY21" s="17">
        <v>8</v>
      </c>
      <c r="BZ21" s="17">
        <v>16</v>
      </c>
      <c r="CA21" s="17">
        <v>32</v>
      </c>
      <c r="CB21" s="1" t="s">
        <v>243</v>
      </c>
      <c r="CE21" s="1" t="s">
        <v>238</v>
      </c>
      <c r="CF21" s="17">
        <v>1</v>
      </c>
      <c r="CG21" s="17">
        <v>8</v>
      </c>
      <c r="CH21" s="17">
        <v>16</v>
      </c>
      <c r="CI21" s="17">
        <v>32</v>
      </c>
      <c r="CJ21" s="1" t="s">
        <v>243</v>
      </c>
    </row>
    <row r="22" spans="2:88">
      <c r="B22" s="6"/>
      <c r="C22" s="1">
        <v>10</v>
      </c>
      <c r="D22" s="1">
        <v>37.8</v>
      </c>
      <c r="E22" s="1">
        <v>118.04</v>
      </c>
      <c r="F22" s="1">
        <v>186.54</v>
      </c>
      <c r="G22" s="8">
        <v>330.61</v>
      </c>
      <c r="I22" s="6"/>
      <c r="J22" s="1">
        <v>10</v>
      </c>
      <c r="K22" s="1">
        <v>53.4</v>
      </c>
      <c r="L22" s="1">
        <v>101.34</v>
      </c>
      <c r="M22" s="1">
        <v>170.4</v>
      </c>
      <c r="N22" s="1">
        <v>203.64</v>
      </c>
      <c r="O22" s="1">
        <v>265.3</v>
      </c>
      <c r="P22" s="8">
        <v>472.8</v>
      </c>
      <c r="R22" s="1">
        <v>10</v>
      </c>
      <c r="S22" s="18">
        <v>53.2799999999999</v>
      </c>
      <c r="T22" s="18">
        <v>169.61</v>
      </c>
      <c r="U22" s="18">
        <v>265.539999999998</v>
      </c>
      <c r="V22" s="18">
        <v>470.839999999998</v>
      </c>
      <c r="X22" s="1">
        <v>10</v>
      </c>
      <c r="Y22" s="18">
        <f t="shared" ref="Y22:Y26" si="28">K22-S22</f>
        <v>0.120000000000097</v>
      </c>
      <c r="Z22" s="18">
        <f t="shared" ref="Z22:Z26" si="29">M22-T22</f>
        <v>0.789999999999992</v>
      </c>
      <c r="AA22" s="18">
        <f t="shared" ref="AA22:AA26" si="30">O22-U22</f>
        <v>-0.239999999997963</v>
      </c>
      <c r="AB22" s="18">
        <f t="shared" ref="AB22:AB26" si="31">P22-V22</f>
        <v>1.96000000000203</v>
      </c>
      <c r="AD22" s="1">
        <v>10</v>
      </c>
      <c r="AE22" s="18">
        <v>50.7487968367269</v>
      </c>
      <c r="AF22" s="19">
        <f>1080*0.007/AE21*(AD22/100)</f>
        <v>0.756</v>
      </c>
      <c r="AG22" s="18">
        <v>168.321566553415</v>
      </c>
      <c r="AH22" s="19">
        <f>1080*0.007/AG21*(AD22/100)</f>
        <v>0.0945</v>
      </c>
      <c r="AI22" s="18">
        <v>260.802157455796</v>
      </c>
      <c r="AJ22" s="19">
        <f>1080*0.007/AI21*(AD22/100)</f>
        <v>0.04725</v>
      </c>
      <c r="AK22" s="18">
        <v>479.397452794217</v>
      </c>
      <c r="AL22" s="19">
        <f>1080*0.007/AK21*(AD22/100)</f>
        <v>0.023625</v>
      </c>
      <c r="AN22" s="1">
        <v>10</v>
      </c>
      <c r="AO22" s="20">
        <f>ABS(AE22-K22+AF22)/K22</f>
        <v>0.0354906959414437</v>
      </c>
      <c r="AP22" s="20"/>
      <c r="AQ22" s="20">
        <f t="shared" ref="AQ22:AQ26" si="32">ABS(AG22-M22+AH22)/M22</f>
        <v>0.0116428019165786</v>
      </c>
      <c r="AR22" s="20"/>
      <c r="AS22" s="20">
        <f t="shared" ref="AS22:AS26" si="33">ABS(AI22-O22+AJ22)/O22</f>
        <v>0.0167756974904033</v>
      </c>
      <c r="AU22" s="20">
        <f>ABS(AK22-P22+AL22)/P22</f>
        <v>0.014003971645975</v>
      </c>
      <c r="AW22" s="1">
        <f>SUM(AO22:AO26)+SUM(AQ22:AQ26)+SUM(AS22:AS26)+SUM(AU22:AU26)</f>
        <v>0.975967509119214</v>
      </c>
      <c r="AY22" s="1">
        <v>10</v>
      </c>
      <c r="AZ22" s="65">
        <f t="shared" ref="AZ22:AZ26" si="34">ABS(AE22-K22+AF22)</f>
        <v>1.8952031632731</v>
      </c>
      <c r="BA22" s="65"/>
      <c r="BB22" s="65">
        <f t="shared" ref="BB22:BB26" si="35">ABS(AG22-M22+AH22)</f>
        <v>1.983933446585</v>
      </c>
      <c r="BC22" s="65"/>
      <c r="BD22" s="65">
        <f t="shared" ref="BD22:BD26" si="36">ABS(AI22-O22+AJ22)</f>
        <v>4.45059254420399</v>
      </c>
      <c r="BE22" s="65"/>
      <c r="BF22" s="65">
        <f t="shared" ref="BF22:BF26" si="37">ABS(AK22-P22+AL22)</f>
        <v>6.62107779421696</v>
      </c>
      <c r="BH22" s="1">
        <f>SUM(AZ22:AZ26)+SUM(BB22:BB26)+SUM(BD22:BD26)+SUM(BF22:BF26)</f>
        <v>57.7211660393673</v>
      </c>
      <c r="BJ22" s="6"/>
      <c r="BK22" s="1">
        <v>10</v>
      </c>
      <c r="BL22" s="1">
        <v>53.4</v>
      </c>
      <c r="BM22" s="1">
        <v>170.4</v>
      </c>
      <c r="BN22" s="1">
        <v>265.3</v>
      </c>
      <c r="BO22" s="8">
        <v>472.8</v>
      </c>
      <c r="BP22" s="1"/>
      <c r="BQ22" s="1">
        <v>10</v>
      </c>
      <c r="BR22" s="18">
        <v>52.18</v>
      </c>
      <c r="BS22" s="18">
        <v>152.34</v>
      </c>
      <c r="BT22" s="18">
        <v>262.06</v>
      </c>
      <c r="BU22" s="18">
        <v>466.302</v>
      </c>
      <c r="BW22" s="1">
        <v>10</v>
      </c>
      <c r="BX22">
        <f t="shared" ref="BX22:CA22" si="38">ABS(BR22-BL22)</f>
        <v>1.22</v>
      </c>
      <c r="BY22">
        <f t="shared" si="38"/>
        <v>18.06</v>
      </c>
      <c r="BZ22">
        <f t="shared" si="38"/>
        <v>3.24000000000001</v>
      </c>
      <c r="CA22">
        <f t="shared" si="38"/>
        <v>6.49799999999999</v>
      </c>
      <c r="CB22" s="1">
        <f>SUM(BX22:CA26)</f>
        <v>102.268</v>
      </c>
      <c r="CE22" s="1">
        <v>10</v>
      </c>
      <c r="CF22" s="69">
        <f t="shared" ref="CF22:CI22" si="39">BX22/BL22</f>
        <v>0.0228464419475655</v>
      </c>
      <c r="CG22" s="69">
        <f t="shared" si="39"/>
        <v>0.105985915492958</v>
      </c>
      <c r="CH22" s="69">
        <f t="shared" si="39"/>
        <v>0.0122125895212967</v>
      </c>
      <c r="CI22" s="69">
        <f t="shared" si="39"/>
        <v>0.013743654822335</v>
      </c>
      <c r="CJ22" s="1">
        <f>SUM(CF22:CI26)</f>
        <v>1.83253841812304</v>
      </c>
    </row>
    <row r="23" spans="2:88">
      <c r="B23" s="6"/>
      <c r="C23" s="1">
        <v>25</v>
      </c>
      <c r="D23" s="1">
        <v>31.3</v>
      </c>
      <c r="E23" s="1">
        <v>64.33</v>
      </c>
      <c r="F23" s="1">
        <v>110.32</v>
      </c>
      <c r="G23" s="8">
        <v>185.12</v>
      </c>
      <c r="I23" s="6"/>
      <c r="J23" s="1">
        <v>25</v>
      </c>
      <c r="K23" s="1">
        <v>32.8</v>
      </c>
      <c r="L23" s="1">
        <v>45.57</v>
      </c>
      <c r="M23" s="1">
        <v>69.1</v>
      </c>
      <c r="N23" s="1">
        <v>85.56</v>
      </c>
      <c r="O23" s="1">
        <v>112.1</v>
      </c>
      <c r="P23" s="8">
        <v>190.4</v>
      </c>
      <c r="R23" s="1">
        <v>25</v>
      </c>
      <c r="S23" s="18">
        <v>28.2793099999999</v>
      </c>
      <c r="T23" s="18">
        <v>67.9499999999999</v>
      </c>
      <c r="U23" s="18">
        <v>112.01</v>
      </c>
      <c r="V23" s="18">
        <v>190.73</v>
      </c>
      <c r="X23" s="1">
        <v>25</v>
      </c>
      <c r="Y23" s="18">
        <f t="shared" si="28"/>
        <v>4.5206900000001</v>
      </c>
      <c r="Z23" s="18">
        <f t="shared" si="29"/>
        <v>1.15000000000009</v>
      </c>
      <c r="AA23" s="18">
        <f t="shared" si="30"/>
        <v>0.0899999999999892</v>
      </c>
      <c r="AB23" s="18">
        <f t="shared" si="31"/>
        <v>-0.329999999999984</v>
      </c>
      <c r="AD23" s="1">
        <v>25</v>
      </c>
      <c r="AE23" s="18">
        <v>28.3563268280052</v>
      </c>
      <c r="AF23" s="19">
        <f>1080*0.007/AE21*AD23/100</f>
        <v>1.89</v>
      </c>
      <c r="AG23" s="18">
        <v>69.5681969617415</v>
      </c>
      <c r="AH23" s="19">
        <f>1080*0.007/AG21*AD23/100</f>
        <v>0.23625</v>
      </c>
      <c r="AI23" s="18">
        <v>109.867930815096</v>
      </c>
      <c r="AJ23" s="19">
        <f>1080*0.007/AI21*AD22/100</f>
        <v>0.04725</v>
      </c>
      <c r="AK23" s="18">
        <v>187.321201421134</v>
      </c>
      <c r="AL23" s="19">
        <f>1080*0.007/AK21*AD22/100</f>
        <v>0.023625</v>
      </c>
      <c r="AN23" s="1">
        <v>25</v>
      </c>
      <c r="AO23" s="20">
        <f>ABS(AE23-K23+AF23)/K23</f>
        <v>0.0778558893900853</v>
      </c>
      <c r="AP23" s="20"/>
      <c r="AQ23" s="20">
        <f t="shared" si="32"/>
        <v>0.0101946014723808</v>
      </c>
      <c r="AR23" s="20"/>
      <c r="AS23" s="20">
        <f t="shared" si="33"/>
        <v>0.0194899124433898</v>
      </c>
      <c r="AU23" s="20">
        <f>ABS(AK23-P23+AL23)/P23</f>
        <v>0.0160460797209349</v>
      </c>
      <c r="AW23" s="1" t="s">
        <v>246</v>
      </c>
      <c r="AY23" s="1">
        <v>25</v>
      </c>
      <c r="AZ23" s="65">
        <f t="shared" si="34"/>
        <v>2.5536731719948</v>
      </c>
      <c r="BA23" s="65"/>
      <c r="BB23" s="65">
        <f t="shared" si="35"/>
        <v>0.704446961741512</v>
      </c>
      <c r="BC23" s="65"/>
      <c r="BD23" s="65">
        <f t="shared" si="36"/>
        <v>2.18481918490399</v>
      </c>
      <c r="BE23" s="65"/>
      <c r="BF23" s="65">
        <f t="shared" si="37"/>
        <v>3.05517357886601</v>
      </c>
      <c r="BH23" s="1" t="s">
        <v>246</v>
      </c>
      <c r="BJ23" s="6"/>
      <c r="BK23" s="1">
        <v>25</v>
      </c>
      <c r="BL23" s="1">
        <v>32.8</v>
      </c>
      <c r="BM23" s="1">
        <v>69.1</v>
      </c>
      <c r="BN23" s="1">
        <v>112.1</v>
      </c>
      <c r="BO23" s="8">
        <v>190.4</v>
      </c>
      <c r="BP23" s="1"/>
      <c r="BQ23" s="1">
        <v>25</v>
      </c>
      <c r="BR23" s="18">
        <v>35.86</v>
      </c>
      <c r="BS23" s="18">
        <v>72.94</v>
      </c>
      <c r="BT23" s="18">
        <v>113.55</v>
      </c>
      <c r="BU23" s="18">
        <v>189.15</v>
      </c>
      <c r="BW23" s="1">
        <v>25</v>
      </c>
      <c r="BX23">
        <f t="shared" ref="BX23:CA23" si="40">ABS(BR23-BL23)</f>
        <v>3.06</v>
      </c>
      <c r="BY23">
        <f t="shared" si="40"/>
        <v>3.84</v>
      </c>
      <c r="BZ23">
        <f t="shared" si="40"/>
        <v>1.45</v>
      </c>
      <c r="CA23">
        <f t="shared" si="40"/>
        <v>1.25</v>
      </c>
      <c r="CB23" s="1" t="s">
        <v>246</v>
      </c>
      <c r="CE23" s="1">
        <v>25</v>
      </c>
      <c r="CF23" s="69">
        <f t="shared" ref="CF23:CI23" si="41">BX23/BL23</f>
        <v>0.0932926829268294</v>
      </c>
      <c r="CG23" s="69">
        <f t="shared" si="41"/>
        <v>0.0555716353111433</v>
      </c>
      <c r="CH23" s="69">
        <f t="shared" si="41"/>
        <v>0.0129348795718109</v>
      </c>
      <c r="CI23" s="69">
        <f t="shared" si="41"/>
        <v>0.00656512605042017</v>
      </c>
      <c r="CJ23" s="1" t="s">
        <v>246</v>
      </c>
    </row>
    <row r="24" spans="2:88">
      <c r="B24" s="6"/>
      <c r="C24" s="1">
        <v>50</v>
      </c>
      <c r="D24" s="1">
        <v>28.6</v>
      </c>
      <c r="E24" s="1">
        <v>39.89</v>
      </c>
      <c r="F24" s="1">
        <v>62.48</v>
      </c>
      <c r="G24" s="8">
        <v>103.64</v>
      </c>
      <c r="I24" s="6"/>
      <c r="J24" s="1">
        <v>50</v>
      </c>
      <c r="K24" s="1">
        <v>25.23</v>
      </c>
      <c r="L24" s="1">
        <v>31.31</v>
      </c>
      <c r="M24" s="1">
        <v>40.49</v>
      </c>
      <c r="N24" s="1">
        <v>51.81</v>
      </c>
      <c r="O24" s="1">
        <v>63.35</v>
      </c>
      <c r="P24" s="8">
        <v>105.11</v>
      </c>
      <c r="R24" s="1">
        <v>50</v>
      </c>
      <c r="S24" s="18">
        <v>20.3591</v>
      </c>
      <c r="T24" s="18">
        <v>39.7999999999998</v>
      </c>
      <c r="U24" s="18">
        <v>62.5399999999999</v>
      </c>
      <c r="V24" s="18">
        <v>104.92</v>
      </c>
      <c r="X24" s="1">
        <v>50</v>
      </c>
      <c r="Y24" s="18">
        <f t="shared" si="28"/>
        <v>4.8709</v>
      </c>
      <c r="Z24" s="18">
        <f t="shared" si="29"/>
        <v>0.690000000000204</v>
      </c>
      <c r="AA24" s="18">
        <f t="shared" si="30"/>
        <v>0.810000000000102</v>
      </c>
      <c r="AB24" s="18">
        <f t="shared" si="31"/>
        <v>0.189999999999998</v>
      </c>
      <c r="AD24" s="1">
        <v>50</v>
      </c>
      <c r="AE24" s="18">
        <v>20.9367989805595</v>
      </c>
      <c r="AF24" s="19">
        <f>1080*0.007/AE21*AD24/100</f>
        <v>3.78</v>
      </c>
      <c r="AG24" s="18">
        <v>41.9791096694461</v>
      </c>
      <c r="AH24" s="19">
        <f>1080*0.007/AG21*AD24/100</f>
        <v>0.4725</v>
      </c>
      <c r="AI24" s="18">
        <v>65.6921645134609</v>
      </c>
      <c r="AJ24" s="19">
        <f>1080*0.007/AI21*AD24/100</f>
        <v>0.23625</v>
      </c>
      <c r="AK24" s="18">
        <v>110.915511806554</v>
      </c>
      <c r="AL24" s="19">
        <f>1080*0.007/AK21*AD24/100</f>
        <v>0.118125</v>
      </c>
      <c r="AN24" s="1">
        <v>50</v>
      </c>
      <c r="AO24" s="20">
        <f>ABS(AE24-K24+AF24)/K24</f>
        <v>0.0203409044566191</v>
      </c>
      <c r="AP24" s="20"/>
      <c r="AQ24" s="20">
        <f t="shared" si="32"/>
        <v>0.0484467688181304</v>
      </c>
      <c r="AR24" s="20"/>
      <c r="AS24" s="20">
        <f t="shared" si="33"/>
        <v>0.0407010972922004</v>
      </c>
      <c r="AU24" s="20">
        <f>ABS(AK24-P24+AL24)/P24</f>
        <v>0.0563565484402435</v>
      </c>
      <c r="AW24" s="1">
        <f>AW22/16</f>
        <v>0.0609979693199509</v>
      </c>
      <c r="AY24" s="1">
        <v>50</v>
      </c>
      <c r="AZ24" s="65">
        <f t="shared" si="34"/>
        <v>0.513201019440499</v>
      </c>
      <c r="BA24" s="65"/>
      <c r="BB24" s="65">
        <f t="shared" si="35"/>
        <v>1.9616096694461</v>
      </c>
      <c r="BC24" s="65"/>
      <c r="BD24" s="65">
        <f t="shared" si="36"/>
        <v>2.57841451346089</v>
      </c>
      <c r="BE24" s="65"/>
      <c r="BF24" s="65">
        <f t="shared" si="37"/>
        <v>5.92363680655399</v>
      </c>
      <c r="BH24" s="1">
        <f>BH22/16</f>
        <v>3.60757287746046</v>
      </c>
      <c r="BJ24" s="6"/>
      <c r="BK24" s="1">
        <v>50</v>
      </c>
      <c r="BL24" s="1">
        <v>25.23</v>
      </c>
      <c r="BM24" s="1">
        <v>40.49</v>
      </c>
      <c r="BN24" s="1">
        <v>63.35</v>
      </c>
      <c r="BO24" s="8">
        <v>105.11</v>
      </c>
      <c r="BP24" s="1"/>
      <c r="BQ24" s="1">
        <v>50</v>
      </c>
      <c r="BR24" s="18">
        <v>30.95</v>
      </c>
      <c r="BS24" s="18">
        <v>49.04</v>
      </c>
      <c r="BT24" s="18">
        <v>68.86</v>
      </c>
      <c r="BU24" s="18">
        <v>105.75</v>
      </c>
      <c r="BW24" s="1">
        <v>50</v>
      </c>
      <c r="BX24">
        <f t="shared" ref="BX24:CA24" si="42">ABS(BR24-BL24)</f>
        <v>5.72</v>
      </c>
      <c r="BY24">
        <f t="shared" si="42"/>
        <v>8.55</v>
      </c>
      <c r="BZ24">
        <f t="shared" si="42"/>
        <v>5.51</v>
      </c>
      <c r="CA24">
        <f t="shared" si="42"/>
        <v>0.640000000000001</v>
      </c>
      <c r="CB24" s="1">
        <f>CB22/20</f>
        <v>5.1134</v>
      </c>
      <c r="CE24" s="1">
        <v>50</v>
      </c>
      <c r="CF24" s="69">
        <f t="shared" ref="CF24:CI24" si="43">BX24/BL24</f>
        <v>0.22671422909235</v>
      </c>
      <c r="CG24" s="69">
        <f t="shared" si="43"/>
        <v>0.211163250185231</v>
      </c>
      <c r="CH24" s="69">
        <f t="shared" si="43"/>
        <v>0.0869771112865035</v>
      </c>
      <c r="CI24" s="69">
        <f t="shared" si="43"/>
        <v>0.00608885929026734</v>
      </c>
      <c r="CJ24" s="1">
        <f>CJ22/20</f>
        <v>0.0916269209061522</v>
      </c>
    </row>
    <row r="25" spans="2:87">
      <c r="B25" s="6"/>
      <c r="C25" s="1">
        <v>75</v>
      </c>
      <c r="D25" s="1">
        <v>24.4</v>
      </c>
      <c r="E25" s="1">
        <v>32.19</v>
      </c>
      <c r="F25" s="1">
        <v>49.51</v>
      </c>
      <c r="G25" s="8">
        <v>82.81</v>
      </c>
      <c r="I25" s="6"/>
      <c r="J25" s="1">
        <v>75</v>
      </c>
      <c r="K25" s="9">
        <v>30.12</v>
      </c>
      <c r="L25" s="9">
        <v>32.27</v>
      </c>
      <c r="M25" s="1">
        <v>32.29</v>
      </c>
      <c r="N25" s="1">
        <v>40.76</v>
      </c>
      <c r="O25" s="1">
        <v>50.33</v>
      </c>
      <c r="P25" s="8">
        <v>84.32</v>
      </c>
      <c r="R25" s="1">
        <v>75</v>
      </c>
      <c r="S25" s="18">
        <v>18.5118</v>
      </c>
      <c r="T25" s="18">
        <v>32.1424399999999</v>
      </c>
      <c r="U25" s="18">
        <v>49.5100000000001</v>
      </c>
      <c r="V25" s="18">
        <v>83.6100000000004</v>
      </c>
      <c r="X25" s="1">
        <v>75</v>
      </c>
      <c r="Y25" s="18">
        <f t="shared" si="28"/>
        <v>11.6082</v>
      </c>
      <c r="Z25" s="18">
        <f t="shared" si="29"/>
        <v>0.147560000000098</v>
      </c>
      <c r="AA25" s="18">
        <f t="shared" si="30"/>
        <v>0.819999999999901</v>
      </c>
      <c r="AB25" s="18">
        <f t="shared" si="31"/>
        <v>0.709999999999596</v>
      </c>
      <c r="AD25" s="1">
        <v>75</v>
      </c>
      <c r="AE25" s="18">
        <v>18.6194158331437</v>
      </c>
      <c r="AF25" s="19">
        <f>1080*0.007/AE21*AD25/100</f>
        <v>5.67</v>
      </c>
      <c r="AG25" s="18">
        <v>32.7033309210218</v>
      </c>
      <c r="AH25" s="19">
        <f>1080*0.007/AG21*AD25/100</f>
        <v>0.70875</v>
      </c>
      <c r="AI25" s="18">
        <v>52.0200674004507</v>
      </c>
      <c r="AJ25" s="19">
        <f>1080*0.007/AI21*AD25/100</f>
        <v>0.354375</v>
      </c>
      <c r="AK25" s="18">
        <v>87.1096663203126</v>
      </c>
      <c r="AL25" s="19">
        <f>1080*0.007/AK21*AD25/100</f>
        <v>0.1771875</v>
      </c>
      <c r="AN25" s="1">
        <v>75</v>
      </c>
      <c r="AO25" s="20">
        <f>ABS(AE25-K25+AF25)/K25</f>
        <v>0.193578491595495</v>
      </c>
      <c r="AP25" s="20"/>
      <c r="AQ25" s="20">
        <f t="shared" si="32"/>
        <v>0.0347501059467886</v>
      </c>
      <c r="AR25" s="20"/>
      <c r="AS25" s="20">
        <f t="shared" si="33"/>
        <v>0.0406207510520704</v>
      </c>
      <c r="AU25" s="20">
        <f>ABS(AK25-P25+AL25)/P25</f>
        <v>0.0351856477741059</v>
      </c>
      <c r="AY25" s="1">
        <v>75</v>
      </c>
      <c r="AZ25" s="65">
        <f t="shared" si="34"/>
        <v>5.8305841668563</v>
      </c>
      <c r="BA25" s="65"/>
      <c r="BB25" s="65">
        <f t="shared" si="35"/>
        <v>1.1220809210218</v>
      </c>
      <c r="BC25" s="65"/>
      <c r="BD25" s="65">
        <f t="shared" si="36"/>
        <v>2.0444424004507</v>
      </c>
      <c r="BE25" s="65"/>
      <c r="BF25" s="65">
        <f t="shared" si="37"/>
        <v>2.96685382031261</v>
      </c>
      <c r="BJ25" s="6"/>
      <c r="BK25" s="1">
        <v>75</v>
      </c>
      <c r="BL25" s="9">
        <v>30.12</v>
      </c>
      <c r="BM25" s="1">
        <v>32.29</v>
      </c>
      <c r="BN25" s="1">
        <v>50.33</v>
      </c>
      <c r="BO25" s="8">
        <v>84.32</v>
      </c>
      <c r="BP25" s="1"/>
      <c r="BQ25" s="1">
        <v>75</v>
      </c>
      <c r="BR25" s="18">
        <v>29.37</v>
      </c>
      <c r="BS25" s="18">
        <v>41.33</v>
      </c>
      <c r="BT25" s="18">
        <v>54.44</v>
      </c>
      <c r="BU25" s="18">
        <v>78.84</v>
      </c>
      <c r="BW25" s="1">
        <v>75</v>
      </c>
      <c r="BX25">
        <f t="shared" ref="BX25:CA25" si="44">ABS(BR25-BL25)</f>
        <v>0.75</v>
      </c>
      <c r="BY25">
        <f t="shared" si="44"/>
        <v>9.04</v>
      </c>
      <c r="BZ25">
        <f t="shared" si="44"/>
        <v>4.11</v>
      </c>
      <c r="CA25">
        <f t="shared" si="44"/>
        <v>5.47999999999999</v>
      </c>
      <c r="CE25" s="1">
        <v>75</v>
      </c>
      <c r="CF25" s="69">
        <f t="shared" ref="CF25:CI25" si="45">BX25/BL25</f>
        <v>0.0249003984063745</v>
      </c>
      <c r="CG25" s="69">
        <f t="shared" si="45"/>
        <v>0.279962836791576</v>
      </c>
      <c r="CH25" s="69">
        <f t="shared" si="45"/>
        <v>0.0816610371547785</v>
      </c>
      <c r="CI25" s="69">
        <f t="shared" si="45"/>
        <v>0.0649905123339657</v>
      </c>
    </row>
    <row r="26" ht="15.15" spans="2:87">
      <c r="B26" s="10"/>
      <c r="C26" s="11">
        <v>100</v>
      </c>
      <c r="D26" s="11">
        <v>23.5</v>
      </c>
      <c r="E26" s="11">
        <v>29.51</v>
      </c>
      <c r="F26" s="11">
        <v>38.71</v>
      </c>
      <c r="G26" s="13">
        <v>68.17</v>
      </c>
      <c r="I26" s="10"/>
      <c r="J26" s="11">
        <v>100</v>
      </c>
      <c r="K26" s="12">
        <v>32.06</v>
      </c>
      <c r="L26" s="11">
        <v>26.84</v>
      </c>
      <c r="M26" s="11">
        <v>30.01</v>
      </c>
      <c r="N26" s="11">
        <v>37.04</v>
      </c>
      <c r="O26" s="11">
        <v>46.91</v>
      </c>
      <c r="P26" s="13">
        <v>78.02</v>
      </c>
      <c r="R26" s="1">
        <v>100</v>
      </c>
      <c r="S26" s="18">
        <v>17.3303699999999</v>
      </c>
      <c r="T26" s="18">
        <v>28.1271299999999</v>
      </c>
      <c r="U26" s="18">
        <v>45.6000000000002</v>
      </c>
      <c r="V26" s="18">
        <v>76.8200000000003</v>
      </c>
      <c r="X26" s="1">
        <v>100</v>
      </c>
      <c r="Y26" s="18">
        <f t="shared" si="28"/>
        <v>14.7296300000001</v>
      </c>
      <c r="Z26" s="18">
        <f t="shared" si="29"/>
        <v>1.8828700000001</v>
      </c>
      <c r="AA26" s="18">
        <f t="shared" si="30"/>
        <v>1.3099999999998</v>
      </c>
      <c r="AB26" s="18">
        <f t="shared" si="31"/>
        <v>1.19999999999969</v>
      </c>
      <c r="AD26" s="1">
        <v>100</v>
      </c>
      <c r="AE26" s="18">
        <v>17.5797533672138</v>
      </c>
      <c r="AF26" s="19">
        <f>1080*0.007/AE21*AD26/100</f>
        <v>7.56</v>
      </c>
      <c r="AG26" s="18">
        <v>27.95358125837</v>
      </c>
      <c r="AH26" s="19">
        <f>1080*0.007/AG21*AD26/100</f>
        <v>0.945</v>
      </c>
      <c r="AI26" s="18">
        <v>45.3427155769692</v>
      </c>
      <c r="AJ26" s="19">
        <f>1080*0.007/AI21*AD26/100</f>
        <v>0.4725</v>
      </c>
      <c r="AK26" s="18">
        <v>75.5787769214079</v>
      </c>
      <c r="AL26" s="19">
        <f>1080*0.007/AK21*AD26/100</f>
        <v>0.23625</v>
      </c>
      <c r="AN26" s="1">
        <v>100</v>
      </c>
      <c r="AO26" s="20">
        <f>ABS(AE26-K26+AF26)/K26</f>
        <v>0.215852982931572</v>
      </c>
      <c r="AP26" s="20"/>
      <c r="AQ26" s="20">
        <f t="shared" si="32"/>
        <v>0.0370349464055315</v>
      </c>
      <c r="AR26" s="20"/>
      <c r="AS26" s="20">
        <f t="shared" si="33"/>
        <v>0.0233379753364059</v>
      </c>
      <c r="AU26" s="20">
        <f>ABS(AK26-P26+AL26)/P26</f>
        <v>0.0282616390488606</v>
      </c>
      <c r="AY26" s="1">
        <v>100</v>
      </c>
      <c r="AZ26" s="65">
        <f t="shared" si="34"/>
        <v>6.9202466327862</v>
      </c>
      <c r="BA26" s="65"/>
      <c r="BB26" s="65">
        <f t="shared" si="35"/>
        <v>1.11141874163</v>
      </c>
      <c r="BC26" s="65"/>
      <c r="BD26" s="65">
        <f t="shared" si="36"/>
        <v>1.0947844230308</v>
      </c>
      <c r="BE26" s="65"/>
      <c r="BF26" s="65">
        <f t="shared" si="37"/>
        <v>2.2049730785921</v>
      </c>
      <c r="BJ26" s="10"/>
      <c r="BK26" s="11">
        <v>100</v>
      </c>
      <c r="BL26" s="12">
        <v>32.06</v>
      </c>
      <c r="BM26" s="11">
        <v>30.01</v>
      </c>
      <c r="BN26" s="11">
        <v>46.91</v>
      </c>
      <c r="BO26" s="13">
        <v>78.02</v>
      </c>
      <c r="BP26" s="1"/>
      <c r="BQ26" s="1">
        <v>100</v>
      </c>
      <c r="BR26" s="18">
        <v>28.59</v>
      </c>
      <c r="BS26" s="18">
        <v>37.52</v>
      </c>
      <c r="BT26" s="18">
        <v>47.32</v>
      </c>
      <c r="BU26" s="18">
        <v>65.56</v>
      </c>
      <c r="BW26" s="1">
        <v>100</v>
      </c>
      <c r="BX26">
        <f t="shared" ref="BX26:CA26" si="46">ABS(BR26-BL26)</f>
        <v>3.47</v>
      </c>
      <c r="BY26">
        <f t="shared" si="46"/>
        <v>7.51</v>
      </c>
      <c r="BZ26">
        <f t="shared" si="46"/>
        <v>0.410000000000004</v>
      </c>
      <c r="CA26">
        <f t="shared" si="46"/>
        <v>12.46</v>
      </c>
      <c r="CE26" s="1">
        <v>100</v>
      </c>
      <c r="CF26" s="69">
        <f t="shared" ref="CF26:CI26" si="47">BX26/BL26</f>
        <v>0.108234560199626</v>
      </c>
      <c r="CG26" s="69">
        <f t="shared" si="47"/>
        <v>0.250249916694435</v>
      </c>
      <c r="CH26" s="69">
        <f t="shared" si="47"/>
        <v>0.00874014069494785</v>
      </c>
      <c r="CI26" s="69">
        <f t="shared" si="47"/>
        <v>0.159702640348628</v>
      </c>
    </row>
    <row r="27" ht="15.15"/>
    <row r="28" s="14" customFormat="1" spans="18:88">
      <c r="R28" s="15"/>
      <c r="S28" s="66"/>
      <c r="T28" s="66"/>
      <c r="U28" s="66"/>
      <c r="V28" s="66"/>
      <c r="W28" s="15"/>
      <c r="X28" s="15"/>
      <c r="Y28" s="15"/>
      <c r="Z28" s="15"/>
      <c r="AA28" s="15"/>
      <c r="AB28" s="15"/>
      <c r="AC28" s="15"/>
      <c r="AD28" s="15"/>
      <c r="AE28" s="66"/>
      <c r="AF28" s="66"/>
      <c r="AG28" s="66"/>
      <c r="AH28" s="66"/>
      <c r="AI28" s="66"/>
      <c r="AJ28" s="66"/>
      <c r="AK28" s="66"/>
      <c r="AL28" s="15"/>
      <c r="AN28" s="15"/>
      <c r="AO28" s="15"/>
      <c r="AP28" s="15"/>
      <c r="AQ28" s="15"/>
      <c r="AR28" s="15"/>
      <c r="AS28" s="15"/>
      <c r="AU28" s="15"/>
      <c r="AZ28" s="67"/>
      <c r="BH28" s="15"/>
      <c r="BQ28" s="15"/>
      <c r="BT28" s="15"/>
      <c r="BW28" s="15"/>
      <c r="CB28" s="15"/>
      <c r="CE28" s="15"/>
      <c r="CJ28" s="15"/>
    </row>
    <row r="29" spans="30:30">
      <c r="AD29" s="1" t="s">
        <v>247</v>
      </c>
    </row>
    <row r="30" spans="31:74">
      <c r="AE30" s="17">
        <v>1</v>
      </c>
      <c r="AF30" s="17"/>
      <c r="AG30" s="17">
        <v>8</v>
      </c>
      <c r="AH30" s="17"/>
      <c r="AI30" s="17">
        <v>16</v>
      </c>
      <c r="AJ30" s="17"/>
      <c r="AK30" s="17">
        <v>32</v>
      </c>
      <c r="AN30" s="1" t="s">
        <v>238</v>
      </c>
      <c r="AO30" s="1">
        <v>1</v>
      </c>
      <c r="AQ30" s="1">
        <v>8</v>
      </c>
      <c r="AS30" s="1">
        <v>16</v>
      </c>
      <c r="AU30" s="1">
        <v>32</v>
      </c>
      <c r="AW30" s="1" t="s">
        <v>243</v>
      </c>
      <c r="AY30" s="1" t="s">
        <v>244</v>
      </c>
      <c r="AZ30" s="17">
        <v>1</v>
      </c>
      <c r="BA30" s="17"/>
      <c r="BB30" s="17">
        <v>8</v>
      </c>
      <c r="BC30" s="17"/>
      <c r="BD30" s="17">
        <v>16</v>
      </c>
      <c r="BE30" s="68"/>
      <c r="BF30" s="17">
        <v>32</v>
      </c>
      <c r="BH30" s="1" t="s">
        <v>243</v>
      </c>
      <c r="BV30" t="s">
        <v>248</v>
      </c>
    </row>
    <row r="31" spans="17:81">
      <c r="Q31" s="1"/>
      <c r="R31" s="25" t="s">
        <v>249</v>
      </c>
      <c r="W31" s="19"/>
      <c r="X31" s="19"/>
      <c r="Y31" s="19"/>
      <c r="AD31" s="1">
        <v>10</v>
      </c>
      <c r="AE31" s="18">
        <v>20.6167868761509</v>
      </c>
      <c r="AG31" s="18">
        <v>92.232642561273</v>
      </c>
      <c r="AI31" s="18">
        <v>156.782466345132</v>
      </c>
      <c r="AK31" s="18">
        <v>276.183557526949</v>
      </c>
      <c r="AL31" s="19"/>
      <c r="AN31" s="1">
        <v>10</v>
      </c>
      <c r="AO31" s="20">
        <f>ABS(AE31-K4)/K4</f>
        <v>0.107498403629831</v>
      </c>
      <c r="AP31" s="20"/>
      <c r="AQ31" s="20">
        <f t="shared" ref="AQ31:AQ35" si="48">ABS(AG31-M4)/M4</f>
        <v>0.0471834446149484</v>
      </c>
      <c r="AR31" s="20"/>
      <c r="AS31" s="20">
        <f t="shared" ref="AS31:AS35" si="49">ABS(AI31-O4)/O4</f>
        <v>0.00644824876342208</v>
      </c>
      <c r="AU31" s="20">
        <f>ABS(AK31-P4)/P4</f>
        <v>0.0380231364439255</v>
      </c>
      <c r="AW31" s="1">
        <f>SUM(AO31:AO35)+SUM(AQ31:AQ35)+SUM(AS31:AS35)+SUM(AU31:AU35)</f>
        <v>1.10920143793276</v>
      </c>
      <c r="AY31" s="1">
        <v>10</v>
      </c>
      <c r="AZ31" s="65">
        <f>ABS(K4-AE31)</f>
        <v>2.4832131238491</v>
      </c>
      <c r="BA31" s="65"/>
      <c r="BB31" s="65">
        <f t="shared" ref="BB31:BB35" si="50">ABS(M4-AG31)</f>
        <v>4.567357438727</v>
      </c>
      <c r="BC31" s="65"/>
      <c r="BD31" s="65">
        <f t="shared" ref="BD31:BD35" si="51">ABS(O4-AI31)</f>
        <v>1.017533654868</v>
      </c>
      <c r="BE31" s="65"/>
      <c r="BF31" s="65">
        <f>ABS(P4-AK31)</f>
        <v>10.916442473051</v>
      </c>
      <c r="BH31" s="1">
        <f>SUM(AZ31:AZ35)+SUM(BB31:BB35)+SUM(BD31:BD35)+SUM(BF31:BF35)</f>
        <v>33.4672467990621</v>
      </c>
      <c r="BW31" s="1" t="s">
        <v>246</v>
      </c>
      <c r="BX31" t="s">
        <v>250</v>
      </c>
      <c r="BY31" t="s">
        <v>251</v>
      </c>
      <c r="CA31" s="1" t="s">
        <v>246</v>
      </c>
      <c r="CB31" t="s">
        <v>250</v>
      </c>
      <c r="CC31" t="s">
        <v>251</v>
      </c>
    </row>
    <row r="32" spans="17:81">
      <c r="Q32" s="1"/>
      <c r="R32" s="25"/>
      <c r="W32" s="19"/>
      <c r="X32" s="19"/>
      <c r="Y32" s="19"/>
      <c r="AD32" s="1">
        <v>25</v>
      </c>
      <c r="AE32" s="18">
        <v>10.0859389172139</v>
      </c>
      <c r="AG32" s="18">
        <v>39.4615170629512</v>
      </c>
      <c r="AI32" s="18">
        <v>62.4031278642746</v>
      </c>
      <c r="AK32" s="18">
        <v>114.261396483565</v>
      </c>
      <c r="AL32" s="19"/>
      <c r="AN32" s="1">
        <v>25</v>
      </c>
      <c r="AO32" s="20">
        <f>ABS(AE32-K5)/K5</f>
        <v>0.0617731239801023</v>
      </c>
      <c r="AP32" s="20"/>
      <c r="AQ32" s="20">
        <f t="shared" si="48"/>
        <v>0.0144348859370489</v>
      </c>
      <c r="AR32" s="20"/>
      <c r="AS32" s="20">
        <f t="shared" si="49"/>
        <v>0.0157235352638075</v>
      </c>
      <c r="AU32" s="20">
        <f>ABS(AK32-P5)/P5</f>
        <v>0.00670833906224664</v>
      </c>
      <c r="AW32" s="1" t="s">
        <v>246</v>
      </c>
      <c r="AY32" s="1">
        <v>25</v>
      </c>
      <c r="AZ32" s="65">
        <f>ABS(K5-AE32)</f>
        <v>0.6640610827861</v>
      </c>
      <c r="BA32" s="65"/>
      <c r="BB32" s="65">
        <f t="shared" si="50"/>
        <v>0.561517062951204</v>
      </c>
      <c r="BC32" s="65"/>
      <c r="BD32" s="65">
        <f t="shared" si="51"/>
        <v>0.996872135725397</v>
      </c>
      <c r="BE32" s="65"/>
      <c r="BF32" s="65">
        <f>ABS(P5-AK32)</f>
        <v>0.761396483564994</v>
      </c>
      <c r="BH32" s="1" t="s">
        <v>246</v>
      </c>
      <c r="BW32" s="1" t="s">
        <v>107</v>
      </c>
      <c r="BX32">
        <v>3.0645</v>
      </c>
      <c r="BY32">
        <v>2.1042</v>
      </c>
      <c r="CA32" s="1" t="s">
        <v>107</v>
      </c>
      <c r="CB32">
        <v>0.1192</v>
      </c>
      <c r="CC32">
        <v>0.0704194690812139</v>
      </c>
    </row>
    <row r="33" spans="17:81">
      <c r="Q33" s="1"/>
      <c r="R33" s="25"/>
      <c r="W33" s="19"/>
      <c r="X33" s="19"/>
      <c r="Y33" s="19"/>
      <c r="AD33" s="1">
        <v>50</v>
      </c>
      <c r="AE33" s="18">
        <v>6.91146918771541</v>
      </c>
      <c r="AG33" s="18">
        <v>22.3046158933964</v>
      </c>
      <c r="AI33" s="18">
        <v>36.2400517771249</v>
      </c>
      <c r="AK33" s="18">
        <v>65.9774614821158</v>
      </c>
      <c r="AL33" s="19"/>
      <c r="AN33" s="1">
        <v>50</v>
      </c>
      <c r="AO33" s="20">
        <f>ABS(AE33-K6)/K6</f>
        <v>0.0480069989372714</v>
      </c>
      <c r="AP33" s="20"/>
      <c r="AQ33" s="20">
        <f t="shared" si="48"/>
        <v>0.0364598463474163</v>
      </c>
      <c r="AR33" s="20"/>
      <c r="AS33" s="20">
        <f t="shared" si="49"/>
        <v>0.0304251287212083</v>
      </c>
      <c r="AU33" s="20">
        <f>ABS(AK33-P6)/P6</f>
        <v>0.0426273938387452</v>
      </c>
      <c r="AW33" s="1">
        <f>AW31/16</f>
        <v>0.0693250898707975</v>
      </c>
      <c r="AY33" s="1">
        <v>50</v>
      </c>
      <c r="AZ33" s="65">
        <f>ABS(K6-AE33)</f>
        <v>0.34853081228459</v>
      </c>
      <c r="BA33" s="65"/>
      <c r="BB33" s="65">
        <f t="shared" si="50"/>
        <v>0.784615893396399</v>
      </c>
      <c r="BC33" s="65"/>
      <c r="BD33" s="65">
        <f t="shared" si="51"/>
        <v>1.0700517771249</v>
      </c>
      <c r="BE33" s="65"/>
      <c r="BF33" s="65">
        <f>ABS(P6-AK33)</f>
        <v>2.6974614821158</v>
      </c>
      <c r="BH33" s="1">
        <f>BH31/16</f>
        <v>2.09170292494138</v>
      </c>
      <c r="BW33" s="1" t="s">
        <v>108</v>
      </c>
      <c r="BX33">
        <v>10.587</v>
      </c>
      <c r="BY33">
        <v>8.4289</v>
      </c>
      <c r="CA33" s="1" t="s">
        <v>108</v>
      </c>
      <c r="CB33">
        <v>0.179</v>
      </c>
      <c r="CC33">
        <v>0.0443634013126466</v>
      </c>
    </row>
    <row r="34" spans="17:81">
      <c r="Q34" s="1"/>
      <c r="W34" s="19"/>
      <c r="X34" s="19"/>
      <c r="Y34" s="19"/>
      <c r="AD34" s="1">
        <v>75</v>
      </c>
      <c r="AE34" s="18">
        <v>5.56251202936345</v>
      </c>
      <c r="AG34" s="18">
        <v>16.3789208798794</v>
      </c>
      <c r="AI34" s="18">
        <v>27.4582933512212</v>
      </c>
      <c r="AK34" s="18">
        <v>50.0578950457376</v>
      </c>
      <c r="AL34" s="19"/>
      <c r="AN34" s="1">
        <v>75</v>
      </c>
      <c r="AO34" s="20">
        <f>ABS(AE34-K7)/K7</f>
        <v>0.20078850152824</v>
      </c>
      <c r="AP34" s="20"/>
      <c r="AQ34" s="20">
        <f t="shared" si="48"/>
        <v>0.0449608816396851</v>
      </c>
      <c r="AR34" s="20"/>
      <c r="AS34" s="20">
        <f t="shared" si="49"/>
        <v>0.00296683546763973</v>
      </c>
      <c r="AU34" s="20">
        <f>ABS(AK34-P7)/P7</f>
        <v>0.00243333906461533</v>
      </c>
      <c r="AY34" s="1">
        <v>75</v>
      </c>
      <c r="AZ34" s="65">
        <f>ABS(K7-AE34)</f>
        <v>1.39748797063655</v>
      </c>
      <c r="BA34" s="65"/>
      <c r="BB34" s="65">
        <f t="shared" si="50"/>
        <v>0.7710791201206</v>
      </c>
      <c r="BC34" s="65"/>
      <c r="BD34" s="65">
        <f t="shared" si="51"/>
        <v>0.0817066487787983</v>
      </c>
      <c r="BE34" s="65"/>
      <c r="BF34" s="65">
        <f>ABS(P7-AK34)</f>
        <v>0.122104954262397</v>
      </c>
      <c r="BW34" s="1" t="s">
        <v>116</v>
      </c>
      <c r="BX34">
        <v>4.8072</v>
      </c>
      <c r="BY34">
        <v>5.1134</v>
      </c>
      <c r="CA34" s="1" t="s">
        <v>116</v>
      </c>
      <c r="CB34">
        <v>0.092</v>
      </c>
      <c r="CC34">
        <v>0.101025505550231</v>
      </c>
    </row>
    <row r="35" spans="17:58">
      <c r="Q35" s="1"/>
      <c r="W35" s="19"/>
      <c r="X35" s="19"/>
      <c r="Y35" s="19"/>
      <c r="AD35" s="1">
        <v>100</v>
      </c>
      <c r="AE35" s="18">
        <v>4.97650122614416</v>
      </c>
      <c r="AG35" s="18">
        <v>13.3917313179132</v>
      </c>
      <c r="AI35" s="18">
        <v>23.0593932608325</v>
      </c>
      <c r="AK35" s="18">
        <v>42.0865595102909</v>
      </c>
      <c r="AL35" s="19"/>
      <c r="AN35" s="1">
        <v>100</v>
      </c>
      <c r="AO35" s="20">
        <f>ABS(AE35-K8)/K8</f>
        <v>0.331115426593527</v>
      </c>
      <c r="AP35" s="20"/>
      <c r="AQ35" s="20">
        <f t="shared" si="48"/>
        <v>0.0260559041517673</v>
      </c>
      <c r="AR35" s="20"/>
      <c r="AS35" s="20">
        <f t="shared" si="49"/>
        <v>0.0286691971005686</v>
      </c>
      <c r="AU35" s="20">
        <f>ABS(AK35-P8)/P8</f>
        <v>0.0168988668467439</v>
      </c>
      <c r="AY35" s="1">
        <v>100</v>
      </c>
      <c r="AZ35" s="65">
        <f>ABS(K8-AE35)</f>
        <v>2.46349877385584</v>
      </c>
      <c r="BA35" s="65"/>
      <c r="BB35" s="65">
        <f t="shared" si="50"/>
        <v>0.3582686820868</v>
      </c>
      <c r="BC35" s="65"/>
      <c r="BD35" s="65">
        <f t="shared" si="51"/>
        <v>0.680606739167498</v>
      </c>
      <c r="BE35" s="65"/>
      <c r="BF35" s="65">
        <f>ABS(P8-AK35)</f>
        <v>0.723440489709105</v>
      </c>
    </row>
    <row r="36" spans="17:25">
      <c r="Q36" s="1"/>
      <c r="W36" s="19"/>
      <c r="X36" s="19"/>
      <c r="Y36" s="19"/>
    </row>
    <row r="37" spans="17:74">
      <c r="Q37" s="1"/>
      <c r="W37" s="19"/>
      <c r="X37" s="19"/>
      <c r="Y37" s="19"/>
      <c r="BV37" t="s">
        <v>252</v>
      </c>
    </row>
    <row r="38" spans="17:81">
      <c r="Q38" s="1"/>
      <c r="W38" s="19"/>
      <c r="X38" s="19"/>
      <c r="Y38" s="19"/>
      <c r="AD38" s="1" t="s">
        <v>247</v>
      </c>
      <c r="BW38" s="1" t="s">
        <v>246</v>
      </c>
      <c r="BX38" t="s">
        <v>250</v>
      </c>
      <c r="BY38" t="s">
        <v>251</v>
      </c>
      <c r="CA38" s="1" t="s">
        <v>246</v>
      </c>
      <c r="CB38" t="s">
        <v>250</v>
      </c>
      <c r="CC38" t="s">
        <v>251</v>
      </c>
    </row>
    <row r="39" spans="17:81">
      <c r="Q39" s="1"/>
      <c r="W39" s="19"/>
      <c r="X39" s="19"/>
      <c r="Y39" s="19"/>
      <c r="AE39" s="17">
        <v>1</v>
      </c>
      <c r="AF39" s="17"/>
      <c r="AG39" s="17">
        <v>8</v>
      </c>
      <c r="AH39" s="17"/>
      <c r="AI39" s="17">
        <v>16</v>
      </c>
      <c r="AJ39" s="17"/>
      <c r="AK39" s="17">
        <v>32</v>
      </c>
      <c r="AN39" s="1" t="s">
        <v>238</v>
      </c>
      <c r="AO39" s="1">
        <v>1</v>
      </c>
      <c r="AQ39" s="1">
        <v>8</v>
      </c>
      <c r="AS39" s="1">
        <v>16</v>
      </c>
      <c r="AU39" s="1">
        <v>32</v>
      </c>
      <c r="AW39" s="1" t="s">
        <v>243</v>
      </c>
      <c r="AY39" s="1" t="s">
        <v>244</v>
      </c>
      <c r="AZ39" s="17">
        <v>1</v>
      </c>
      <c r="BA39" s="17"/>
      <c r="BB39" s="17">
        <v>8</v>
      </c>
      <c r="BC39" s="17"/>
      <c r="BD39" s="17">
        <v>16</v>
      </c>
      <c r="BE39" s="68"/>
      <c r="BF39" s="17">
        <v>32</v>
      </c>
      <c r="BH39" s="1" t="s">
        <v>243</v>
      </c>
      <c r="BW39" s="1" t="s">
        <v>107</v>
      </c>
      <c r="BX39">
        <v>3.0645</v>
      </c>
      <c r="BY39" s="1">
        <v>1.84110703137096</v>
      </c>
      <c r="CA39" s="1" t="s">
        <v>107</v>
      </c>
      <c r="CB39">
        <v>0.1192</v>
      </c>
      <c r="CC39" s="1">
        <v>0.0393679882935383</v>
      </c>
    </row>
    <row r="40" spans="17:81">
      <c r="Q40" s="1"/>
      <c r="W40" s="19"/>
      <c r="X40" s="19"/>
      <c r="Y40" s="19"/>
      <c r="AD40" s="1">
        <v>10</v>
      </c>
      <c r="AE40" s="18">
        <v>35.8505455979423</v>
      </c>
      <c r="AG40" s="18">
        <v>239.740648101248</v>
      </c>
      <c r="AI40" s="18">
        <v>286.011853937511</v>
      </c>
      <c r="AK40" s="18">
        <v>486.184742905425</v>
      </c>
      <c r="AL40" s="19"/>
      <c r="AN40" s="1">
        <v>10</v>
      </c>
      <c r="AO40" s="20">
        <f t="shared" ref="AO40:AO44" si="52">ABS(AE40-K13)/K13</f>
        <v>0.0831062506920128</v>
      </c>
      <c r="AP40" s="20"/>
      <c r="AQ40" s="20">
        <f t="shared" ref="AQ40:AQ44" si="53">ABS(AG40-M13)/M13</f>
        <v>0.0329138842224768</v>
      </c>
      <c r="AR40" s="20"/>
      <c r="AS40" s="20">
        <f t="shared" ref="AS40:AS44" si="54">ABS(AI40-O13)/O13</f>
        <v>0.0392614916442358</v>
      </c>
      <c r="AU40" s="20">
        <f t="shared" ref="AU40:AU44" si="55">ABS(AK40-P13)/P13</f>
        <v>0.143286796642423</v>
      </c>
      <c r="AW40" s="1">
        <f>SUM(AO40:AO44)+SUM(AQ40:AQ44)+SUM(AS40:AS44)+SUM(AU40:AU44)</f>
        <v>0.709814421002345</v>
      </c>
      <c r="AY40" s="1">
        <v>10</v>
      </c>
      <c r="AZ40" s="65">
        <f t="shared" ref="AZ40:AZ44" si="56">ABS(K13-AE40)</f>
        <v>3.2494544020577</v>
      </c>
      <c r="BA40" s="65"/>
      <c r="BB40" s="65">
        <f t="shared" ref="BB40:BB44" si="57">ABS(M13-AG40)</f>
        <v>8.15935189875199</v>
      </c>
      <c r="BC40" s="65"/>
      <c r="BD40" s="65">
        <f t="shared" ref="BD40:BD44" si="58">ABS(O13-AI40)</f>
        <v>11.688146062489</v>
      </c>
      <c r="BE40" s="65"/>
      <c r="BF40" s="65">
        <f t="shared" ref="BF40:BF44" si="59">ABS(P13-AK40)</f>
        <v>81.315257094575</v>
      </c>
      <c r="BH40" s="1">
        <f>SUM(AZ40:AZ44)+SUM(BB40:BB44)+SUM(BD40:BD44)+SUM(BF40:BF44)</f>
        <v>134.863564672147</v>
      </c>
      <c r="BW40" s="1" t="s">
        <v>108</v>
      </c>
      <c r="BX40">
        <v>10.587</v>
      </c>
      <c r="BY40" s="1">
        <v>8.46361149277278</v>
      </c>
      <c r="CA40" s="1" t="s">
        <v>108</v>
      </c>
      <c r="CB40">
        <v>0.179</v>
      </c>
      <c r="CC40" s="1">
        <v>0.0515747069836988</v>
      </c>
    </row>
    <row r="41" spans="17:81">
      <c r="Q41" s="1"/>
      <c r="W41" s="19"/>
      <c r="X41" s="19"/>
      <c r="Y41" s="19"/>
      <c r="AD41" s="1">
        <v>25</v>
      </c>
      <c r="AE41" s="18">
        <v>14.9016959310578</v>
      </c>
      <c r="AG41" s="18">
        <v>93.5733943811996</v>
      </c>
      <c r="AI41" s="18">
        <v>111.651692086703</v>
      </c>
      <c r="AK41" s="18">
        <v>232.700848858769</v>
      </c>
      <c r="AL41" s="19"/>
      <c r="AN41" s="1">
        <v>25</v>
      </c>
      <c r="AO41" s="20">
        <f t="shared" si="52"/>
        <v>0.0131327197974967</v>
      </c>
      <c r="AP41" s="20"/>
      <c r="AQ41" s="20">
        <f t="shared" si="53"/>
        <v>0.0187353777139303</v>
      </c>
      <c r="AR41" s="20"/>
      <c r="AS41" s="20">
        <f t="shared" si="54"/>
        <v>0.0231697980165967</v>
      </c>
      <c r="AU41" s="20">
        <f t="shared" si="55"/>
        <v>0.0733433987950599</v>
      </c>
      <c r="AW41" s="1" t="s">
        <v>246</v>
      </c>
      <c r="AY41" s="1">
        <v>25</v>
      </c>
      <c r="AZ41" s="65">
        <f t="shared" si="56"/>
        <v>0.1983040689422</v>
      </c>
      <c r="BA41" s="65"/>
      <c r="BB41" s="65">
        <f t="shared" si="57"/>
        <v>1.78660561880039</v>
      </c>
      <c r="BC41" s="65"/>
      <c r="BD41" s="65">
        <f t="shared" si="58"/>
        <v>2.648307913297</v>
      </c>
      <c r="BE41" s="65"/>
      <c r="BF41" s="65">
        <f t="shared" si="59"/>
        <v>15.900848858769</v>
      </c>
      <c r="BH41" s="1" t="s">
        <v>246</v>
      </c>
      <c r="BW41" s="1" t="s">
        <v>116</v>
      </c>
      <c r="BX41">
        <v>5.1134</v>
      </c>
      <c r="BY41" s="1">
        <v>3.60757287746046</v>
      </c>
      <c r="CA41" s="1" t="s">
        <v>116</v>
      </c>
      <c r="CB41">
        <v>0.092</v>
      </c>
      <c r="CC41" s="1">
        <v>0.0609979693199509</v>
      </c>
    </row>
    <row r="42" spans="17:60">
      <c r="Q42" s="1"/>
      <c r="W42" s="19"/>
      <c r="X42" s="19"/>
      <c r="Y42" s="19"/>
      <c r="AD42" s="1">
        <v>50</v>
      </c>
      <c r="AE42" s="18">
        <v>8.46278261743987</v>
      </c>
      <c r="AG42" s="18">
        <v>49.1685456351753</v>
      </c>
      <c r="AI42" s="18">
        <v>60.1819144198159</v>
      </c>
      <c r="AK42" s="18">
        <v>110.063031357661</v>
      </c>
      <c r="AL42" s="19"/>
      <c r="AN42" s="1">
        <v>50</v>
      </c>
      <c r="AO42" s="20">
        <f t="shared" si="52"/>
        <v>0.0591717919198836</v>
      </c>
      <c r="AP42" s="20"/>
      <c r="AQ42" s="20">
        <f t="shared" si="53"/>
        <v>0.0395041360502178</v>
      </c>
      <c r="AR42" s="20"/>
      <c r="AS42" s="20">
        <f t="shared" si="54"/>
        <v>0.0233279105562982</v>
      </c>
      <c r="AU42" s="20">
        <f t="shared" si="55"/>
        <v>0.0118241034507002</v>
      </c>
      <c r="AW42" s="1">
        <f>AW40/16</f>
        <v>0.0443634013126466</v>
      </c>
      <c r="AY42" s="1">
        <v>50</v>
      </c>
      <c r="AZ42" s="65">
        <f t="shared" si="56"/>
        <v>0.47278261743987</v>
      </c>
      <c r="BA42" s="65"/>
      <c r="BB42" s="65">
        <f t="shared" si="57"/>
        <v>1.8685456351753</v>
      </c>
      <c r="BC42" s="65"/>
      <c r="BD42" s="65">
        <f t="shared" si="58"/>
        <v>1.37191441981589</v>
      </c>
      <c r="BE42" s="65"/>
      <c r="BF42" s="65">
        <f t="shared" si="59"/>
        <v>1.31696864233899</v>
      </c>
      <c r="BH42" s="1">
        <f>BH40/16</f>
        <v>8.42897279200918</v>
      </c>
    </row>
    <row r="43" spans="17:58">
      <c r="Q43" s="1"/>
      <c r="W43" s="19"/>
      <c r="X43" s="19"/>
      <c r="Y43" s="19"/>
      <c r="AD43" s="1">
        <v>75</v>
      </c>
      <c r="AE43" s="18">
        <v>6.24462523110881</v>
      </c>
      <c r="AG43" s="18">
        <v>33.8083879859697</v>
      </c>
      <c r="AI43" s="18">
        <v>43.3372247671402</v>
      </c>
      <c r="AK43" s="18">
        <v>84.985409662576</v>
      </c>
      <c r="AL43" s="19"/>
      <c r="AN43" s="1">
        <v>75</v>
      </c>
      <c r="AO43" s="20">
        <f t="shared" si="52"/>
        <v>0.0273169421948893</v>
      </c>
      <c r="AP43" s="20"/>
      <c r="AQ43" s="20">
        <f t="shared" si="53"/>
        <v>0.0463078142180621</v>
      </c>
      <c r="AR43" s="20"/>
      <c r="AS43" s="20">
        <f t="shared" si="54"/>
        <v>0.0341603573180254</v>
      </c>
      <c r="AU43" s="20">
        <f t="shared" si="55"/>
        <v>0.00473814659121673</v>
      </c>
      <c r="AY43" s="1">
        <v>75</v>
      </c>
      <c r="AZ43" s="65">
        <f t="shared" si="56"/>
        <v>0.17537476889119</v>
      </c>
      <c r="BA43" s="65"/>
      <c r="BB43" s="65">
        <f t="shared" si="57"/>
        <v>1.6416120140303</v>
      </c>
      <c r="BC43" s="65"/>
      <c r="BD43" s="65">
        <f t="shared" si="58"/>
        <v>1.5327752328598</v>
      </c>
      <c r="BE43" s="65"/>
      <c r="BF43" s="65">
        <f t="shared" si="59"/>
        <v>0.404590337423997</v>
      </c>
    </row>
    <row r="44" spans="17:70">
      <c r="Q44" s="1"/>
      <c r="R44" s="17"/>
      <c r="S44" s="17"/>
      <c r="T44" s="17"/>
      <c r="U44" s="17"/>
      <c r="V44" s="17"/>
      <c r="W44" s="17"/>
      <c r="X44" s="17"/>
      <c r="AD44" s="1">
        <v>100</v>
      </c>
      <c r="AE44" s="18">
        <v>5.41921590785003</v>
      </c>
      <c r="AG44" s="18">
        <v>28.2219005604385</v>
      </c>
      <c r="AI44" s="18">
        <v>36.7857854118952</v>
      </c>
      <c r="AK44" s="18">
        <v>71.847394030096</v>
      </c>
      <c r="AL44" s="19"/>
      <c r="AN44" s="1">
        <v>100</v>
      </c>
      <c r="AO44" s="20">
        <f t="shared" si="52"/>
        <v>0.00916497352886965</v>
      </c>
      <c r="AP44" s="20"/>
      <c r="AQ44" s="20">
        <f t="shared" si="53"/>
        <v>0.0039808096918712</v>
      </c>
      <c r="AR44" s="20"/>
      <c r="AS44" s="20">
        <f t="shared" si="54"/>
        <v>0.0206127419623217</v>
      </c>
      <c r="AU44" s="20">
        <f t="shared" si="55"/>
        <v>0.00275497599575705</v>
      </c>
      <c r="AY44" s="1">
        <v>100</v>
      </c>
      <c r="AZ44" s="65">
        <f t="shared" si="56"/>
        <v>0.04921590785003</v>
      </c>
      <c r="BA44" s="65"/>
      <c r="BB44" s="65">
        <f t="shared" si="57"/>
        <v>0.111900560438499</v>
      </c>
      <c r="BC44" s="65"/>
      <c r="BD44" s="65">
        <f t="shared" si="58"/>
        <v>0.774214588104805</v>
      </c>
      <c r="BE44" s="65"/>
      <c r="BF44" s="65">
        <f t="shared" si="59"/>
        <v>0.197394030095992</v>
      </c>
      <c r="BR44" s="1"/>
    </row>
    <row r="45" spans="17:70">
      <c r="Q45" s="1"/>
      <c r="R45" s="18"/>
      <c r="T45" s="18"/>
      <c r="V45" s="18"/>
      <c r="W45" s="19"/>
      <c r="X45" s="18"/>
      <c r="Y45" s="19"/>
      <c r="BR45" s="1"/>
    </row>
    <row r="46" spans="17:70">
      <c r="Q46" s="1"/>
      <c r="R46" s="18"/>
      <c r="T46" s="18"/>
      <c r="V46" s="18"/>
      <c r="W46" s="19"/>
      <c r="X46" s="18"/>
      <c r="Y46" s="19"/>
      <c r="BR46" s="1"/>
    </row>
    <row r="47" spans="17:30">
      <c r="Q47" s="1"/>
      <c r="R47" s="18"/>
      <c r="T47" s="18"/>
      <c r="V47" s="18"/>
      <c r="W47" s="19"/>
      <c r="X47" s="18"/>
      <c r="Y47" s="19"/>
      <c r="AD47" s="1" t="s">
        <v>247</v>
      </c>
    </row>
    <row r="48" spans="17:60">
      <c r="Q48" s="1"/>
      <c r="R48" s="18"/>
      <c r="T48" s="18"/>
      <c r="V48" s="18"/>
      <c r="W48" s="19"/>
      <c r="X48" s="18"/>
      <c r="Y48" s="19"/>
      <c r="AE48" s="17">
        <v>1</v>
      </c>
      <c r="AF48" s="17"/>
      <c r="AG48" s="17">
        <v>8</v>
      </c>
      <c r="AH48" s="17"/>
      <c r="AI48" s="17">
        <v>16</v>
      </c>
      <c r="AJ48" s="17"/>
      <c r="AK48" s="17">
        <v>32</v>
      </c>
      <c r="AN48" s="1" t="s">
        <v>238</v>
      </c>
      <c r="AO48" s="1">
        <v>1</v>
      </c>
      <c r="AQ48" s="1">
        <v>8</v>
      </c>
      <c r="AS48" s="1">
        <v>16</v>
      </c>
      <c r="AU48" s="1">
        <v>32</v>
      </c>
      <c r="AW48" s="1" t="s">
        <v>243</v>
      </c>
      <c r="AY48" s="1" t="s">
        <v>244</v>
      </c>
      <c r="AZ48" s="17">
        <v>1</v>
      </c>
      <c r="BA48" s="17"/>
      <c r="BB48" s="17">
        <v>8</v>
      </c>
      <c r="BC48" s="17"/>
      <c r="BD48" s="17">
        <v>16</v>
      </c>
      <c r="BE48" s="68"/>
      <c r="BF48" s="17">
        <v>32</v>
      </c>
      <c r="BH48" s="1" t="s">
        <v>243</v>
      </c>
    </row>
    <row r="49" spans="17:60">
      <c r="Q49" s="1"/>
      <c r="R49" s="18"/>
      <c r="T49" s="18"/>
      <c r="V49" s="18"/>
      <c r="W49" s="19"/>
      <c r="X49" s="18"/>
      <c r="Y49" s="19"/>
      <c r="AD49" s="1">
        <v>10</v>
      </c>
      <c r="AE49" s="18">
        <v>50.7487968367269</v>
      </c>
      <c r="AG49" s="18">
        <v>168.321566553415</v>
      </c>
      <c r="AI49" s="18">
        <v>260.802157455796</v>
      </c>
      <c r="AK49" s="18">
        <v>479.397452794217</v>
      </c>
      <c r="AL49" s="19"/>
      <c r="AN49" s="1">
        <v>10</v>
      </c>
      <c r="AO49" s="20">
        <f t="shared" ref="AO49:AO53" si="60">ABS(AE49-K22)/K22</f>
        <v>0.0496479993122302</v>
      </c>
      <c r="AP49" s="20"/>
      <c r="AQ49" s="20">
        <f t="shared" ref="AQ49:AQ53" si="61">ABS(AG49-M22)/M22</f>
        <v>0.0121973793813673</v>
      </c>
      <c r="AR49" s="20"/>
      <c r="AS49" s="20">
        <f t="shared" ref="AS49:AS53" si="62">ABS(AI49-O22)/O22</f>
        <v>0.0169537977542555</v>
      </c>
      <c r="AU49" s="20">
        <f t="shared" ref="AU49:AU53" si="63">ABS(AK49-P22)/P22</f>
        <v>0.0139540033718633</v>
      </c>
      <c r="AW49" s="1">
        <f>SUM(AO49:AO53)+SUM(AQ49:AQ53)+SUM(AS49:AS53)+SUM(AU49:AU53)</f>
        <v>1.61640808880369</v>
      </c>
      <c r="AY49" s="1">
        <v>10</v>
      </c>
      <c r="AZ49" s="65">
        <f t="shared" ref="AZ49:AZ53" si="64">ABS(K22-AE49)</f>
        <v>2.6512031632731</v>
      </c>
      <c r="BA49" s="65"/>
      <c r="BB49" s="65">
        <f t="shared" ref="BB49:BB53" si="65">ABS(M22-AG49)</f>
        <v>2.078433446585</v>
      </c>
      <c r="BC49" s="65"/>
      <c r="BD49" s="65">
        <f t="shared" ref="BD49:BD53" si="66">ABS(O22-AI49)</f>
        <v>4.49784254420399</v>
      </c>
      <c r="BE49" s="65"/>
      <c r="BF49" s="65">
        <f t="shared" ref="BF49:BF53" si="67">ABS(P22-AK49)</f>
        <v>6.59745279421696</v>
      </c>
      <c r="BH49" s="1">
        <f>SUM(AZ49:AZ53)+SUM(BB49:BB53)+SUM(BD49:BD53)+SUM(BF49:BF53)</f>
        <v>76.9164785393673</v>
      </c>
    </row>
    <row r="50" spans="17:60">
      <c r="Q50" s="1"/>
      <c r="W50" s="19"/>
      <c r="X50" s="19"/>
      <c r="Y50" s="19"/>
      <c r="AD50" s="1">
        <v>25</v>
      </c>
      <c r="AE50" s="18">
        <v>28.3563268280052</v>
      </c>
      <c r="AG50" s="18">
        <v>69.5681969617415</v>
      </c>
      <c r="AI50" s="18">
        <v>109.867930815096</v>
      </c>
      <c r="AK50" s="18">
        <v>187.321201421134</v>
      </c>
      <c r="AL50" s="19"/>
      <c r="AN50" s="1">
        <v>25</v>
      </c>
      <c r="AO50" s="20">
        <f t="shared" si="60"/>
        <v>0.135477840609597</v>
      </c>
      <c r="AP50" s="20"/>
      <c r="AQ50" s="20">
        <f t="shared" si="61"/>
        <v>0.00677564344054287</v>
      </c>
      <c r="AR50" s="20"/>
      <c r="AS50" s="20">
        <f t="shared" si="62"/>
        <v>0.0199114111052988</v>
      </c>
      <c r="AU50" s="20">
        <f t="shared" si="63"/>
        <v>0.0161701606032879</v>
      </c>
      <c r="AW50" s="1" t="s">
        <v>246</v>
      </c>
      <c r="AY50" s="1">
        <v>25</v>
      </c>
      <c r="AZ50" s="65">
        <f t="shared" si="64"/>
        <v>4.4436731719948</v>
      </c>
      <c r="BA50" s="65"/>
      <c r="BB50" s="65">
        <f t="shared" si="65"/>
        <v>0.468196961741512</v>
      </c>
      <c r="BC50" s="65"/>
      <c r="BD50" s="65">
        <f t="shared" si="66"/>
        <v>2.23206918490399</v>
      </c>
      <c r="BE50" s="65"/>
      <c r="BF50" s="65">
        <f t="shared" si="67"/>
        <v>3.07879857886601</v>
      </c>
      <c r="BH50" s="1" t="s">
        <v>246</v>
      </c>
    </row>
    <row r="51" spans="17:60">
      <c r="Q51" s="1"/>
      <c r="W51" s="19"/>
      <c r="X51" s="19"/>
      <c r="Y51" s="19"/>
      <c r="AD51" s="1">
        <v>50</v>
      </c>
      <c r="AE51" s="18">
        <v>20.9367989805595</v>
      </c>
      <c r="AG51" s="18">
        <v>41.9791096694461</v>
      </c>
      <c r="AI51" s="18">
        <v>65.6921645134609</v>
      </c>
      <c r="AK51" s="18">
        <v>110.915511806554</v>
      </c>
      <c r="AL51" s="19"/>
      <c r="AN51" s="1">
        <v>50</v>
      </c>
      <c r="AO51" s="20">
        <f t="shared" si="60"/>
        <v>0.170162545360305</v>
      </c>
      <c r="AP51" s="20"/>
      <c r="AQ51" s="20">
        <f t="shared" si="61"/>
        <v>0.0367772207815782</v>
      </c>
      <c r="AR51" s="20"/>
      <c r="AS51" s="20">
        <f t="shared" si="62"/>
        <v>0.0369718155242446</v>
      </c>
      <c r="AU51" s="20">
        <f t="shared" si="63"/>
        <v>0.0552327257782703</v>
      </c>
      <c r="AW51" s="1">
        <f>AW49/16</f>
        <v>0.101025505550231</v>
      </c>
      <c r="AY51" s="1">
        <v>50</v>
      </c>
      <c r="AZ51" s="65">
        <f t="shared" si="64"/>
        <v>4.2932010194405</v>
      </c>
      <c r="BA51" s="65"/>
      <c r="BB51" s="65">
        <f t="shared" si="65"/>
        <v>1.4891096694461</v>
      </c>
      <c r="BC51" s="65"/>
      <c r="BD51" s="65">
        <f t="shared" si="66"/>
        <v>2.34216451346089</v>
      </c>
      <c r="BE51" s="65"/>
      <c r="BF51" s="65">
        <f t="shared" si="67"/>
        <v>5.80551180655399</v>
      </c>
      <c r="BH51" s="1">
        <f>BH49/16</f>
        <v>4.80727990871046</v>
      </c>
    </row>
    <row r="52" spans="17:58">
      <c r="Q52" s="1"/>
      <c r="R52" s="17"/>
      <c r="S52" s="17"/>
      <c r="T52" s="17"/>
      <c r="U52" s="17"/>
      <c r="V52" s="17"/>
      <c r="W52" s="17"/>
      <c r="X52" s="17"/>
      <c r="Y52" s="17"/>
      <c r="AD52" s="1">
        <v>75</v>
      </c>
      <c r="AE52" s="18">
        <v>18.6194158331437</v>
      </c>
      <c r="AG52" s="18">
        <v>32.7033309210218</v>
      </c>
      <c r="AI52" s="18">
        <v>52.0200674004507</v>
      </c>
      <c r="AK52" s="18">
        <v>87.1096663203126</v>
      </c>
      <c r="AL52" s="19"/>
      <c r="AN52" s="1">
        <v>75</v>
      </c>
      <c r="AO52" s="20">
        <f t="shared" si="60"/>
        <v>0.381825503547686</v>
      </c>
      <c r="AP52" s="20"/>
      <c r="AQ52" s="20">
        <f t="shared" si="61"/>
        <v>0.012800585971564</v>
      </c>
      <c r="AR52" s="20"/>
      <c r="AS52" s="20">
        <f t="shared" si="62"/>
        <v>0.0335797218448381</v>
      </c>
      <c r="AU52" s="20">
        <f t="shared" si="63"/>
        <v>0.0330842779923222</v>
      </c>
      <c r="AY52" s="1">
        <v>75</v>
      </c>
      <c r="AZ52" s="65">
        <f t="shared" si="64"/>
        <v>11.5005841668563</v>
      </c>
      <c r="BA52" s="65"/>
      <c r="BB52" s="65">
        <f t="shared" si="65"/>
        <v>0.413330921021803</v>
      </c>
      <c r="BC52" s="65"/>
      <c r="BD52" s="65">
        <f t="shared" si="66"/>
        <v>1.6900674004507</v>
      </c>
      <c r="BE52" s="65"/>
      <c r="BF52" s="65">
        <f t="shared" si="67"/>
        <v>2.78966632031261</v>
      </c>
    </row>
    <row r="53" spans="17:58">
      <c r="Q53" s="1"/>
      <c r="R53" s="18"/>
      <c r="T53" s="18"/>
      <c r="V53" s="18"/>
      <c r="W53" s="19"/>
      <c r="X53" s="18"/>
      <c r="Y53" s="19"/>
      <c r="AD53" s="1">
        <v>100</v>
      </c>
      <c r="AE53" s="18">
        <v>17.5797533672138</v>
      </c>
      <c r="AG53" s="18">
        <v>27.95358125837</v>
      </c>
      <c r="AI53" s="18">
        <v>45.3427155769692</v>
      </c>
      <c r="AK53" s="18">
        <v>75.5787769214079</v>
      </c>
      <c r="AL53" s="19"/>
      <c r="AN53" s="1">
        <v>100</v>
      </c>
      <c r="AO53" s="20">
        <f t="shared" si="60"/>
        <v>0.451660843193581</v>
      </c>
      <c r="AP53" s="20"/>
      <c r="AQ53" s="20">
        <f t="shared" si="61"/>
        <v>0.0685244499043652</v>
      </c>
      <c r="AR53" s="20"/>
      <c r="AS53" s="20">
        <f t="shared" si="62"/>
        <v>0.0334104545519249</v>
      </c>
      <c r="AU53" s="20">
        <f t="shared" si="63"/>
        <v>0.0312897087745719</v>
      </c>
      <c r="AY53" s="1">
        <v>100</v>
      </c>
      <c r="AZ53" s="65">
        <f t="shared" si="64"/>
        <v>14.4802466327862</v>
      </c>
      <c r="BA53" s="65"/>
      <c r="BB53" s="65">
        <f t="shared" si="65"/>
        <v>2.05641874163</v>
      </c>
      <c r="BC53" s="65"/>
      <c r="BD53" s="65">
        <f t="shared" si="66"/>
        <v>1.5672844230308</v>
      </c>
      <c r="BE53" s="65"/>
      <c r="BF53" s="65">
        <f t="shared" si="67"/>
        <v>2.4412230785921</v>
      </c>
    </row>
    <row r="54" spans="17:25">
      <c r="Q54" s="1"/>
      <c r="R54" s="18"/>
      <c r="T54" s="18"/>
      <c r="V54" s="18"/>
      <c r="W54" s="19"/>
      <c r="X54" s="18"/>
      <c r="Y54" s="19"/>
    </row>
    <row r="55" spans="17:25">
      <c r="Q55" s="1"/>
      <c r="R55" s="18"/>
      <c r="T55" s="18"/>
      <c r="V55" s="18"/>
      <c r="W55" s="19"/>
      <c r="X55" s="18"/>
      <c r="Y55" s="19"/>
    </row>
    <row r="56" spans="17:25">
      <c r="Q56" s="1"/>
      <c r="R56" s="18"/>
      <c r="T56" s="18"/>
      <c r="V56" s="18"/>
      <c r="W56" s="19"/>
      <c r="X56" s="18"/>
      <c r="Y56" s="19"/>
    </row>
    <row r="57" spans="17:25">
      <c r="Q57" s="1"/>
      <c r="R57" s="18"/>
      <c r="T57" s="18"/>
      <c r="V57" s="18"/>
      <c r="W57" s="19"/>
      <c r="X57" s="18"/>
      <c r="Y57" s="19"/>
    </row>
  </sheetData>
  <mergeCells count="1">
    <mergeCell ref="R31:R33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70"/>
  <sheetViews>
    <sheetView zoomScale="70" zoomScaleNormal="70" topLeftCell="I129" workbookViewId="0">
      <selection activeCell="J28" sqref="J28:M28"/>
    </sheetView>
  </sheetViews>
  <sheetFormatPr defaultColWidth="8.88888888888889" defaultRowHeight="14.4"/>
  <cols>
    <col min="1" max="1" width="30.787037037037" customWidth="1"/>
    <col min="2" max="2" width="33.962962962963" customWidth="1"/>
    <col min="3" max="3" width="12.1111111111111" style="1" customWidth="1"/>
    <col min="4" max="4" width="12.6851851851852" style="1" customWidth="1"/>
    <col min="5" max="5" width="12.3703703703704" style="1" customWidth="1"/>
    <col min="6" max="6" width="16.9722222222222" style="1" customWidth="1"/>
    <col min="7" max="8" width="14.1203703703704" style="1" customWidth="1"/>
    <col min="9" max="9" width="31.1111111111111" customWidth="1"/>
    <col min="10" max="13" width="14.9166666666667" style="1" customWidth="1"/>
    <col min="14" max="14" width="14.9166666666667" customWidth="1"/>
    <col min="15" max="15" width="13.8055555555556" customWidth="1"/>
    <col min="16" max="16" width="27.4444444444444" customWidth="1"/>
    <col min="17" max="20" width="14" style="1" customWidth="1"/>
    <col min="22" max="22" width="15.2407407407407" customWidth="1"/>
    <col min="23" max="23" width="30.6296296296296" customWidth="1"/>
    <col min="24" max="27" width="13.1666666666667" style="1" customWidth="1"/>
  </cols>
  <sheetData>
    <row r="1" ht="15.15" spans="2:28">
      <c r="B1" s="23" t="s">
        <v>253</v>
      </c>
      <c r="C1" s="4" t="s">
        <v>254</v>
      </c>
      <c r="D1" s="4"/>
      <c r="E1" s="4"/>
      <c r="F1" s="4"/>
      <c r="G1" s="5"/>
      <c r="I1" s="32" t="s">
        <v>255</v>
      </c>
      <c r="J1" s="4" t="s">
        <v>254</v>
      </c>
      <c r="K1" s="4"/>
      <c r="L1" s="4"/>
      <c r="M1" s="4"/>
      <c r="N1" s="33"/>
      <c r="P1" s="34"/>
      <c r="Q1" s="4" t="s">
        <v>256</v>
      </c>
      <c r="R1" s="4"/>
      <c r="S1" s="4"/>
      <c r="T1" s="4"/>
      <c r="U1" s="33"/>
      <c r="W1" s="34"/>
      <c r="X1" s="4" t="s">
        <v>257</v>
      </c>
      <c r="Y1" s="4"/>
      <c r="Z1" s="4"/>
      <c r="AA1" s="4"/>
      <c r="AB1" s="33"/>
    </row>
    <row r="2" spans="2:28">
      <c r="B2" s="24"/>
      <c r="G2" s="8"/>
      <c r="I2" s="35"/>
      <c r="N2" s="36"/>
      <c r="P2" s="26"/>
      <c r="U2" s="36"/>
      <c r="W2" s="26"/>
      <c r="AB2" s="36"/>
    </row>
    <row r="3" spans="2:28">
      <c r="B3" s="24" t="s">
        <v>258</v>
      </c>
      <c r="C3" s="25"/>
      <c r="G3" s="8"/>
      <c r="I3" s="24" t="s">
        <v>258</v>
      </c>
      <c r="N3" s="36"/>
      <c r="P3" s="24" t="s">
        <v>258</v>
      </c>
      <c r="U3" s="36"/>
      <c r="W3" s="24" t="s">
        <v>258</v>
      </c>
      <c r="AB3" s="36"/>
    </row>
    <row r="4" spans="2:28">
      <c r="B4" s="24"/>
      <c r="C4" s="25"/>
      <c r="G4" s="8"/>
      <c r="I4" s="24"/>
      <c r="N4" s="36"/>
      <c r="P4" s="24"/>
      <c r="U4" s="36"/>
      <c r="W4" s="24"/>
      <c r="AB4" s="36"/>
    </row>
    <row r="5" spans="2:28">
      <c r="B5" s="24"/>
      <c r="C5" s="25"/>
      <c r="G5" s="8"/>
      <c r="I5" s="24"/>
      <c r="N5" s="36"/>
      <c r="P5" s="24"/>
      <c r="U5" s="36"/>
      <c r="W5" s="24"/>
      <c r="AB5" s="36"/>
    </row>
    <row r="6" spans="2:28">
      <c r="B6" s="26"/>
      <c r="C6" s="1">
        <v>1</v>
      </c>
      <c r="D6" s="1">
        <v>8</v>
      </c>
      <c r="E6" s="1">
        <v>16</v>
      </c>
      <c r="F6" s="1">
        <v>32</v>
      </c>
      <c r="G6" s="8"/>
      <c r="I6" s="26"/>
      <c r="J6" s="1">
        <v>1</v>
      </c>
      <c r="K6" s="1">
        <v>8</v>
      </c>
      <c r="L6" s="1">
        <v>16</v>
      </c>
      <c r="M6" s="1">
        <v>32</v>
      </c>
      <c r="N6" s="36"/>
      <c r="P6" s="26"/>
      <c r="Q6" s="1">
        <v>1</v>
      </c>
      <c r="R6" s="1">
        <v>8</v>
      </c>
      <c r="S6" s="1">
        <v>16</v>
      </c>
      <c r="T6" s="1">
        <v>32</v>
      </c>
      <c r="U6" s="36"/>
      <c r="W6" s="26"/>
      <c r="X6" s="1">
        <v>1</v>
      </c>
      <c r="Y6" s="1">
        <v>8</v>
      </c>
      <c r="Z6" s="1">
        <v>16</v>
      </c>
      <c r="AA6" s="1">
        <v>32</v>
      </c>
      <c r="AB6" s="36"/>
    </row>
    <row r="7" spans="2:28">
      <c r="B7" s="26">
        <v>10</v>
      </c>
      <c r="C7" s="18">
        <v>45.7007581385665</v>
      </c>
      <c r="D7" s="18">
        <v>136.836142620321</v>
      </c>
      <c r="E7" s="18">
        <v>208.84176543674</v>
      </c>
      <c r="F7" s="18">
        <v>364.630868811057</v>
      </c>
      <c r="G7" s="8"/>
      <c r="I7" s="26">
        <v>10</v>
      </c>
      <c r="J7" s="18">
        <v>50.7488132692786</v>
      </c>
      <c r="K7" s="18">
        <v>168.321554523692</v>
      </c>
      <c r="L7" s="18">
        <v>260.802170066501</v>
      </c>
      <c r="M7" s="18">
        <v>479.397405378618</v>
      </c>
      <c r="N7" s="36"/>
      <c r="P7" s="26">
        <v>10</v>
      </c>
      <c r="Q7" s="18">
        <v>35.8505403488412</v>
      </c>
      <c r="R7" s="18">
        <v>239.740648911155</v>
      </c>
      <c r="S7" s="18">
        <v>286.011989138371</v>
      </c>
      <c r="T7" s="18">
        <v>486.185641309698</v>
      </c>
      <c r="U7" s="36"/>
      <c r="W7" s="26">
        <v>10</v>
      </c>
      <c r="X7" s="18">
        <v>20.6167848307514</v>
      </c>
      <c r="Y7" s="18">
        <v>92.2326344961106</v>
      </c>
      <c r="Z7" s="18">
        <v>156.782535651838</v>
      </c>
      <c r="AA7" s="18">
        <v>276.183444044013</v>
      </c>
      <c r="AB7" s="36"/>
    </row>
    <row r="8" spans="2:28">
      <c r="B8" s="26">
        <v>20</v>
      </c>
      <c r="C8" s="18">
        <v>32.1867595567438</v>
      </c>
      <c r="D8" s="18">
        <v>83.3334888892568</v>
      </c>
      <c r="E8" s="18">
        <v>129.846142884579</v>
      </c>
      <c r="F8" s="18">
        <v>223.429834719759</v>
      </c>
      <c r="G8" s="8"/>
      <c r="I8" s="26">
        <v>20</v>
      </c>
      <c r="J8" s="18">
        <v>31.4267464215697</v>
      </c>
      <c r="K8" s="18">
        <v>82.1712748259372</v>
      </c>
      <c r="L8" s="18">
        <v>127.690434685691</v>
      </c>
      <c r="M8" s="18">
        <v>220.359159849001</v>
      </c>
      <c r="N8" s="36"/>
      <c r="P8" s="26">
        <v>20</v>
      </c>
      <c r="Q8" s="18">
        <v>18.0851447231957</v>
      </c>
      <c r="R8" s="18">
        <v>115.015136272989</v>
      </c>
      <c r="S8" s="18">
        <v>136.092714272292</v>
      </c>
      <c r="T8" s="18">
        <v>268.452148632373</v>
      </c>
      <c r="U8" s="36"/>
      <c r="W8" s="26">
        <v>20</v>
      </c>
      <c r="X8" s="18">
        <v>11.6058619948862</v>
      </c>
      <c r="Y8" s="18">
        <v>47.8544438753311</v>
      </c>
      <c r="Z8" s="18">
        <v>75.8120109650158</v>
      </c>
      <c r="AA8" s="18">
        <v>137.635198017119</v>
      </c>
      <c r="AB8" s="36"/>
    </row>
    <row r="9" spans="2:28">
      <c r="B9" s="26">
        <v>30</v>
      </c>
      <c r="C9" s="18">
        <v>26.6736753535233</v>
      </c>
      <c r="D9" s="18">
        <v>61.720916454888</v>
      </c>
      <c r="E9" s="18">
        <v>96.4881989473011</v>
      </c>
      <c r="F9" s="18">
        <v>163.63355845633</v>
      </c>
      <c r="G9" s="8"/>
      <c r="I9" s="26">
        <v>30</v>
      </c>
      <c r="J9" s="18">
        <v>26.0151632737493</v>
      </c>
      <c r="K9" s="18">
        <v>58.3431928989267</v>
      </c>
      <c r="L9" s="18">
        <v>88.5436176224433</v>
      </c>
      <c r="M9" s="18">
        <v>152.250170123456</v>
      </c>
      <c r="N9" s="36"/>
      <c r="P9" s="26">
        <v>30</v>
      </c>
      <c r="Q9" s="18">
        <v>12.764215032407</v>
      </c>
      <c r="R9" s="18">
        <v>77.4409666385155</v>
      </c>
      <c r="S9" s="18">
        <v>93.9048239339701</v>
      </c>
      <c r="T9" s="18">
        <v>163.181379657537</v>
      </c>
      <c r="U9" s="36"/>
      <c r="W9" s="26">
        <v>30</v>
      </c>
      <c r="X9" s="18">
        <v>9.05809569264302</v>
      </c>
      <c r="Y9" s="18">
        <v>33.8021060971542</v>
      </c>
      <c r="Z9" s="18">
        <v>53.6172746592068</v>
      </c>
      <c r="AA9" s="18">
        <v>97.2135792613324</v>
      </c>
      <c r="AB9" s="36"/>
    </row>
    <row r="10" spans="2:28">
      <c r="B10" s="26">
        <v>40</v>
      </c>
      <c r="C10" s="18">
        <v>23.7817837705686</v>
      </c>
      <c r="D10" s="18">
        <v>51.1825739685486</v>
      </c>
      <c r="E10" s="18">
        <v>80.6408499092726</v>
      </c>
      <c r="F10" s="18">
        <v>136.65019787629</v>
      </c>
      <c r="G10" s="8"/>
      <c r="I10" s="26">
        <v>40</v>
      </c>
      <c r="J10" s="18">
        <v>21.8903235216546</v>
      </c>
      <c r="K10" s="18">
        <v>48.1305290171596</v>
      </c>
      <c r="L10" s="18">
        <v>74.6859145940392</v>
      </c>
      <c r="M10" s="18">
        <v>126.265823157622</v>
      </c>
      <c r="N10" s="36"/>
      <c r="P10" s="26">
        <v>40</v>
      </c>
      <c r="Q10" s="18">
        <v>10.0890734766823</v>
      </c>
      <c r="R10" s="18">
        <v>59.7945323340025</v>
      </c>
      <c r="S10" s="18">
        <v>71.3746962117238</v>
      </c>
      <c r="T10" s="18">
        <v>127.166530100566</v>
      </c>
      <c r="U10" s="36"/>
      <c r="W10" s="26">
        <v>40</v>
      </c>
      <c r="X10" s="18">
        <v>7.73259924372229</v>
      </c>
      <c r="Y10" s="18">
        <v>26.6593849294527</v>
      </c>
      <c r="Z10" s="18">
        <v>42.756275012941</v>
      </c>
      <c r="AA10" s="18">
        <v>77.721614256732</v>
      </c>
      <c r="AB10" s="36"/>
    </row>
    <row r="11" spans="2:28">
      <c r="B11" s="26">
        <v>50</v>
      </c>
      <c r="C11" s="18">
        <v>21.8422558421093</v>
      </c>
      <c r="D11" s="18">
        <v>44.288189311037</v>
      </c>
      <c r="E11" s="18">
        <v>70.084713120485</v>
      </c>
      <c r="F11" s="18">
        <v>118.794485508995</v>
      </c>
      <c r="G11" s="8"/>
      <c r="I11" s="26">
        <v>50</v>
      </c>
      <c r="J11" s="18">
        <v>20.9367991240197</v>
      </c>
      <c r="K11" s="18">
        <v>41.979109126391</v>
      </c>
      <c r="L11" s="18">
        <v>65.6921663003151</v>
      </c>
      <c r="M11" s="18">
        <v>110.915509790904</v>
      </c>
      <c r="N11" s="36"/>
      <c r="P11" s="26">
        <v>50</v>
      </c>
      <c r="Q11" s="18">
        <v>8.46278210363075</v>
      </c>
      <c r="R11" s="18">
        <v>49.1685416587803</v>
      </c>
      <c r="S11" s="18">
        <v>60.1819238194949</v>
      </c>
      <c r="T11" s="18">
        <v>110.063084148528</v>
      </c>
      <c r="U11" s="36"/>
      <c r="W11" s="26">
        <v>50</v>
      </c>
      <c r="X11" s="18">
        <v>6.40146842644018</v>
      </c>
      <c r="Y11" s="18">
        <v>22.3046176060501</v>
      </c>
      <c r="Z11" s="18">
        <v>36.2400483823094</v>
      </c>
      <c r="AA11" s="18">
        <v>65.9774623025958</v>
      </c>
      <c r="AB11" s="36"/>
    </row>
    <row r="12" spans="2:28">
      <c r="B12" s="26">
        <v>60</v>
      </c>
      <c r="C12" s="18">
        <v>20.2576686189771</v>
      </c>
      <c r="D12" s="18">
        <v>38.4188162499587</v>
      </c>
      <c r="E12" s="18">
        <v>60.7657737585442</v>
      </c>
      <c r="F12" s="18">
        <v>102.674993087242</v>
      </c>
      <c r="G12" s="8"/>
      <c r="I12" s="26">
        <v>60</v>
      </c>
      <c r="J12" s="18">
        <v>19.817328087491</v>
      </c>
      <c r="K12" s="18">
        <v>36.8836089468793</v>
      </c>
      <c r="L12" s="18">
        <v>57.8962917155227</v>
      </c>
      <c r="M12" s="18">
        <v>97.3821153874104</v>
      </c>
      <c r="N12" s="36"/>
      <c r="P12" s="26">
        <v>60</v>
      </c>
      <c r="Q12" s="18">
        <v>7.21491783333743</v>
      </c>
      <c r="R12" s="18">
        <v>39.1796320713123</v>
      </c>
      <c r="S12" s="18">
        <v>49.5491971297986</v>
      </c>
      <c r="T12" s="18">
        <v>97.5397991481011</v>
      </c>
      <c r="U12" s="36"/>
      <c r="W12" s="26">
        <v>60</v>
      </c>
      <c r="X12" s="18">
        <v>6.35251950262605</v>
      </c>
      <c r="Y12" s="18">
        <v>19.3471627823188</v>
      </c>
      <c r="Z12" s="18">
        <v>31.8554977776737</v>
      </c>
      <c r="AA12" s="18">
        <v>58.0555693924536</v>
      </c>
      <c r="AB12" s="36"/>
    </row>
    <row r="13" spans="2:28">
      <c r="B13" s="26">
        <v>70</v>
      </c>
      <c r="C13" s="18">
        <v>19.159285678245</v>
      </c>
      <c r="D13" s="18">
        <v>34.728469684805</v>
      </c>
      <c r="E13" s="18">
        <v>55.2110115422976</v>
      </c>
      <c r="F13" s="18">
        <v>92.949072926265</v>
      </c>
      <c r="G13" s="8"/>
      <c r="I13" s="26">
        <v>70</v>
      </c>
      <c r="J13" s="18">
        <v>19.6365401642394</v>
      </c>
      <c r="K13" s="18">
        <v>33.9026033124002</v>
      </c>
      <c r="L13" s="18">
        <v>53.7073565231862</v>
      </c>
      <c r="M13" s="18">
        <v>90.0513313378025</v>
      </c>
      <c r="N13" s="36"/>
      <c r="P13" s="26">
        <v>70</v>
      </c>
      <c r="Q13" s="18">
        <v>6.51534566374039</v>
      </c>
      <c r="R13" s="18">
        <v>35.3495187460014</v>
      </c>
      <c r="S13" s="18">
        <v>45.1254301811286</v>
      </c>
      <c r="T13" s="18">
        <v>88.5990256551564</v>
      </c>
      <c r="U13" s="36"/>
      <c r="W13" s="26">
        <v>70</v>
      </c>
      <c r="X13" s="18">
        <v>5.65291634447827</v>
      </c>
      <c r="Y13" s="18">
        <v>17.2298808341741</v>
      </c>
      <c r="Z13" s="18">
        <v>28.7182173473049</v>
      </c>
      <c r="AA13" s="18">
        <v>52.3539003090705</v>
      </c>
      <c r="AB13" s="36"/>
    </row>
    <row r="14" spans="2:28">
      <c r="B14" s="26">
        <v>80</v>
      </c>
      <c r="C14" s="18">
        <v>18.1864181977094</v>
      </c>
      <c r="D14" s="18">
        <v>31.3149009265572</v>
      </c>
      <c r="E14" s="18">
        <v>50.1175018093386</v>
      </c>
      <c r="F14" s="18">
        <v>84.082388721209</v>
      </c>
      <c r="G14" s="8"/>
      <c r="I14" s="26">
        <v>80</v>
      </c>
      <c r="J14" s="18">
        <v>18.3314205520075</v>
      </c>
      <c r="K14" s="18">
        <v>31.1248133745482</v>
      </c>
      <c r="L14" s="18">
        <v>49.8192251782514</v>
      </c>
      <c r="M14" s="18">
        <v>83.3163267971837</v>
      </c>
      <c r="N14" s="36"/>
      <c r="P14" s="26">
        <v>80</v>
      </c>
      <c r="Q14" s="18">
        <v>6.01166305236024</v>
      </c>
      <c r="R14" s="18">
        <v>32.3043963619629</v>
      </c>
      <c r="S14" s="18">
        <v>41.5410128797949</v>
      </c>
      <c r="T14" s="18">
        <v>81.4280657351577</v>
      </c>
      <c r="U14" s="36"/>
      <c r="W14" s="26">
        <v>80</v>
      </c>
      <c r="X14" s="18">
        <v>5.43243420638304</v>
      </c>
      <c r="Y14" s="18">
        <v>15.6250845380512</v>
      </c>
      <c r="Z14" s="18">
        <v>26.3457374192415</v>
      </c>
      <c r="AA14" s="18">
        <v>48.0363858760381</v>
      </c>
      <c r="AB14" s="36"/>
    </row>
    <row r="15" spans="2:28">
      <c r="B15" s="26">
        <v>90</v>
      </c>
      <c r="C15" s="18">
        <v>17.4569399112305</v>
      </c>
      <c r="D15" s="18">
        <v>28.985886669799</v>
      </c>
      <c r="E15" s="18">
        <v>46.5693028885944</v>
      </c>
      <c r="F15" s="18">
        <v>77.8995596189858</v>
      </c>
      <c r="G15" s="8"/>
      <c r="I15" s="26">
        <v>90</v>
      </c>
      <c r="J15" s="18">
        <v>17.9202891959913</v>
      </c>
      <c r="K15" s="18">
        <v>29.3627212831684</v>
      </c>
      <c r="L15" s="18">
        <v>47.3329121345763</v>
      </c>
      <c r="M15" s="18">
        <v>79.0141185945902</v>
      </c>
      <c r="N15" s="36"/>
      <c r="P15" s="26">
        <v>90</v>
      </c>
      <c r="Q15" s="18">
        <v>5.65672111037192</v>
      </c>
      <c r="R15" s="18">
        <v>30.0372266287368</v>
      </c>
      <c r="S15" s="18">
        <v>38.9030300602486</v>
      </c>
      <c r="T15" s="18">
        <v>76.1081038235435</v>
      </c>
      <c r="U15" s="36"/>
      <c r="W15" s="26">
        <v>90</v>
      </c>
      <c r="X15" s="18">
        <v>5.18568474279479</v>
      </c>
      <c r="Y15" s="18">
        <v>14.380322696817</v>
      </c>
      <c r="Z15" s="18">
        <v>24.5048857524656</v>
      </c>
      <c r="AA15" s="18">
        <v>44.6776575032669</v>
      </c>
      <c r="AB15" s="36"/>
    </row>
    <row r="16" spans="2:28">
      <c r="B16" s="26">
        <v>100</v>
      </c>
      <c r="C16" s="18">
        <v>16.8421304438082</v>
      </c>
      <c r="D16" s="18">
        <v>27.0695176010476</v>
      </c>
      <c r="E16" s="18">
        <v>43.639177475522</v>
      </c>
      <c r="F16" s="18">
        <v>72.7959797308735</v>
      </c>
      <c r="G16" s="8"/>
      <c r="I16" s="26">
        <v>100</v>
      </c>
      <c r="J16" s="18">
        <v>17.5797534435531</v>
      </c>
      <c r="K16" s="18">
        <v>27.95358117528</v>
      </c>
      <c r="L16" s="18">
        <v>45.3427162700482</v>
      </c>
      <c r="M16" s="18">
        <v>75.5787760330333</v>
      </c>
      <c r="N16" s="36"/>
      <c r="P16" s="26">
        <v>100</v>
      </c>
      <c r="Q16" s="18">
        <v>5.41921564651124</v>
      </c>
      <c r="R16" s="18">
        <v>28.2219059969215</v>
      </c>
      <c r="S16" s="18">
        <v>36.7858015320147</v>
      </c>
      <c r="T16" s="18">
        <v>71.8474333746837</v>
      </c>
      <c r="U16" s="36"/>
      <c r="W16" s="26">
        <v>100</v>
      </c>
      <c r="X16" s="18">
        <v>4.97650059475677</v>
      </c>
      <c r="Y16" s="18">
        <v>13.3917336321845</v>
      </c>
      <c r="Z16" s="18">
        <v>23.0593887676956</v>
      </c>
      <c r="AA16" s="18">
        <v>42.0865660711583</v>
      </c>
      <c r="AB16" s="36"/>
    </row>
    <row r="17" spans="2:28">
      <c r="B17" s="26"/>
      <c r="G17" s="8"/>
      <c r="I17" s="26"/>
      <c r="N17" s="36"/>
      <c r="P17" s="26"/>
      <c r="U17" s="36"/>
      <c r="W17" s="26"/>
      <c r="AB17" s="36"/>
    </row>
    <row r="18" spans="2:28">
      <c r="B18" s="27" t="s">
        <v>259</v>
      </c>
      <c r="C18" s="28">
        <v>1</v>
      </c>
      <c r="D18" s="28">
        <v>8</v>
      </c>
      <c r="E18" s="28">
        <v>16</v>
      </c>
      <c r="F18" s="28">
        <v>32</v>
      </c>
      <c r="G18" s="8"/>
      <c r="I18" s="27" t="s">
        <v>259</v>
      </c>
      <c r="J18" s="28">
        <v>1</v>
      </c>
      <c r="K18" s="28">
        <v>8</v>
      </c>
      <c r="L18" s="28">
        <v>16</v>
      </c>
      <c r="M18" s="28">
        <v>32</v>
      </c>
      <c r="N18" s="36"/>
      <c r="P18" s="27" t="s">
        <v>259</v>
      </c>
      <c r="Q18" s="28">
        <v>1</v>
      </c>
      <c r="R18" s="28">
        <v>8</v>
      </c>
      <c r="S18" s="28">
        <v>16</v>
      </c>
      <c r="T18" s="28">
        <v>32</v>
      </c>
      <c r="U18" s="36"/>
      <c r="W18" s="27" t="s">
        <v>259</v>
      </c>
      <c r="X18" s="39">
        <v>1</v>
      </c>
      <c r="Y18" s="39">
        <v>8</v>
      </c>
      <c r="Z18" s="39">
        <v>16</v>
      </c>
      <c r="AA18" s="39">
        <v>32</v>
      </c>
      <c r="AB18" s="36"/>
    </row>
    <row r="19" spans="2:28">
      <c r="B19" s="27">
        <v>10</v>
      </c>
      <c r="C19" s="28">
        <v>51.49</v>
      </c>
      <c r="D19" s="28">
        <v>166.61</v>
      </c>
      <c r="E19" s="28">
        <v>260.42</v>
      </c>
      <c r="F19" s="28">
        <v>457.53</v>
      </c>
      <c r="G19" s="8"/>
      <c r="I19" s="27">
        <v>10</v>
      </c>
      <c r="J19" s="28">
        <v>51.49</v>
      </c>
      <c r="K19" s="28">
        <v>166.61</v>
      </c>
      <c r="L19" s="28">
        <v>260.42</v>
      </c>
      <c r="M19" s="28">
        <v>457.53</v>
      </c>
      <c r="N19" s="36"/>
      <c r="P19" s="27">
        <v>10</v>
      </c>
      <c r="Q19" s="40">
        <v>39.4356524658203</v>
      </c>
      <c r="R19" s="40">
        <v>248.406074523925</v>
      </c>
      <c r="S19" s="40">
        <v>297.90708984375</v>
      </c>
      <c r="T19" s="40">
        <v>560.251806640625</v>
      </c>
      <c r="U19" s="36"/>
      <c r="W19" s="27">
        <v>10</v>
      </c>
      <c r="X19" s="40">
        <v>22.3131275939941</v>
      </c>
      <c r="Y19" s="40">
        <v>96.2797091674804</v>
      </c>
      <c r="Z19" s="40">
        <v>157.198442687988</v>
      </c>
      <c r="AA19" s="40">
        <v>286.172563476562</v>
      </c>
      <c r="AB19" s="36"/>
    </row>
    <row r="20" spans="2:28">
      <c r="B20" s="27">
        <v>20</v>
      </c>
      <c r="C20" s="28">
        <v>32.89</v>
      </c>
      <c r="D20" s="28">
        <v>89.41</v>
      </c>
      <c r="E20" s="28">
        <v>140.89</v>
      </c>
      <c r="F20" s="28">
        <v>240.57</v>
      </c>
      <c r="G20" s="8"/>
      <c r="I20" s="27">
        <v>20</v>
      </c>
      <c r="J20" s="28">
        <v>32.89</v>
      </c>
      <c r="K20" s="28">
        <v>89.41</v>
      </c>
      <c r="L20" s="28">
        <v>140.89</v>
      </c>
      <c r="M20" s="28">
        <v>240.57</v>
      </c>
      <c r="N20" s="36"/>
      <c r="P20" s="27">
        <v>20</v>
      </c>
      <c r="Q20" s="40">
        <v>20.0059533309936</v>
      </c>
      <c r="R20" s="40">
        <v>125.451630096435</v>
      </c>
      <c r="S20" s="40">
        <v>149.953473205566</v>
      </c>
      <c r="T20" s="40">
        <v>287.406379394531</v>
      </c>
      <c r="U20" s="36"/>
      <c r="W20" s="27">
        <v>20</v>
      </c>
      <c r="X20" s="40">
        <v>12.6847897338867</v>
      </c>
      <c r="Y20" s="40">
        <v>50.3465075683593</v>
      </c>
      <c r="Z20" s="40">
        <v>81.7248602294922</v>
      </c>
      <c r="AA20" s="40">
        <v>147.002812805175</v>
      </c>
      <c r="AB20" s="36"/>
    </row>
    <row r="21" spans="2:28">
      <c r="B21" s="27">
        <v>30</v>
      </c>
      <c r="C21" s="28">
        <v>27.4</v>
      </c>
      <c r="D21" s="28">
        <v>57.31</v>
      </c>
      <c r="E21" s="28">
        <v>90.01</v>
      </c>
      <c r="F21" s="28">
        <v>152.87</v>
      </c>
      <c r="G21" s="8"/>
      <c r="I21" s="27">
        <v>30</v>
      </c>
      <c r="J21" s="28">
        <v>27.4</v>
      </c>
      <c r="K21" s="28">
        <v>57.31</v>
      </c>
      <c r="L21" s="28">
        <v>90.01</v>
      </c>
      <c r="M21" s="28">
        <v>152.87</v>
      </c>
      <c r="N21" s="36"/>
      <c r="P21" s="27">
        <v>30</v>
      </c>
      <c r="Q21" s="40">
        <v>12.7331839561462</v>
      </c>
      <c r="R21" s="40">
        <v>75.99927734375</v>
      </c>
      <c r="S21" s="40">
        <v>91.3489537048339</v>
      </c>
      <c r="T21" s="40">
        <v>175.043708496093</v>
      </c>
      <c r="U21" s="36"/>
      <c r="W21" s="27">
        <v>30</v>
      </c>
      <c r="X21" s="40">
        <v>8.78475006103515</v>
      </c>
      <c r="Y21" s="40">
        <v>32.2525708007812</v>
      </c>
      <c r="Z21" s="40">
        <v>51.376541519165</v>
      </c>
      <c r="AA21" s="40">
        <v>92.2998788452148</v>
      </c>
      <c r="AB21" s="36"/>
    </row>
    <row r="22" spans="2:28">
      <c r="B22" s="27">
        <v>40</v>
      </c>
      <c r="C22" s="28">
        <v>25.16</v>
      </c>
      <c r="D22" s="28">
        <v>46.84</v>
      </c>
      <c r="E22" s="28">
        <v>72.21</v>
      </c>
      <c r="F22" s="28">
        <v>124.66</v>
      </c>
      <c r="G22" s="8"/>
      <c r="I22" s="27">
        <v>40</v>
      </c>
      <c r="J22" s="28">
        <v>25.16</v>
      </c>
      <c r="K22" s="28">
        <v>46.84</v>
      </c>
      <c r="L22" s="28">
        <v>72.21</v>
      </c>
      <c r="M22" s="28">
        <v>124.66</v>
      </c>
      <c r="N22" s="36"/>
      <c r="P22" s="27">
        <v>40</v>
      </c>
      <c r="Q22" s="40">
        <v>10.0468576240539</v>
      </c>
      <c r="R22" s="40">
        <v>59.7301222229003</v>
      </c>
      <c r="S22" s="40">
        <v>72.572806854248</v>
      </c>
      <c r="T22" s="40">
        <v>138.084096069335</v>
      </c>
      <c r="U22" s="36"/>
      <c r="W22" s="27">
        <v>40</v>
      </c>
      <c r="X22" s="40">
        <v>7.8753254032135</v>
      </c>
      <c r="Y22" s="40">
        <v>24.7074158096313</v>
      </c>
      <c r="Z22" s="40">
        <v>41.6647415924072</v>
      </c>
      <c r="AA22" s="40">
        <v>75.2376084899902</v>
      </c>
      <c r="AB22" s="36"/>
    </row>
    <row r="23" spans="2:28">
      <c r="B23" s="27">
        <v>50</v>
      </c>
      <c r="C23" s="28">
        <v>24.12</v>
      </c>
      <c r="D23" s="28">
        <v>40.29</v>
      </c>
      <c r="E23" s="28">
        <v>62.59</v>
      </c>
      <c r="F23" s="28">
        <v>103.94</v>
      </c>
      <c r="G23" s="8"/>
      <c r="I23" s="27">
        <v>50</v>
      </c>
      <c r="J23" s="28">
        <v>24.12</v>
      </c>
      <c r="K23" s="28">
        <v>40.29</v>
      </c>
      <c r="L23" s="28">
        <v>62.59</v>
      </c>
      <c r="M23" s="28">
        <v>103.94</v>
      </c>
      <c r="N23" s="36"/>
      <c r="P23" s="27">
        <v>50</v>
      </c>
      <c r="Q23" s="40">
        <v>8.01827198028564</v>
      </c>
      <c r="R23" s="40">
        <v>46.8365684509277</v>
      </c>
      <c r="S23" s="40">
        <v>57.8977439117431</v>
      </c>
      <c r="T23" s="40">
        <v>109.976022033691</v>
      </c>
      <c r="U23" s="36"/>
      <c r="W23" s="27">
        <v>50</v>
      </c>
      <c r="X23" s="40">
        <v>6.90635902404785</v>
      </c>
      <c r="Y23" s="40">
        <v>21.2567960357666</v>
      </c>
      <c r="Z23" s="40">
        <v>34.7324030303955</v>
      </c>
      <c r="AA23" s="40">
        <v>62.2522828674316</v>
      </c>
      <c r="AB23" s="36"/>
    </row>
    <row r="24" spans="2:28">
      <c r="B24" s="27">
        <v>60</v>
      </c>
      <c r="C24" s="28">
        <v>23.74</v>
      </c>
      <c r="D24" s="28">
        <v>36.77</v>
      </c>
      <c r="E24" s="28">
        <v>58.79</v>
      </c>
      <c r="F24" s="28">
        <v>95.66</v>
      </c>
      <c r="G24" s="8"/>
      <c r="I24" s="27">
        <v>60</v>
      </c>
      <c r="J24" s="28">
        <v>23.74</v>
      </c>
      <c r="K24" s="28">
        <v>36.77</v>
      </c>
      <c r="L24" s="28">
        <v>58.79</v>
      </c>
      <c r="M24" s="28">
        <v>95.66</v>
      </c>
      <c r="N24" s="36"/>
      <c r="P24" s="27">
        <v>60</v>
      </c>
      <c r="Q24" s="40">
        <v>7.40130878448486</v>
      </c>
      <c r="R24" s="40">
        <v>41.125545425415</v>
      </c>
      <c r="S24" s="40">
        <v>50.9721160125732</v>
      </c>
      <c r="T24" s="40">
        <v>96.8942678833007</v>
      </c>
      <c r="U24" s="36"/>
      <c r="W24" s="27">
        <v>60</v>
      </c>
      <c r="X24" s="40">
        <v>6.78104960441589</v>
      </c>
      <c r="Y24" s="40">
        <v>19.5119277191162</v>
      </c>
      <c r="Z24" s="40">
        <v>31.7217515945434</v>
      </c>
      <c r="AA24" s="40">
        <v>56.067643661499</v>
      </c>
      <c r="AB24" s="36"/>
    </row>
    <row r="25" spans="2:28">
      <c r="B25" s="27">
        <v>70</v>
      </c>
      <c r="C25" s="28">
        <v>24.3</v>
      </c>
      <c r="D25" s="28">
        <v>34.52</v>
      </c>
      <c r="E25" s="28">
        <v>56.46</v>
      </c>
      <c r="F25" s="28">
        <v>92.11</v>
      </c>
      <c r="G25" s="8"/>
      <c r="I25" s="27">
        <v>70</v>
      </c>
      <c r="J25" s="28">
        <v>24.3</v>
      </c>
      <c r="K25" s="28">
        <v>34.52</v>
      </c>
      <c r="L25" s="28">
        <v>56.46</v>
      </c>
      <c r="M25" s="28">
        <v>92.11</v>
      </c>
      <c r="N25" s="36"/>
      <c r="P25" s="27">
        <v>70</v>
      </c>
      <c r="Q25" s="40">
        <v>6.53508798599243</v>
      </c>
      <c r="R25" s="40">
        <v>36.7855435943603</v>
      </c>
      <c r="S25" s="40">
        <v>46.3461933135986</v>
      </c>
      <c r="T25" s="40">
        <v>88.1131442260742</v>
      </c>
      <c r="U25" s="36"/>
      <c r="W25" s="27">
        <v>70</v>
      </c>
      <c r="X25" s="40">
        <v>6.41386943817138</v>
      </c>
      <c r="Y25" s="40">
        <v>17.8984281921386</v>
      </c>
      <c r="Z25" s="40">
        <v>29.9225170135498</v>
      </c>
      <c r="AA25" s="40">
        <v>52.6620607757568</v>
      </c>
      <c r="AB25" s="36"/>
    </row>
    <row r="26" spans="2:28">
      <c r="B26" s="27">
        <v>80</v>
      </c>
      <c r="C26" s="28">
        <v>24.61</v>
      </c>
      <c r="D26" s="28">
        <v>30.65</v>
      </c>
      <c r="E26" s="28">
        <v>49.39</v>
      </c>
      <c r="F26" s="28">
        <v>82.42</v>
      </c>
      <c r="G26" s="8"/>
      <c r="I26" s="27">
        <v>80</v>
      </c>
      <c r="J26" s="28">
        <v>24.61</v>
      </c>
      <c r="K26" s="28">
        <v>30.65</v>
      </c>
      <c r="L26" s="28">
        <v>49.39</v>
      </c>
      <c r="M26" s="28">
        <v>82.42</v>
      </c>
      <c r="N26" s="36"/>
      <c r="P26" s="27">
        <v>80</v>
      </c>
      <c r="Q26" s="40">
        <v>6.30955454826355</v>
      </c>
      <c r="R26" s="40">
        <v>32.732823638916</v>
      </c>
      <c r="S26" s="40">
        <v>42.113276977539</v>
      </c>
      <c r="T26" s="40">
        <v>79.9175830078125</v>
      </c>
      <c r="U26" s="36"/>
      <c r="W26" s="27">
        <v>80</v>
      </c>
      <c r="X26" s="40">
        <v>5.9722399520874</v>
      </c>
      <c r="Y26" s="40">
        <v>15.3346508789062</v>
      </c>
      <c r="Z26" s="40">
        <v>26.2994348144531</v>
      </c>
      <c r="AA26" s="40">
        <v>46.8954734039306</v>
      </c>
      <c r="AB26" s="36"/>
    </row>
    <row r="27" spans="2:28">
      <c r="B27" s="27">
        <v>90</v>
      </c>
      <c r="C27" s="28">
        <v>24.67</v>
      </c>
      <c r="D27" s="28">
        <v>30.27</v>
      </c>
      <c r="E27" s="28">
        <v>48.21</v>
      </c>
      <c r="F27" s="28">
        <v>80.3</v>
      </c>
      <c r="G27" s="8"/>
      <c r="I27" s="27">
        <v>90</v>
      </c>
      <c r="J27" s="28">
        <v>24.67</v>
      </c>
      <c r="K27" s="28">
        <v>30.27</v>
      </c>
      <c r="L27" s="28">
        <v>48.21</v>
      </c>
      <c r="M27" s="28">
        <v>80.3</v>
      </c>
      <c r="N27" s="36"/>
      <c r="P27" s="27">
        <v>90</v>
      </c>
      <c r="Q27" s="40">
        <v>6.034379529953</v>
      </c>
      <c r="R27" s="40">
        <v>30.6814733505249</v>
      </c>
      <c r="S27" s="40">
        <v>39.7322751617431</v>
      </c>
      <c r="T27" s="40">
        <v>75.4256781005859</v>
      </c>
      <c r="U27" s="36"/>
      <c r="W27" s="27">
        <v>90</v>
      </c>
      <c r="X27" s="40">
        <v>6.16822590827941</v>
      </c>
      <c r="Y27" s="40">
        <v>14.7109337615966</v>
      </c>
      <c r="Z27" s="40">
        <v>24.4055768966674</v>
      </c>
      <c r="AA27" s="40">
        <v>45.0910245513916</v>
      </c>
      <c r="AB27" s="36"/>
    </row>
    <row r="28" spans="2:28">
      <c r="B28" s="27">
        <v>100</v>
      </c>
      <c r="C28" s="28">
        <v>25.64</v>
      </c>
      <c r="D28" s="28">
        <v>27.53</v>
      </c>
      <c r="E28" s="28">
        <v>46.12</v>
      </c>
      <c r="F28" s="28">
        <v>77.13</v>
      </c>
      <c r="G28" s="8"/>
      <c r="I28" s="27">
        <v>100</v>
      </c>
      <c r="J28" s="28">
        <v>25.64</v>
      </c>
      <c r="K28" s="28">
        <v>27.53</v>
      </c>
      <c r="L28" s="28">
        <v>46.12</v>
      </c>
      <c r="M28" s="28">
        <v>77.13</v>
      </c>
      <c r="N28" s="36"/>
      <c r="P28" s="27">
        <v>100</v>
      </c>
      <c r="Q28" s="40">
        <v>5.30239104270935</v>
      </c>
      <c r="R28" s="40">
        <v>27.9665439987182</v>
      </c>
      <c r="S28" s="40">
        <v>37.1913032531738</v>
      </c>
      <c r="T28" s="40">
        <v>70.8739797973632</v>
      </c>
      <c r="U28" s="36"/>
      <c r="W28" s="27">
        <v>100</v>
      </c>
      <c r="X28" s="40">
        <v>6.07447360992431</v>
      </c>
      <c r="Y28" s="40">
        <v>13.0225836753845</v>
      </c>
      <c r="Z28" s="40">
        <v>23.1976889038085</v>
      </c>
      <c r="AA28" s="40">
        <v>42.3664621734619</v>
      </c>
      <c r="AB28" s="36"/>
    </row>
    <row r="29" spans="2:28">
      <c r="B29" s="26"/>
      <c r="G29" s="8"/>
      <c r="I29" s="26"/>
      <c r="N29" s="36"/>
      <c r="P29" s="26"/>
      <c r="Q29" s="19"/>
      <c r="R29" s="19"/>
      <c r="S29" s="19"/>
      <c r="T29" s="19"/>
      <c r="U29" s="36"/>
      <c r="W29" s="26"/>
      <c r="AB29" s="36"/>
    </row>
    <row r="30" spans="2:28">
      <c r="B30" s="26" t="s">
        <v>221</v>
      </c>
      <c r="C30" s="1">
        <v>1</v>
      </c>
      <c r="D30" s="1">
        <v>8</v>
      </c>
      <c r="E30" s="1">
        <v>16</v>
      </c>
      <c r="F30" s="1">
        <v>32</v>
      </c>
      <c r="G30" s="8" t="s">
        <v>246</v>
      </c>
      <c r="I30" s="26" t="s">
        <v>221</v>
      </c>
      <c r="J30" s="1">
        <v>1</v>
      </c>
      <c r="K30" s="1">
        <v>8</v>
      </c>
      <c r="L30" s="1">
        <v>16</v>
      </c>
      <c r="M30" s="1">
        <v>32</v>
      </c>
      <c r="N30" s="8" t="s">
        <v>246</v>
      </c>
      <c r="P30" s="26" t="s">
        <v>221</v>
      </c>
      <c r="Q30" s="1">
        <v>1</v>
      </c>
      <c r="R30" s="1">
        <v>8</v>
      </c>
      <c r="S30" s="1">
        <v>16</v>
      </c>
      <c r="T30" s="1">
        <v>32</v>
      </c>
      <c r="U30" s="8" t="s">
        <v>246</v>
      </c>
      <c r="W30" s="26" t="s">
        <v>221</v>
      </c>
      <c r="X30" s="1">
        <v>1</v>
      </c>
      <c r="Y30" s="1">
        <v>8</v>
      </c>
      <c r="Z30" s="1">
        <v>16</v>
      </c>
      <c r="AA30" s="1">
        <v>32</v>
      </c>
      <c r="AB30" s="8" t="s">
        <v>246</v>
      </c>
    </row>
    <row r="31" spans="2:28">
      <c r="B31" s="26">
        <v>10</v>
      </c>
      <c r="C31" s="19">
        <f>ABS(C19-C7)</f>
        <v>5.7892418614335</v>
      </c>
      <c r="D31" s="19">
        <f t="shared" ref="D31:D40" si="0">ABS(D19-D7)</f>
        <v>29.773857379679</v>
      </c>
      <c r="E31" s="19">
        <f t="shared" ref="E31:E40" si="1">ABS(E19-E7)</f>
        <v>51.57823456326</v>
      </c>
      <c r="F31" s="19">
        <f t="shared" ref="F31:F40" si="2">ABS(F19-F7)</f>
        <v>92.899131188943</v>
      </c>
      <c r="G31" s="8">
        <f>SUM(C31:F40)/COUNT(C31:F40)</f>
        <v>8.79498115791882</v>
      </c>
      <c r="I31" s="26">
        <v>10</v>
      </c>
      <c r="J31" s="19">
        <f t="shared" ref="J31:J40" si="3">ABS(J19-J7)</f>
        <v>0.741186730721402</v>
      </c>
      <c r="K31" s="19">
        <f t="shared" ref="K31:K40" si="4">ABS(K19-K7)</f>
        <v>1.71155452369197</v>
      </c>
      <c r="L31" s="19">
        <f t="shared" ref="L31:L40" si="5">ABS(L19-L7)</f>
        <v>0.382170066500976</v>
      </c>
      <c r="M31" s="19">
        <f t="shared" ref="M31:M40" si="6">ABS(M19-M7)</f>
        <v>21.867405378618</v>
      </c>
      <c r="N31" s="8">
        <f>SUM(J31:M40)/COUNT(J31:M40)</f>
        <v>3.50915960873277</v>
      </c>
      <c r="P31" s="26">
        <v>10</v>
      </c>
      <c r="Q31" s="19">
        <f t="shared" ref="Q31:T31" si="7">ABS(Q19-Q7)</f>
        <v>3.5851121169791</v>
      </c>
      <c r="R31" s="19">
        <f t="shared" si="7"/>
        <v>8.66542561277001</v>
      </c>
      <c r="S31" s="19">
        <f t="shared" si="7"/>
        <v>11.895100705379</v>
      </c>
      <c r="T31" s="19">
        <f t="shared" si="7"/>
        <v>74.066165330927</v>
      </c>
      <c r="U31" s="8">
        <f>SUM(Q31:T40)/COUNT(Q31:T40)</f>
        <v>4.77754982273749</v>
      </c>
      <c r="W31" s="26">
        <v>10</v>
      </c>
      <c r="X31" s="19">
        <f t="shared" ref="X31:AA31" si="8">ABS(X19-X7)</f>
        <v>1.6963427632427</v>
      </c>
      <c r="Y31" s="19">
        <f t="shared" si="8"/>
        <v>4.0470746713698</v>
      </c>
      <c r="Z31" s="19">
        <f t="shared" si="8"/>
        <v>0.415907036150003</v>
      </c>
      <c r="AA31" s="19">
        <f t="shared" si="8"/>
        <v>9.98911943254899</v>
      </c>
      <c r="AB31" s="8">
        <f>SUM(X31:AA40)/COUNT(X31:AA40)</f>
        <v>1.69546286642869</v>
      </c>
    </row>
    <row r="32" spans="2:28">
      <c r="B32" s="26">
        <v>20</v>
      </c>
      <c r="C32" s="19">
        <f t="shared" ref="C32:C40" si="9">ABS(C20-C8)</f>
        <v>0.703240443256199</v>
      </c>
      <c r="D32" s="19">
        <f t="shared" si="0"/>
        <v>6.0765111107432</v>
      </c>
      <c r="E32" s="19">
        <f t="shared" si="1"/>
        <v>11.043857115421</v>
      </c>
      <c r="F32" s="19">
        <f t="shared" si="2"/>
        <v>17.140165280241</v>
      </c>
      <c r="G32" s="8"/>
      <c r="I32" s="26">
        <v>20</v>
      </c>
      <c r="J32" s="19">
        <f t="shared" si="3"/>
        <v>1.4632535784303</v>
      </c>
      <c r="K32" s="19">
        <f t="shared" si="4"/>
        <v>7.23872517406279</v>
      </c>
      <c r="L32" s="19">
        <f t="shared" si="5"/>
        <v>13.199565314309</v>
      </c>
      <c r="M32" s="19">
        <f t="shared" si="6"/>
        <v>20.210840150999</v>
      </c>
      <c r="N32" s="8"/>
      <c r="P32" s="26">
        <v>20</v>
      </c>
      <c r="Q32" s="19">
        <f t="shared" ref="Q32:T32" si="10">ABS(Q20-Q8)</f>
        <v>1.9208086077979</v>
      </c>
      <c r="R32" s="19">
        <f t="shared" si="10"/>
        <v>10.436493823446</v>
      </c>
      <c r="S32" s="19">
        <f t="shared" si="10"/>
        <v>13.860758933274</v>
      </c>
      <c r="T32" s="19">
        <f t="shared" si="10"/>
        <v>18.954230762158</v>
      </c>
      <c r="U32" s="8"/>
      <c r="W32" s="26">
        <v>20</v>
      </c>
      <c r="X32" s="19">
        <f t="shared" ref="X32:AA32" si="11">ABS(X20-X8)</f>
        <v>1.0789277390005</v>
      </c>
      <c r="Y32" s="19">
        <f t="shared" si="11"/>
        <v>2.4920636930282</v>
      </c>
      <c r="Z32" s="19">
        <f t="shared" si="11"/>
        <v>5.91284926447639</v>
      </c>
      <c r="AA32" s="19">
        <f t="shared" si="11"/>
        <v>9.36761478805602</v>
      </c>
      <c r="AB32" s="8"/>
    </row>
    <row r="33" spans="2:28">
      <c r="B33" s="26">
        <v>30</v>
      </c>
      <c r="C33" s="19">
        <f t="shared" si="9"/>
        <v>0.726324646476698</v>
      </c>
      <c r="D33" s="19">
        <f t="shared" si="0"/>
        <v>4.410916454888</v>
      </c>
      <c r="E33" s="19">
        <f t="shared" si="1"/>
        <v>6.4781989473011</v>
      </c>
      <c r="F33" s="19">
        <f t="shared" si="2"/>
        <v>10.76355845633</v>
      </c>
      <c r="G33" s="8"/>
      <c r="I33" s="26">
        <v>30</v>
      </c>
      <c r="J33" s="19">
        <f t="shared" si="3"/>
        <v>1.3848367262507</v>
      </c>
      <c r="K33" s="19">
        <f t="shared" si="4"/>
        <v>1.0331928989267</v>
      </c>
      <c r="L33" s="19">
        <f t="shared" si="5"/>
        <v>1.4663823775567</v>
      </c>
      <c r="M33" s="19">
        <f t="shared" si="6"/>
        <v>0.619829876544003</v>
      </c>
      <c r="N33" s="8"/>
      <c r="P33" s="26">
        <v>30</v>
      </c>
      <c r="Q33" s="19">
        <f t="shared" ref="Q33:T33" si="12">ABS(Q21-Q9)</f>
        <v>0.031031076260799</v>
      </c>
      <c r="R33" s="19">
        <f t="shared" si="12"/>
        <v>1.44168929476551</v>
      </c>
      <c r="S33" s="19">
        <f t="shared" si="12"/>
        <v>2.5558702291362</v>
      </c>
      <c r="T33" s="19">
        <f t="shared" si="12"/>
        <v>11.862328838556</v>
      </c>
      <c r="U33" s="8"/>
      <c r="W33" s="26">
        <v>30</v>
      </c>
      <c r="X33" s="19">
        <f t="shared" ref="X33:AA33" si="13">ABS(X21-X9)</f>
        <v>0.273345631607871</v>
      </c>
      <c r="Y33" s="19">
        <f t="shared" si="13"/>
        <v>1.549535296373</v>
      </c>
      <c r="Z33" s="19">
        <f t="shared" si="13"/>
        <v>2.2407331400418</v>
      </c>
      <c r="AA33" s="19">
        <f t="shared" si="13"/>
        <v>4.91370041611759</v>
      </c>
      <c r="AB33" s="8"/>
    </row>
    <row r="34" spans="2:28">
      <c r="B34" s="26">
        <v>40</v>
      </c>
      <c r="C34" s="19">
        <f t="shared" si="9"/>
        <v>1.3782162294314</v>
      </c>
      <c r="D34" s="19">
        <f t="shared" si="0"/>
        <v>4.3425739685486</v>
      </c>
      <c r="E34" s="19">
        <f t="shared" si="1"/>
        <v>8.43084990927261</v>
      </c>
      <c r="F34" s="19">
        <f t="shared" si="2"/>
        <v>11.99019787629</v>
      </c>
      <c r="G34" s="8"/>
      <c r="I34" s="26">
        <v>40</v>
      </c>
      <c r="J34" s="19">
        <f t="shared" si="3"/>
        <v>3.2696764783454</v>
      </c>
      <c r="K34" s="19">
        <f t="shared" si="4"/>
        <v>1.2905290171596</v>
      </c>
      <c r="L34" s="19">
        <f t="shared" si="5"/>
        <v>2.47591459403921</v>
      </c>
      <c r="M34" s="19">
        <f t="shared" si="6"/>
        <v>1.605823157622</v>
      </c>
      <c r="N34" s="8"/>
      <c r="P34" s="26">
        <v>40</v>
      </c>
      <c r="Q34" s="19">
        <f t="shared" ref="Q34:T34" si="14">ABS(Q22-Q10)</f>
        <v>0.0422158526284004</v>
      </c>
      <c r="R34" s="19">
        <f t="shared" si="14"/>
        <v>0.0644101111021982</v>
      </c>
      <c r="S34" s="19">
        <f t="shared" si="14"/>
        <v>1.1981106425242</v>
      </c>
      <c r="T34" s="19">
        <f t="shared" si="14"/>
        <v>10.917565968769</v>
      </c>
      <c r="U34" s="8"/>
      <c r="W34" s="26">
        <v>40</v>
      </c>
      <c r="X34" s="19">
        <f t="shared" ref="X34:AA34" si="15">ABS(X22-X10)</f>
        <v>0.14272615949121</v>
      </c>
      <c r="Y34" s="19">
        <f t="shared" si="15"/>
        <v>1.9519691198214</v>
      </c>
      <c r="Z34" s="19">
        <f t="shared" si="15"/>
        <v>1.0915334205338</v>
      </c>
      <c r="AA34" s="19">
        <f t="shared" si="15"/>
        <v>2.4840057667418</v>
      </c>
      <c r="AB34" s="8"/>
    </row>
    <row r="35" spans="2:28">
      <c r="B35" s="26">
        <v>50</v>
      </c>
      <c r="C35" s="19">
        <f t="shared" si="9"/>
        <v>2.2777441578907</v>
      </c>
      <c r="D35" s="19">
        <f t="shared" si="0"/>
        <v>3.998189311037</v>
      </c>
      <c r="E35" s="19">
        <f t="shared" si="1"/>
        <v>7.494713120485</v>
      </c>
      <c r="F35" s="19">
        <f t="shared" si="2"/>
        <v>14.854485508995</v>
      </c>
      <c r="G35" s="8"/>
      <c r="I35" s="26">
        <v>50</v>
      </c>
      <c r="J35" s="19">
        <f t="shared" si="3"/>
        <v>3.1832008759803</v>
      </c>
      <c r="K35" s="19">
        <f t="shared" si="4"/>
        <v>1.689109126391</v>
      </c>
      <c r="L35" s="19">
        <f t="shared" si="5"/>
        <v>3.10216630031509</v>
      </c>
      <c r="M35" s="19">
        <f t="shared" si="6"/>
        <v>6.975509790904</v>
      </c>
      <c r="N35" s="8"/>
      <c r="P35" s="26">
        <v>50</v>
      </c>
      <c r="Q35" s="19">
        <f t="shared" ref="Q35:T35" si="16">ABS(Q23-Q11)</f>
        <v>0.444510123345109</v>
      </c>
      <c r="R35" s="19">
        <f t="shared" si="16"/>
        <v>2.3319732078526</v>
      </c>
      <c r="S35" s="19">
        <f t="shared" si="16"/>
        <v>2.2841799077518</v>
      </c>
      <c r="T35" s="19">
        <f t="shared" si="16"/>
        <v>0.0870621148370105</v>
      </c>
      <c r="U35" s="8"/>
      <c r="W35" s="26">
        <v>50</v>
      </c>
      <c r="X35" s="19">
        <f t="shared" ref="X35:AA35" si="17">ABS(X23-X11)</f>
        <v>0.50489059760767</v>
      </c>
      <c r="Y35" s="19">
        <f t="shared" si="17"/>
        <v>1.0478215702835</v>
      </c>
      <c r="Z35" s="19">
        <f t="shared" si="17"/>
        <v>1.5076453519139</v>
      </c>
      <c r="AA35" s="19">
        <f t="shared" si="17"/>
        <v>3.72517943516419</v>
      </c>
      <c r="AB35" s="8"/>
    </row>
    <row r="36" spans="2:28">
      <c r="B36" s="26">
        <v>60</v>
      </c>
      <c r="C36" s="19">
        <f t="shared" si="9"/>
        <v>3.4823313810229</v>
      </c>
      <c r="D36" s="19">
        <f t="shared" si="0"/>
        <v>1.6488162499587</v>
      </c>
      <c r="E36" s="19">
        <f t="shared" si="1"/>
        <v>1.9757737585442</v>
      </c>
      <c r="F36" s="19">
        <f t="shared" si="2"/>
        <v>7.014993087242</v>
      </c>
      <c r="G36" s="8"/>
      <c r="I36" s="26">
        <v>60</v>
      </c>
      <c r="J36" s="19">
        <f t="shared" si="3"/>
        <v>3.922671912509</v>
      </c>
      <c r="K36" s="19">
        <f t="shared" si="4"/>
        <v>0.113608946879296</v>
      </c>
      <c r="L36" s="19">
        <f t="shared" si="5"/>
        <v>0.893708284477299</v>
      </c>
      <c r="M36" s="19">
        <f t="shared" si="6"/>
        <v>1.7221153874104</v>
      </c>
      <c r="N36" s="8"/>
      <c r="P36" s="26">
        <v>60</v>
      </c>
      <c r="Q36" s="19">
        <f t="shared" ref="Q36:T36" si="18">ABS(Q24-Q12)</f>
        <v>0.18639095114743</v>
      </c>
      <c r="R36" s="19">
        <f t="shared" si="18"/>
        <v>1.9459133541027</v>
      </c>
      <c r="S36" s="19">
        <f t="shared" si="18"/>
        <v>1.4229188827746</v>
      </c>
      <c r="T36" s="19">
        <f t="shared" si="18"/>
        <v>0.645531264800397</v>
      </c>
      <c r="U36" s="8"/>
      <c r="W36" s="26">
        <v>60</v>
      </c>
      <c r="X36" s="19">
        <f t="shared" ref="X36:AA36" si="19">ABS(X24-X12)</f>
        <v>0.42853010178984</v>
      </c>
      <c r="Y36" s="19">
        <f t="shared" si="19"/>
        <v>0.1647649367974</v>
      </c>
      <c r="Z36" s="19">
        <f t="shared" si="19"/>
        <v>0.133746183130302</v>
      </c>
      <c r="AA36" s="19">
        <f t="shared" si="19"/>
        <v>1.9879257309546</v>
      </c>
      <c r="AB36" s="8"/>
    </row>
    <row r="37" spans="2:28">
      <c r="B37" s="26">
        <v>70</v>
      </c>
      <c r="C37" s="19">
        <f t="shared" si="9"/>
        <v>5.140714321755</v>
      </c>
      <c r="D37" s="19">
        <f t="shared" si="0"/>
        <v>0.208469684804996</v>
      </c>
      <c r="E37" s="19">
        <f t="shared" si="1"/>
        <v>1.2489884577024</v>
      </c>
      <c r="F37" s="19">
        <f t="shared" si="2"/>
        <v>0.839072926265004</v>
      </c>
      <c r="G37" s="8"/>
      <c r="I37" s="26">
        <v>70</v>
      </c>
      <c r="J37" s="19">
        <f t="shared" si="3"/>
        <v>4.6634598357606</v>
      </c>
      <c r="K37" s="19">
        <f t="shared" si="4"/>
        <v>0.6173966875998</v>
      </c>
      <c r="L37" s="19">
        <f t="shared" si="5"/>
        <v>2.7526434768138</v>
      </c>
      <c r="M37" s="19">
        <f t="shared" si="6"/>
        <v>2.0586686621975</v>
      </c>
      <c r="N37" s="8"/>
      <c r="P37" s="26">
        <v>70</v>
      </c>
      <c r="Q37" s="19">
        <f t="shared" ref="Q37:T37" si="20">ABS(Q25-Q13)</f>
        <v>0.0197423222520401</v>
      </c>
      <c r="R37" s="19">
        <f t="shared" si="20"/>
        <v>1.4360248483589</v>
      </c>
      <c r="S37" s="19">
        <f t="shared" si="20"/>
        <v>1.22076313247</v>
      </c>
      <c r="T37" s="19">
        <f t="shared" si="20"/>
        <v>0.485881429082198</v>
      </c>
      <c r="U37" s="8"/>
      <c r="W37" s="26">
        <v>70</v>
      </c>
      <c r="X37" s="19">
        <f t="shared" ref="X37:AA37" si="21">ABS(X25-X13)</f>
        <v>0.76095309369311</v>
      </c>
      <c r="Y37" s="19">
        <f t="shared" si="21"/>
        <v>0.668547357964499</v>
      </c>
      <c r="Z37" s="19">
        <f t="shared" si="21"/>
        <v>1.2042996662449</v>
      </c>
      <c r="AA37" s="19">
        <f t="shared" si="21"/>
        <v>0.308160466686303</v>
      </c>
      <c r="AB37" s="8"/>
    </row>
    <row r="38" spans="2:28">
      <c r="B38" s="26">
        <v>80</v>
      </c>
      <c r="C38" s="19">
        <f t="shared" si="9"/>
        <v>6.4235818022906</v>
      </c>
      <c r="D38" s="19">
        <f t="shared" si="0"/>
        <v>0.664900926557202</v>
      </c>
      <c r="E38" s="19">
        <f t="shared" si="1"/>
        <v>0.727501809338598</v>
      </c>
      <c r="F38" s="19">
        <f t="shared" si="2"/>
        <v>1.662388721209</v>
      </c>
      <c r="G38" s="8"/>
      <c r="I38" s="26">
        <v>80</v>
      </c>
      <c r="J38" s="19">
        <f t="shared" si="3"/>
        <v>6.2785794479925</v>
      </c>
      <c r="K38" s="19">
        <f t="shared" si="4"/>
        <v>0.474813374548201</v>
      </c>
      <c r="L38" s="19">
        <f t="shared" si="5"/>
        <v>0.4292251782514</v>
      </c>
      <c r="M38" s="19">
        <f t="shared" si="6"/>
        <v>0.896326797183704</v>
      </c>
      <c r="N38" s="8"/>
      <c r="P38" s="26">
        <v>80</v>
      </c>
      <c r="Q38" s="19">
        <f t="shared" ref="Q38:T38" si="22">ABS(Q26-Q14)</f>
        <v>0.297891495903309</v>
      </c>
      <c r="R38" s="19">
        <f t="shared" si="22"/>
        <v>0.428427276953101</v>
      </c>
      <c r="S38" s="19">
        <f t="shared" si="22"/>
        <v>0.572264097744103</v>
      </c>
      <c r="T38" s="19">
        <f t="shared" si="22"/>
        <v>1.51048272734521</v>
      </c>
      <c r="U38" s="8"/>
      <c r="W38" s="26">
        <v>80</v>
      </c>
      <c r="X38" s="19">
        <f t="shared" ref="X38:AA38" si="23">ABS(X26-X14)</f>
        <v>0.53980574570436</v>
      </c>
      <c r="Y38" s="19">
        <f t="shared" si="23"/>
        <v>0.290433659145</v>
      </c>
      <c r="Z38" s="19">
        <f t="shared" si="23"/>
        <v>0.0463026047884014</v>
      </c>
      <c r="AA38" s="19">
        <f t="shared" si="23"/>
        <v>1.1409124721075</v>
      </c>
      <c r="AB38" s="8"/>
    </row>
    <row r="39" spans="2:28">
      <c r="B39" s="26">
        <v>90</v>
      </c>
      <c r="C39" s="19">
        <f t="shared" si="9"/>
        <v>7.2130600887695</v>
      </c>
      <c r="D39" s="19">
        <f t="shared" si="0"/>
        <v>1.284113330201</v>
      </c>
      <c r="E39" s="19">
        <f t="shared" si="1"/>
        <v>1.6406971114056</v>
      </c>
      <c r="F39" s="19">
        <f t="shared" si="2"/>
        <v>2.40044038101419</v>
      </c>
      <c r="G39" s="8"/>
      <c r="I39" s="26">
        <v>90</v>
      </c>
      <c r="J39" s="19">
        <f t="shared" si="3"/>
        <v>6.7497108040087</v>
      </c>
      <c r="K39" s="19">
        <f t="shared" si="4"/>
        <v>0.907278716831598</v>
      </c>
      <c r="L39" s="19">
        <f t="shared" si="5"/>
        <v>0.877087865423704</v>
      </c>
      <c r="M39" s="19">
        <f t="shared" si="6"/>
        <v>1.2858814054098</v>
      </c>
      <c r="N39" s="8"/>
      <c r="P39" s="26">
        <v>90</v>
      </c>
      <c r="Q39" s="19">
        <f t="shared" ref="Q39:T39" si="24">ABS(Q27-Q15)</f>
        <v>0.37765841958108</v>
      </c>
      <c r="R39" s="19">
        <f t="shared" si="24"/>
        <v>0.6442467217881</v>
      </c>
      <c r="S39" s="19">
        <f t="shared" si="24"/>
        <v>0.8292451014945</v>
      </c>
      <c r="T39" s="19">
        <f t="shared" si="24"/>
        <v>0.682425722957603</v>
      </c>
      <c r="U39" s="8"/>
      <c r="W39" s="26">
        <v>90</v>
      </c>
      <c r="X39" s="19">
        <f t="shared" ref="X39:AA39" si="25">ABS(X27-X15)</f>
        <v>0.98254116548462</v>
      </c>
      <c r="Y39" s="19">
        <f t="shared" si="25"/>
        <v>0.3306110647796</v>
      </c>
      <c r="Z39" s="19">
        <f t="shared" si="25"/>
        <v>0.0993088557981991</v>
      </c>
      <c r="AA39" s="19">
        <f t="shared" si="25"/>
        <v>0.413367048124698</v>
      </c>
      <c r="AB39" s="8"/>
    </row>
    <row r="40" spans="2:28">
      <c r="B40" s="26">
        <v>100</v>
      </c>
      <c r="C40" s="19">
        <f t="shared" si="9"/>
        <v>8.7978695561918</v>
      </c>
      <c r="D40" s="19">
        <f t="shared" si="0"/>
        <v>0.460482398952401</v>
      </c>
      <c r="E40" s="19">
        <f t="shared" si="1"/>
        <v>2.480822524478</v>
      </c>
      <c r="F40" s="19">
        <f t="shared" si="2"/>
        <v>4.3340202691265</v>
      </c>
      <c r="G40" s="8"/>
      <c r="I40" s="26">
        <v>100</v>
      </c>
      <c r="J40" s="19">
        <f t="shared" si="3"/>
        <v>8.0602465564469</v>
      </c>
      <c r="K40" s="19">
        <f t="shared" si="4"/>
        <v>0.423581175279999</v>
      </c>
      <c r="L40" s="19">
        <f t="shared" si="5"/>
        <v>0.777283729951797</v>
      </c>
      <c r="M40" s="19">
        <f t="shared" si="6"/>
        <v>1.5512239669667</v>
      </c>
      <c r="N40" s="8"/>
      <c r="P40" s="26">
        <v>100</v>
      </c>
      <c r="Q40" s="19">
        <f t="shared" ref="Q40:T40" si="26">ABS(Q28-Q16)</f>
        <v>0.116824603801891</v>
      </c>
      <c r="R40" s="19">
        <f t="shared" si="26"/>
        <v>0.255361998203298</v>
      </c>
      <c r="S40" s="19">
        <f t="shared" si="26"/>
        <v>0.405501721159098</v>
      </c>
      <c r="T40" s="19">
        <f t="shared" si="26"/>
        <v>0.973453577320498</v>
      </c>
      <c r="U40" s="8"/>
      <c r="W40" s="26">
        <v>100</v>
      </c>
      <c r="X40" s="19">
        <f t="shared" ref="X40:AA40" si="27">ABS(X28-X16)</f>
        <v>1.09797301516754</v>
      </c>
      <c r="Y40" s="19">
        <f t="shared" si="27"/>
        <v>0.369149956800001</v>
      </c>
      <c r="Z40" s="19">
        <f t="shared" si="27"/>
        <v>0.1383001361129</v>
      </c>
      <c r="AA40" s="19">
        <f t="shared" si="27"/>
        <v>0.279896102303596</v>
      </c>
      <c r="AB40" s="8"/>
    </row>
    <row r="41" spans="2:28">
      <c r="B41" s="26"/>
      <c r="G41" s="8"/>
      <c r="I41" s="26"/>
      <c r="N41" s="36"/>
      <c r="P41" s="26"/>
      <c r="U41" s="36"/>
      <c r="W41" s="26"/>
      <c r="AB41" s="36"/>
    </row>
    <row r="42" spans="2:28">
      <c r="B42" s="26" t="s">
        <v>222</v>
      </c>
      <c r="C42" s="1">
        <v>1</v>
      </c>
      <c r="D42" s="1">
        <v>8</v>
      </c>
      <c r="E42" s="1">
        <v>16</v>
      </c>
      <c r="F42" s="1">
        <v>32</v>
      </c>
      <c r="G42" s="8" t="s">
        <v>246</v>
      </c>
      <c r="I42" s="26" t="s">
        <v>222</v>
      </c>
      <c r="J42" s="1">
        <v>1</v>
      </c>
      <c r="K42" s="1">
        <v>8</v>
      </c>
      <c r="L42" s="1">
        <v>16</v>
      </c>
      <c r="M42" s="1">
        <v>32</v>
      </c>
      <c r="N42" s="8" t="s">
        <v>246</v>
      </c>
      <c r="P42" s="26" t="s">
        <v>222</v>
      </c>
      <c r="Q42" s="1">
        <v>1</v>
      </c>
      <c r="R42" s="1">
        <v>8</v>
      </c>
      <c r="S42" s="1">
        <v>16</v>
      </c>
      <c r="T42" s="1">
        <v>32</v>
      </c>
      <c r="U42" s="8" t="s">
        <v>246</v>
      </c>
      <c r="W42" s="26" t="s">
        <v>222</v>
      </c>
      <c r="X42" s="1">
        <v>1</v>
      </c>
      <c r="Y42" s="1">
        <v>8</v>
      </c>
      <c r="Z42" s="1">
        <v>16</v>
      </c>
      <c r="AA42" s="1">
        <v>32</v>
      </c>
      <c r="AB42" s="8" t="s">
        <v>246</v>
      </c>
    </row>
    <row r="43" spans="2:28">
      <c r="B43" s="26">
        <v>10</v>
      </c>
      <c r="C43" s="20">
        <f>ABS(C7-C19)/C19</f>
        <v>0.112434295230792</v>
      </c>
      <c r="D43" s="20">
        <f t="shared" ref="D43:D52" si="28">ABS(D7-D19)/D19</f>
        <v>0.1787039036053</v>
      </c>
      <c r="E43" s="20">
        <f t="shared" ref="E43:M43" si="29">ABS(E7-E19)/E19</f>
        <v>0.198057885581983</v>
      </c>
      <c r="F43" s="20">
        <f t="shared" si="29"/>
        <v>0.203044895829657</v>
      </c>
      <c r="G43" s="8">
        <f>SUM(C43:F52)/COUNT(C43:F52)</f>
        <v>0.093182356750525</v>
      </c>
      <c r="I43" s="26">
        <v>10</v>
      </c>
      <c r="J43" s="20">
        <f t="shared" si="29"/>
        <v>0.0143947704548728</v>
      </c>
      <c r="K43" s="20">
        <f t="shared" si="29"/>
        <v>0.0102728199009181</v>
      </c>
      <c r="L43" s="20">
        <f t="shared" si="29"/>
        <v>0.00146751427118108</v>
      </c>
      <c r="M43" s="20">
        <f t="shared" si="29"/>
        <v>0.047794473321133</v>
      </c>
      <c r="N43" s="8">
        <f>SUM(J43:M52)/COUNT(J43:M52)</f>
        <v>0.060958644251639</v>
      </c>
      <c r="P43" s="26">
        <v>10</v>
      </c>
      <c r="Q43" s="20">
        <f t="shared" ref="Q43:T43" si="30">ABS(Q7-Q19)/Q19</f>
        <v>0.0909104298473669</v>
      </c>
      <c r="R43" s="20">
        <f t="shared" si="30"/>
        <v>0.0348841131577698</v>
      </c>
      <c r="S43" s="20">
        <f t="shared" si="30"/>
        <v>0.039928894312713</v>
      </c>
      <c r="T43" s="20">
        <f t="shared" si="30"/>
        <v>0.132201564462668</v>
      </c>
      <c r="U43" s="8">
        <f>SUM(Q43:T52)/COUNT(Q43:T52)</f>
        <v>0.0360518286401623</v>
      </c>
      <c r="W43" s="26">
        <v>10</v>
      </c>
      <c r="X43" s="20">
        <f t="shared" ref="X43:AA43" si="31">ABS(X7-X19)/X19</f>
        <v>0.076024428045636</v>
      </c>
      <c r="Y43" s="20">
        <f t="shared" si="31"/>
        <v>0.0420345543870499</v>
      </c>
      <c r="Z43" s="20">
        <f t="shared" si="31"/>
        <v>0.00264574526972578</v>
      </c>
      <c r="AA43" s="20">
        <f t="shared" si="31"/>
        <v>0.0349059298739067</v>
      </c>
      <c r="AB43" s="8">
        <f>SUM(X43:AA52)/COUNT(X43:AA52)</f>
        <v>0.0462431117890463</v>
      </c>
    </row>
    <row r="44" spans="2:28">
      <c r="B44" s="26">
        <v>20</v>
      </c>
      <c r="C44" s="20">
        <f t="shared" ref="C44:C52" si="32">ABS(C8-C20)/C20</f>
        <v>0.0213815884237215</v>
      </c>
      <c r="D44" s="20">
        <f t="shared" si="28"/>
        <v>0.0679623208896454</v>
      </c>
      <c r="E44" s="20">
        <f t="shared" ref="E44:M44" si="33">ABS(E8-E20)/E20</f>
        <v>0.0783863802641848</v>
      </c>
      <c r="F44" s="20">
        <f t="shared" si="33"/>
        <v>0.0712481409994638</v>
      </c>
      <c r="G44" s="8"/>
      <c r="I44" s="26">
        <v>20</v>
      </c>
      <c r="J44" s="20">
        <f t="shared" si="33"/>
        <v>0.0444893152456765</v>
      </c>
      <c r="K44" s="20">
        <f t="shared" si="33"/>
        <v>0.0809610242038116</v>
      </c>
      <c r="L44" s="20">
        <f t="shared" si="33"/>
        <v>0.093687027569799</v>
      </c>
      <c r="M44" s="20">
        <f t="shared" si="33"/>
        <v>0.0840123047387413</v>
      </c>
      <c r="N44" s="8"/>
      <c r="P44" s="26">
        <v>20</v>
      </c>
      <c r="Q44" s="20">
        <f t="shared" ref="Q44:T44" si="34">ABS(Q8-Q20)/Q20</f>
        <v>0.096011850873517</v>
      </c>
      <c r="R44" s="20">
        <f t="shared" si="34"/>
        <v>0.0831913767515292</v>
      </c>
      <c r="S44" s="20">
        <f t="shared" si="34"/>
        <v>0.0924337305230188</v>
      </c>
      <c r="T44" s="20">
        <f t="shared" si="34"/>
        <v>0.0659492346763081</v>
      </c>
      <c r="U44" s="8"/>
      <c r="W44" s="26">
        <v>20</v>
      </c>
      <c r="X44" s="20">
        <f t="shared" ref="X44:AA44" si="35">ABS(X8-X20)/X20</f>
        <v>0.0850568091103793</v>
      </c>
      <c r="Y44" s="20">
        <f t="shared" si="35"/>
        <v>0.0494982435404191</v>
      </c>
      <c r="Z44" s="20">
        <f t="shared" si="35"/>
        <v>0.0723506806603581</v>
      </c>
      <c r="AA44" s="20">
        <f t="shared" si="35"/>
        <v>0.0637240513245897</v>
      </c>
      <c r="AB44" s="8"/>
    </row>
    <row r="45" spans="2:28">
      <c r="B45" s="26">
        <v>30</v>
      </c>
      <c r="C45" s="20">
        <f t="shared" si="32"/>
        <v>0.0265081987765218</v>
      </c>
      <c r="D45" s="20">
        <f t="shared" si="28"/>
        <v>0.0769659126659919</v>
      </c>
      <c r="E45" s="20">
        <f t="shared" ref="E45:M45" si="36">ABS(E9-E21)/E21</f>
        <v>0.0719719914154105</v>
      </c>
      <c r="F45" s="20">
        <f t="shared" si="36"/>
        <v>0.0704098806589259</v>
      </c>
      <c r="G45" s="8"/>
      <c r="I45" s="26">
        <v>30</v>
      </c>
      <c r="J45" s="20">
        <f t="shared" si="36"/>
        <v>0.0505414863595145</v>
      </c>
      <c r="K45" s="20">
        <f t="shared" si="36"/>
        <v>0.0180281434117379</v>
      </c>
      <c r="L45" s="20">
        <f t="shared" si="36"/>
        <v>0.016291327380921</v>
      </c>
      <c r="M45" s="20">
        <f t="shared" si="36"/>
        <v>0.00405462076629818</v>
      </c>
      <c r="N45" s="8"/>
      <c r="P45" s="26">
        <v>30</v>
      </c>
      <c r="Q45" s="20">
        <f t="shared" ref="Q45:T45" si="37">ABS(Q9-Q21)/Q21</f>
        <v>0.00243702410706323</v>
      </c>
      <c r="R45" s="20">
        <f t="shared" si="37"/>
        <v>0.0189697763604337</v>
      </c>
      <c r="S45" s="20">
        <f t="shared" si="37"/>
        <v>0.0279791954420706</v>
      </c>
      <c r="T45" s="20">
        <f t="shared" si="37"/>
        <v>0.0677678103399001</v>
      </c>
      <c r="U45" s="8"/>
      <c r="W45" s="26">
        <v>30</v>
      </c>
      <c r="X45" s="20">
        <f t="shared" ref="X45:AA45" si="38">ABS(X9-X21)/X21</f>
        <v>0.0311159258611464</v>
      </c>
      <c r="Y45" s="20">
        <f t="shared" si="38"/>
        <v>0.0480437762913296</v>
      </c>
      <c r="Z45" s="20">
        <f t="shared" si="38"/>
        <v>0.0436139349552351</v>
      </c>
      <c r="AA45" s="20">
        <f t="shared" si="38"/>
        <v>0.0532362607361357</v>
      </c>
      <c r="AB45" s="8"/>
    </row>
    <row r="46" spans="2:28">
      <c r="B46" s="26">
        <v>40</v>
      </c>
      <c r="C46" s="20">
        <f t="shared" si="32"/>
        <v>0.0547780695322495</v>
      </c>
      <c r="D46" s="20">
        <f t="shared" si="28"/>
        <v>0.0927108020612425</v>
      </c>
      <c r="E46" s="20">
        <f t="shared" ref="E46:M46" si="39">ABS(E10-E22)/E22</f>
        <v>0.11675460336896</v>
      </c>
      <c r="F46" s="20">
        <f t="shared" si="39"/>
        <v>0.0961832013179048</v>
      </c>
      <c r="G46" s="8"/>
      <c r="I46" s="26">
        <v>40</v>
      </c>
      <c r="J46" s="20">
        <f t="shared" si="39"/>
        <v>0.129955344926288</v>
      </c>
      <c r="K46" s="20">
        <f t="shared" si="39"/>
        <v>0.0275518577531938</v>
      </c>
      <c r="L46" s="20">
        <f t="shared" si="39"/>
        <v>0.0342876969123281</v>
      </c>
      <c r="M46" s="20">
        <f t="shared" si="39"/>
        <v>0.0128816232762875</v>
      </c>
      <c r="N46" s="8"/>
      <c r="P46" s="26">
        <v>40</v>
      </c>
      <c r="Q46" s="20">
        <f t="shared" ref="Q46:T46" si="40">ABS(Q10-Q22)/Q22</f>
        <v>0.00420189617570856</v>
      </c>
      <c r="R46" s="20">
        <f t="shared" si="40"/>
        <v>0.00107835224012824</v>
      </c>
      <c r="S46" s="20">
        <f t="shared" si="40"/>
        <v>0.0165090850754943</v>
      </c>
      <c r="T46" s="20">
        <f t="shared" si="40"/>
        <v>0.079064615546218</v>
      </c>
      <c r="U46" s="8"/>
      <c r="W46" s="26">
        <v>40</v>
      </c>
      <c r="X46" s="20">
        <f t="shared" ref="X46:AA46" si="41">ABS(X10-X22)/X22</f>
        <v>0.0181232078909363</v>
      </c>
      <c r="Y46" s="20">
        <f t="shared" si="41"/>
        <v>0.0790033702780237</v>
      </c>
      <c r="Z46" s="20">
        <f t="shared" si="41"/>
        <v>0.0261980124876789</v>
      </c>
      <c r="AA46" s="20">
        <f t="shared" si="41"/>
        <v>0.0330154801115493</v>
      </c>
      <c r="AB46" s="8"/>
    </row>
    <row r="47" spans="2:28">
      <c r="B47" s="26">
        <v>50</v>
      </c>
      <c r="C47" s="20">
        <f t="shared" si="32"/>
        <v>0.0944338373918201</v>
      </c>
      <c r="D47" s="20">
        <f t="shared" si="28"/>
        <v>0.0992352770175478</v>
      </c>
      <c r="E47" s="20">
        <f t="shared" ref="E47:M47" si="42">ABS(E11-E23)/E23</f>
        <v>0.119742980036507</v>
      </c>
      <c r="F47" s="20">
        <f t="shared" si="42"/>
        <v>0.142914041841399</v>
      </c>
      <c r="G47" s="8"/>
      <c r="I47" s="26">
        <v>50</v>
      </c>
      <c r="J47" s="20">
        <f t="shared" si="42"/>
        <v>0.131973502320908</v>
      </c>
      <c r="K47" s="20">
        <f t="shared" si="42"/>
        <v>0.0419237807493423</v>
      </c>
      <c r="L47" s="20">
        <f t="shared" si="42"/>
        <v>0.0495632896679196</v>
      </c>
      <c r="M47" s="20">
        <f t="shared" si="42"/>
        <v>0.0671109273706369</v>
      </c>
      <c r="N47" s="8"/>
      <c r="P47" s="26">
        <v>50</v>
      </c>
      <c r="Q47" s="20">
        <f t="shared" ref="Q47:T47" si="43">ABS(Q11-Q23)/Q23</f>
        <v>0.0554371471107512</v>
      </c>
      <c r="R47" s="20">
        <f t="shared" si="43"/>
        <v>0.0497895829045607</v>
      </c>
      <c r="S47" s="20">
        <f t="shared" si="43"/>
        <v>0.0394519674416624</v>
      </c>
      <c r="T47" s="20">
        <f t="shared" si="43"/>
        <v>0.000791646335510655</v>
      </c>
      <c r="U47" s="8"/>
      <c r="W47" s="26">
        <v>50</v>
      </c>
      <c r="X47" s="20">
        <f t="shared" ref="X47:AA47" si="44">ABS(X11-X23)/X23</f>
        <v>0.0731051768159818</v>
      </c>
      <c r="Y47" s="20">
        <f t="shared" si="44"/>
        <v>0.0492934856466816</v>
      </c>
      <c r="Z47" s="20">
        <f t="shared" si="44"/>
        <v>0.0434074587524079</v>
      </c>
      <c r="AA47" s="20">
        <f t="shared" si="44"/>
        <v>0.0598400454341103</v>
      </c>
      <c r="AB47" s="8"/>
    </row>
    <row r="48" spans="2:28">
      <c r="B48" s="26">
        <v>60</v>
      </c>
      <c r="C48" s="20">
        <f t="shared" si="32"/>
        <v>0.146686241829103</v>
      </c>
      <c r="D48" s="20">
        <f t="shared" si="28"/>
        <v>0.0448413448452189</v>
      </c>
      <c r="E48" s="20">
        <f t="shared" ref="E48:M48" si="45">ABS(E12-E24)/E24</f>
        <v>0.0336073100619867</v>
      </c>
      <c r="F48" s="20">
        <f t="shared" si="45"/>
        <v>0.0733325641568263</v>
      </c>
      <c r="G48" s="8"/>
      <c r="I48" s="26">
        <v>60</v>
      </c>
      <c r="J48" s="20">
        <f t="shared" si="45"/>
        <v>0.165234705665922</v>
      </c>
      <c r="K48" s="20">
        <f t="shared" si="45"/>
        <v>0.00308971843566212</v>
      </c>
      <c r="L48" s="20">
        <f t="shared" si="45"/>
        <v>0.0152017058084249</v>
      </c>
      <c r="M48" s="20">
        <f t="shared" si="45"/>
        <v>0.0180024606670541</v>
      </c>
      <c r="N48" s="8"/>
      <c r="P48" s="26">
        <v>60</v>
      </c>
      <c r="Q48" s="20">
        <f t="shared" ref="Q48:T48" si="46">ABS(Q12-Q24)/Q24</f>
        <v>0.0251835123455673</v>
      </c>
      <c r="R48" s="20">
        <f t="shared" si="46"/>
        <v>0.0473164145052324</v>
      </c>
      <c r="S48" s="20">
        <f t="shared" si="46"/>
        <v>0.0279156329790903</v>
      </c>
      <c r="T48" s="20">
        <f t="shared" si="46"/>
        <v>0.00666222346174155</v>
      </c>
      <c r="U48" s="8"/>
      <c r="W48" s="26">
        <v>60</v>
      </c>
      <c r="X48" s="20">
        <f t="shared" ref="X48:AA48" si="47">ABS(X12-X24)/X24</f>
        <v>0.063195246575217</v>
      </c>
      <c r="Y48" s="20">
        <f t="shared" si="47"/>
        <v>0.00844431873514871</v>
      </c>
      <c r="Z48" s="20">
        <f t="shared" si="47"/>
        <v>0.00421622944532825</v>
      </c>
      <c r="AA48" s="20">
        <f t="shared" si="47"/>
        <v>0.035455845852136</v>
      </c>
      <c r="AB48" s="8"/>
    </row>
    <row r="49" spans="2:28">
      <c r="B49" s="26">
        <v>70</v>
      </c>
      <c r="C49" s="20">
        <f t="shared" si="32"/>
        <v>0.211552029701852</v>
      </c>
      <c r="D49" s="20">
        <f t="shared" si="28"/>
        <v>0.00603909863282143</v>
      </c>
      <c r="E49" s="20">
        <f t="shared" ref="E49:M49" si="48">ABS(E13-E25)/E25</f>
        <v>0.0221216517481828</v>
      </c>
      <c r="F49" s="20">
        <f t="shared" si="48"/>
        <v>0.00910946614118993</v>
      </c>
      <c r="G49" s="8"/>
      <c r="I49" s="26">
        <v>70</v>
      </c>
      <c r="J49" s="20">
        <f t="shared" si="48"/>
        <v>0.191911927397556</v>
      </c>
      <c r="K49" s="20">
        <f t="shared" si="48"/>
        <v>0.0178851879374218</v>
      </c>
      <c r="L49" s="20">
        <f t="shared" si="48"/>
        <v>0.0487538695857917</v>
      </c>
      <c r="M49" s="20">
        <f t="shared" si="48"/>
        <v>0.0223501103267561</v>
      </c>
      <c r="N49" s="8"/>
      <c r="P49" s="26">
        <v>70</v>
      </c>
      <c r="Q49" s="20">
        <f t="shared" ref="Q49:T49" si="49">ABS(Q13-Q25)/Q25</f>
        <v>0.00302097267769869</v>
      </c>
      <c r="R49" s="20">
        <f t="shared" si="49"/>
        <v>0.0390377498343958</v>
      </c>
      <c r="S49" s="20">
        <f t="shared" si="49"/>
        <v>0.0263400949504047</v>
      </c>
      <c r="T49" s="20">
        <f t="shared" si="49"/>
        <v>0.00551428998873947</v>
      </c>
      <c r="U49" s="8"/>
      <c r="W49" s="26">
        <v>70</v>
      </c>
      <c r="X49" s="20">
        <f t="shared" ref="X49:AA49" si="50">ABS(X13-X25)/X25</f>
        <v>0.118641812252115</v>
      </c>
      <c r="Y49" s="20">
        <f t="shared" si="50"/>
        <v>0.0373522943348813</v>
      </c>
      <c r="Z49" s="20">
        <f t="shared" si="50"/>
        <v>0.0402472715012429</v>
      </c>
      <c r="AA49" s="20">
        <f t="shared" si="50"/>
        <v>0.0058516598505041</v>
      </c>
      <c r="AB49" s="8"/>
    </row>
    <row r="50" spans="2:28">
      <c r="B50" s="26">
        <v>80</v>
      </c>
      <c r="C50" s="20">
        <f t="shared" si="32"/>
        <v>0.261015107772881</v>
      </c>
      <c r="D50" s="20">
        <f t="shared" si="28"/>
        <v>0.021693341812633</v>
      </c>
      <c r="E50" s="20">
        <f t="shared" ref="E50:M50" si="51">ABS(E14-E26)/E26</f>
        <v>0.0147297390026037</v>
      </c>
      <c r="F50" s="20">
        <f t="shared" si="51"/>
        <v>0.0201697248387406</v>
      </c>
      <c r="G50" s="8"/>
      <c r="I50" s="26">
        <v>80</v>
      </c>
      <c r="J50" s="20">
        <f t="shared" si="51"/>
        <v>0.255123098252438</v>
      </c>
      <c r="K50" s="20">
        <f t="shared" si="51"/>
        <v>0.0154914640961893</v>
      </c>
      <c r="L50" s="20">
        <f t="shared" si="51"/>
        <v>0.00869052800670986</v>
      </c>
      <c r="M50" s="20">
        <f t="shared" si="51"/>
        <v>0.0108751128025201</v>
      </c>
      <c r="N50" s="8"/>
      <c r="P50" s="26">
        <v>80</v>
      </c>
      <c r="Q50" s="20">
        <f t="shared" ref="Q50:T50" si="52">ABS(Q14-Q26)/Q26</f>
        <v>0.0472127617923982</v>
      </c>
      <c r="R50" s="20">
        <f t="shared" si="52"/>
        <v>0.0130886134871586</v>
      </c>
      <c r="S50" s="20">
        <f t="shared" si="52"/>
        <v>0.0135886860110487</v>
      </c>
      <c r="T50" s="20">
        <f t="shared" si="52"/>
        <v>0.0189005056271227</v>
      </c>
      <c r="U50" s="8"/>
      <c r="W50" s="26">
        <v>80</v>
      </c>
      <c r="X50" s="20">
        <f t="shared" ref="X50:AA50" si="53">ABS(X14-X26)/X26</f>
        <v>0.0903858100201899</v>
      </c>
      <c r="Y50" s="20">
        <f t="shared" si="53"/>
        <v>0.0189396981671432</v>
      </c>
      <c r="Z50" s="20">
        <f t="shared" si="53"/>
        <v>0.00176059315019787</v>
      </c>
      <c r="AA50" s="20">
        <f t="shared" si="53"/>
        <v>0.0243288400626717</v>
      </c>
      <c r="AB50" s="8"/>
    </row>
    <row r="51" spans="2:28">
      <c r="B51" s="26">
        <v>90</v>
      </c>
      <c r="C51" s="20">
        <f t="shared" si="32"/>
        <v>0.29238184389013</v>
      </c>
      <c r="D51" s="20">
        <f t="shared" si="28"/>
        <v>0.0424219798546746</v>
      </c>
      <c r="E51" s="20">
        <f t="shared" ref="E51:M51" si="54">ABS(E15-E27)/E27</f>
        <v>0.0340322985149471</v>
      </c>
      <c r="F51" s="20">
        <f t="shared" si="54"/>
        <v>0.0298934044958181</v>
      </c>
      <c r="G51" s="8"/>
      <c r="I51" s="26">
        <v>90</v>
      </c>
      <c r="J51" s="20">
        <f t="shared" si="54"/>
        <v>0.273599951520417</v>
      </c>
      <c r="K51" s="20">
        <f t="shared" si="54"/>
        <v>0.0299728680816517</v>
      </c>
      <c r="L51" s="20">
        <f t="shared" si="54"/>
        <v>0.0181930691853081</v>
      </c>
      <c r="M51" s="20">
        <f t="shared" si="54"/>
        <v>0.0160134670661245</v>
      </c>
      <c r="N51" s="8"/>
      <c r="P51" s="26">
        <v>90</v>
      </c>
      <c r="Q51" s="20">
        <f t="shared" ref="Q51:T51" si="55">ABS(Q15-Q27)/Q27</f>
        <v>0.062584465843835</v>
      </c>
      <c r="R51" s="20">
        <f t="shared" si="55"/>
        <v>0.0209979069266919</v>
      </c>
      <c r="S51" s="20">
        <f t="shared" si="55"/>
        <v>0.0208708184497059</v>
      </c>
      <c r="T51" s="20">
        <f t="shared" si="55"/>
        <v>0.00904765777574497</v>
      </c>
      <c r="U51" s="8"/>
      <c r="W51" s="26">
        <v>90</v>
      </c>
      <c r="X51" s="20">
        <f t="shared" ref="X51:AA51" si="56">ABS(X15-X27)/X27</f>
        <v>0.159290723150361</v>
      </c>
      <c r="Y51" s="20">
        <f t="shared" si="56"/>
        <v>0.0224738327381142</v>
      </c>
      <c r="Z51" s="20">
        <f t="shared" si="56"/>
        <v>0.00406910503360237</v>
      </c>
      <c r="AA51" s="20">
        <f t="shared" si="56"/>
        <v>0.00916739089956963</v>
      </c>
      <c r="AB51" s="8"/>
    </row>
    <row r="52" spans="2:28">
      <c r="B52" s="26">
        <v>100</v>
      </c>
      <c r="C52" s="20">
        <f t="shared" si="32"/>
        <v>0.343130637916997</v>
      </c>
      <c r="D52" s="20">
        <f t="shared" si="28"/>
        <v>0.0167265673429859</v>
      </c>
      <c r="E52" s="20">
        <f t="shared" ref="E52:M52" si="57">ABS(E16-E28)/E28</f>
        <v>0.0537906011378578</v>
      </c>
      <c r="F52" s="20">
        <f t="shared" si="57"/>
        <v>0.05619110941432</v>
      </c>
      <c r="G52" s="8"/>
      <c r="I52" s="26">
        <v>100</v>
      </c>
      <c r="J52" s="20">
        <f t="shared" si="57"/>
        <v>0.314362190189037</v>
      </c>
      <c r="K52" s="20">
        <f t="shared" si="57"/>
        <v>0.0153861669189974</v>
      </c>
      <c r="L52" s="20">
        <f t="shared" si="57"/>
        <v>0.0168535067205507</v>
      </c>
      <c r="M52" s="20">
        <f t="shared" si="57"/>
        <v>0.0201118107995164</v>
      </c>
      <c r="N52" s="8"/>
      <c r="P52" s="26">
        <v>100</v>
      </c>
      <c r="Q52" s="20">
        <f t="shared" ref="Q52:T52" si="58">ABS(Q16-Q28)/Q28</f>
        <v>0.0220324383586385</v>
      </c>
      <c r="R52" s="20">
        <f t="shared" si="58"/>
        <v>0.00913098158338773</v>
      </c>
      <c r="S52" s="20">
        <f t="shared" si="58"/>
        <v>0.0109031328748743</v>
      </c>
      <c r="T52" s="20">
        <f t="shared" si="58"/>
        <v>0.013734992448621</v>
      </c>
      <c r="U52" s="8"/>
      <c r="W52" s="26">
        <v>100</v>
      </c>
      <c r="X52" s="20">
        <f t="shared" ref="X52:AA52" si="59">ABS(X16-X28)/X28</f>
        <v>0.180751960692315</v>
      </c>
      <c r="Y52" s="20">
        <f t="shared" si="59"/>
        <v>0.0283469061133986</v>
      </c>
      <c r="Z52" s="20">
        <f t="shared" si="59"/>
        <v>0.0059618066561016</v>
      </c>
      <c r="AA52" s="20">
        <f t="shared" si="59"/>
        <v>0.00660654885833071</v>
      </c>
      <c r="AB52" s="8"/>
    </row>
    <row r="53" spans="2:28">
      <c r="B53" s="26"/>
      <c r="G53" s="8"/>
      <c r="I53" s="26"/>
      <c r="N53" s="36"/>
      <c r="P53" s="26"/>
      <c r="U53" s="36"/>
      <c r="W53" s="26"/>
      <c r="AB53" s="36"/>
    </row>
    <row r="54" s="14" customFormat="1" spans="2:28">
      <c r="B54" s="29" t="s">
        <v>260</v>
      </c>
      <c r="C54" s="30"/>
      <c r="D54" s="30"/>
      <c r="E54" s="30"/>
      <c r="F54" s="30"/>
      <c r="G54" s="31"/>
      <c r="H54" s="30"/>
      <c r="I54" s="29"/>
      <c r="J54" s="15"/>
      <c r="K54" s="15"/>
      <c r="L54" s="15"/>
      <c r="M54" s="15"/>
      <c r="N54" s="37"/>
      <c r="P54" s="38"/>
      <c r="Q54" s="15"/>
      <c r="R54" s="15"/>
      <c r="S54" s="15"/>
      <c r="T54" s="15"/>
      <c r="U54" s="37"/>
      <c r="W54" s="38"/>
      <c r="X54" s="15"/>
      <c r="Y54" s="15"/>
      <c r="Z54" s="15"/>
      <c r="AA54" s="15"/>
      <c r="AB54" s="37"/>
    </row>
    <row r="55" spans="2:28">
      <c r="B55" s="26"/>
      <c r="G55" s="8"/>
      <c r="I55" s="26"/>
      <c r="N55" s="36"/>
      <c r="P55" s="26"/>
      <c r="U55" s="36"/>
      <c r="W55" s="26"/>
      <c r="AB55" s="36"/>
    </row>
    <row r="56" spans="2:28">
      <c r="B56" s="26" t="s">
        <v>236</v>
      </c>
      <c r="C56" s="1">
        <v>1</v>
      </c>
      <c r="D56" s="1">
        <v>8</v>
      </c>
      <c r="E56" s="1">
        <v>16</v>
      </c>
      <c r="F56" s="1">
        <v>32</v>
      </c>
      <c r="G56" s="8"/>
      <c r="I56" s="26" t="s">
        <v>236</v>
      </c>
      <c r="J56" s="1">
        <v>1</v>
      </c>
      <c r="K56" s="1">
        <v>8</v>
      </c>
      <c r="L56" s="1">
        <v>16</v>
      </c>
      <c r="M56" s="1">
        <v>32</v>
      </c>
      <c r="N56" s="36"/>
      <c r="P56" s="26" t="s">
        <v>236</v>
      </c>
      <c r="Q56" s="1">
        <v>1</v>
      </c>
      <c r="R56" s="1">
        <v>8</v>
      </c>
      <c r="S56" s="1">
        <v>16</v>
      </c>
      <c r="T56" s="1">
        <v>32</v>
      </c>
      <c r="U56" s="36"/>
      <c r="W56" s="26" t="s">
        <v>236</v>
      </c>
      <c r="X56" s="1">
        <v>1</v>
      </c>
      <c r="Y56" s="1">
        <v>8</v>
      </c>
      <c r="Z56" s="1">
        <v>16</v>
      </c>
      <c r="AA56" s="1">
        <v>32</v>
      </c>
      <c r="AB56" s="36"/>
    </row>
    <row r="57" spans="2:28">
      <c r="B57" s="26">
        <v>10</v>
      </c>
      <c r="C57" s="1">
        <f t="shared" ref="C57:C59" si="60">1080*0.007/C56*(B57/100)</f>
        <v>0.756</v>
      </c>
      <c r="D57" s="1">
        <f>1080*0.007/D56*(B57/100)</f>
        <v>0.0945</v>
      </c>
      <c r="E57" s="1">
        <f>1080*0.007/E56*(B57/100)</f>
        <v>0.04725</v>
      </c>
      <c r="F57" s="1">
        <f>1080*0.007/F56*(B57/100)</f>
        <v>0.023625</v>
      </c>
      <c r="G57" s="8"/>
      <c r="I57" s="26">
        <v>10</v>
      </c>
      <c r="J57" s="1">
        <f>1080*0.007/J56*(I57/100)</f>
        <v>0.756</v>
      </c>
      <c r="K57" s="1">
        <f>1080*0.007/K56*(I57/100)</f>
        <v>0.0945</v>
      </c>
      <c r="L57" s="1">
        <f>1080*0.007/L56*(I57/100)</f>
        <v>0.04725</v>
      </c>
      <c r="M57" s="1">
        <f>1080*0.007/M56*(I57/100)</f>
        <v>0.023625</v>
      </c>
      <c r="N57" s="36"/>
      <c r="P57" s="26">
        <v>10</v>
      </c>
      <c r="Q57" s="1">
        <f>78*0.007/Q56*(P57/100)</f>
        <v>0.0546</v>
      </c>
      <c r="R57" s="1">
        <f>Q57/8</f>
        <v>0.006825</v>
      </c>
      <c r="S57" s="1">
        <f>Q57/16</f>
        <v>0.0034125</v>
      </c>
      <c r="T57" s="1">
        <f>Q57/32</f>
        <v>0.00170625</v>
      </c>
      <c r="U57" s="36"/>
      <c r="W57" s="26">
        <v>10</v>
      </c>
      <c r="X57" s="1">
        <f>253*0.007/X56*(W57/100)</f>
        <v>0.1771</v>
      </c>
      <c r="Y57" s="1">
        <f t="shared" ref="Y57:Y66" si="61">X57/8</f>
        <v>0.0221375</v>
      </c>
      <c r="Z57" s="1">
        <f t="shared" ref="Z57:Z66" si="62">X57/16</f>
        <v>0.01106875</v>
      </c>
      <c r="AA57" s="1">
        <f t="shared" ref="AA57:AA66" si="63">X57/32</f>
        <v>0.005534375</v>
      </c>
      <c r="AB57" s="36"/>
    </row>
    <row r="58" spans="2:28">
      <c r="B58" s="26">
        <v>20</v>
      </c>
      <c r="C58" s="1">
        <f>1080*0.007/C56*(B58/100)</f>
        <v>1.512</v>
      </c>
      <c r="D58" s="1">
        <f>1080*0.007/D56*(B58/100)</f>
        <v>0.189</v>
      </c>
      <c r="E58" s="1">
        <f>1080*0.007/E56*(B58/100)</f>
        <v>0.0945</v>
      </c>
      <c r="F58" s="1">
        <f>1080*0.007/F56*(B58/100)</f>
        <v>0.04725</v>
      </c>
      <c r="G58" s="8"/>
      <c r="I58" s="26">
        <v>20</v>
      </c>
      <c r="J58" s="1">
        <f>1080*0.007/J56*(I58/100)</f>
        <v>1.512</v>
      </c>
      <c r="K58" s="1">
        <f>1080*0.007/K56*(I58/100)</f>
        <v>0.189</v>
      </c>
      <c r="L58" s="1">
        <f>1080*0.007/L56*(I58/100)</f>
        <v>0.0945</v>
      </c>
      <c r="M58" s="1">
        <f>1080*0.007/M56*(I58/100)</f>
        <v>0.04725</v>
      </c>
      <c r="N58" s="36"/>
      <c r="P58" s="26">
        <v>20</v>
      </c>
      <c r="Q58" s="1">
        <f>78*0.007/Q56*(P58/100)</f>
        <v>0.1092</v>
      </c>
      <c r="R58" s="1">
        <f t="shared" ref="R58:R66" si="64">Q58/8</f>
        <v>0.01365</v>
      </c>
      <c r="S58" s="1">
        <f t="shared" ref="S58:S66" si="65">Q58/16</f>
        <v>0.006825</v>
      </c>
      <c r="T58" s="1">
        <f t="shared" ref="T58:T66" si="66">Q58/32</f>
        <v>0.0034125</v>
      </c>
      <c r="U58" s="36"/>
      <c r="W58" s="26">
        <v>20</v>
      </c>
      <c r="X58" s="1">
        <f>253*0.007/X56*(W58/100)</f>
        <v>0.3542</v>
      </c>
      <c r="Y58" s="1">
        <f t="shared" si="61"/>
        <v>0.044275</v>
      </c>
      <c r="Z58" s="1">
        <f t="shared" si="62"/>
        <v>0.0221375</v>
      </c>
      <c r="AA58" s="1">
        <f t="shared" si="63"/>
        <v>0.01106875</v>
      </c>
      <c r="AB58" s="36"/>
    </row>
    <row r="59" spans="2:28">
      <c r="B59" s="26">
        <v>30</v>
      </c>
      <c r="C59" s="1">
        <f>1080*0.007/C56*(B59/100)</f>
        <v>2.268</v>
      </c>
      <c r="D59" s="1">
        <f>1080*0.007/D56*(B59/100)</f>
        <v>0.2835</v>
      </c>
      <c r="E59" s="1">
        <f>1080*0.007/E56*(B59/100)</f>
        <v>0.14175</v>
      </c>
      <c r="F59" s="1">
        <f>1080*0.007/F56*(B59/100)</f>
        <v>0.070875</v>
      </c>
      <c r="G59" s="8"/>
      <c r="I59" s="26">
        <v>30</v>
      </c>
      <c r="J59" s="1">
        <f>1080*0.007/J56*(I59/100)</f>
        <v>2.268</v>
      </c>
      <c r="K59" s="1">
        <f>1080*0.007/K56*(I59/100)</f>
        <v>0.2835</v>
      </c>
      <c r="L59" s="1">
        <f>1080*0.007/L56*(I59/100)</f>
        <v>0.14175</v>
      </c>
      <c r="M59" s="1">
        <f>1080*0.007/M56*(I59/100)</f>
        <v>0.070875</v>
      </c>
      <c r="N59" s="36"/>
      <c r="P59" s="26">
        <v>30</v>
      </c>
      <c r="Q59" s="1">
        <f>78*0.007/Q56*(P59/100)</f>
        <v>0.1638</v>
      </c>
      <c r="R59" s="1">
        <f t="shared" si="64"/>
        <v>0.020475</v>
      </c>
      <c r="S59" s="1">
        <f t="shared" si="65"/>
        <v>0.0102375</v>
      </c>
      <c r="T59" s="1">
        <f t="shared" si="66"/>
        <v>0.00511875</v>
      </c>
      <c r="U59" s="36"/>
      <c r="W59" s="26">
        <v>30</v>
      </c>
      <c r="X59" s="1">
        <f>253*0.007/X56*(W59/100)</f>
        <v>0.5313</v>
      </c>
      <c r="Y59" s="1">
        <f t="shared" si="61"/>
        <v>0.0664125</v>
      </c>
      <c r="Z59" s="1">
        <f t="shared" si="62"/>
        <v>0.03320625</v>
      </c>
      <c r="AA59" s="1">
        <f t="shared" si="63"/>
        <v>0.016603125</v>
      </c>
      <c r="AB59" s="36"/>
    </row>
    <row r="60" spans="2:28">
      <c r="B60" s="26">
        <v>40</v>
      </c>
      <c r="C60" s="1">
        <f>1080*0.007/C56*(B60/100)</f>
        <v>3.024</v>
      </c>
      <c r="D60" s="1">
        <f>1080*0.007/D56*(B60/100)</f>
        <v>0.378</v>
      </c>
      <c r="E60" s="1">
        <f>1080*0.007/E56*(B60/100)</f>
        <v>0.189</v>
      </c>
      <c r="F60" s="1">
        <f>1080*0.007/F56*(B60/100)</f>
        <v>0.0945</v>
      </c>
      <c r="G60" s="8"/>
      <c r="I60" s="26">
        <v>40</v>
      </c>
      <c r="J60" s="1">
        <f>1080*0.007/J56*(I60/100)</f>
        <v>3.024</v>
      </c>
      <c r="K60" s="1">
        <f>1080*0.007/K56*(I60/100)</f>
        <v>0.378</v>
      </c>
      <c r="L60" s="1">
        <f>1080*0.007/L56*(I60/100)</f>
        <v>0.189</v>
      </c>
      <c r="M60" s="1">
        <f>1080*0.007/M56*(I60/100)</f>
        <v>0.0945</v>
      </c>
      <c r="N60" s="36"/>
      <c r="P60" s="26">
        <v>40</v>
      </c>
      <c r="Q60" s="1">
        <f>78*0.007/Q56*(P60/100)</f>
        <v>0.2184</v>
      </c>
      <c r="R60" s="1">
        <f t="shared" si="64"/>
        <v>0.0273</v>
      </c>
      <c r="S60" s="1">
        <f t="shared" si="65"/>
        <v>0.01365</v>
      </c>
      <c r="T60" s="1">
        <f t="shared" si="66"/>
        <v>0.006825</v>
      </c>
      <c r="U60" s="36"/>
      <c r="W60" s="26">
        <v>40</v>
      </c>
      <c r="X60" s="1">
        <f>253*0.007/X56*(W60/100)</f>
        <v>0.7084</v>
      </c>
      <c r="Y60" s="1">
        <f t="shared" si="61"/>
        <v>0.08855</v>
      </c>
      <c r="Z60" s="1">
        <f t="shared" si="62"/>
        <v>0.044275</v>
      </c>
      <c r="AA60" s="1">
        <f t="shared" si="63"/>
        <v>0.0221375</v>
      </c>
      <c r="AB60" s="36"/>
    </row>
    <row r="61" spans="2:28">
      <c r="B61" s="26">
        <v>50</v>
      </c>
      <c r="C61" s="1">
        <f>1080*0.007/C56*(B61/100)</f>
        <v>3.78</v>
      </c>
      <c r="D61" s="1">
        <f>1080*0.007/D56*(B61/100)</f>
        <v>0.4725</v>
      </c>
      <c r="E61" s="1">
        <f>1080*0.007/E56*(B61/100)</f>
        <v>0.23625</v>
      </c>
      <c r="F61" s="1">
        <f>1080*0.007/F56*(B61/100)</f>
        <v>0.118125</v>
      </c>
      <c r="G61" s="8"/>
      <c r="I61" s="26">
        <v>50</v>
      </c>
      <c r="J61" s="1">
        <f>1080*0.007/J56*(I61/100)</f>
        <v>3.78</v>
      </c>
      <c r="K61" s="1">
        <f>1080*0.007/K56*(I61/100)</f>
        <v>0.4725</v>
      </c>
      <c r="L61" s="1">
        <f>1080*0.007/L56*(I61/100)</f>
        <v>0.23625</v>
      </c>
      <c r="M61" s="1">
        <f>1080*0.007/M56*(I61/100)</f>
        <v>0.118125</v>
      </c>
      <c r="N61" s="36"/>
      <c r="P61" s="26">
        <v>50</v>
      </c>
      <c r="Q61" s="1">
        <f>78*0.007/Q56*(P61/100)</f>
        <v>0.273</v>
      </c>
      <c r="R61" s="1">
        <f t="shared" si="64"/>
        <v>0.034125</v>
      </c>
      <c r="S61" s="1">
        <f t="shared" si="65"/>
        <v>0.0170625</v>
      </c>
      <c r="T61" s="1">
        <f t="shared" si="66"/>
        <v>0.00853125</v>
      </c>
      <c r="U61" s="36"/>
      <c r="W61" s="26">
        <v>50</v>
      </c>
      <c r="X61" s="1">
        <f>253*0.007/X56*(W61/100)</f>
        <v>0.8855</v>
      </c>
      <c r="Y61" s="1">
        <f t="shared" si="61"/>
        <v>0.1106875</v>
      </c>
      <c r="Z61" s="1">
        <f t="shared" si="62"/>
        <v>0.05534375</v>
      </c>
      <c r="AA61" s="1">
        <f t="shared" si="63"/>
        <v>0.027671875</v>
      </c>
      <c r="AB61" s="36"/>
    </row>
    <row r="62" spans="2:28">
      <c r="B62" s="26">
        <v>60</v>
      </c>
      <c r="C62" s="1">
        <f>1080*0.007/C56*(B62/100)</f>
        <v>4.536</v>
      </c>
      <c r="D62" s="1">
        <f>1080*0.007/D56*(B62/100)</f>
        <v>0.567</v>
      </c>
      <c r="E62" s="1">
        <f>1080*0.007/E56*(B62/100)</f>
        <v>0.2835</v>
      </c>
      <c r="F62" s="1">
        <f>1080*0.007/F56*(B62/100)</f>
        <v>0.14175</v>
      </c>
      <c r="G62" s="8"/>
      <c r="I62" s="26">
        <v>60</v>
      </c>
      <c r="J62" s="1">
        <f>1080*0.007/J56*(I62/100)</f>
        <v>4.536</v>
      </c>
      <c r="K62" s="1">
        <f>1080*0.007/K56*(I62/100)</f>
        <v>0.567</v>
      </c>
      <c r="L62" s="1">
        <f>1080*0.007/L56*(I62/100)</f>
        <v>0.2835</v>
      </c>
      <c r="M62" s="1">
        <f>1080*0.007/M56*(I62/100)</f>
        <v>0.14175</v>
      </c>
      <c r="N62" s="36"/>
      <c r="P62" s="26">
        <v>60</v>
      </c>
      <c r="Q62" s="1">
        <f>78*0.007/Q56*(P62/100)</f>
        <v>0.3276</v>
      </c>
      <c r="R62" s="1">
        <f t="shared" si="64"/>
        <v>0.04095</v>
      </c>
      <c r="S62" s="1">
        <f t="shared" si="65"/>
        <v>0.020475</v>
      </c>
      <c r="T62" s="1">
        <f t="shared" si="66"/>
        <v>0.0102375</v>
      </c>
      <c r="U62" s="36"/>
      <c r="W62" s="26">
        <v>60</v>
      </c>
      <c r="X62" s="1">
        <f>253*0.007/X56*(W62/100)</f>
        <v>1.0626</v>
      </c>
      <c r="Y62" s="1">
        <f t="shared" si="61"/>
        <v>0.132825</v>
      </c>
      <c r="Z62" s="1">
        <f t="shared" si="62"/>
        <v>0.0664125</v>
      </c>
      <c r="AA62" s="1">
        <f t="shared" si="63"/>
        <v>0.03320625</v>
      </c>
      <c r="AB62" s="36"/>
    </row>
    <row r="63" spans="2:28">
      <c r="B63" s="26">
        <v>70</v>
      </c>
      <c r="C63" s="1">
        <f>1080*0.007/C56*(B63/100)</f>
        <v>5.292</v>
      </c>
      <c r="D63" s="1">
        <f>1080*0.007/D56*(B63/100)</f>
        <v>0.6615</v>
      </c>
      <c r="E63" s="1">
        <f>1080*0.007/E56*(B63/100)</f>
        <v>0.33075</v>
      </c>
      <c r="F63" s="1">
        <f>1080*0.007/F56*(B63/100)</f>
        <v>0.165375</v>
      </c>
      <c r="G63" s="8"/>
      <c r="I63" s="26">
        <v>70</v>
      </c>
      <c r="J63" s="1">
        <f>1080*0.007/J56*(I63/100)</f>
        <v>5.292</v>
      </c>
      <c r="K63" s="1">
        <f>1080*0.007/K56*(I63/100)</f>
        <v>0.6615</v>
      </c>
      <c r="L63" s="1">
        <f>1080*0.007/L56*(I63/100)</f>
        <v>0.33075</v>
      </c>
      <c r="M63" s="1">
        <f>1080*0.007/M56*(I63/100)</f>
        <v>0.165375</v>
      </c>
      <c r="N63" s="36"/>
      <c r="P63" s="26">
        <v>70</v>
      </c>
      <c r="Q63" s="1">
        <f>78*0.007/Q56*(P63/100)</f>
        <v>0.3822</v>
      </c>
      <c r="R63" s="1">
        <f t="shared" si="64"/>
        <v>0.047775</v>
      </c>
      <c r="S63" s="1">
        <f t="shared" si="65"/>
        <v>0.0238875</v>
      </c>
      <c r="T63" s="1">
        <f t="shared" si="66"/>
        <v>0.01194375</v>
      </c>
      <c r="U63" s="36"/>
      <c r="W63" s="26">
        <v>70</v>
      </c>
      <c r="X63" s="1">
        <f>253*0.007/X56*(W63/100)</f>
        <v>1.2397</v>
      </c>
      <c r="Y63" s="1">
        <f t="shared" si="61"/>
        <v>0.1549625</v>
      </c>
      <c r="Z63" s="1">
        <f t="shared" si="62"/>
        <v>0.07748125</v>
      </c>
      <c r="AA63" s="1">
        <f t="shared" si="63"/>
        <v>0.038740625</v>
      </c>
      <c r="AB63" s="36"/>
    </row>
    <row r="64" spans="2:28">
      <c r="B64" s="26">
        <v>80</v>
      </c>
      <c r="C64" s="1">
        <f>1080*0.007/C56*(B64/100)</f>
        <v>6.048</v>
      </c>
      <c r="D64" s="1">
        <f>1080*0.007/D56*(B64/100)</f>
        <v>0.756</v>
      </c>
      <c r="E64" s="1">
        <f>1080*0.007/E56*(B64/100)</f>
        <v>0.378</v>
      </c>
      <c r="F64" s="1">
        <f>1080*0.007/F56*(B64/100)</f>
        <v>0.189</v>
      </c>
      <c r="G64" s="8"/>
      <c r="I64" s="26">
        <v>80</v>
      </c>
      <c r="J64" s="1">
        <f>1080*0.007/J56*(I64/100)</f>
        <v>6.048</v>
      </c>
      <c r="K64" s="1">
        <f>1080*0.007/K56*(I64/100)</f>
        <v>0.756</v>
      </c>
      <c r="L64" s="1">
        <f>1080*0.007/L56*(I64/100)</f>
        <v>0.378</v>
      </c>
      <c r="M64" s="1">
        <f>1080*0.007/M56*(I64/100)</f>
        <v>0.189</v>
      </c>
      <c r="N64" s="36"/>
      <c r="P64" s="26">
        <v>80</v>
      </c>
      <c r="Q64" s="1">
        <f>78*0.007/Q56*(P64/100)</f>
        <v>0.4368</v>
      </c>
      <c r="R64" s="1">
        <f t="shared" si="64"/>
        <v>0.0546</v>
      </c>
      <c r="S64" s="1">
        <f t="shared" si="65"/>
        <v>0.0273</v>
      </c>
      <c r="T64" s="1">
        <f t="shared" si="66"/>
        <v>0.01365</v>
      </c>
      <c r="U64" s="36"/>
      <c r="W64" s="26">
        <v>80</v>
      </c>
      <c r="X64" s="1">
        <f>253*0.007/X56*(W64/100)</f>
        <v>1.4168</v>
      </c>
      <c r="Y64" s="1">
        <f t="shared" si="61"/>
        <v>0.1771</v>
      </c>
      <c r="Z64" s="1">
        <f t="shared" si="62"/>
        <v>0.08855</v>
      </c>
      <c r="AA64" s="1">
        <f t="shared" si="63"/>
        <v>0.044275</v>
      </c>
      <c r="AB64" s="36"/>
    </row>
    <row r="65" spans="2:28">
      <c r="B65" s="26">
        <v>90</v>
      </c>
      <c r="C65" s="1">
        <f>1080*0.007/C56*(B65/100)</f>
        <v>6.804</v>
      </c>
      <c r="D65" s="1">
        <f>1080*0.007/D56*(B65/100)</f>
        <v>0.8505</v>
      </c>
      <c r="E65" s="1">
        <f>1080*0.007/E56*(B65/100)</f>
        <v>0.42525</v>
      </c>
      <c r="F65" s="1">
        <f>1080*0.007/F56*(B65/100)</f>
        <v>0.212625</v>
      </c>
      <c r="G65" s="8"/>
      <c r="I65" s="26">
        <v>90</v>
      </c>
      <c r="J65" s="1">
        <f>1080*0.007/J56*(I65/100)</f>
        <v>6.804</v>
      </c>
      <c r="K65" s="1">
        <f>1080*0.007/K56*(I65/100)</f>
        <v>0.8505</v>
      </c>
      <c r="L65" s="1">
        <f>1080*0.007/L56*(I65/100)</f>
        <v>0.42525</v>
      </c>
      <c r="M65" s="1">
        <f>1080*0.007/M56*(I65/100)</f>
        <v>0.212625</v>
      </c>
      <c r="N65" s="36"/>
      <c r="P65" s="26">
        <v>90</v>
      </c>
      <c r="Q65" s="1">
        <f>78*0.007/Q56*(P65/100)</f>
        <v>0.4914</v>
      </c>
      <c r="R65" s="1">
        <f t="shared" si="64"/>
        <v>0.061425</v>
      </c>
      <c r="S65" s="1">
        <f t="shared" si="65"/>
        <v>0.0307125</v>
      </c>
      <c r="T65" s="1">
        <f t="shared" si="66"/>
        <v>0.01535625</v>
      </c>
      <c r="U65" s="36"/>
      <c r="W65" s="26">
        <v>90</v>
      </c>
      <c r="X65" s="1">
        <f>253*0.007/X56*(W65/100)</f>
        <v>1.5939</v>
      </c>
      <c r="Y65" s="1">
        <f t="shared" si="61"/>
        <v>0.1992375</v>
      </c>
      <c r="Z65" s="1">
        <f t="shared" si="62"/>
        <v>0.09961875</v>
      </c>
      <c r="AA65" s="1">
        <f t="shared" si="63"/>
        <v>0.049809375</v>
      </c>
      <c r="AB65" s="36"/>
    </row>
    <row r="66" spans="2:28">
      <c r="B66" s="26">
        <v>100</v>
      </c>
      <c r="C66" s="1">
        <f>1080*0.007/C56*(B66/100)</f>
        <v>7.56</v>
      </c>
      <c r="D66" s="1">
        <f>1080*0.007/D56*(B66/100)</f>
        <v>0.945</v>
      </c>
      <c r="E66" s="1">
        <f>1080*0.007/E56*(B66/100)</f>
        <v>0.4725</v>
      </c>
      <c r="F66" s="1">
        <f>1080*0.007/F56*(B66/100)</f>
        <v>0.23625</v>
      </c>
      <c r="G66" s="8"/>
      <c r="I66" s="26">
        <v>100</v>
      </c>
      <c r="J66" s="1">
        <f>1080*0.007/J56*(I66/100)</f>
        <v>7.56</v>
      </c>
      <c r="K66" s="1">
        <f>1080*0.007/K56*(I66/100)</f>
        <v>0.945</v>
      </c>
      <c r="L66" s="1">
        <f>1080*0.007/L56*(I66/100)</f>
        <v>0.4725</v>
      </c>
      <c r="M66" s="1">
        <f>1080*0.007/M56*(I66/100)</f>
        <v>0.23625</v>
      </c>
      <c r="N66" s="36"/>
      <c r="P66" s="26">
        <v>100</v>
      </c>
      <c r="Q66" s="1">
        <f>78*0.007/Q56*(P66/100)</f>
        <v>0.546</v>
      </c>
      <c r="R66" s="1">
        <f t="shared" si="64"/>
        <v>0.06825</v>
      </c>
      <c r="S66" s="1">
        <f t="shared" si="65"/>
        <v>0.034125</v>
      </c>
      <c r="T66" s="1">
        <f t="shared" si="66"/>
        <v>0.0170625</v>
      </c>
      <c r="U66" s="36"/>
      <c r="W66" s="26">
        <v>100</v>
      </c>
      <c r="X66" s="1">
        <f>253*0.007/X56*(W66/100)</f>
        <v>1.771</v>
      </c>
      <c r="Y66" s="1">
        <f t="shared" si="61"/>
        <v>0.221375</v>
      </c>
      <c r="Z66" s="1">
        <f t="shared" si="62"/>
        <v>0.1106875</v>
      </c>
      <c r="AA66" s="1">
        <f t="shared" si="63"/>
        <v>0.05534375</v>
      </c>
      <c r="AB66" s="36"/>
    </row>
    <row r="67" spans="2:28">
      <c r="B67" s="26"/>
      <c r="G67" s="8"/>
      <c r="I67" s="26"/>
      <c r="N67" s="36"/>
      <c r="P67" s="26"/>
      <c r="U67" s="36"/>
      <c r="W67" s="26"/>
      <c r="AB67" s="36"/>
    </row>
    <row r="68" spans="2:28">
      <c r="B68" s="26" t="s">
        <v>261</v>
      </c>
      <c r="C68" s="1">
        <v>1</v>
      </c>
      <c r="D68" s="1">
        <v>8</v>
      </c>
      <c r="E68" s="1">
        <v>16</v>
      </c>
      <c r="F68" s="1">
        <v>32</v>
      </c>
      <c r="G68" s="8"/>
      <c r="I68" s="26" t="s">
        <v>261</v>
      </c>
      <c r="J68" s="1">
        <v>1</v>
      </c>
      <c r="K68" s="1">
        <v>8</v>
      </c>
      <c r="L68" s="1">
        <v>16</v>
      </c>
      <c r="M68" s="1">
        <v>32</v>
      </c>
      <c r="N68" s="36"/>
      <c r="P68" s="26" t="s">
        <v>261</v>
      </c>
      <c r="Q68" s="1">
        <v>1</v>
      </c>
      <c r="R68" s="1">
        <v>8</v>
      </c>
      <c r="S68" s="1">
        <v>16</v>
      </c>
      <c r="T68" s="1">
        <v>32</v>
      </c>
      <c r="U68" s="36"/>
      <c r="W68" s="26" t="s">
        <v>261</v>
      </c>
      <c r="X68" s="1">
        <v>1</v>
      </c>
      <c r="Y68" s="1">
        <v>8</v>
      </c>
      <c r="Z68" s="1">
        <v>16</v>
      </c>
      <c r="AA68" s="1">
        <v>32</v>
      </c>
      <c r="AB68" s="36"/>
    </row>
    <row r="69" spans="2:28">
      <c r="B69" s="26">
        <v>10</v>
      </c>
      <c r="C69" s="19">
        <f>C57+C7</f>
        <v>46.4567581385665</v>
      </c>
      <c r="D69" s="19">
        <f t="shared" ref="D69:D78" si="67">D57+D7</f>
        <v>136.930642620321</v>
      </c>
      <c r="E69" s="19">
        <f t="shared" ref="E69:M69" si="68">E57+E7</f>
        <v>208.88901543674</v>
      </c>
      <c r="F69" s="19">
        <f t="shared" si="68"/>
        <v>364.654493811057</v>
      </c>
      <c r="G69" s="8"/>
      <c r="I69" s="26">
        <v>10</v>
      </c>
      <c r="J69" s="19">
        <f t="shared" si="68"/>
        <v>51.5048132692786</v>
      </c>
      <c r="K69" s="19">
        <f t="shared" si="68"/>
        <v>168.416054523692</v>
      </c>
      <c r="L69" s="19">
        <f t="shared" si="68"/>
        <v>260.849420066501</v>
      </c>
      <c r="M69" s="19">
        <f t="shared" si="68"/>
        <v>479.421030378618</v>
      </c>
      <c r="N69" s="36"/>
      <c r="P69" s="26">
        <v>10</v>
      </c>
      <c r="Q69" s="19">
        <f t="shared" ref="Q69:T69" si="69">Q57+Q7</f>
        <v>35.9051403488412</v>
      </c>
      <c r="R69" s="19">
        <f t="shared" si="69"/>
        <v>239.747473911155</v>
      </c>
      <c r="S69" s="19">
        <f t="shared" si="69"/>
        <v>286.015401638371</v>
      </c>
      <c r="T69" s="19">
        <f t="shared" si="69"/>
        <v>486.187347559698</v>
      </c>
      <c r="U69" s="36"/>
      <c r="W69" s="26">
        <v>10</v>
      </c>
      <c r="X69" s="19">
        <f t="shared" ref="X69:AA69" si="70">X57+X7</f>
        <v>20.7938848307514</v>
      </c>
      <c r="Y69" s="19">
        <f t="shared" si="70"/>
        <v>92.2547719961106</v>
      </c>
      <c r="Z69" s="19">
        <f t="shared" si="70"/>
        <v>156.793604401838</v>
      </c>
      <c r="AA69" s="19">
        <f t="shared" si="70"/>
        <v>276.188978419013</v>
      </c>
      <c r="AB69" s="36"/>
    </row>
    <row r="70" spans="2:28">
      <c r="B70" s="26">
        <v>20</v>
      </c>
      <c r="C70" s="19">
        <f t="shared" ref="C70:C78" si="71">C58+C8</f>
        <v>33.6987595567438</v>
      </c>
      <c r="D70" s="19">
        <f t="shared" si="67"/>
        <v>83.5224888892568</v>
      </c>
      <c r="E70" s="19">
        <f t="shared" ref="E70:M70" si="72">E58+E8</f>
        <v>129.940642884579</v>
      </c>
      <c r="F70" s="19">
        <f t="shared" si="72"/>
        <v>223.477084719759</v>
      </c>
      <c r="G70" s="8"/>
      <c r="I70" s="26">
        <v>20</v>
      </c>
      <c r="J70" s="19">
        <f t="shared" si="72"/>
        <v>32.9387464215697</v>
      </c>
      <c r="K70" s="19">
        <f t="shared" si="72"/>
        <v>82.3602748259372</v>
      </c>
      <c r="L70" s="19">
        <f t="shared" si="72"/>
        <v>127.784934685691</v>
      </c>
      <c r="M70" s="19">
        <f t="shared" si="72"/>
        <v>220.406409849001</v>
      </c>
      <c r="N70" s="36"/>
      <c r="P70" s="26">
        <v>20</v>
      </c>
      <c r="Q70" s="19">
        <f t="shared" ref="Q70:T70" si="73">Q58+Q8</f>
        <v>18.1943447231957</v>
      </c>
      <c r="R70" s="19">
        <f t="shared" si="73"/>
        <v>115.028786272989</v>
      </c>
      <c r="S70" s="19">
        <f t="shared" si="73"/>
        <v>136.099539272292</v>
      </c>
      <c r="T70" s="19">
        <f t="shared" si="73"/>
        <v>268.455561132373</v>
      </c>
      <c r="U70" s="36"/>
      <c r="W70" s="26">
        <v>20</v>
      </c>
      <c r="X70" s="19">
        <f t="shared" ref="X70:AA70" si="74">X58+X8</f>
        <v>11.9600619948862</v>
      </c>
      <c r="Y70" s="19">
        <f t="shared" si="74"/>
        <v>47.8987188753311</v>
      </c>
      <c r="Z70" s="19">
        <f t="shared" si="74"/>
        <v>75.8341484650158</v>
      </c>
      <c r="AA70" s="19">
        <f t="shared" si="74"/>
        <v>137.646266767119</v>
      </c>
      <c r="AB70" s="36"/>
    </row>
    <row r="71" spans="2:28">
      <c r="B71" s="26">
        <v>30</v>
      </c>
      <c r="C71" s="19">
        <f t="shared" si="71"/>
        <v>28.9416753535233</v>
      </c>
      <c r="D71" s="19">
        <f t="shared" si="67"/>
        <v>62.004416454888</v>
      </c>
      <c r="E71" s="19">
        <f t="shared" ref="E71:M71" si="75">E59+E9</f>
        <v>96.6299489473011</v>
      </c>
      <c r="F71" s="19">
        <f t="shared" si="75"/>
        <v>163.70443345633</v>
      </c>
      <c r="G71" s="8"/>
      <c r="I71" s="26">
        <v>30</v>
      </c>
      <c r="J71" s="19">
        <f t="shared" si="75"/>
        <v>28.2831632737493</v>
      </c>
      <c r="K71" s="19">
        <f t="shared" si="75"/>
        <v>58.6266928989267</v>
      </c>
      <c r="L71" s="19">
        <f t="shared" si="75"/>
        <v>88.6853676224433</v>
      </c>
      <c r="M71" s="19">
        <f t="shared" si="75"/>
        <v>152.321045123456</v>
      </c>
      <c r="N71" s="36"/>
      <c r="P71" s="26">
        <v>30</v>
      </c>
      <c r="Q71" s="19">
        <f t="shared" ref="Q71:T71" si="76">Q59+Q9</f>
        <v>12.928015032407</v>
      </c>
      <c r="R71" s="19">
        <f t="shared" si="76"/>
        <v>77.4614416385155</v>
      </c>
      <c r="S71" s="19">
        <f t="shared" si="76"/>
        <v>93.9150614339701</v>
      </c>
      <c r="T71" s="19">
        <f t="shared" si="76"/>
        <v>163.186498407537</v>
      </c>
      <c r="U71" s="36"/>
      <c r="W71" s="26">
        <v>30</v>
      </c>
      <c r="X71" s="19">
        <f t="shared" ref="X71:AA71" si="77">X59+X9</f>
        <v>9.58939569264302</v>
      </c>
      <c r="Y71" s="19">
        <f t="shared" si="77"/>
        <v>33.8685185971542</v>
      </c>
      <c r="Z71" s="19">
        <f t="shared" si="77"/>
        <v>53.6504809092068</v>
      </c>
      <c r="AA71" s="19">
        <f t="shared" si="77"/>
        <v>97.2301823863324</v>
      </c>
      <c r="AB71" s="36"/>
    </row>
    <row r="72" spans="2:28">
      <c r="B72" s="26">
        <v>40</v>
      </c>
      <c r="C72" s="19">
        <f t="shared" si="71"/>
        <v>26.8057837705686</v>
      </c>
      <c r="D72" s="19">
        <f t="shared" si="67"/>
        <v>51.5605739685486</v>
      </c>
      <c r="E72" s="19">
        <f t="shared" ref="E72:M72" si="78">E60+E10</f>
        <v>80.8298499092726</v>
      </c>
      <c r="F72" s="19">
        <f t="shared" si="78"/>
        <v>136.74469787629</v>
      </c>
      <c r="G72" s="8"/>
      <c r="I72" s="26">
        <v>40</v>
      </c>
      <c r="J72" s="19">
        <f t="shared" si="78"/>
        <v>24.9143235216546</v>
      </c>
      <c r="K72" s="19">
        <f t="shared" si="78"/>
        <v>48.5085290171596</v>
      </c>
      <c r="L72" s="19">
        <f t="shared" si="78"/>
        <v>74.8749145940392</v>
      </c>
      <c r="M72" s="19">
        <f t="shared" si="78"/>
        <v>126.360323157622</v>
      </c>
      <c r="N72" s="36"/>
      <c r="P72" s="26">
        <v>40</v>
      </c>
      <c r="Q72" s="19">
        <f t="shared" ref="Q72:T72" si="79">Q60+Q10</f>
        <v>10.3074734766823</v>
      </c>
      <c r="R72" s="19">
        <f t="shared" si="79"/>
        <v>59.8218323340025</v>
      </c>
      <c r="S72" s="19">
        <f t="shared" si="79"/>
        <v>71.3883462117238</v>
      </c>
      <c r="T72" s="19">
        <f t="shared" si="79"/>
        <v>127.173355100566</v>
      </c>
      <c r="U72" s="36"/>
      <c r="W72" s="26">
        <v>40</v>
      </c>
      <c r="X72" s="19">
        <f t="shared" ref="X72:AA72" si="80">X60+X10</f>
        <v>8.44099924372229</v>
      </c>
      <c r="Y72" s="19">
        <f t="shared" si="80"/>
        <v>26.7479349294527</v>
      </c>
      <c r="Z72" s="19">
        <f t="shared" si="80"/>
        <v>42.800550012941</v>
      </c>
      <c r="AA72" s="19">
        <f t="shared" si="80"/>
        <v>77.743751756732</v>
      </c>
      <c r="AB72" s="36"/>
    </row>
    <row r="73" spans="2:28">
      <c r="B73" s="26">
        <v>50</v>
      </c>
      <c r="C73" s="19">
        <f t="shared" si="71"/>
        <v>25.6222558421093</v>
      </c>
      <c r="D73" s="19">
        <f t="shared" si="67"/>
        <v>44.760689311037</v>
      </c>
      <c r="E73" s="19">
        <f t="shared" ref="E73:M73" si="81">E61+E11</f>
        <v>70.320963120485</v>
      </c>
      <c r="F73" s="19">
        <f t="shared" si="81"/>
        <v>118.912610508995</v>
      </c>
      <c r="G73" s="8"/>
      <c r="I73" s="26">
        <v>50</v>
      </c>
      <c r="J73" s="19">
        <f t="shared" si="81"/>
        <v>24.7167991240197</v>
      </c>
      <c r="K73" s="19">
        <f t="shared" si="81"/>
        <v>42.451609126391</v>
      </c>
      <c r="L73" s="19">
        <f t="shared" si="81"/>
        <v>65.9284163003151</v>
      </c>
      <c r="M73" s="19">
        <f t="shared" si="81"/>
        <v>111.033634790904</v>
      </c>
      <c r="N73" s="36"/>
      <c r="P73" s="26">
        <v>50</v>
      </c>
      <c r="Q73" s="19">
        <f t="shared" ref="Q73:T73" si="82">Q61+Q11</f>
        <v>8.73578210363075</v>
      </c>
      <c r="R73" s="19">
        <f t="shared" si="82"/>
        <v>49.2026666587803</v>
      </c>
      <c r="S73" s="19">
        <f t="shared" si="82"/>
        <v>60.1989863194949</v>
      </c>
      <c r="T73" s="19">
        <f t="shared" si="82"/>
        <v>110.071615398528</v>
      </c>
      <c r="U73" s="36"/>
      <c r="W73" s="26">
        <v>50</v>
      </c>
      <c r="X73" s="19">
        <f t="shared" ref="X73:AA73" si="83">X61+X11</f>
        <v>7.28696842644018</v>
      </c>
      <c r="Y73" s="19">
        <f t="shared" si="83"/>
        <v>22.4153051060501</v>
      </c>
      <c r="Z73" s="19">
        <f t="shared" si="83"/>
        <v>36.2953921323094</v>
      </c>
      <c r="AA73" s="19">
        <f t="shared" si="83"/>
        <v>66.0051341775958</v>
      </c>
      <c r="AB73" s="36"/>
    </row>
    <row r="74" spans="2:28">
      <c r="B74" s="26">
        <v>60</v>
      </c>
      <c r="C74" s="19">
        <f t="shared" si="71"/>
        <v>24.7936686189771</v>
      </c>
      <c r="D74" s="19">
        <f t="shared" si="67"/>
        <v>38.9858162499587</v>
      </c>
      <c r="E74" s="19">
        <f t="shared" ref="E74:M74" si="84">E62+E12</f>
        <v>61.0492737585442</v>
      </c>
      <c r="F74" s="19">
        <f t="shared" si="84"/>
        <v>102.816743087242</v>
      </c>
      <c r="G74" s="8"/>
      <c r="I74" s="26">
        <v>60</v>
      </c>
      <c r="J74" s="19">
        <f t="shared" si="84"/>
        <v>24.353328087491</v>
      </c>
      <c r="K74" s="19">
        <f t="shared" si="84"/>
        <v>37.4506089468793</v>
      </c>
      <c r="L74" s="19">
        <f t="shared" si="84"/>
        <v>58.1797917155227</v>
      </c>
      <c r="M74" s="19">
        <f t="shared" si="84"/>
        <v>97.5238653874104</v>
      </c>
      <c r="N74" s="36"/>
      <c r="P74" s="26">
        <v>60</v>
      </c>
      <c r="Q74" s="19">
        <f t="shared" ref="Q74:T74" si="85">Q62+Q12</f>
        <v>7.54251783333743</v>
      </c>
      <c r="R74" s="19">
        <f t="shared" si="85"/>
        <v>39.2205820713123</v>
      </c>
      <c r="S74" s="19">
        <f t="shared" si="85"/>
        <v>49.5696721297986</v>
      </c>
      <c r="T74" s="19">
        <f t="shared" si="85"/>
        <v>97.5500366481011</v>
      </c>
      <c r="U74" s="36"/>
      <c r="W74" s="26">
        <v>60</v>
      </c>
      <c r="X74" s="19">
        <f t="shared" ref="X74:AA74" si="86">X62+X12</f>
        <v>7.41511950262605</v>
      </c>
      <c r="Y74" s="19">
        <f t="shared" si="86"/>
        <v>19.4799877823188</v>
      </c>
      <c r="Z74" s="19">
        <f t="shared" si="86"/>
        <v>31.9219102776737</v>
      </c>
      <c r="AA74" s="19">
        <f t="shared" si="86"/>
        <v>58.0887756424536</v>
      </c>
      <c r="AB74" s="36"/>
    </row>
    <row r="75" spans="2:28">
      <c r="B75" s="26">
        <v>70</v>
      </c>
      <c r="C75" s="19">
        <f t="shared" si="71"/>
        <v>24.451285678245</v>
      </c>
      <c r="D75" s="19">
        <f t="shared" si="67"/>
        <v>35.389969684805</v>
      </c>
      <c r="E75" s="19">
        <f t="shared" ref="E75:M75" si="87">E63+E13</f>
        <v>55.5417615422976</v>
      </c>
      <c r="F75" s="19">
        <f t="shared" si="87"/>
        <v>93.114447926265</v>
      </c>
      <c r="G75" s="8"/>
      <c r="I75" s="26">
        <v>70</v>
      </c>
      <c r="J75" s="19">
        <f t="shared" si="87"/>
        <v>24.9285401642394</v>
      </c>
      <c r="K75" s="19">
        <f t="shared" si="87"/>
        <v>34.5641033124002</v>
      </c>
      <c r="L75" s="19">
        <f t="shared" si="87"/>
        <v>54.0381065231862</v>
      </c>
      <c r="M75" s="19">
        <f t="shared" si="87"/>
        <v>90.2167063378025</v>
      </c>
      <c r="N75" s="36"/>
      <c r="P75" s="26">
        <v>70</v>
      </c>
      <c r="Q75" s="19">
        <f t="shared" ref="Q75:T75" si="88">Q63+Q13</f>
        <v>6.89754566374039</v>
      </c>
      <c r="R75" s="19">
        <f t="shared" si="88"/>
        <v>35.3972937460014</v>
      </c>
      <c r="S75" s="19">
        <f t="shared" si="88"/>
        <v>45.1493176811286</v>
      </c>
      <c r="T75" s="19">
        <f t="shared" si="88"/>
        <v>88.6109694051564</v>
      </c>
      <c r="U75" s="36"/>
      <c r="W75" s="26">
        <v>70</v>
      </c>
      <c r="X75" s="19">
        <f t="shared" ref="X75:AA75" si="89">X63+X13</f>
        <v>6.89261634447827</v>
      </c>
      <c r="Y75" s="19">
        <f t="shared" si="89"/>
        <v>17.3848433341741</v>
      </c>
      <c r="Z75" s="19">
        <f t="shared" si="89"/>
        <v>28.7956985973049</v>
      </c>
      <c r="AA75" s="19">
        <f t="shared" si="89"/>
        <v>52.3926409340705</v>
      </c>
      <c r="AB75" s="36"/>
    </row>
    <row r="76" spans="2:28">
      <c r="B76" s="26">
        <v>80</v>
      </c>
      <c r="C76" s="19">
        <f t="shared" si="71"/>
        <v>24.2344181977094</v>
      </c>
      <c r="D76" s="19">
        <f t="shared" si="67"/>
        <v>32.0709009265572</v>
      </c>
      <c r="E76" s="19">
        <f t="shared" ref="E76:M76" si="90">E64+E14</f>
        <v>50.4955018093386</v>
      </c>
      <c r="F76" s="19">
        <f t="shared" si="90"/>
        <v>84.271388721209</v>
      </c>
      <c r="G76" s="8"/>
      <c r="I76" s="26">
        <v>80</v>
      </c>
      <c r="J76" s="19">
        <f t="shared" si="90"/>
        <v>24.3794205520075</v>
      </c>
      <c r="K76" s="19">
        <f t="shared" si="90"/>
        <v>31.8808133745482</v>
      </c>
      <c r="L76" s="19">
        <f t="shared" si="90"/>
        <v>50.1972251782514</v>
      </c>
      <c r="M76" s="19">
        <f t="shared" si="90"/>
        <v>83.5053267971837</v>
      </c>
      <c r="N76" s="36"/>
      <c r="P76" s="26">
        <v>80</v>
      </c>
      <c r="Q76" s="19">
        <f t="shared" ref="Q76:T76" si="91">Q64+Q14</f>
        <v>6.44846305236024</v>
      </c>
      <c r="R76" s="19">
        <f t="shared" si="91"/>
        <v>32.3589963619629</v>
      </c>
      <c r="S76" s="19">
        <f t="shared" si="91"/>
        <v>41.5683128797949</v>
      </c>
      <c r="T76" s="19">
        <f t="shared" si="91"/>
        <v>81.4417157351577</v>
      </c>
      <c r="U76" s="36"/>
      <c r="W76" s="26">
        <v>80</v>
      </c>
      <c r="X76" s="19">
        <f t="shared" ref="X76:AA76" si="92">X64+X14</f>
        <v>6.84923420638304</v>
      </c>
      <c r="Y76" s="19">
        <f t="shared" si="92"/>
        <v>15.8021845380512</v>
      </c>
      <c r="Z76" s="19">
        <f t="shared" si="92"/>
        <v>26.4342874192415</v>
      </c>
      <c r="AA76" s="19">
        <f t="shared" si="92"/>
        <v>48.0806608760381</v>
      </c>
      <c r="AB76" s="36"/>
    </row>
    <row r="77" spans="2:28">
      <c r="B77" s="26">
        <v>90</v>
      </c>
      <c r="C77" s="19">
        <f t="shared" si="71"/>
        <v>24.2609399112305</v>
      </c>
      <c r="D77" s="19">
        <f t="shared" si="67"/>
        <v>29.836386669799</v>
      </c>
      <c r="E77" s="19">
        <f t="shared" ref="E77:M77" si="93">E65+E15</f>
        <v>46.9945528885944</v>
      </c>
      <c r="F77" s="19">
        <f t="shared" si="93"/>
        <v>78.1121846189858</v>
      </c>
      <c r="G77" s="8"/>
      <c r="I77" s="26">
        <v>90</v>
      </c>
      <c r="J77" s="19">
        <f t="shared" si="93"/>
        <v>24.7242891959913</v>
      </c>
      <c r="K77" s="19">
        <f t="shared" si="93"/>
        <v>30.2132212831684</v>
      </c>
      <c r="L77" s="19">
        <f t="shared" si="93"/>
        <v>47.7581621345763</v>
      </c>
      <c r="M77" s="19">
        <f t="shared" si="93"/>
        <v>79.2267435945902</v>
      </c>
      <c r="N77" s="36"/>
      <c r="P77" s="26">
        <v>90</v>
      </c>
      <c r="Q77" s="19">
        <f t="shared" ref="Q77:T77" si="94">Q65+Q15</f>
        <v>6.14812111037192</v>
      </c>
      <c r="R77" s="19">
        <f t="shared" si="94"/>
        <v>30.0986516287368</v>
      </c>
      <c r="S77" s="19">
        <f t="shared" si="94"/>
        <v>38.9337425602486</v>
      </c>
      <c r="T77" s="19">
        <f t="shared" si="94"/>
        <v>76.1234600735435</v>
      </c>
      <c r="U77" s="36"/>
      <c r="W77" s="26">
        <v>90</v>
      </c>
      <c r="X77" s="19">
        <f t="shared" ref="X77:AA77" si="95">X65+X15</f>
        <v>6.77958474279479</v>
      </c>
      <c r="Y77" s="19">
        <f t="shared" si="95"/>
        <v>14.579560196817</v>
      </c>
      <c r="Z77" s="19">
        <f t="shared" si="95"/>
        <v>24.6045045024656</v>
      </c>
      <c r="AA77" s="19">
        <f t="shared" si="95"/>
        <v>44.7274668782669</v>
      </c>
      <c r="AB77" s="36"/>
    </row>
    <row r="78" spans="2:28">
      <c r="B78" s="26">
        <v>100</v>
      </c>
      <c r="C78" s="19">
        <f t="shared" si="71"/>
        <v>24.4021304438082</v>
      </c>
      <c r="D78" s="19">
        <f t="shared" si="67"/>
        <v>28.0145176010476</v>
      </c>
      <c r="E78" s="19">
        <f t="shared" ref="E78:M78" si="96">E66+E16</f>
        <v>44.111677475522</v>
      </c>
      <c r="F78" s="19">
        <f t="shared" si="96"/>
        <v>73.0322297308735</v>
      </c>
      <c r="G78" s="8"/>
      <c r="I78" s="26">
        <v>100</v>
      </c>
      <c r="J78" s="19">
        <f t="shared" si="96"/>
        <v>25.1397534435531</v>
      </c>
      <c r="K78" s="19">
        <f t="shared" si="96"/>
        <v>28.89858117528</v>
      </c>
      <c r="L78" s="19">
        <f t="shared" si="96"/>
        <v>45.8152162700482</v>
      </c>
      <c r="M78" s="19">
        <f t="shared" si="96"/>
        <v>75.8150260330333</v>
      </c>
      <c r="N78" s="36"/>
      <c r="P78" s="26">
        <v>100</v>
      </c>
      <c r="Q78" s="19">
        <f t="shared" ref="Q78:T78" si="97">Q66+Q16</f>
        <v>5.96521564651124</v>
      </c>
      <c r="R78" s="19">
        <f t="shared" si="97"/>
        <v>28.2901559969215</v>
      </c>
      <c r="S78" s="19">
        <f t="shared" si="97"/>
        <v>36.8199265320147</v>
      </c>
      <c r="T78" s="19">
        <f t="shared" si="97"/>
        <v>71.8644958746837</v>
      </c>
      <c r="U78" s="36"/>
      <c r="W78" s="26">
        <v>100</v>
      </c>
      <c r="X78" s="19">
        <f t="shared" ref="X78:AA78" si="98">X66+X16</f>
        <v>6.74750059475677</v>
      </c>
      <c r="Y78" s="19">
        <f t="shared" si="98"/>
        <v>13.6131086321845</v>
      </c>
      <c r="Z78" s="19">
        <f t="shared" si="98"/>
        <v>23.1700762676956</v>
      </c>
      <c r="AA78" s="19">
        <f t="shared" si="98"/>
        <v>42.1419098211583</v>
      </c>
      <c r="AB78" s="36"/>
    </row>
    <row r="79" spans="2:28">
      <c r="B79" s="26"/>
      <c r="G79" s="8"/>
      <c r="I79" s="26"/>
      <c r="N79" s="36"/>
      <c r="P79" s="26"/>
      <c r="U79" s="36"/>
      <c r="W79" s="26"/>
      <c r="AB79" s="36"/>
    </row>
    <row r="80" spans="2:28">
      <c r="B80" s="26" t="s">
        <v>262</v>
      </c>
      <c r="C80" s="1">
        <v>1</v>
      </c>
      <c r="D80" s="1">
        <v>8</v>
      </c>
      <c r="E80" s="1">
        <v>16</v>
      </c>
      <c r="F80" s="1">
        <v>32</v>
      </c>
      <c r="G80" s="8" t="s">
        <v>246</v>
      </c>
      <c r="I80" s="45" t="s">
        <v>262</v>
      </c>
      <c r="J80" s="46">
        <v>1</v>
      </c>
      <c r="K80" s="46">
        <v>8</v>
      </c>
      <c r="L80" s="46">
        <v>16</v>
      </c>
      <c r="M80" s="46">
        <v>32</v>
      </c>
      <c r="N80" s="47" t="s">
        <v>246</v>
      </c>
      <c r="P80" s="45" t="s">
        <v>262</v>
      </c>
      <c r="Q80" s="46">
        <v>1</v>
      </c>
      <c r="R80" s="46">
        <v>8</v>
      </c>
      <c r="S80" s="46">
        <v>16</v>
      </c>
      <c r="T80" s="46">
        <v>32</v>
      </c>
      <c r="U80" s="47" t="s">
        <v>246</v>
      </c>
      <c r="W80" s="45" t="s">
        <v>262</v>
      </c>
      <c r="X80" s="46">
        <v>1</v>
      </c>
      <c r="Y80" s="46">
        <v>8</v>
      </c>
      <c r="Z80" s="46">
        <v>16</v>
      </c>
      <c r="AA80" s="46">
        <v>32</v>
      </c>
      <c r="AB80" s="47" t="s">
        <v>246</v>
      </c>
    </row>
    <row r="81" spans="2:28">
      <c r="B81" s="26">
        <v>10</v>
      </c>
      <c r="C81" s="19">
        <f>ABS(C69-C19)</f>
        <v>5.0332418614335</v>
      </c>
      <c r="D81" s="19">
        <f t="shared" ref="D81:D90" si="99">ABS(D69-D19)</f>
        <v>29.679357379679</v>
      </c>
      <c r="E81" s="19">
        <f t="shared" ref="E81:M81" si="100">ABS(E69-E19)</f>
        <v>51.53098456326</v>
      </c>
      <c r="F81" s="19">
        <f t="shared" si="100"/>
        <v>92.8755061889429</v>
      </c>
      <c r="G81" s="8">
        <f>SUM(C81:F90)/COUNT(C81:F90)</f>
        <v>8.14381910397955</v>
      </c>
      <c r="I81" s="45">
        <v>10</v>
      </c>
      <c r="J81" s="48">
        <f t="shared" si="100"/>
        <v>0.0148132692785978</v>
      </c>
      <c r="K81" s="48">
        <f t="shared" si="100"/>
        <v>1.80605452369198</v>
      </c>
      <c r="L81" s="48">
        <f t="shared" si="100"/>
        <v>0.429420066500995</v>
      </c>
      <c r="M81" s="48">
        <f t="shared" si="100"/>
        <v>21.891030378618</v>
      </c>
      <c r="N81" s="47">
        <f>SUM(J81:M90)/COUNT(J81:M90)</f>
        <v>2.63215812616973</v>
      </c>
      <c r="P81" s="45">
        <v>10</v>
      </c>
      <c r="Q81" s="48">
        <f t="shared" ref="Q81:T81" si="101">ABS(Q69-Q19)</f>
        <v>3.5305121169791</v>
      </c>
      <c r="R81" s="48">
        <f t="shared" si="101"/>
        <v>8.65860061277002</v>
      </c>
      <c r="S81" s="48">
        <f t="shared" si="101"/>
        <v>11.891688205379</v>
      </c>
      <c r="T81" s="48">
        <f t="shared" si="101"/>
        <v>74.064459080927</v>
      </c>
      <c r="U81" s="47">
        <f>SUM(Q81:T90)/COUNT(Q81:T90)</f>
        <v>4.7966395695433</v>
      </c>
      <c r="W81" s="45">
        <v>10</v>
      </c>
      <c r="X81" s="48">
        <f t="shared" ref="X81:AA81" si="102">ABS(X69-X19)</f>
        <v>1.5192427632427</v>
      </c>
      <c r="Y81" s="48">
        <f t="shared" si="102"/>
        <v>4.0249371713698</v>
      </c>
      <c r="Z81" s="48">
        <f t="shared" si="102"/>
        <v>0.40483828615001</v>
      </c>
      <c r="AA81" s="48">
        <f t="shared" si="102"/>
        <v>9.98358505754902</v>
      </c>
      <c r="AB81" s="47">
        <f>SUM(X81:AA90)/COUNT(X81:AA90)</f>
        <v>1.69604226310678</v>
      </c>
    </row>
    <row r="82" spans="2:28">
      <c r="B82" s="26">
        <v>20</v>
      </c>
      <c r="C82" s="19">
        <f t="shared" ref="C82:C90" si="103">ABS(C70-C20)</f>
        <v>0.808759556743802</v>
      </c>
      <c r="D82" s="19">
        <f t="shared" si="99"/>
        <v>5.8875111107432</v>
      </c>
      <c r="E82" s="19">
        <f t="shared" ref="E82:M82" si="104">ABS(E70-E20)</f>
        <v>10.949357115421</v>
      </c>
      <c r="F82" s="19">
        <f t="shared" si="104"/>
        <v>17.092915280241</v>
      </c>
      <c r="G82" s="8"/>
      <c r="I82" s="45">
        <v>20</v>
      </c>
      <c r="J82" s="48">
        <f t="shared" si="104"/>
        <v>0.048746421569696</v>
      </c>
      <c r="K82" s="48">
        <f t="shared" si="104"/>
        <v>7.0497251740628</v>
      </c>
      <c r="L82" s="48">
        <f t="shared" si="104"/>
        <v>13.105065314309</v>
      </c>
      <c r="M82" s="48">
        <f t="shared" si="104"/>
        <v>20.163590150999</v>
      </c>
      <c r="N82" s="47"/>
      <c r="P82" s="45">
        <v>20</v>
      </c>
      <c r="Q82" s="48">
        <f t="shared" ref="Q82:T82" si="105">ABS(Q70-Q20)</f>
        <v>1.8116086077979</v>
      </c>
      <c r="R82" s="48">
        <f t="shared" si="105"/>
        <v>10.422843823446</v>
      </c>
      <c r="S82" s="48">
        <f t="shared" si="105"/>
        <v>13.853933933274</v>
      </c>
      <c r="T82" s="48">
        <f t="shared" si="105"/>
        <v>18.950818262158</v>
      </c>
      <c r="U82" s="47"/>
      <c r="W82" s="45">
        <v>20</v>
      </c>
      <c r="X82" s="48">
        <f t="shared" ref="X82:AA82" si="106">ABS(X70-X20)</f>
        <v>0.7247277390005</v>
      </c>
      <c r="Y82" s="48">
        <f t="shared" si="106"/>
        <v>2.4477886930282</v>
      </c>
      <c r="Z82" s="48">
        <f t="shared" si="106"/>
        <v>5.89071176447639</v>
      </c>
      <c r="AA82" s="48">
        <f t="shared" si="106"/>
        <v>9.35654603805602</v>
      </c>
      <c r="AB82" s="47"/>
    </row>
    <row r="83" spans="2:28">
      <c r="B83" s="26">
        <v>30</v>
      </c>
      <c r="C83" s="19">
        <f t="shared" si="103"/>
        <v>1.5416753535233</v>
      </c>
      <c r="D83" s="19">
        <f t="shared" si="99"/>
        <v>4.69441645488799</v>
      </c>
      <c r="E83" s="19">
        <f t="shared" ref="E83:M83" si="107">ABS(E71-E21)</f>
        <v>6.6199489473011</v>
      </c>
      <c r="F83" s="19">
        <f t="shared" si="107"/>
        <v>10.83443345633</v>
      </c>
      <c r="G83" s="8"/>
      <c r="I83" s="45">
        <v>30</v>
      </c>
      <c r="J83" s="48">
        <f t="shared" si="107"/>
        <v>0.883163273749304</v>
      </c>
      <c r="K83" s="48">
        <f t="shared" si="107"/>
        <v>1.3166928989267</v>
      </c>
      <c r="L83" s="48">
        <f t="shared" si="107"/>
        <v>1.3246323775567</v>
      </c>
      <c r="M83" s="48">
        <f t="shared" si="107"/>
        <v>0.548954876544002</v>
      </c>
      <c r="N83" s="47"/>
      <c r="P83" s="45">
        <v>30</v>
      </c>
      <c r="Q83" s="48">
        <f t="shared" ref="Q83:T83" si="108">ABS(Q71-Q21)</f>
        <v>0.194831076260799</v>
      </c>
      <c r="R83" s="48">
        <f t="shared" si="108"/>
        <v>1.46216429476551</v>
      </c>
      <c r="S83" s="48">
        <f t="shared" si="108"/>
        <v>2.56610772913621</v>
      </c>
      <c r="T83" s="48">
        <f t="shared" si="108"/>
        <v>11.857210088556</v>
      </c>
      <c r="U83" s="47"/>
      <c r="W83" s="45">
        <v>30</v>
      </c>
      <c r="X83" s="48">
        <f t="shared" ref="X83:AA83" si="109">ABS(X71-X21)</f>
        <v>0.804645631607871</v>
      </c>
      <c r="Y83" s="48">
        <f t="shared" si="109"/>
        <v>1.615947796373</v>
      </c>
      <c r="Z83" s="48">
        <f t="shared" si="109"/>
        <v>2.2739393900418</v>
      </c>
      <c r="AA83" s="48">
        <f t="shared" si="109"/>
        <v>4.9303035411176</v>
      </c>
      <c r="AB83" s="47"/>
    </row>
    <row r="84" spans="2:28">
      <c r="B84" s="26">
        <v>40</v>
      </c>
      <c r="C84" s="19">
        <f t="shared" si="103"/>
        <v>1.6457837705686</v>
      </c>
      <c r="D84" s="19">
        <f t="shared" si="99"/>
        <v>4.7205739685486</v>
      </c>
      <c r="E84" s="19">
        <f t="shared" ref="E84:M84" si="110">ABS(E72-E22)</f>
        <v>8.6198499092726</v>
      </c>
      <c r="F84" s="19">
        <f t="shared" si="110"/>
        <v>12.08469787629</v>
      </c>
      <c r="G84" s="8"/>
      <c r="I84" s="45">
        <v>40</v>
      </c>
      <c r="J84" s="48">
        <f t="shared" si="110"/>
        <v>0.245676478345398</v>
      </c>
      <c r="K84" s="48">
        <f t="shared" si="110"/>
        <v>1.6685290171596</v>
      </c>
      <c r="L84" s="48">
        <f t="shared" si="110"/>
        <v>2.6649145940392</v>
      </c>
      <c r="M84" s="48">
        <f t="shared" si="110"/>
        <v>1.70032315762199</v>
      </c>
      <c r="N84" s="47"/>
      <c r="P84" s="45">
        <v>40</v>
      </c>
      <c r="Q84" s="48">
        <f t="shared" ref="Q84:T84" si="111">ABS(Q72-Q22)</f>
        <v>0.260615852628401</v>
      </c>
      <c r="R84" s="48">
        <f t="shared" si="111"/>
        <v>0.091710111102195</v>
      </c>
      <c r="S84" s="48">
        <f t="shared" si="111"/>
        <v>1.1844606425242</v>
      </c>
      <c r="T84" s="48">
        <f t="shared" si="111"/>
        <v>10.910740968769</v>
      </c>
      <c r="U84" s="47"/>
      <c r="W84" s="45">
        <v>40</v>
      </c>
      <c r="X84" s="48">
        <f t="shared" ref="X84:AA84" si="112">ABS(X72-X22)</f>
        <v>0.56567384050879</v>
      </c>
      <c r="Y84" s="48">
        <f t="shared" si="112"/>
        <v>2.0405191198214</v>
      </c>
      <c r="Z84" s="48">
        <f t="shared" si="112"/>
        <v>1.1358084205338</v>
      </c>
      <c r="AA84" s="48">
        <f t="shared" si="112"/>
        <v>2.5061432667418</v>
      </c>
      <c r="AB84" s="47"/>
    </row>
    <row r="85" spans="2:28">
      <c r="B85" s="26">
        <v>50</v>
      </c>
      <c r="C85" s="19">
        <f t="shared" si="103"/>
        <v>1.5022558421093</v>
      </c>
      <c r="D85" s="19">
        <f t="shared" si="99"/>
        <v>4.470689311037</v>
      </c>
      <c r="E85" s="19">
        <f t="shared" ref="E85:M85" si="113">ABS(E73-E23)</f>
        <v>7.730963120485</v>
      </c>
      <c r="F85" s="19">
        <f t="shared" si="113"/>
        <v>14.972610508995</v>
      </c>
      <c r="G85" s="8"/>
      <c r="I85" s="45">
        <v>50</v>
      </c>
      <c r="J85" s="48">
        <f t="shared" si="113"/>
        <v>0.5967991240197</v>
      </c>
      <c r="K85" s="48">
        <f t="shared" si="113"/>
        <v>2.161609126391</v>
      </c>
      <c r="L85" s="48">
        <f t="shared" si="113"/>
        <v>3.33841630031509</v>
      </c>
      <c r="M85" s="48">
        <f t="shared" si="113"/>
        <v>7.09363479090401</v>
      </c>
      <c r="N85" s="47"/>
      <c r="P85" s="45">
        <v>50</v>
      </c>
      <c r="Q85" s="48">
        <f t="shared" ref="Q85:T85" si="114">ABS(Q73-Q23)</f>
        <v>0.717510123345109</v>
      </c>
      <c r="R85" s="48">
        <f t="shared" si="114"/>
        <v>2.3660982078526</v>
      </c>
      <c r="S85" s="48">
        <f t="shared" si="114"/>
        <v>2.3012424077518</v>
      </c>
      <c r="T85" s="48">
        <f t="shared" si="114"/>
        <v>0.0955933648370149</v>
      </c>
      <c r="U85" s="47"/>
      <c r="W85" s="45">
        <v>50</v>
      </c>
      <c r="X85" s="48">
        <f t="shared" ref="X85:AA85" si="115">ABS(X73-X23)</f>
        <v>0.380609402392331</v>
      </c>
      <c r="Y85" s="48">
        <f t="shared" si="115"/>
        <v>1.1585090702835</v>
      </c>
      <c r="Z85" s="48">
        <f t="shared" si="115"/>
        <v>1.5629891019139</v>
      </c>
      <c r="AA85" s="48">
        <f t="shared" si="115"/>
        <v>3.75285131016419</v>
      </c>
      <c r="AB85" s="47"/>
    </row>
    <row r="86" spans="2:28">
      <c r="B86" s="26">
        <v>60</v>
      </c>
      <c r="C86" s="19">
        <f t="shared" si="103"/>
        <v>1.0536686189771</v>
      </c>
      <c r="D86" s="19">
        <f t="shared" si="99"/>
        <v>2.2158162499587</v>
      </c>
      <c r="E86" s="19">
        <f t="shared" ref="E86:M86" si="116">ABS(E74-E24)</f>
        <v>2.2592737585442</v>
      </c>
      <c r="F86" s="19">
        <f t="shared" si="116"/>
        <v>7.15674308724201</v>
      </c>
      <c r="G86" s="8"/>
      <c r="I86" s="45">
        <v>60</v>
      </c>
      <c r="J86" s="48">
        <f t="shared" si="116"/>
        <v>0.613328087491002</v>
      </c>
      <c r="K86" s="48">
        <f t="shared" si="116"/>
        <v>0.680608946879296</v>
      </c>
      <c r="L86" s="48">
        <f t="shared" si="116"/>
        <v>0.610208284477302</v>
      </c>
      <c r="M86" s="48">
        <f t="shared" si="116"/>
        <v>1.8638653874104</v>
      </c>
      <c r="N86" s="47"/>
      <c r="P86" s="45">
        <v>60</v>
      </c>
      <c r="Q86" s="48">
        <f t="shared" ref="Q86:T86" si="117">ABS(Q74-Q24)</f>
        <v>0.14120904885257</v>
      </c>
      <c r="R86" s="48">
        <f t="shared" si="117"/>
        <v>1.9049633541027</v>
      </c>
      <c r="S86" s="48">
        <f t="shared" si="117"/>
        <v>1.40244388277461</v>
      </c>
      <c r="T86" s="48">
        <f t="shared" si="117"/>
        <v>0.655768764800399</v>
      </c>
      <c r="U86" s="47"/>
      <c r="W86" s="45">
        <v>60</v>
      </c>
      <c r="X86" s="48">
        <f t="shared" ref="X86:AA86" si="118">ABS(X74-X24)</f>
        <v>0.63406989821016</v>
      </c>
      <c r="Y86" s="48">
        <f t="shared" si="118"/>
        <v>0.0319399367974</v>
      </c>
      <c r="Z86" s="48">
        <f t="shared" si="118"/>
        <v>0.200158683130301</v>
      </c>
      <c r="AA86" s="48">
        <f t="shared" si="118"/>
        <v>2.0211319809546</v>
      </c>
      <c r="AB86" s="47"/>
    </row>
    <row r="87" spans="2:28">
      <c r="B87" s="26">
        <v>70</v>
      </c>
      <c r="C87" s="19">
        <f t="shared" si="103"/>
        <v>0.151285678244999</v>
      </c>
      <c r="D87" s="19">
        <f t="shared" si="99"/>
        <v>0.869969684804992</v>
      </c>
      <c r="E87" s="19">
        <f t="shared" ref="E87:M87" si="119">ABS(E75-E25)</f>
        <v>0.918238457702401</v>
      </c>
      <c r="F87" s="19">
        <f t="shared" si="119"/>
        <v>1.004447926265</v>
      </c>
      <c r="G87" s="8"/>
      <c r="I87" s="45">
        <v>70</v>
      </c>
      <c r="J87" s="48">
        <f t="shared" si="119"/>
        <v>0.6285401642394</v>
      </c>
      <c r="K87" s="48">
        <f t="shared" si="119"/>
        <v>0.0441033124001962</v>
      </c>
      <c r="L87" s="48">
        <f t="shared" si="119"/>
        <v>2.4218934768138</v>
      </c>
      <c r="M87" s="48">
        <f t="shared" si="119"/>
        <v>1.89329366219751</v>
      </c>
      <c r="N87" s="47"/>
      <c r="P87" s="45">
        <v>70</v>
      </c>
      <c r="Q87" s="48">
        <f t="shared" ref="Q87:T87" si="120">ABS(Q75-Q25)</f>
        <v>0.36245767774796</v>
      </c>
      <c r="R87" s="48">
        <f t="shared" si="120"/>
        <v>1.3882498483589</v>
      </c>
      <c r="S87" s="48">
        <f t="shared" si="120"/>
        <v>1.19687563247</v>
      </c>
      <c r="T87" s="48">
        <f t="shared" si="120"/>
        <v>0.497825179082199</v>
      </c>
      <c r="U87" s="47"/>
      <c r="W87" s="45">
        <v>70</v>
      </c>
      <c r="X87" s="48">
        <f t="shared" ref="X87:AA87" si="121">ABS(X75-X25)</f>
        <v>0.47874690630689</v>
      </c>
      <c r="Y87" s="48">
        <f t="shared" si="121"/>
        <v>0.513584857964499</v>
      </c>
      <c r="Z87" s="48">
        <f t="shared" si="121"/>
        <v>1.1268184162449</v>
      </c>
      <c r="AA87" s="48">
        <f t="shared" si="121"/>
        <v>0.2694198416863</v>
      </c>
      <c r="AB87" s="47"/>
    </row>
    <row r="88" spans="2:28">
      <c r="B88" s="26">
        <v>80</v>
      </c>
      <c r="C88" s="19">
        <f t="shared" si="103"/>
        <v>0.375581802290597</v>
      </c>
      <c r="D88" s="19">
        <f t="shared" si="99"/>
        <v>1.4209009265572</v>
      </c>
      <c r="E88" s="19">
        <f t="shared" ref="E88:M88" si="122">ABS(E76-E26)</f>
        <v>1.1055018093386</v>
      </c>
      <c r="F88" s="19">
        <f t="shared" si="122"/>
        <v>1.85138872120899</v>
      </c>
      <c r="G88" s="8"/>
      <c r="I88" s="45">
        <v>80</v>
      </c>
      <c r="J88" s="48">
        <f t="shared" si="122"/>
        <v>0.230579447992497</v>
      </c>
      <c r="K88" s="48">
        <f t="shared" si="122"/>
        <v>1.2308133745482</v>
      </c>
      <c r="L88" s="48">
        <f t="shared" si="122"/>
        <v>0.8072251782514</v>
      </c>
      <c r="M88" s="48">
        <f t="shared" si="122"/>
        <v>1.0853267971837</v>
      </c>
      <c r="N88" s="47"/>
      <c r="P88" s="45">
        <v>80</v>
      </c>
      <c r="Q88" s="48">
        <f t="shared" ref="Q88:T88" si="123">ABS(Q76-Q26)</f>
        <v>0.13890850409669</v>
      </c>
      <c r="R88" s="48">
        <f t="shared" si="123"/>
        <v>0.373827276953101</v>
      </c>
      <c r="S88" s="48">
        <f t="shared" si="123"/>
        <v>0.544964097744106</v>
      </c>
      <c r="T88" s="48">
        <f t="shared" si="123"/>
        <v>1.5241327273452</v>
      </c>
      <c r="U88" s="47"/>
      <c r="W88" s="45">
        <v>80</v>
      </c>
      <c r="X88" s="48">
        <f t="shared" ref="X88:AA88" si="124">ABS(X76-X26)</f>
        <v>0.876994254295639</v>
      </c>
      <c r="Y88" s="48">
        <f t="shared" si="124"/>
        <v>0.467533659145001</v>
      </c>
      <c r="Z88" s="48">
        <f t="shared" si="124"/>
        <v>0.134852604788399</v>
      </c>
      <c r="AA88" s="48">
        <f t="shared" si="124"/>
        <v>1.1851874721075</v>
      </c>
      <c r="AB88" s="47"/>
    </row>
    <row r="89" spans="2:28">
      <c r="B89" s="26">
        <v>90</v>
      </c>
      <c r="C89" s="19">
        <f t="shared" si="103"/>
        <v>0.4090600887695</v>
      </c>
      <c r="D89" s="19">
        <f t="shared" si="99"/>
        <v>0.433613330200998</v>
      </c>
      <c r="E89" s="19">
        <f t="shared" ref="E89:M89" si="125">ABS(E77-E27)</f>
        <v>1.2154471114056</v>
      </c>
      <c r="F89" s="19">
        <f t="shared" si="125"/>
        <v>2.18781538101419</v>
      </c>
      <c r="G89" s="8"/>
      <c r="I89" s="45">
        <v>90</v>
      </c>
      <c r="J89" s="48">
        <f t="shared" si="125"/>
        <v>0.0542891959913021</v>
      </c>
      <c r="K89" s="48">
        <f t="shared" si="125"/>
        <v>0.0567787168315981</v>
      </c>
      <c r="L89" s="48">
        <f t="shared" si="125"/>
        <v>0.451837865423705</v>
      </c>
      <c r="M89" s="48">
        <f t="shared" si="125"/>
        <v>1.07325640540979</v>
      </c>
      <c r="N89" s="47"/>
      <c r="P89" s="45">
        <v>90</v>
      </c>
      <c r="Q89" s="48">
        <f t="shared" ref="Q89:T89" si="126">ABS(Q77-Q27)</f>
        <v>0.113741580418919</v>
      </c>
      <c r="R89" s="48">
        <f t="shared" si="126"/>
        <v>0.5828217217881</v>
      </c>
      <c r="S89" s="48">
        <f t="shared" si="126"/>
        <v>0.7985326014945</v>
      </c>
      <c r="T89" s="48">
        <f t="shared" si="126"/>
        <v>0.6977819729576</v>
      </c>
      <c r="U89" s="47"/>
      <c r="W89" s="45">
        <v>90</v>
      </c>
      <c r="X89" s="48">
        <f t="shared" ref="X89:AA89" si="127">ABS(X77-X27)</f>
        <v>0.61135883451538</v>
      </c>
      <c r="Y89" s="48">
        <f t="shared" si="127"/>
        <v>0.131373564779599</v>
      </c>
      <c r="Z89" s="48">
        <f t="shared" si="127"/>
        <v>0.198927605798197</v>
      </c>
      <c r="AA89" s="48">
        <f t="shared" si="127"/>
        <v>0.363557673124696</v>
      </c>
      <c r="AB89" s="47"/>
    </row>
    <row r="90" spans="2:28">
      <c r="B90" s="26">
        <v>100</v>
      </c>
      <c r="C90" s="19">
        <f t="shared" si="103"/>
        <v>1.2378695561918</v>
      </c>
      <c r="D90" s="19">
        <f t="shared" si="99"/>
        <v>0.4845176010476</v>
      </c>
      <c r="E90" s="19">
        <f t="shared" ref="E90:M90" si="128">ABS(E78-E28)</f>
        <v>2.008322524478</v>
      </c>
      <c r="F90" s="19">
        <f t="shared" si="128"/>
        <v>4.0977702691265</v>
      </c>
      <c r="G90" s="8"/>
      <c r="I90" s="45">
        <v>100</v>
      </c>
      <c r="J90" s="48">
        <f t="shared" si="128"/>
        <v>0.500246556446903</v>
      </c>
      <c r="K90" s="48">
        <f t="shared" si="128"/>
        <v>1.36858117528</v>
      </c>
      <c r="L90" s="48">
        <f t="shared" si="128"/>
        <v>0.304783729951801</v>
      </c>
      <c r="M90" s="48">
        <f t="shared" si="128"/>
        <v>1.3149739669667</v>
      </c>
      <c r="N90" s="47"/>
      <c r="P90" s="45">
        <v>100</v>
      </c>
      <c r="Q90" s="48">
        <f t="shared" ref="Q90:T90" si="129">ABS(Q78-Q28)</f>
        <v>0.662824603801891</v>
      </c>
      <c r="R90" s="48">
        <f t="shared" si="129"/>
        <v>0.323611998203297</v>
      </c>
      <c r="S90" s="48">
        <f t="shared" si="129"/>
        <v>0.371376721159095</v>
      </c>
      <c r="T90" s="48">
        <f t="shared" si="129"/>
        <v>0.990516077320493</v>
      </c>
      <c r="U90" s="47"/>
      <c r="W90" s="45">
        <v>100</v>
      </c>
      <c r="X90" s="48">
        <f t="shared" ref="X90:AA90" si="130">ABS(X78-X28)</f>
        <v>0.673026984832459</v>
      </c>
      <c r="Y90" s="48">
        <f t="shared" si="130"/>
        <v>0.590524956800001</v>
      </c>
      <c r="Z90" s="48">
        <f t="shared" si="130"/>
        <v>0.0276126361129023</v>
      </c>
      <c r="AA90" s="48">
        <f t="shared" si="130"/>
        <v>0.224552352303597</v>
      </c>
      <c r="AB90" s="47"/>
    </row>
    <row r="91" spans="2:28">
      <c r="B91" s="26"/>
      <c r="G91" s="8"/>
      <c r="I91" s="45"/>
      <c r="J91" s="46"/>
      <c r="K91" s="46"/>
      <c r="L91" s="46"/>
      <c r="M91" s="46"/>
      <c r="N91" s="49"/>
      <c r="P91" s="45"/>
      <c r="Q91" s="46"/>
      <c r="R91" s="46"/>
      <c r="S91" s="46"/>
      <c r="T91" s="46"/>
      <c r="U91" s="49"/>
      <c r="W91" s="45"/>
      <c r="X91" s="46"/>
      <c r="Y91" s="46"/>
      <c r="Z91" s="46"/>
      <c r="AA91" s="46"/>
      <c r="AB91" s="49"/>
    </row>
    <row r="92" spans="2:28">
      <c r="B92" s="26" t="s">
        <v>263</v>
      </c>
      <c r="C92" s="1">
        <v>1</v>
      </c>
      <c r="D92" s="1">
        <v>8</v>
      </c>
      <c r="E92" s="1">
        <v>16</v>
      </c>
      <c r="F92" s="1">
        <v>32</v>
      </c>
      <c r="G92" s="8" t="s">
        <v>246</v>
      </c>
      <c r="I92" s="45" t="s">
        <v>263</v>
      </c>
      <c r="J92" s="46">
        <v>1</v>
      </c>
      <c r="K92" s="46">
        <v>8</v>
      </c>
      <c r="L92" s="46">
        <v>16</v>
      </c>
      <c r="M92" s="46">
        <v>32</v>
      </c>
      <c r="N92" s="47" t="s">
        <v>246</v>
      </c>
      <c r="P92" s="45" t="s">
        <v>263</v>
      </c>
      <c r="Q92" s="46">
        <v>1</v>
      </c>
      <c r="R92" s="46">
        <v>8</v>
      </c>
      <c r="S92" s="46">
        <v>16</v>
      </c>
      <c r="T92" s="46">
        <v>32</v>
      </c>
      <c r="U92" s="47" t="s">
        <v>246</v>
      </c>
      <c r="W92" s="45" t="s">
        <v>263</v>
      </c>
      <c r="X92" s="46">
        <v>1</v>
      </c>
      <c r="Y92" s="46">
        <v>8</v>
      </c>
      <c r="Z92" s="46">
        <v>16</v>
      </c>
      <c r="AA92" s="46">
        <v>32</v>
      </c>
      <c r="AB92" s="47" t="s">
        <v>246</v>
      </c>
    </row>
    <row r="93" spans="2:28">
      <c r="B93" s="26">
        <v>10</v>
      </c>
      <c r="C93" s="20">
        <f>C81/C19</f>
        <v>0.0977518326166926</v>
      </c>
      <c r="D93" s="20">
        <f t="shared" ref="D93:D102" si="131">D81/D19</f>
        <v>0.178136710759732</v>
      </c>
      <c r="E93" s="20">
        <f t="shared" ref="E93:M93" si="132">E81/E19</f>
        <v>0.197876447904385</v>
      </c>
      <c r="F93" s="20">
        <f t="shared" si="132"/>
        <v>0.202993259871359</v>
      </c>
      <c r="G93" s="8">
        <f>SUM(C93:F102)/COUNT(C93:F102)</f>
        <v>0.0662687343266687</v>
      </c>
      <c r="I93" s="45">
        <v>10</v>
      </c>
      <c r="J93" s="50">
        <f t="shared" si="132"/>
        <v>0.000287692159226992</v>
      </c>
      <c r="K93" s="50">
        <f t="shared" si="132"/>
        <v>0.0108400127464857</v>
      </c>
      <c r="L93" s="50">
        <f t="shared" si="132"/>
        <v>0.00164895194877888</v>
      </c>
      <c r="M93" s="50">
        <f t="shared" si="132"/>
        <v>0.0478461092794309</v>
      </c>
      <c r="N93" s="47">
        <f>SUM(J93:M102)/COUNT(J93:M102)</f>
        <v>0.0262686264815183</v>
      </c>
      <c r="P93" s="45">
        <v>10</v>
      </c>
      <c r="Q93" s="50">
        <f t="shared" ref="Q93:T93" si="133">Q81/Q19</f>
        <v>0.0895258958892354</v>
      </c>
      <c r="R93" s="50">
        <f t="shared" si="133"/>
        <v>0.0348566379842538</v>
      </c>
      <c r="S93" s="50">
        <f t="shared" si="133"/>
        <v>0.0399174393990289</v>
      </c>
      <c r="T93" s="50">
        <f t="shared" si="133"/>
        <v>0.132198518957094</v>
      </c>
      <c r="U93" s="47">
        <f>SUM(Q93:T102)/COUNT(Q93:T102)</f>
        <v>0.0394949473946956</v>
      </c>
      <c r="W93" s="45">
        <v>10</v>
      </c>
      <c r="X93" s="50">
        <f t="shared" ref="X93:AA93" si="134">X81/X19</f>
        <v>0.0680873963922309</v>
      </c>
      <c r="Y93" s="50">
        <f t="shared" si="134"/>
        <v>0.0418046253584786</v>
      </c>
      <c r="Z93" s="50">
        <f t="shared" si="134"/>
        <v>0.00257533267650459</v>
      </c>
      <c r="AA93" s="50">
        <f t="shared" si="134"/>
        <v>0.0348865905810942</v>
      </c>
      <c r="AB93" s="47">
        <f>SUM(X93:AA102)/COUNT(X93:AA102)</f>
        <v>0.0459082365903274</v>
      </c>
    </row>
    <row r="94" spans="2:28">
      <c r="B94" s="26">
        <v>20</v>
      </c>
      <c r="C94" s="20">
        <f t="shared" ref="C94:C102" si="135">C82/C20</f>
        <v>0.0245898314607419</v>
      </c>
      <c r="D94" s="20">
        <f t="shared" si="131"/>
        <v>0.0658484633792999</v>
      </c>
      <c r="E94" s="20">
        <f t="shared" ref="E94:M94" si="136">E82/E20</f>
        <v>0.0777156442289799</v>
      </c>
      <c r="F94" s="20">
        <f t="shared" si="136"/>
        <v>0.071051732469722</v>
      </c>
      <c r="G94" s="8"/>
      <c r="I94" s="45">
        <v>20</v>
      </c>
      <c r="J94" s="50">
        <f t="shared" si="136"/>
        <v>0.00148210463878674</v>
      </c>
      <c r="K94" s="50">
        <f t="shared" si="136"/>
        <v>0.0788471666934661</v>
      </c>
      <c r="L94" s="50">
        <f t="shared" si="136"/>
        <v>0.0930162915345943</v>
      </c>
      <c r="M94" s="50">
        <f t="shared" si="136"/>
        <v>0.0838158962089995</v>
      </c>
      <c r="N94" s="47"/>
      <c r="P94" s="45">
        <v>20</v>
      </c>
      <c r="Q94" s="50">
        <f t="shared" ref="Q94:T94" si="137">Q82/Q20</f>
        <v>0.0905534756492368</v>
      </c>
      <c r="R94" s="50">
        <f t="shared" si="137"/>
        <v>0.0830825698752096</v>
      </c>
      <c r="S94" s="50">
        <f t="shared" si="137"/>
        <v>0.0923882164055123</v>
      </c>
      <c r="T94" s="50">
        <f t="shared" si="137"/>
        <v>0.0659373612446633</v>
      </c>
      <c r="U94" s="47"/>
      <c r="W94" s="45">
        <v>20</v>
      </c>
      <c r="X94" s="50">
        <f t="shared" ref="X94:AA94" si="138">X82/X20</f>
        <v>0.0571336028585819</v>
      </c>
      <c r="Y94" s="50">
        <f t="shared" si="138"/>
        <v>0.0486188379542444</v>
      </c>
      <c r="Z94" s="50">
        <f t="shared" si="138"/>
        <v>0.0720798022527618</v>
      </c>
      <c r="AA94" s="50">
        <f t="shared" si="138"/>
        <v>0.063648755146314</v>
      </c>
      <c r="AB94" s="47"/>
    </row>
    <row r="95" spans="2:28">
      <c r="B95" s="26">
        <v>30</v>
      </c>
      <c r="C95" s="20">
        <f t="shared" si="135"/>
        <v>0.0562655238512154</v>
      </c>
      <c r="D95" s="20">
        <f t="shared" si="131"/>
        <v>0.0819126933325422</v>
      </c>
      <c r="E95" s="20">
        <f t="shared" ref="E95:M95" si="139">E83/E21</f>
        <v>0.0735468164348528</v>
      </c>
      <c r="F95" s="20">
        <f t="shared" si="139"/>
        <v>0.0708735098863741</v>
      </c>
      <c r="G95" s="8"/>
      <c r="I95" s="45">
        <v>30</v>
      </c>
      <c r="J95" s="50">
        <f t="shared" si="139"/>
        <v>0.0322322362682228</v>
      </c>
      <c r="K95" s="50">
        <f t="shared" si="139"/>
        <v>0.0229749240782882</v>
      </c>
      <c r="L95" s="50">
        <f t="shared" si="139"/>
        <v>0.0147165023614787</v>
      </c>
      <c r="M95" s="50">
        <f t="shared" si="139"/>
        <v>0.00359099153885002</v>
      </c>
      <c r="N95" s="47"/>
      <c r="P95" s="45">
        <v>30</v>
      </c>
      <c r="Q95" s="50">
        <f t="shared" ref="Q95:T95" si="140">Q83/Q21</f>
        <v>0.0153010493629722</v>
      </c>
      <c r="R95" s="50">
        <f t="shared" si="140"/>
        <v>0.0192391868168962</v>
      </c>
      <c r="S95" s="50">
        <f t="shared" si="140"/>
        <v>0.0280912656912064</v>
      </c>
      <c r="T95" s="50">
        <f t="shared" si="140"/>
        <v>0.0677385676436387</v>
      </c>
      <c r="U95" s="47"/>
      <c r="W95" s="45">
        <v>30</v>
      </c>
      <c r="X95" s="50">
        <f t="shared" ref="X95:AA95" si="141">X83/X21</f>
        <v>0.0915957342004396</v>
      </c>
      <c r="Y95" s="50">
        <f t="shared" si="141"/>
        <v>0.0501029144732196</v>
      </c>
      <c r="Z95" s="50">
        <f t="shared" si="141"/>
        <v>0.0442602659268832</v>
      </c>
      <c r="AA95" s="50">
        <f t="shared" si="141"/>
        <v>0.0534161431499344</v>
      </c>
      <c r="AB95" s="47"/>
    </row>
    <row r="96" spans="2:28">
      <c r="B96" s="26">
        <v>40</v>
      </c>
      <c r="C96" s="20">
        <f t="shared" si="135"/>
        <v>0.0654127094820589</v>
      </c>
      <c r="D96" s="20">
        <f t="shared" si="131"/>
        <v>0.100780827680371</v>
      </c>
      <c r="E96" s="20">
        <f t="shared" ref="E96:M96" si="142">E84/E22</f>
        <v>0.119371969384747</v>
      </c>
      <c r="F96" s="20">
        <f t="shared" si="142"/>
        <v>0.0969412632463502</v>
      </c>
      <c r="G96" s="8"/>
      <c r="I96" s="45">
        <v>40</v>
      </c>
      <c r="J96" s="50">
        <f t="shared" si="142"/>
        <v>0.00976456591197927</v>
      </c>
      <c r="K96" s="50">
        <f t="shared" si="142"/>
        <v>0.0356218833723228</v>
      </c>
      <c r="L96" s="50">
        <f t="shared" si="142"/>
        <v>0.0369050629281153</v>
      </c>
      <c r="M96" s="50">
        <f t="shared" si="142"/>
        <v>0.0136396852047328</v>
      </c>
      <c r="N96" s="47"/>
      <c r="P96" s="45">
        <v>40</v>
      </c>
      <c r="Q96" s="50">
        <f t="shared" ref="Q96:T96" si="143">Q84/Q22</f>
        <v>0.0259400364154104</v>
      </c>
      <c r="R96" s="50">
        <f t="shared" si="143"/>
        <v>0.00153540806027404</v>
      </c>
      <c r="S96" s="50">
        <f t="shared" si="143"/>
        <v>0.0163209980964774</v>
      </c>
      <c r="T96" s="50">
        <f t="shared" si="143"/>
        <v>0.079015189144523</v>
      </c>
      <c r="U96" s="47"/>
      <c r="W96" s="45">
        <v>40</v>
      </c>
      <c r="X96" s="50">
        <f t="shared" ref="X96:AA96" si="144">X84/X22</f>
        <v>0.0718286307608278</v>
      </c>
      <c r="Y96" s="50">
        <f t="shared" si="144"/>
        <v>0.0825873144947023</v>
      </c>
      <c r="Z96" s="50">
        <f t="shared" si="144"/>
        <v>0.027260661583961</v>
      </c>
      <c r="AA96" s="50">
        <f t="shared" si="144"/>
        <v>0.0333097146100175</v>
      </c>
      <c r="AB96" s="47"/>
    </row>
    <row r="97" spans="2:28">
      <c r="B97" s="26">
        <v>50</v>
      </c>
      <c r="C97" s="20">
        <f t="shared" si="135"/>
        <v>0.0622825805186277</v>
      </c>
      <c r="D97" s="20">
        <f t="shared" si="131"/>
        <v>0.110962752817995</v>
      </c>
      <c r="E97" s="20">
        <f t="shared" ref="E97:M97" si="145">E85/E23</f>
        <v>0.123517544663445</v>
      </c>
      <c r="F97" s="20">
        <f t="shared" si="145"/>
        <v>0.144050514806571</v>
      </c>
      <c r="G97" s="8"/>
      <c r="I97" s="45">
        <v>50</v>
      </c>
      <c r="J97" s="50">
        <f t="shared" si="145"/>
        <v>0.0247429155895398</v>
      </c>
      <c r="K97" s="50">
        <f t="shared" si="145"/>
        <v>0.053651256549789</v>
      </c>
      <c r="L97" s="50">
        <f t="shared" si="145"/>
        <v>0.0533378542948568</v>
      </c>
      <c r="M97" s="50">
        <f t="shared" si="145"/>
        <v>0.0682474003358092</v>
      </c>
      <c r="N97" s="47"/>
      <c r="P97" s="45">
        <v>50</v>
      </c>
      <c r="Q97" s="50">
        <f t="shared" ref="Q97:T97" si="146">Q85/Q23</f>
        <v>0.089484383307181</v>
      </c>
      <c r="R97" s="50">
        <f t="shared" si="146"/>
        <v>0.0505181802618961</v>
      </c>
      <c r="S97" s="50">
        <f t="shared" si="146"/>
        <v>0.0397466680439175</v>
      </c>
      <c r="T97" s="50">
        <f t="shared" si="146"/>
        <v>0.000869220063330987</v>
      </c>
      <c r="U97" s="47"/>
      <c r="W97" s="45">
        <v>50</v>
      </c>
      <c r="X97" s="50">
        <f t="shared" ref="X97:AA97" si="147">X85/X23</f>
        <v>0.0551099937126138</v>
      </c>
      <c r="Y97" s="50">
        <f t="shared" si="147"/>
        <v>0.0545006438568728</v>
      </c>
      <c r="Z97" s="50">
        <f t="shared" si="147"/>
        <v>0.0450008915463199</v>
      </c>
      <c r="AA97" s="50">
        <f t="shared" si="147"/>
        <v>0.0602845572451699</v>
      </c>
      <c r="AB97" s="47"/>
    </row>
    <row r="98" spans="2:28">
      <c r="B98" s="26">
        <v>60</v>
      </c>
      <c r="C98" s="20">
        <f t="shared" si="135"/>
        <v>0.0443836823494988</v>
      </c>
      <c r="D98" s="20">
        <f t="shared" si="131"/>
        <v>0.0602615243393717</v>
      </c>
      <c r="E98" s="20">
        <f t="shared" ref="E98:M98" si="148">E86/E24</f>
        <v>0.0384295587437353</v>
      </c>
      <c r="F98" s="20">
        <f t="shared" si="148"/>
        <v>0.0748143747359608</v>
      </c>
      <c r="G98" s="8"/>
      <c r="I98" s="45">
        <v>60</v>
      </c>
      <c r="J98" s="50">
        <f t="shared" si="148"/>
        <v>0.0258352185126791</v>
      </c>
      <c r="K98" s="50">
        <f t="shared" si="148"/>
        <v>0.018509897929815</v>
      </c>
      <c r="L98" s="50">
        <f t="shared" si="148"/>
        <v>0.0103794571266763</v>
      </c>
      <c r="M98" s="50">
        <f t="shared" si="148"/>
        <v>0.0194842712461886</v>
      </c>
      <c r="N98" s="47"/>
      <c r="P98" s="45">
        <v>60</v>
      </c>
      <c r="Q98" s="50">
        <f t="shared" ref="Q98:T98" si="149">Q86/Q24</f>
        <v>0.0190789295467015</v>
      </c>
      <c r="R98" s="50">
        <f t="shared" si="149"/>
        <v>0.0463206830303935</v>
      </c>
      <c r="S98" s="50">
        <f t="shared" si="149"/>
        <v>0.0275139427688006</v>
      </c>
      <c r="T98" s="50">
        <f t="shared" si="149"/>
        <v>0.00676787986664192</v>
      </c>
      <c r="U98" s="47"/>
      <c r="W98" s="45">
        <v>60</v>
      </c>
      <c r="X98" s="50">
        <f t="shared" ref="X98:AA98" si="150">X86/X24</f>
        <v>0.0935061583677617</v>
      </c>
      <c r="Y98" s="50">
        <f t="shared" si="150"/>
        <v>0.00163694419419706</v>
      </c>
      <c r="Z98" s="50">
        <f t="shared" si="150"/>
        <v>0.00630982442863373</v>
      </c>
      <c r="AA98" s="50">
        <f t="shared" si="150"/>
        <v>0.0360480992059684</v>
      </c>
      <c r="AB98" s="47"/>
    </row>
    <row r="99" spans="2:28">
      <c r="B99" s="26">
        <v>70</v>
      </c>
      <c r="C99" s="20">
        <f t="shared" si="135"/>
        <v>0.0062257480759259</v>
      </c>
      <c r="D99" s="20">
        <f t="shared" si="131"/>
        <v>0.0252019028043161</v>
      </c>
      <c r="E99" s="20">
        <f t="shared" ref="E99:M99" si="151">E87/E25</f>
        <v>0.0162635220988736</v>
      </c>
      <c r="F99" s="20">
        <f t="shared" si="151"/>
        <v>0.0109048738059386</v>
      </c>
      <c r="G99" s="8"/>
      <c r="I99" s="45">
        <v>70</v>
      </c>
      <c r="J99" s="50">
        <f t="shared" si="151"/>
        <v>0.0258658503802222</v>
      </c>
      <c r="K99" s="50">
        <f t="shared" si="151"/>
        <v>0.00127761623407289</v>
      </c>
      <c r="L99" s="50">
        <f t="shared" si="151"/>
        <v>0.0428957399364825</v>
      </c>
      <c r="M99" s="50">
        <f t="shared" si="151"/>
        <v>0.0205547026620075</v>
      </c>
      <c r="N99" s="47"/>
      <c r="P99" s="45">
        <v>70</v>
      </c>
      <c r="Q99" s="50">
        <f t="shared" ref="Q99:T99" si="152">Q87/Q25</f>
        <v>0.0554633202375953</v>
      </c>
      <c r="R99" s="50">
        <f t="shared" si="152"/>
        <v>0.0377390059439473</v>
      </c>
      <c r="S99" s="50">
        <f t="shared" si="152"/>
        <v>0.0258246804515619</v>
      </c>
      <c r="T99" s="50">
        <f t="shared" si="152"/>
        <v>0.00564984013968354</v>
      </c>
      <c r="U99" s="47"/>
      <c r="W99" s="45">
        <v>70</v>
      </c>
      <c r="X99" s="50">
        <f t="shared" ref="X99:AA99" si="153">X87/X25</f>
        <v>0.0746424464859987</v>
      </c>
      <c r="Y99" s="50">
        <f t="shared" si="153"/>
        <v>0.0286944111768472</v>
      </c>
      <c r="Z99" s="50">
        <f t="shared" si="153"/>
        <v>0.0376578753630467</v>
      </c>
      <c r="AA99" s="50">
        <f t="shared" si="153"/>
        <v>0.0051160140282685</v>
      </c>
      <c r="AB99" s="47"/>
    </row>
    <row r="100" spans="2:28">
      <c r="B100" s="26">
        <v>80</v>
      </c>
      <c r="C100" s="20">
        <f t="shared" si="135"/>
        <v>0.0152613491381795</v>
      </c>
      <c r="D100" s="20">
        <f t="shared" si="131"/>
        <v>0.0463589209317195</v>
      </c>
      <c r="E100" s="20">
        <f t="shared" ref="E100:M100" si="154">E88/E26</f>
        <v>0.0223831101303624</v>
      </c>
      <c r="F100" s="20">
        <f t="shared" si="154"/>
        <v>0.0224628575735136</v>
      </c>
      <c r="G100" s="8"/>
      <c r="I100" s="45">
        <v>80</v>
      </c>
      <c r="J100" s="50">
        <f t="shared" si="154"/>
        <v>0.00936933961773657</v>
      </c>
      <c r="K100" s="50">
        <f t="shared" si="154"/>
        <v>0.0401570432152758</v>
      </c>
      <c r="L100" s="50">
        <f t="shared" si="154"/>
        <v>0.0163438991344685</v>
      </c>
      <c r="M100" s="50">
        <f t="shared" si="154"/>
        <v>0.0131682455372931</v>
      </c>
      <c r="N100" s="47"/>
      <c r="P100" s="45">
        <v>80</v>
      </c>
      <c r="Q100" s="50">
        <f t="shared" ref="Q100:T100" si="155">Q88/Q26</f>
        <v>0.0220155801862303</v>
      </c>
      <c r="R100" s="50">
        <f t="shared" si="155"/>
        <v>0.0114205630738394</v>
      </c>
      <c r="S100" s="50">
        <f t="shared" si="155"/>
        <v>0.0129404343916234</v>
      </c>
      <c r="T100" s="50">
        <f t="shared" si="155"/>
        <v>0.0190713065883913</v>
      </c>
      <c r="U100" s="47"/>
      <c r="W100" s="45">
        <v>80</v>
      </c>
      <c r="X100" s="50">
        <f t="shared" ref="X100:AA100" si="156">X88/X26</f>
        <v>0.146845113614217</v>
      </c>
      <c r="Y100" s="50">
        <f t="shared" si="156"/>
        <v>0.0304887057968906</v>
      </c>
      <c r="Z100" s="50">
        <f t="shared" si="156"/>
        <v>0.00512758565877202</v>
      </c>
      <c r="AA100" s="50">
        <f t="shared" si="156"/>
        <v>0.0252729610361106</v>
      </c>
      <c r="AB100" s="47"/>
    </row>
    <row r="101" spans="2:28">
      <c r="B101" s="26">
        <v>90</v>
      </c>
      <c r="C101" s="20">
        <f t="shared" si="135"/>
        <v>0.0165812763992501</v>
      </c>
      <c r="D101" s="20">
        <f t="shared" si="131"/>
        <v>0.0143248539874793</v>
      </c>
      <c r="E101" s="20">
        <f t="shared" ref="E101:M101" si="157">E89/E27</f>
        <v>0.0252115144452521</v>
      </c>
      <c r="F101" s="20">
        <f t="shared" si="157"/>
        <v>0.0272455215568392</v>
      </c>
      <c r="G101" s="8"/>
      <c r="I101" s="45">
        <v>90</v>
      </c>
      <c r="J101" s="50">
        <f t="shared" si="157"/>
        <v>0.00220061597046218</v>
      </c>
      <c r="K101" s="50">
        <f t="shared" si="157"/>
        <v>0.00187574221445649</v>
      </c>
      <c r="L101" s="50">
        <f t="shared" si="157"/>
        <v>0.00937228511561305</v>
      </c>
      <c r="M101" s="50">
        <f t="shared" si="157"/>
        <v>0.0133655841271456</v>
      </c>
      <c r="N101" s="47"/>
      <c r="P101" s="45">
        <v>90</v>
      </c>
      <c r="Q101" s="50">
        <f t="shared" ref="Q101:T101" si="158">Q89/Q27</f>
        <v>0.0188489271936472</v>
      </c>
      <c r="R101" s="50">
        <f t="shared" si="158"/>
        <v>0.0189958844260694</v>
      </c>
      <c r="S101" s="50">
        <f t="shared" si="158"/>
        <v>0.0200978322596382</v>
      </c>
      <c r="T101" s="50">
        <f t="shared" si="158"/>
        <v>0.00925125223305324</v>
      </c>
      <c r="U101" s="47"/>
      <c r="W101" s="45">
        <v>90</v>
      </c>
      <c r="X101" s="50">
        <f t="shared" ref="X101:AA101" si="159">X89/X27</f>
        <v>0.0991142094349645</v>
      </c>
      <c r="Y101" s="50">
        <f t="shared" si="159"/>
        <v>0.00893033487259349</v>
      </c>
      <c r="Z101" s="50">
        <f t="shared" si="159"/>
        <v>0.00815090774704697</v>
      </c>
      <c r="AA101" s="50">
        <f t="shared" si="159"/>
        <v>0.00806275033095196</v>
      </c>
      <c r="AB101" s="47"/>
    </row>
    <row r="102" ht="15.15" spans="2:28">
      <c r="B102" s="41">
        <v>100</v>
      </c>
      <c r="C102" s="42">
        <f t="shared" si="135"/>
        <v>0.0482788438452341</v>
      </c>
      <c r="D102" s="42">
        <f t="shared" si="131"/>
        <v>0.0175996222683472</v>
      </c>
      <c r="E102" s="42">
        <f t="shared" ref="E102:M102" si="160">E90/E28</f>
        <v>0.0435455881283175</v>
      </c>
      <c r="F102" s="42">
        <f t="shared" si="160"/>
        <v>0.0531280989125697</v>
      </c>
      <c r="G102" s="13"/>
      <c r="I102" s="51">
        <v>100</v>
      </c>
      <c r="J102" s="52">
        <f t="shared" si="160"/>
        <v>0.0195103961172739</v>
      </c>
      <c r="K102" s="52">
        <f t="shared" si="160"/>
        <v>0.0497123565303305</v>
      </c>
      <c r="L102" s="52">
        <f t="shared" si="160"/>
        <v>0.00660849371101043</v>
      </c>
      <c r="M102" s="52">
        <f t="shared" si="160"/>
        <v>0.0170488002977662</v>
      </c>
      <c r="N102" s="53"/>
      <c r="P102" s="51">
        <v>100</v>
      </c>
      <c r="Q102" s="52">
        <f t="shared" ref="Q102:T102" si="161">Q90/Q28</f>
        <v>0.125004851295013</v>
      </c>
      <c r="R102" s="52">
        <f t="shared" si="161"/>
        <v>0.0115713975319271</v>
      </c>
      <c r="S102" s="52">
        <f t="shared" si="161"/>
        <v>0.00998557965637847</v>
      </c>
      <c r="T102" s="52">
        <f t="shared" si="161"/>
        <v>0.0139757366547285</v>
      </c>
      <c r="U102" s="53"/>
      <c r="W102" s="51">
        <v>100</v>
      </c>
      <c r="X102" s="52">
        <f t="shared" ref="X102:AA102" si="162">X90/X28</f>
        <v>0.110795935261433</v>
      </c>
      <c r="Y102" s="52">
        <f t="shared" si="162"/>
        <v>0.0453462209589193</v>
      </c>
      <c r="Z102" s="52">
        <f t="shared" si="162"/>
        <v>0.00119031840746726</v>
      </c>
      <c r="AA102" s="52">
        <f t="shared" si="162"/>
        <v>0.0053002384618335</v>
      </c>
      <c r="AB102" s="53"/>
    </row>
    <row r="103" ht="15.15"/>
    <row r="105" s="22" customFormat="1" spans="1:27">
      <c r="A105" s="43" t="s">
        <v>264</v>
      </c>
      <c r="C105" s="44"/>
      <c r="D105" s="44"/>
      <c r="E105" s="44"/>
      <c r="F105" s="44"/>
      <c r="G105" s="44"/>
      <c r="J105" s="44"/>
      <c r="K105" s="44"/>
      <c r="L105" s="44"/>
      <c r="M105" s="44"/>
      <c r="Q105" s="44"/>
      <c r="R105" s="44"/>
      <c r="S105" s="44"/>
      <c r="T105" s="44"/>
      <c r="X105" s="44"/>
      <c r="Y105" s="44"/>
      <c r="Z105" s="44"/>
      <c r="AA105" s="44"/>
    </row>
    <row r="106" spans="1:1">
      <c r="A106" s="43"/>
    </row>
    <row r="107" spans="1:1">
      <c r="A107" s="43"/>
    </row>
    <row r="108" spans="1:1">
      <c r="A108" s="43"/>
    </row>
    <row r="109" ht="15.15" spans="1:1">
      <c r="A109" s="43"/>
    </row>
    <row r="110" ht="15.15" spans="9:27">
      <c r="I110" s="34" t="s">
        <v>254</v>
      </c>
      <c r="J110" s="4"/>
      <c r="K110" s="4"/>
      <c r="L110" s="4"/>
      <c r="M110" s="5"/>
      <c r="N110" s="1"/>
      <c r="O110" s="1"/>
      <c r="P110" s="34" t="s">
        <v>256</v>
      </c>
      <c r="Q110" s="4"/>
      <c r="R110" s="4"/>
      <c r="S110" s="4"/>
      <c r="T110" s="5"/>
      <c r="W110" s="34" t="s">
        <v>257</v>
      </c>
      <c r="X110" s="4"/>
      <c r="Y110" s="4"/>
      <c r="Z110" s="4"/>
      <c r="AA110" s="5"/>
    </row>
    <row r="111" spans="9:27">
      <c r="I111" s="24" t="s">
        <v>258</v>
      </c>
      <c r="M111" s="8"/>
      <c r="N111" s="1"/>
      <c r="O111" s="1"/>
      <c r="P111" s="24" t="s">
        <v>258</v>
      </c>
      <c r="T111" s="8"/>
      <c r="W111" s="24" t="s">
        <v>258</v>
      </c>
      <c r="AA111" s="8"/>
    </row>
    <row r="112" spans="9:27">
      <c r="I112" s="24"/>
      <c r="M112" s="8"/>
      <c r="N112" s="1"/>
      <c r="O112" s="1"/>
      <c r="P112" s="24"/>
      <c r="T112" s="8"/>
      <c r="W112" s="24"/>
      <c r="AA112" s="8"/>
    </row>
    <row r="113" spans="9:27">
      <c r="I113" s="24"/>
      <c r="M113" s="8"/>
      <c r="N113" s="1"/>
      <c r="O113" s="1"/>
      <c r="P113" s="24"/>
      <c r="T113" s="8"/>
      <c r="W113" s="24"/>
      <c r="AA113" s="8"/>
    </row>
    <row r="114" spans="9:27">
      <c r="I114" s="26"/>
      <c r="J114" s="1">
        <v>1</v>
      </c>
      <c r="K114" s="1">
        <v>16</v>
      </c>
      <c r="L114" s="1">
        <v>32</v>
      </c>
      <c r="M114" s="8"/>
      <c r="N114" s="1"/>
      <c r="O114" s="1"/>
      <c r="P114" s="26"/>
      <c r="Q114" s="1">
        <v>1</v>
      </c>
      <c r="R114" s="1">
        <v>16</v>
      </c>
      <c r="S114" s="1">
        <v>32</v>
      </c>
      <c r="T114" s="8"/>
      <c r="W114" s="26"/>
      <c r="X114" s="1">
        <v>1</v>
      </c>
      <c r="Y114" s="1">
        <v>16</v>
      </c>
      <c r="Z114" s="1">
        <v>32</v>
      </c>
      <c r="AA114" s="8"/>
    </row>
    <row r="115" spans="9:27">
      <c r="I115" s="26">
        <v>10</v>
      </c>
      <c r="J115" s="2">
        <v>49.508786058601</v>
      </c>
      <c r="K115" s="2">
        <v>234.418061883785</v>
      </c>
      <c r="L115" s="2">
        <v>443.833325768789</v>
      </c>
      <c r="M115" s="8"/>
      <c r="N115" s="1"/>
      <c r="O115" s="1"/>
      <c r="P115" s="26">
        <v>10</v>
      </c>
      <c r="Q115" s="16">
        <v>37.1299957442287</v>
      </c>
      <c r="R115" s="16">
        <v>253.893188695993</v>
      </c>
      <c r="S115" s="16">
        <v>554.606189907077</v>
      </c>
      <c r="T115" s="8"/>
      <c r="W115" s="26">
        <v>10</v>
      </c>
      <c r="X115" s="16">
        <v>20.968006750428</v>
      </c>
      <c r="Y115" s="16">
        <v>149.11016032962</v>
      </c>
      <c r="Z115" s="16">
        <v>271.320280316209</v>
      </c>
      <c r="AA115" s="8"/>
    </row>
    <row r="116" spans="9:27">
      <c r="I116" s="26">
        <v>50</v>
      </c>
      <c r="J116" s="2">
        <v>20.8376014129105</v>
      </c>
      <c r="K116" s="2">
        <v>67.2823238393449</v>
      </c>
      <c r="L116" s="2">
        <v>109.988807982137</v>
      </c>
      <c r="M116" s="8"/>
      <c r="N116" s="1"/>
      <c r="O116" s="1"/>
      <c r="P116" s="26">
        <v>50</v>
      </c>
      <c r="Q116" s="16">
        <v>8.64078806918716</v>
      </c>
      <c r="R116" s="16">
        <v>61.1139766901033</v>
      </c>
      <c r="S116" s="16">
        <v>104.532461360857</v>
      </c>
      <c r="T116" s="8"/>
      <c r="W116" s="26">
        <v>50</v>
      </c>
      <c r="X116" s="16">
        <v>6.73882119638364</v>
      </c>
      <c r="Y116" s="16">
        <v>35.6367135343425</v>
      </c>
      <c r="Z116" s="16">
        <v>63.9265229894932</v>
      </c>
      <c r="AA116" s="8"/>
    </row>
    <row r="117" spans="9:27">
      <c r="I117" s="26">
        <v>100</v>
      </c>
      <c r="J117" s="2">
        <v>17.3877430215504</v>
      </c>
      <c r="K117" s="2">
        <v>46.6687985358152</v>
      </c>
      <c r="L117" s="2">
        <v>78.1042901517716</v>
      </c>
      <c r="M117" s="8"/>
      <c r="N117" s="1"/>
      <c r="O117" s="1"/>
      <c r="P117" s="26">
        <v>100</v>
      </c>
      <c r="Q117" s="16">
        <v>5.16194212153307</v>
      </c>
      <c r="R117" s="16">
        <v>38.7757010257159</v>
      </c>
      <c r="S117" s="16">
        <v>73.8982323971571</v>
      </c>
      <c r="T117" s="8"/>
      <c r="W117" s="26">
        <v>100</v>
      </c>
      <c r="X117" s="16">
        <v>4.97342264069774</v>
      </c>
      <c r="Y117" s="16">
        <v>23.5851865530277</v>
      </c>
      <c r="Z117" s="16">
        <v>43.0938990079629</v>
      </c>
      <c r="AA117" s="8"/>
    </row>
    <row r="118" spans="9:27">
      <c r="I118" s="26"/>
      <c r="M118" s="8"/>
      <c r="N118" s="1"/>
      <c r="O118" s="1"/>
      <c r="P118" s="26"/>
      <c r="T118" s="8"/>
      <c r="W118" s="26"/>
      <c r="AA118" s="8"/>
    </row>
    <row r="119" spans="9:27">
      <c r="I119" s="27" t="s">
        <v>259</v>
      </c>
      <c r="J119" s="28">
        <v>1</v>
      </c>
      <c r="K119" s="28">
        <v>16</v>
      </c>
      <c r="L119" s="28">
        <v>32</v>
      </c>
      <c r="M119" s="54"/>
      <c r="N119" s="1"/>
      <c r="O119" s="1"/>
      <c r="P119" s="27" t="s">
        <v>259</v>
      </c>
      <c r="Q119" s="28">
        <v>1</v>
      </c>
      <c r="R119" s="28">
        <v>16</v>
      </c>
      <c r="S119" s="28">
        <v>32</v>
      </c>
      <c r="T119" s="54"/>
      <c r="W119" s="27" t="s">
        <v>259</v>
      </c>
      <c r="X119" s="28">
        <v>1</v>
      </c>
      <c r="Y119" s="28">
        <v>16</v>
      </c>
      <c r="Z119" s="28">
        <v>32</v>
      </c>
      <c r="AA119" s="54"/>
    </row>
    <row r="120" spans="9:27">
      <c r="I120" s="27">
        <v>10</v>
      </c>
      <c r="J120" s="28">
        <v>51.49</v>
      </c>
      <c r="K120" s="28">
        <v>260.42</v>
      </c>
      <c r="L120" s="28">
        <v>457.53</v>
      </c>
      <c r="M120" s="54"/>
      <c r="N120" s="1"/>
      <c r="O120" s="1"/>
      <c r="P120" s="27">
        <v>10</v>
      </c>
      <c r="Q120" s="28">
        <v>39.25</v>
      </c>
      <c r="R120" s="28">
        <v>295.2</v>
      </c>
      <c r="S120" s="28">
        <v>565.03</v>
      </c>
      <c r="T120" s="54"/>
      <c r="W120" s="27">
        <v>10</v>
      </c>
      <c r="X120" s="28">
        <v>23.49</v>
      </c>
      <c r="Y120" s="28">
        <v>155.86</v>
      </c>
      <c r="Z120" s="28">
        <v>283.76</v>
      </c>
      <c r="AA120" s="54"/>
    </row>
    <row r="121" spans="9:27">
      <c r="I121" s="27">
        <v>50</v>
      </c>
      <c r="J121" s="28">
        <v>24.12</v>
      </c>
      <c r="K121" s="28">
        <v>62.59</v>
      </c>
      <c r="L121" s="28">
        <v>103.94</v>
      </c>
      <c r="M121" s="54"/>
      <c r="N121" s="1"/>
      <c r="O121" s="1"/>
      <c r="P121" s="27">
        <v>50</v>
      </c>
      <c r="Q121" s="28">
        <v>7.98</v>
      </c>
      <c r="R121" s="28">
        <v>57.41</v>
      </c>
      <c r="S121" s="28">
        <v>109.18</v>
      </c>
      <c r="T121" s="54"/>
      <c r="W121" s="27">
        <v>50</v>
      </c>
      <c r="X121" s="28">
        <v>6.65</v>
      </c>
      <c r="Y121" s="28">
        <v>34.48</v>
      </c>
      <c r="Z121" s="28">
        <v>61.86</v>
      </c>
      <c r="AA121" s="54"/>
    </row>
    <row r="122" spans="9:27">
      <c r="I122" s="27">
        <v>100</v>
      </c>
      <c r="J122" s="28">
        <v>25.64</v>
      </c>
      <c r="K122" s="28">
        <v>46.12</v>
      </c>
      <c r="L122" s="28">
        <v>77.13</v>
      </c>
      <c r="M122" s="54"/>
      <c r="N122" s="1"/>
      <c r="O122" s="1"/>
      <c r="P122" s="27">
        <v>100</v>
      </c>
      <c r="Q122" s="28">
        <v>5.37</v>
      </c>
      <c r="R122" s="28">
        <v>36.96</v>
      </c>
      <c r="S122" s="28">
        <v>70.12</v>
      </c>
      <c r="T122" s="54"/>
      <c r="W122" s="27">
        <v>100</v>
      </c>
      <c r="X122" s="28">
        <v>6.81</v>
      </c>
      <c r="Y122" s="28">
        <v>23.06</v>
      </c>
      <c r="Z122" s="28">
        <v>42.04</v>
      </c>
      <c r="AA122" s="54"/>
    </row>
    <row r="123" spans="9:27">
      <c r="I123" s="26"/>
      <c r="M123" s="8"/>
      <c r="N123" s="1"/>
      <c r="O123" s="1"/>
      <c r="P123" s="26"/>
      <c r="T123" s="8"/>
      <c r="W123" s="26"/>
      <c r="AA123" s="8"/>
    </row>
    <row r="124" spans="9:27">
      <c r="I124" s="45" t="s">
        <v>221</v>
      </c>
      <c r="J124" s="46">
        <v>1</v>
      </c>
      <c r="K124" s="46">
        <v>16</v>
      </c>
      <c r="L124" s="46">
        <v>32</v>
      </c>
      <c r="M124" s="47" t="s">
        <v>246</v>
      </c>
      <c r="N124" s="1"/>
      <c r="O124" s="1"/>
      <c r="P124" s="45" t="s">
        <v>221</v>
      </c>
      <c r="Q124" s="46">
        <v>1</v>
      </c>
      <c r="R124" s="46">
        <v>16</v>
      </c>
      <c r="S124" s="46">
        <v>32</v>
      </c>
      <c r="T124" s="47" t="s">
        <v>246</v>
      </c>
      <c r="W124" s="45" t="s">
        <v>221</v>
      </c>
      <c r="X124" s="46">
        <v>1</v>
      </c>
      <c r="Y124" s="46">
        <v>16</v>
      </c>
      <c r="Z124" s="46">
        <v>32</v>
      </c>
      <c r="AA124" s="47" t="s">
        <v>246</v>
      </c>
    </row>
    <row r="125" spans="9:27">
      <c r="I125" s="45">
        <v>10</v>
      </c>
      <c r="J125" s="46">
        <f>ABS(J120-J115)</f>
        <v>1.98121394139901</v>
      </c>
      <c r="K125" s="46">
        <f>ABS(K120-K115)</f>
        <v>26.001938116215</v>
      </c>
      <c r="L125" s="46">
        <f>ABS(L120-L115)</f>
        <v>13.696674231211</v>
      </c>
      <c r="M125" s="47">
        <f>SUM(J125:L127)/COUNT(J125:L127)</f>
        <v>7.27541137371476</v>
      </c>
      <c r="N125" s="1"/>
      <c r="O125" s="1"/>
      <c r="P125" s="45">
        <v>10</v>
      </c>
      <c r="Q125" s="46">
        <f t="shared" ref="Q125:S125" si="163">ABS(Q120-Q115)</f>
        <v>2.1200042557713</v>
      </c>
      <c r="R125" s="46">
        <f t="shared" si="163"/>
        <v>41.306811304007</v>
      </c>
      <c r="S125" s="46">
        <f t="shared" si="163"/>
        <v>10.423810092923</v>
      </c>
      <c r="T125" s="47">
        <f>SUM(Q125:S127)/COUNT(Q125:S127)</f>
        <v>7.62943559471941</v>
      </c>
      <c r="W125" s="45">
        <v>10</v>
      </c>
      <c r="X125" s="46">
        <f t="shared" ref="X125:Z125" si="164">ABS(X120-X115)</f>
        <v>2.521993249572</v>
      </c>
      <c r="Y125" s="46">
        <f t="shared" si="164"/>
        <v>6.74983967038003</v>
      </c>
      <c r="Z125" s="46">
        <f t="shared" si="164"/>
        <v>12.439719683791</v>
      </c>
      <c r="AA125" s="47">
        <f>SUM(X125:Z127)/COUNT(X125:Z127)</f>
        <v>3.15991924936169</v>
      </c>
    </row>
    <row r="126" spans="9:27">
      <c r="I126" s="45">
        <v>50</v>
      </c>
      <c r="J126" s="46">
        <f>ABS(J121-J116)</f>
        <v>3.2823985870895</v>
      </c>
      <c r="K126" s="46">
        <f>ABS(K121-K116)</f>
        <v>4.69232383934489</v>
      </c>
      <c r="L126" s="46">
        <f>ABS(L121-L116)</f>
        <v>6.04880798213701</v>
      </c>
      <c r="M126" s="47"/>
      <c r="N126" s="1"/>
      <c r="O126" s="1"/>
      <c r="P126" s="45">
        <v>50</v>
      </c>
      <c r="Q126" s="46">
        <f t="shared" ref="Q126:S126" si="165">ABS(Q121-Q116)</f>
        <v>0.660788069187159</v>
      </c>
      <c r="R126" s="46">
        <f t="shared" si="165"/>
        <v>3.7039766901033</v>
      </c>
      <c r="S126" s="46">
        <f t="shared" si="165"/>
        <v>4.64753863914301</v>
      </c>
      <c r="T126" s="47"/>
      <c r="W126" s="45">
        <v>50</v>
      </c>
      <c r="X126" s="46">
        <f t="shared" ref="X126:Z126" si="166">ABS(X121-X116)</f>
        <v>0.0888211963836394</v>
      </c>
      <c r="Y126" s="46">
        <f t="shared" si="166"/>
        <v>1.1567135343425</v>
      </c>
      <c r="Z126" s="46">
        <f t="shared" si="166"/>
        <v>2.0665229894932</v>
      </c>
      <c r="AA126" s="47"/>
    </row>
    <row r="127" spans="9:27">
      <c r="I127" s="45">
        <v>100</v>
      </c>
      <c r="J127" s="46">
        <f>ABS(J122-J117)</f>
        <v>8.2522569784496</v>
      </c>
      <c r="K127" s="46">
        <f>ABS(K122-K117)</f>
        <v>0.548798535815202</v>
      </c>
      <c r="L127" s="46">
        <f>ABS(L122-L117)</f>
        <v>0.974290151771598</v>
      </c>
      <c r="M127" s="47"/>
      <c r="N127" s="1"/>
      <c r="O127" s="1"/>
      <c r="P127" s="45">
        <v>100</v>
      </c>
      <c r="Q127" s="46">
        <f t="shared" ref="Q127:S127" si="167">ABS(Q122-Q117)</f>
        <v>0.20805787846693</v>
      </c>
      <c r="R127" s="46">
        <f t="shared" si="167"/>
        <v>1.8157010257159</v>
      </c>
      <c r="S127" s="46">
        <f t="shared" si="167"/>
        <v>3.7782323971571</v>
      </c>
      <c r="T127" s="47"/>
      <c r="W127" s="45">
        <v>100</v>
      </c>
      <c r="X127" s="46">
        <f t="shared" ref="X127:Z127" si="168">ABS(X122-X117)</f>
        <v>1.83657735930226</v>
      </c>
      <c r="Y127" s="46">
        <f t="shared" si="168"/>
        <v>0.525186553027702</v>
      </c>
      <c r="Z127" s="46">
        <f t="shared" si="168"/>
        <v>1.0538990079629</v>
      </c>
      <c r="AA127" s="47"/>
    </row>
    <row r="128" spans="9:27">
      <c r="I128" s="45"/>
      <c r="J128" s="46"/>
      <c r="K128" s="46"/>
      <c r="L128" s="46"/>
      <c r="M128" s="47"/>
      <c r="N128" s="1"/>
      <c r="O128" s="1"/>
      <c r="P128" s="45"/>
      <c r="Q128" s="46"/>
      <c r="R128" s="46"/>
      <c r="S128" s="46"/>
      <c r="T128" s="47"/>
      <c r="W128" s="45"/>
      <c r="X128" s="46"/>
      <c r="Y128" s="46"/>
      <c r="Z128" s="46"/>
      <c r="AA128" s="47"/>
    </row>
    <row r="129" spans="9:27">
      <c r="I129" s="45" t="s">
        <v>238</v>
      </c>
      <c r="J129" s="46">
        <v>1</v>
      </c>
      <c r="K129" s="46">
        <v>16</v>
      </c>
      <c r="L129" s="46">
        <v>32</v>
      </c>
      <c r="M129" s="47" t="s">
        <v>246</v>
      </c>
      <c r="N129" s="1"/>
      <c r="O129" s="1"/>
      <c r="P129" s="45" t="s">
        <v>238</v>
      </c>
      <c r="Q129" s="46">
        <v>1</v>
      </c>
      <c r="R129" s="46">
        <v>16</v>
      </c>
      <c r="S129" s="46">
        <v>32</v>
      </c>
      <c r="T129" s="47" t="s">
        <v>246</v>
      </c>
      <c r="W129" s="45" t="s">
        <v>238</v>
      </c>
      <c r="X129" s="46">
        <v>1</v>
      </c>
      <c r="Y129" s="46">
        <v>16</v>
      </c>
      <c r="Z129" s="46">
        <v>32</v>
      </c>
      <c r="AA129" s="47" t="s">
        <v>246</v>
      </c>
    </row>
    <row r="130" spans="9:27">
      <c r="I130" s="45">
        <v>10</v>
      </c>
      <c r="J130" s="50">
        <f>ABS(J120-J115)/J120</f>
        <v>0.0384776450067781</v>
      </c>
      <c r="K130" s="50">
        <f>ABS(K120-K115)/K120</f>
        <v>0.0998461643353622</v>
      </c>
      <c r="L130" s="50">
        <f>ABS(L120-L115)/L120</f>
        <v>0.0299361227268397</v>
      </c>
      <c r="M130" s="47">
        <f>SUM(J130:L132)/COUNT(J130:L132)</f>
        <v>0.0870991748747093</v>
      </c>
      <c r="N130" s="1"/>
      <c r="O130" s="1"/>
      <c r="P130" s="45">
        <v>10</v>
      </c>
      <c r="Q130" s="50">
        <f t="shared" ref="Q130:S130" si="169">ABS(Q120-Q115)/Q120</f>
        <v>0.0540128472807974</v>
      </c>
      <c r="R130" s="50">
        <f t="shared" si="169"/>
        <v>0.139928222574549</v>
      </c>
      <c r="S130" s="50">
        <f t="shared" si="169"/>
        <v>0.0184482418507388</v>
      </c>
      <c r="T130" s="47">
        <f>SUM(Q130:S132)/COUNT(Q130:S132)</f>
        <v>0.0604481612530893</v>
      </c>
      <c r="W130" s="45">
        <v>10</v>
      </c>
      <c r="X130" s="50">
        <f t="shared" ref="X130:Z130" si="170">ABS(X120-X115)/X120</f>
        <v>0.107364548725926</v>
      </c>
      <c r="Y130" s="50">
        <f t="shared" si="170"/>
        <v>0.0433070683329913</v>
      </c>
      <c r="Z130" s="50">
        <f t="shared" si="170"/>
        <v>0.0438388768106534</v>
      </c>
      <c r="AA130" s="47">
        <f>SUM(X130:Z132)/COUNT(X130:Z132)</f>
        <v>0.0658169933386826</v>
      </c>
    </row>
    <row r="131" spans="9:27">
      <c r="I131" s="45">
        <v>50</v>
      </c>
      <c r="J131" s="50">
        <f>ABS(J121-J116)/J121</f>
        <v>0.136086176910842</v>
      </c>
      <c r="K131" s="50">
        <f>ABS(K121-K116)/K121</f>
        <v>0.0749692257444463</v>
      </c>
      <c r="L131" s="50">
        <f>ABS(L121-L116)/L121</f>
        <v>0.0581951893605639</v>
      </c>
      <c r="M131" s="47"/>
      <c r="N131" s="1"/>
      <c r="O131" s="1"/>
      <c r="P131" s="45">
        <v>50</v>
      </c>
      <c r="Q131" s="50">
        <f t="shared" ref="Q131:S131" si="171">ABS(Q121-Q116)/Q121</f>
        <v>0.0828055224545312</v>
      </c>
      <c r="R131" s="50">
        <f t="shared" si="171"/>
        <v>0.0645179705644192</v>
      </c>
      <c r="S131" s="50">
        <f t="shared" si="171"/>
        <v>0.0425676739251054</v>
      </c>
      <c r="T131" s="47"/>
      <c r="W131" s="45">
        <v>50</v>
      </c>
      <c r="X131" s="50">
        <f t="shared" ref="X131:Z131" si="172">ABS(X121-X116)/X121</f>
        <v>0.0133565708847578</v>
      </c>
      <c r="Y131" s="50">
        <f t="shared" si="172"/>
        <v>0.0335473762860354</v>
      </c>
      <c r="Z131" s="50">
        <f t="shared" si="172"/>
        <v>0.0334064498786486</v>
      </c>
      <c r="AA131" s="47"/>
    </row>
    <row r="132" spans="9:27">
      <c r="I132" s="45">
        <v>100</v>
      </c>
      <c r="J132" s="50">
        <f>ABS(J122-J117)/J122</f>
        <v>0.321850896195382</v>
      </c>
      <c r="K132" s="50">
        <f>ABS(K122-K117)/K122</f>
        <v>0.0118993611408326</v>
      </c>
      <c r="L132" s="50">
        <f>ABS(L122-L117)/L122</f>
        <v>0.0126317924513367</v>
      </c>
      <c r="M132" s="47"/>
      <c r="N132" s="1"/>
      <c r="O132" s="1"/>
      <c r="P132" s="45">
        <v>100</v>
      </c>
      <c r="Q132" s="50">
        <f t="shared" ref="Q132:S132" si="173">ABS(Q122-Q117)/Q122</f>
        <v>0.0387444838858344</v>
      </c>
      <c r="R132" s="50">
        <f t="shared" si="173"/>
        <v>0.0491261100031357</v>
      </c>
      <c r="S132" s="50">
        <f t="shared" si="173"/>
        <v>0.0538823787386922</v>
      </c>
      <c r="T132" s="47"/>
      <c r="W132" s="45">
        <v>100</v>
      </c>
      <c r="X132" s="50">
        <f t="shared" ref="X132:Z132" si="174">ABS(X122-X117)/X122</f>
        <v>0.269688305330728</v>
      </c>
      <c r="Y132" s="50">
        <f t="shared" si="174"/>
        <v>0.0227747854738812</v>
      </c>
      <c r="Z132" s="50">
        <f t="shared" si="174"/>
        <v>0.0250689583245218</v>
      </c>
      <c r="AA132" s="47"/>
    </row>
    <row r="133" spans="9:27">
      <c r="I133" s="26"/>
      <c r="M133" s="8"/>
      <c r="N133" s="1"/>
      <c r="O133" s="1"/>
      <c r="P133" s="26"/>
      <c r="T133" s="8"/>
      <c r="W133" s="26"/>
      <c r="AA133" s="8"/>
    </row>
    <row r="134" spans="9:27">
      <c r="I134" s="26" t="s">
        <v>236</v>
      </c>
      <c r="J134" s="1">
        <v>1</v>
      </c>
      <c r="K134" s="1">
        <v>16</v>
      </c>
      <c r="L134" s="1">
        <v>32</v>
      </c>
      <c r="M134" s="8"/>
      <c r="N134" s="1"/>
      <c r="O134" s="1"/>
      <c r="P134" s="26" t="s">
        <v>236</v>
      </c>
      <c r="Q134" s="1">
        <v>1</v>
      </c>
      <c r="R134" s="1">
        <v>16</v>
      </c>
      <c r="S134" s="1">
        <v>32</v>
      </c>
      <c r="T134" s="8"/>
      <c r="W134" s="26" t="s">
        <v>236</v>
      </c>
      <c r="X134" s="1">
        <v>1</v>
      </c>
      <c r="Y134" s="1">
        <v>16</v>
      </c>
      <c r="Z134" s="1">
        <v>32</v>
      </c>
      <c r="AA134" s="8"/>
    </row>
    <row r="135" spans="9:27">
      <c r="I135" s="26">
        <v>10</v>
      </c>
      <c r="J135" s="1">
        <f>1080*0.007/J134*(I135/100)</f>
        <v>0.756</v>
      </c>
      <c r="K135" s="1">
        <f>1080*0.007/K134*(I135/100)</f>
        <v>0.04725</v>
      </c>
      <c r="L135" s="1">
        <f>1080*0.007/L134*(I135/100)</f>
        <v>0.023625</v>
      </c>
      <c r="M135" s="8"/>
      <c r="N135" s="1"/>
      <c r="O135" s="1"/>
      <c r="P135" s="26">
        <v>10</v>
      </c>
      <c r="Q135" s="1">
        <f>70*0.007/Q134*(P135/100)</f>
        <v>0.049</v>
      </c>
      <c r="R135" s="1">
        <f>78*0.007/R134*(P135/100)</f>
        <v>0.0034125</v>
      </c>
      <c r="S135" s="1">
        <f>78*0.007/S134*(P135/100)</f>
        <v>0.00170625</v>
      </c>
      <c r="T135" s="8"/>
      <c r="W135" s="26">
        <v>10</v>
      </c>
      <c r="X135" s="1">
        <f>253*0.007/X134*(W135/100)</f>
        <v>0.1771</v>
      </c>
      <c r="Y135" s="1">
        <f>253*0.007/Y134*(W135/100)</f>
        <v>0.01106875</v>
      </c>
      <c r="Z135" s="1">
        <f>253*0.007/Z134*(W135/100)</f>
        <v>0.005534375</v>
      </c>
      <c r="AA135" s="8"/>
    </row>
    <row r="136" spans="9:27">
      <c r="I136" s="26">
        <v>50</v>
      </c>
      <c r="J136" s="1">
        <f>1080*0.007/J134*(I136/100)</f>
        <v>3.78</v>
      </c>
      <c r="K136" s="1">
        <f>1080*0.007/K134*(I136/100)</f>
        <v>0.23625</v>
      </c>
      <c r="L136" s="1">
        <f>1080*0.007/L134*(I136/100)</f>
        <v>0.118125</v>
      </c>
      <c r="M136" s="8"/>
      <c r="N136" s="1"/>
      <c r="O136" s="1"/>
      <c r="P136" s="26">
        <v>50</v>
      </c>
      <c r="Q136" s="1">
        <f>78*0.007/Q134*(P136/100)</f>
        <v>0.273</v>
      </c>
      <c r="R136" s="1">
        <f>78*0.007/R134*(P136/100)</f>
        <v>0.0170625</v>
      </c>
      <c r="S136" s="1">
        <f>78*0.007/S134*(P136/100)</f>
        <v>0.00853125</v>
      </c>
      <c r="T136" s="8"/>
      <c r="W136" s="26">
        <v>50</v>
      </c>
      <c r="X136" s="1">
        <f>253*0.007/X134*(W136/100)</f>
        <v>0.8855</v>
      </c>
      <c r="Y136" s="1">
        <f>253*0.007/Y134*(W136/100)</f>
        <v>0.05534375</v>
      </c>
      <c r="Z136" s="1">
        <f>253*0.007/Z134*(W136/100)</f>
        <v>0.027671875</v>
      </c>
      <c r="AA136" s="8"/>
    </row>
    <row r="137" spans="9:27">
      <c r="I137" s="26">
        <v>100</v>
      </c>
      <c r="J137" s="1">
        <f>1080*0.007/J134*(I137/100)</f>
        <v>7.56</v>
      </c>
      <c r="K137" s="1">
        <f>1080*0.007/K134*(I137/100)</f>
        <v>0.4725</v>
      </c>
      <c r="L137" s="1">
        <f>1080*0.007/L134*(I137/100)</f>
        <v>0.23625</v>
      </c>
      <c r="M137" s="8"/>
      <c r="N137" s="1"/>
      <c r="O137" s="1"/>
      <c r="P137" s="26">
        <v>100</v>
      </c>
      <c r="Q137" s="1">
        <f>70*0.007/Q134*(P137/100)</f>
        <v>0.49</v>
      </c>
      <c r="R137" s="1">
        <f>78*0.007/R134*(P137/100)</f>
        <v>0.034125</v>
      </c>
      <c r="S137" s="1">
        <f>78*0.007/S134*(P137/100)</f>
        <v>0.0170625</v>
      </c>
      <c r="T137" s="8"/>
      <c r="W137" s="26">
        <v>100</v>
      </c>
      <c r="X137" s="1">
        <f>253*0.007/X134*(W137/100)</f>
        <v>1.771</v>
      </c>
      <c r="Y137" s="1">
        <f>253*0.007/Y134*(W137/100)</f>
        <v>0.1106875</v>
      </c>
      <c r="Z137" s="1">
        <f>253*0.007/Z134*(W137/100)</f>
        <v>0.05534375</v>
      </c>
      <c r="AA137" s="8"/>
    </row>
    <row r="138" spans="9:27">
      <c r="I138" s="26"/>
      <c r="M138" s="8"/>
      <c r="N138" s="1"/>
      <c r="O138" s="1"/>
      <c r="P138" s="26"/>
      <c r="T138" s="8"/>
      <c r="W138" s="26"/>
      <c r="AA138" s="8"/>
    </row>
    <row r="139" spans="9:27">
      <c r="I139" s="26" t="s">
        <v>261</v>
      </c>
      <c r="J139" s="1">
        <v>1</v>
      </c>
      <c r="K139" s="1">
        <v>16</v>
      </c>
      <c r="L139" s="1">
        <v>32</v>
      </c>
      <c r="M139" s="8"/>
      <c r="N139" s="1"/>
      <c r="O139" s="1"/>
      <c r="P139" s="26" t="s">
        <v>261</v>
      </c>
      <c r="Q139" s="1">
        <v>1</v>
      </c>
      <c r="R139" s="1">
        <v>16</v>
      </c>
      <c r="S139" s="1">
        <v>32</v>
      </c>
      <c r="T139" s="8"/>
      <c r="W139" s="26" t="s">
        <v>261</v>
      </c>
      <c r="X139" s="1">
        <v>1</v>
      </c>
      <c r="Y139" s="1">
        <v>16</v>
      </c>
      <c r="Z139" s="1">
        <v>32</v>
      </c>
      <c r="AA139" s="8"/>
    </row>
    <row r="140" spans="9:27">
      <c r="I140" s="26">
        <v>10</v>
      </c>
      <c r="J140" s="1">
        <f>J135+J115</f>
        <v>50.264786058601</v>
      </c>
      <c r="K140" s="1">
        <f>K135+K115</f>
        <v>234.465311883785</v>
      </c>
      <c r="L140" s="1">
        <f>L135+L115</f>
        <v>443.856950768789</v>
      </c>
      <c r="M140" s="8"/>
      <c r="N140" s="1"/>
      <c r="O140" s="1"/>
      <c r="P140" s="26">
        <v>10</v>
      </c>
      <c r="Q140" s="1">
        <f t="shared" ref="Q140:S140" si="175">Q135+Q115</f>
        <v>37.1789957442287</v>
      </c>
      <c r="R140" s="1">
        <f t="shared" si="175"/>
        <v>253.896601195993</v>
      </c>
      <c r="S140" s="1">
        <f t="shared" si="175"/>
        <v>554.607896157077</v>
      </c>
      <c r="T140" s="8"/>
      <c r="W140" s="26">
        <v>10</v>
      </c>
      <c r="X140" s="1">
        <f t="shared" ref="X140:Z140" si="176">X135+X115</f>
        <v>21.145106750428</v>
      </c>
      <c r="Y140" s="1">
        <f t="shared" si="176"/>
        <v>149.12122907962</v>
      </c>
      <c r="Z140" s="1">
        <f t="shared" si="176"/>
        <v>271.325814691209</v>
      </c>
      <c r="AA140" s="8"/>
    </row>
    <row r="141" spans="9:27">
      <c r="I141" s="26">
        <v>50</v>
      </c>
      <c r="J141" s="1">
        <f>J136+J116</f>
        <v>24.6176014129105</v>
      </c>
      <c r="K141" s="1">
        <f>K136+K116</f>
        <v>67.5185738393449</v>
      </c>
      <c r="L141" s="1">
        <f>L136+L116</f>
        <v>110.106932982137</v>
      </c>
      <c r="M141" s="8"/>
      <c r="N141" s="1"/>
      <c r="O141" s="1"/>
      <c r="P141" s="26">
        <v>50</v>
      </c>
      <c r="Q141" s="1">
        <f t="shared" ref="Q141:S141" si="177">Q136+Q116</f>
        <v>8.91378806918716</v>
      </c>
      <c r="R141" s="1">
        <f t="shared" si="177"/>
        <v>61.1310391901033</v>
      </c>
      <c r="S141" s="1">
        <f t="shared" si="177"/>
        <v>104.540992610857</v>
      </c>
      <c r="T141" s="8"/>
      <c r="W141" s="26">
        <v>50</v>
      </c>
      <c r="X141" s="1">
        <f t="shared" ref="X141:Z141" si="178">X136+X116</f>
        <v>7.62432119638364</v>
      </c>
      <c r="Y141" s="1">
        <f t="shared" si="178"/>
        <v>35.6920572843425</v>
      </c>
      <c r="Z141" s="1">
        <f t="shared" si="178"/>
        <v>63.9541948644932</v>
      </c>
      <c r="AA141" s="8"/>
    </row>
    <row r="142" spans="9:27">
      <c r="I142" s="26">
        <v>100</v>
      </c>
      <c r="J142" s="1">
        <f>J137+J117</f>
        <v>24.9477430215504</v>
      </c>
      <c r="K142" s="1">
        <f>K137+K117</f>
        <v>47.1412985358152</v>
      </c>
      <c r="L142" s="1">
        <f>L137+L117</f>
        <v>78.3405401517716</v>
      </c>
      <c r="M142" s="8"/>
      <c r="N142" s="1"/>
      <c r="O142" s="1"/>
      <c r="P142" s="26">
        <v>100</v>
      </c>
      <c r="Q142" s="1">
        <f t="shared" ref="Q142:S142" si="179">Q137+Q117</f>
        <v>5.65194212153307</v>
      </c>
      <c r="R142" s="1">
        <f t="shared" si="179"/>
        <v>38.8098260257159</v>
      </c>
      <c r="S142" s="1">
        <f t="shared" si="179"/>
        <v>73.9152948971571</v>
      </c>
      <c r="T142" s="8"/>
      <c r="W142" s="26">
        <v>100</v>
      </c>
      <c r="X142" s="1">
        <f t="shared" ref="X142:Z142" si="180">X137+X117</f>
        <v>6.74442264069774</v>
      </c>
      <c r="Y142" s="1">
        <f t="shared" si="180"/>
        <v>23.6958740530277</v>
      </c>
      <c r="Z142" s="1">
        <f t="shared" si="180"/>
        <v>43.1492427579629</v>
      </c>
      <c r="AA142" s="8"/>
    </row>
    <row r="143" spans="9:27">
      <c r="I143" s="26"/>
      <c r="M143" s="8"/>
      <c r="N143" s="1"/>
      <c r="O143" s="1"/>
      <c r="P143" s="26"/>
      <c r="T143" s="8"/>
      <c r="W143" s="26"/>
      <c r="AA143" s="8"/>
    </row>
    <row r="144" spans="9:27">
      <c r="I144" s="45" t="s">
        <v>262</v>
      </c>
      <c r="J144" s="46">
        <v>1</v>
      </c>
      <c r="K144" s="46">
        <v>16</v>
      </c>
      <c r="L144" s="46">
        <v>32</v>
      </c>
      <c r="M144" s="47" t="s">
        <v>246</v>
      </c>
      <c r="N144" s="1"/>
      <c r="O144" s="1"/>
      <c r="P144" s="45" t="s">
        <v>262</v>
      </c>
      <c r="Q144" s="46">
        <v>1</v>
      </c>
      <c r="R144" s="46">
        <v>16</v>
      </c>
      <c r="S144" s="46">
        <v>32</v>
      </c>
      <c r="T144" s="47" t="s">
        <v>246</v>
      </c>
      <c r="W144" s="45" t="s">
        <v>262</v>
      </c>
      <c r="X144" s="46">
        <v>1</v>
      </c>
      <c r="Y144" s="46">
        <v>16</v>
      </c>
      <c r="Z144" s="46">
        <v>32</v>
      </c>
      <c r="AA144" s="47" t="s">
        <v>246</v>
      </c>
    </row>
    <row r="145" spans="9:27">
      <c r="I145" s="45">
        <v>10</v>
      </c>
      <c r="J145" s="46">
        <f>ABS(J140-J120)</f>
        <v>1.22521394139901</v>
      </c>
      <c r="K145" s="46">
        <f>ABS(K140-K120)</f>
        <v>25.954688116215</v>
      </c>
      <c r="L145" s="46">
        <f>ABS(L140-L120)</f>
        <v>13.673049231211</v>
      </c>
      <c r="M145" s="47">
        <f>SUM(J145:L147)/COUNT(J145:L147)</f>
        <v>6.15223946547265</v>
      </c>
      <c r="N145" s="1"/>
      <c r="O145" s="1"/>
      <c r="P145" s="45">
        <v>10</v>
      </c>
      <c r="Q145" s="46">
        <f t="shared" ref="Q145:S145" si="181">ABS(Q140-Q120)</f>
        <v>2.0710042557713</v>
      </c>
      <c r="R145" s="46">
        <f t="shared" si="181"/>
        <v>41.303398804007</v>
      </c>
      <c r="S145" s="46">
        <f t="shared" si="181"/>
        <v>10.422103842923</v>
      </c>
      <c r="T145" s="47">
        <f>SUM(Q145:S147)/COUNT(Q145:S147)</f>
        <v>7.66860051061565</v>
      </c>
      <c r="W145" s="45">
        <v>10</v>
      </c>
      <c r="X145" s="46">
        <f t="shared" ref="X145:Z145" si="182">ABS(X140-X120)</f>
        <v>2.344893249572</v>
      </c>
      <c r="Y145" s="46">
        <f t="shared" si="182"/>
        <v>6.73877092038003</v>
      </c>
      <c r="Z145" s="46">
        <f t="shared" si="182"/>
        <v>12.434185308791</v>
      </c>
      <c r="AA145" s="47">
        <f>SUM(X145:Z147)/COUNT(X145:Z147)</f>
        <v>3.06767966602836</v>
      </c>
    </row>
    <row r="146" spans="9:27">
      <c r="I146" s="45">
        <v>50</v>
      </c>
      <c r="J146" s="46">
        <f>ABS(J141-J121)</f>
        <v>0.497601412910502</v>
      </c>
      <c r="K146" s="46">
        <f>ABS(K141-K121)</f>
        <v>4.92857383934489</v>
      </c>
      <c r="L146" s="46">
        <f>ABS(L141-L121)</f>
        <v>6.16693298213701</v>
      </c>
      <c r="M146" s="47"/>
      <c r="N146" s="1"/>
      <c r="O146" s="1"/>
      <c r="P146" s="45">
        <v>50</v>
      </c>
      <c r="Q146" s="46">
        <f t="shared" ref="Q146:S146" si="183">ABS(Q141-Q121)</f>
        <v>0.933788069187159</v>
      </c>
      <c r="R146" s="46">
        <f t="shared" si="183"/>
        <v>3.7210391901033</v>
      </c>
      <c r="S146" s="46">
        <f t="shared" si="183"/>
        <v>4.639007389143</v>
      </c>
      <c r="T146" s="47"/>
      <c r="W146" s="45">
        <v>50</v>
      </c>
      <c r="X146" s="46">
        <f t="shared" ref="X146:Z146" si="184">ABS(X141-X121)</f>
        <v>0.97432119638364</v>
      </c>
      <c r="Y146" s="46">
        <f t="shared" si="184"/>
        <v>1.2120572843425</v>
      </c>
      <c r="Z146" s="46">
        <f t="shared" si="184"/>
        <v>2.0941948644932</v>
      </c>
      <c r="AA146" s="47"/>
    </row>
    <row r="147" spans="9:27">
      <c r="I147" s="45">
        <v>100</v>
      </c>
      <c r="J147" s="46">
        <f>ABS(J142-J122)</f>
        <v>0.692256978449599</v>
      </c>
      <c r="K147" s="46">
        <f>ABS(K142-K122)</f>
        <v>1.0212985358152</v>
      </c>
      <c r="L147" s="46">
        <f>ABS(L142-L122)</f>
        <v>1.2105401517716</v>
      </c>
      <c r="M147" s="47"/>
      <c r="N147" s="1"/>
      <c r="O147" s="1"/>
      <c r="P147" s="45">
        <v>100</v>
      </c>
      <c r="Q147" s="46">
        <f t="shared" ref="Q147:S147" si="185">ABS(Q142-Q122)</f>
        <v>0.28194212153307</v>
      </c>
      <c r="R147" s="46">
        <f t="shared" si="185"/>
        <v>1.8498260257159</v>
      </c>
      <c r="S147" s="46">
        <f t="shared" si="185"/>
        <v>3.79529489715709</v>
      </c>
      <c r="T147" s="47"/>
      <c r="W147" s="45">
        <v>100</v>
      </c>
      <c r="X147" s="46">
        <f t="shared" ref="X147:Z147" si="186">ABS(X142-X122)</f>
        <v>0.0655773593022593</v>
      </c>
      <c r="Y147" s="46">
        <f t="shared" si="186"/>
        <v>0.635874053027703</v>
      </c>
      <c r="Z147" s="46">
        <f t="shared" si="186"/>
        <v>1.1092427579629</v>
      </c>
      <c r="AA147" s="47"/>
    </row>
    <row r="148" spans="9:27">
      <c r="I148" s="45"/>
      <c r="J148" s="46"/>
      <c r="K148" s="46"/>
      <c r="L148" s="46"/>
      <c r="M148" s="47"/>
      <c r="N148" s="1"/>
      <c r="O148" s="1"/>
      <c r="P148" s="45"/>
      <c r="Q148" s="46"/>
      <c r="R148" s="46"/>
      <c r="S148" s="46"/>
      <c r="T148" s="47"/>
      <c r="W148" s="45"/>
      <c r="X148" s="46"/>
      <c r="Y148" s="46"/>
      <c r="Z148" s="46"/>
      <c r="AA148" s="47"/>
    </row>
    <row r="149" spans="9:27">
      <c r="I149" s="45" t="s">
        <v>263</v>
      </c>
      <c r="J149" s="46">
        <v>1</v>
      </c>
      <c r="K149" s="46">
        <v>16</v>
      </c>
      <c r="L149" s="46">
        <v>32</v>
      </c>
      <c r="M149" s="47" t="s">
        <v>246</v>
      </c>
      <c r="N149" s="1"/>
      <c r="O149" s="1"/>
      <c r="P149" s="45" t="s">
        <v>263</v>
      </c>
      <c r="Q149" s="46">
        <v>1</v>
      </c>
      <c r="R149" s="46">
        <v>16</v>
      </c>
      <c r="S149" s="46">
        <v>32</v>
      </c>
      <c r="T149" s="47" t="s">
        <v>246</v>
      </c>
      <c r="W149" s="45" t="s">
        <v>263</v>
      </c>
      <c r="X149" s="46">
        <v>1</v>
      </c>
      <c r="Y149" s="46">
        <v>16</v>
      </c>
      <c r="Z149" s="46">
        <v>32</v>
      </c>
      <c r="AA149" s="47" t="s">
        <v>246</v>
      </c>
    </row>
    <row r="150" spans="9:27">
      <c r="I150" s="45">
        <v>10</v>
      </c>
      <c r="J150" s="50">
        <f>J145/J120</f>
        <v>0.0237951823926783</v>
      </c>
      <c r="K150" s="50">
        <f>K145/K120</f>
        <v>0.0996647266577645</v>
      </c>
      <c r="L150" s="50">
        <f>L145/L120</f>
        <v>0.0298844867685419</v>
      </c>
      <c r="M150" s="47">
        <f>SUM(J150:L152)/COUNT(J150:L152)</f>
        <v>0.0418764854158655</v>
      </c>
      <c r="N150" s="1"/>
      <c r="O150" s="1"/>
      <c r="P150" s="45">
        <v>10</v>
      </c>
      <c r="Q150" s="50">
        <f t="shared" ref="Q150:S150" si="187">Q145/Q120</f>
        <v>0.0527644396374853</v>
      </c>
      <c r="R150" s="50">
        <f t="shared" si="187"/>
        <v>0.1399166626152</v>
      </c>
      <c r="S150" s="50">
        <f t="shared" si="187"/>
        <v>0.0184452220995752</v>
      </c>
      <c r="T150" s="47">
        <f>SUM(Q150:S152)/COUNT(Q150:S152)</f>
        <v>0.065791709782493</v>
      </c>
      <c r="W150" s="45">
        <v>10</v>
      </c>
      <c r="X150" s="50">
        <f t="shared" ref="X150:Z150" si="188">X145/X120</f>
        <v>0.0998251702670072</v>
      </c>
      <c r="Y150" s="50">
        <f t="shared" si="188"/>
        <v>0.0432360510739127</v>
      </c>
      <c r="Z150" s="50">
        <f t="shared" si="188"/>
        <v>0.0438193730927226</v>
      </c>
      <c r="AA150" s="47">
        <f>SUM(X150:Z152)/COUNT(X150:Z152)</f>
        <v>0.0517767843229016</v>
      </c>
    </row>
    <row r="151" spans="9:27">
      <c r="I151" s="45">
        <v>50</v>
      </c>
      <c r="J151" s="50">
        <f>J146/J121</f>
        <v>0.0206302409996062</v>
      </c>
      <c r="K151" s="50">
        <f>K146/K121</f>
        <v>0.0787437903713835</v>
      </c>
      <c r="L151" s="50">
        <f>L146/L121</f>
        <v>0.0593316623257361</v>
      </c>
      <c r="M151" s="47"/>
      <c r="N151" s="1"/>
      <c r="O151" s="1"/>
      <c r="P151" s="45">
        <v>50</v>
      </c>
      <c r="Q151" s="50">
        <f t="shared" ref="Q151:S151" si="189">Q146/Q121</f>
        <v>0.117016048770321</v>
      </c>
      <c r="R151" s="50">
        <f t="shared" si="189"/>
        <v>0.0648151748842241</v>
      </c>
      <c r="S151" s="50">
        <f t="shared" si="189"/>
        <v>0.0424895346138762</v>
      </c>
      <c r="T151" s="47"/>
      <c r="W151" s="45">
        <v>50</v>
      </c>
      <c r="X151" s="50">
        <f t="shared" ref="X151:Z151" si="190">X146/X121</f>
        <v>0.1465144656216</v>
      </c>
      <c r="Y151" s="50">
        <f t="shared" si="190"/>
        <v>0.035152473443808</v>
      </c>
      <c r="Z151" s="50">
        <f t="shared" si="190"/>
        <v>0.0338537805446687</v>
      </c>
      <c r="AA151" s="47"/>
    </row>
    <row r="152" ht="15.15" spans="9:27">
      <c r="I152" s="51">
        <v>100</v>
      </c>
      <c r="J152" s="52">
        <f>J147/J122</f>
        <v>0.0269991021236193</v>
      </c>
      <c r="K152" s="52">
        <f>K147/K122</f>
        <v>0.0221443741503729</v>
      </c>
      <c r="L152" s="52">
        <f>L147/L122</f>
        <v>0.0156948029530869</v>
      </c>
      <c r="M152" s="53"/>
      <c r="N152" s="1"/>
      <c r="O152" s="1"/>
      <c r="P152" s="51">
        <v>100</v>
      </c>
      <c r="Q152" s="52">
        <f t="shared" ref="Q152:S152" si="191">Q147/Q122</f>
        <v>0.0525031883674245</v>
      </c>
      <c r="R152" s="52">
        <f t="shared" si="191"/>
        <v>0.0500494054576812</v>
      </c>
      <c r="S152" s="52">
        <f t="shared" si="191"/>
        <v>0.0541257115966499</v>
      </c>
      <c r="T152" s="53"/>
      <c r="W152" s="51">
        <v>100</v>
      </c>
      <c r="X152" s="52">
        <f t="shared" ref="X152:Z152" si="192">X147/X122</f>
        <v>0.00962956817948007</v>
      </c>
      <c r="Y152" s="52">
        <f t="shared" si="192"/>
        <v>0.0275747637913141</v>
      </c>
      <c r="Z152" s="52">
        <f t="shared" si="192"/>
        <v>0.0263854128916008</v>
      </c>
      <c r="AA152" s="53"/>
    </row>
    <row r="153" ht="15.15" spans="14:15">
      <c r="N153" s="1"/>
      <c r="O153" s="1"/>
    </row>
    <row r="154" ht="15.15" spans="14:15">
      <c r="N154" s="1"/>
      <c r="O154" s="1"/>
    </row>
    <row r="155" ht="15.15" spans="9:27">
      <c r="I155" s="55" t="s">
        <v>265</v>
      </c>
      <c r="J155" s="56"/>
      <c r="K155" s="56"/>
      <c r="L155" s="56"/>
      <c r="M155" s="57"/>
      <c r="N155" s="1"/>
      <c r="O155" s="1"/>
      <c r="P155" s="55" t="s">
        <v>266</v>
      </c>
      <c r="Q155" s="56"/>
      <c r="R155" s="56"/>
      <c r="S155" s="56"/>
      <c r="T155" s="57"/>
      <c r="W155" s="55" t="s">
        <v>267</v>
      </c>
      <c r="X155" s="56"/>
      <c r="Y155" s="56"/>
      <c r="Z155" s="56"/>
      <c r="AA155" s="57"/>
    </row>
    <row r="156" spans="9:27">
      <c r="I156" s="58"/>
      <c r="J156" s="1">
        <v>1</v>
      </c>
      <c r="K156" s="1">
        <v>16</v>
      </c>
      <c r="L156" s="1">
        <v>32</v>
      </c>
      <c r="M156" s="59"/>
      <c r="N156" s="1"/>
      <c r="O156" s="1"/>
      <c r="P156" s="58"/>
      <c r="Q156" s="1">
        <v>1</v>
      </c>
      <c r="R156" s="1">
        <v>16</v>
      </c>
      <c r="S156" s="1">
        <v>32</v>
      </c>
      <c r="T156" s="59"/>
      <c r="W156" s="58"/>
      <c r="X156" s="1">
        <v>1</v>
      </c>
      <c r="Y156" s="1">
        <v>16</v>
      </c>
      <c r="Z156" s="1">
        <v>32</v>
      </c>
      <c r="AA156" s="59"/>
    </row>
    <row r="157" spans="9:27">
      <c r="I157" s="58">
        <v>10</v>
      </c>
      <c r="J157" s="1">
        <v>50.29</v>
      </c>
      <c r="K157" s="1">
        <v>257.28</v>
      </c>
      <c r="L157" s="1">
        <v>451.22</v>
      </c>
      <c r="M157" s="59"/>
      <c r="N157" s="1"/>
      <c r="O157" s="1"/>
      <c r="P157" s="58">
        <v>10</v>
      </c>
      <c r="Q157" s="1">
        <v>38.19</v>
      </c>
      <c r="R157" s="1">
        <v>292.75</v>
      </c>
      <c r="S157" s="1">
        <v>560.93</v>
      </c>
      <c r="T157" s="59"/>
      <c r="W157" s="58">
        <v>10</v>
      </c>
      <c r="X157" s="1">
        <v>22.67</v>
      </c>
      <c r="Y157" s="1">
        <v>154.27</v>
      </c>
      <c r="Z157" s="1">
        <v>281.85</v>
      </c>
      <c r="AA157" s="59"/>
    </row>
    <row r="158" spans="9:27">
      <c r="I158" s="58">
        <v>50</v>
      </c>
      <c r="J158" s="1">
        <v>28.03</v>
      </c>
      <c r="K158" s="1">
        <v>68.01</v>
      </c>
      <c r="L158" s="1">
        <v>105.47</v>
      </c>
      <c r="M158" s="59"/>
      <c r="N158" s="1"/>
      <c r="O158" s="1"/>
      <c r="P158" s="58">
        <v>50</v>
      </c>
      <c r="Q158" s="1">
        <v>10.99</v>
      </c>
      <c r="R158" s="1">
        <v>59.32</v>
      </c>
      <c r="S158" s="1">
        <v>110.25</v>
      </c>
      <c r="T158" s="59"/>
      <c r="W158" s="58">
        <v>50</v>
      </c>
      <c r="X158" s="1">
        <v>9.34</v>
      </c>
      <c r="Y158" s="1">
        <v>36.81</v>
      </c>
      <c r="Z158" s="1">
        <v>63.45</v>
      </c>
      <c r="AA158" s="59"/>
    </row>
    <row r="159" spans="9:27">
      <c r="I159" s="58">
        <v>100</v>
      </c>
      <c r="J159" s="1">
        <v>25.36</v>
      </c>
      <c r="K159" s="1">
        <v>45.27</v>
      </c>
      <c r="L159" s="1">
        <v>63.93</v>
      </c>
      <c r="M159" s="59"/>
      <c r="N159" s="1"/>
      <c r="O159" s="1"/>
      <c r="P159" s="58">
        <v>100</v>
      </c>
      <c r="Q159" s="1">
        <v>7.78</v>
      </c>
      <c r="R159" s="1">
        <v>31.81</v>
      </c>
      <c r="S159" s="1">
        <v>58.39</v>
      </c>
      <c r="T159" s="59"/>
      <c r="W159" s="58">
        <v>100</v>
      </c>
      <c r="X159" s="1">
        <v>7.59</v>
      </c>
      <c r="Y159" s="1">
        <v>21.41</v>
      </c>
      <c r="Z159" s="1">
        <v>34.81</v>
      </c>
      <c r="AA159" s="59"/>
    </row>
    <row r="160" spans="9:27">
      <c r="I160" s="58"/>
      <c r="M160" s="59"/>
      <c r="N160" s="1"/>
      <c r="O160" s="1"/>
      <c r="P160" s="58"/>
      <c r="T160" s="59"/>
      <c r="W160" s="58"/>
      <c r="AA160" s="59"/>
    </row>
    <row r="161" spans="9:27">
      <c r="I161" s="60" t="s">
        <v>221</v>
      </c>
      <c r="J161" s="46">
        <v>1</v>
      </c>
      <c r="K161" s="46">
        <v>16</v>
      </c>
      <c r="L161" s="46">
        <v>32</v>
      </c>
      <c r="M161" s="61" t="s">
        <v>246</v>
      </c>
      <c r="N161" s="1"/>
      <c r="O161" s="1"/>
      <c r="P161" s="60" t="s">
        <v>221</v>
      </c>
      <c r="Q161" s="46">
        <v>1</v>
      </c>
      <c r="R161" s="46">
        <v>16</v>
      </c>
      <c r="S161" s="46">
        <v>32</v>
      </c>
      <c r="T161" s="61" t="s">
        <v>246</v>
      </c>
      <c r="W161" s="60" t="s">
        <v>221</v>
      </c>
      <c r="X161" s="46">
        <v>1</v>
      </c>
      <c r="Y161" s="46">
        <v>16</v>
      </c>
      <c r="Z161" s="46">
        <v>32</v>
      </c>
      <c r="AA161" s="61" t="s">
        <v>246</v>
      </c>
    </row>
    <row r="162" spans="9:27">
      <c r="I162" s="60">
        <v>10</v>
      </c>
      <c r="J162" s="46">
        <f>ABS(J157-J120)</f>
        <v>1.2</v>
      </c>
      <c r="K162" s="46">
        <f>ABS(K157-K120)</f>
        <v>3.14000000000004</v>
      </c>
      <c r="L162" s="46">
        <f>ABS(L157-L120)</f>
        <v>6.30999999999995</v>
      </c>
      <c r="M162" s="61">
        <f>SUM(J162:L164)/COUNT(J162:L164)</f>
        <v>3.98222222222222</v>
      </c>
      <c r="N162" s="1"/>
      <c r="O162" s="1"/>
      <c r="P162" s="60">
        <v>10</v>
      </c>
      <c r="Q162" s="46">
        <f t="shared" ref="Q162:S162" si="193">ABS(Q157-Q120)</f>
        <v>1.06</v>
      </c>
      <c r="R162" s="46">
        <f t="shared" si="193"/>
        <v>2.44999999999999</v>
      </c>
      <c r="S162" s="46">
        <f t="shared" si="193"/>
        <v>4.10000000000002</v>
      </c>
      <c r="T162" s="61">
        <f>SUM(Q162:S164)/COUNT(Q162:S164)</f>
        <v>3.65444444444444</v>
      </c>
      <c r="W162" s="60">
        <v>10</v>
      </c>
      <c r="X162" s="46">
        <f t="shared" ref="X162:Z162" si="194">ABS(X157-X120)</f>
        <v>0.819999999999997</v>
      </c>
      <c r="Y162" s="46">
        <f t="shared" si="194"/>
        <v>1.59</v>
      </c>
      <c r="Z162" s="46">
        <f t="shared" si="194"/>
        <v>1.90999999999997</v>
      </c>
      <c r="AA162" s="61">
        <f>SUM(X162:Z164)/COUNT(X162:Z164)</f>
        <v>2.28777777777777</v>
      </c>
    </row>
    <row r="163" spans="9:27">
      <c r="I163" s="60">
        <v>50</v>
      </c>
      <c r="J163" s="46">
        <f>ABS(J158-J121)</f>
        <v>3.91</v>
      </c>
      <c r="K163" s="46">
        <f>ABS(K158-K121)</f>
        <v>5.42</v>
      </c>
      <c r="L163" s="46">
        <f>ABS(L158-L121)</f>
        <v>1.53</v>
      </c>
      <c r="M163" s="61"/>
      <c r="N163" s="1"/>
      <c r="O163" s="1"/>
      <c r="P163" s="60">
        <v>50</v>
      </c>
      <c r="Q163" s="46">
        <f t="shared" ref="Q163:S163" si="195">ABS(Q158-Q121)</f>
        <v>3.01</v>
      </c>
      <c r="R163" s="46">
        <f t="shared" si="195"/>
        <v>1.91</v>
      </c>
      <c r="S163" s="46">
        <f t="shared" si="195"/>
        <v>1.06999999999999</v>
      </c>
      <c r="T163" s="61"/>
      <c r="W163" s="60">
        <v>50</v>
      </c>
      <c r="X163" s="46">
        <f t="shared" ref="X163:Z163" si="196">ABS(X158-X121)</f>
        <v>2.69</v>
      </c>
      <c r="Y163" s="46">
        <f t="shared" si="196"/>
        <v>2.33000000000001</v>
      </c>
      <c r="Z163" s="46">
        <f t="shared" si="196"/>
        <v>1.59</v>
      </c>
      <c r="AA163" s="61"/>
    </row>
    <row r="164" spans="9:27">
      <c r="I164" s="60">
        <v>100</v>
      </c>
      <c r="J164" s="46">
        <f>ABS(J159-J122)</f>
        <v>0.280000000000001</v>
      </c>
      <c r="K164" s="46">
        <f>ABS(K159-K122)</f>
        <v>0.849999999999994</v>
      </c>
      <c r="L164" s="46">
        <f>ABS(L159-L122)</f>
        <v>13.2</v>
      </c>
      <c r="M164" s="61"/>
      <c r="N164" s="1"/>
      <c r="O164" s="1"/>
      <c r="P164" s="60">
        <v>100</v>
      </c>
      <c r="Q164" s="46">
        <f t="shared" ref="Q164:S164" si="197">ABS(Q159-Q122)</f>
        <v>2.41</v>
      </c>
      <c r="R164" s="46">
        <f t="shared" si="197"/>
        <v>5.15</v>
      </c>
      <c r="S164" s="46">
        <f t="shared" si="197"/>
        <v>11.73</v>
      </c>
      <c r="T164" s="61"/>
      <c r="W164" s="60">
        <v>100</v>
      </c>
      <c r="X164" s="46">
        <f t="shared" ref="X164:Z164" si="198">ABS(X159-X122)</f>
        <v>0.78</v>
      </c>
      <c r="Y164" s="46">
        <f t="shared" si="198"/>
        <v>1.65</v>
      </c>
      <c r="Z164" s="46">
        <f t="shared" si="198"/>
        <v>7.23</v>
      </c>
      <c r="AA164" s="61"/>
    </row>
    <row r="165" spans="9:27">
      <c r="I165" s="60"/>
      <c r="J165" s="46"/>
      <c r="K165" s="46"/>
      <c r="L165" s="46"/>
      <c r="M165" s="61"/>
      <c r="N165" s="1"/>
      <c r="O165" s="1"/>
      <c r="P165" s="60"/>
      <c r="Q165" s="46"/>
      <c r="R165" s="46"/>
      <c r="S165" s="46"/>
      <c r="T165" s="61"/>
      <c r="W165" s="60"/>
      <c r="X165" s="46"/>
      <c r="Y165" s="46"/>
      <c r="Z165" s="46"/>
      <c r="AA165" s="61"/>
    </row>
    <row r="166" spans="9:27">
      <c r="I166" s="60" t="s">
        <v>238</v>
      </c>
      <c r="J166" s="46">
        <v>1</v>
      </c>
      <c r="K166" s="46">
        <v>16</v>
      </c>
      <c r="L166" s="46">
        <v>32</v>
      </c>
      <c r="M166" s="61" t="s">
        <v>246</v>
      </c>
      <c r="N166" s="1"/>
      <c r="O166" s="1"/>
      <c r="P166" s="60" t="s">
        <v>238</v>
      </c>
      <c r="Q166" s="46">
        <v>1</v>
      </c>
      <c r="R166" s="46">
        <v>16</v>
      </c>
      <c r="S166" s="46">
        <v>32</v>
      </c>
      <c r="T166" s="61" t="s">
        <v>246</v>
      </c>
      <c r="W166" s="60" t="s">
        <v>238</v>
      </c>
      <c r="X166" s="46">
        <v>1</v>
      </c>
      <c r="Y166" s="46">
        <v>16</v>
      </c>
      <c r="Z166" s="46">
        <v>32</v>
      </c>
      <c r="AA166" s="61" t="s">
        <v>246</v>
      </c>
    </row>
    <row r="167" spans="9:27">
      <c r="I167" s="60">
        <v>10</v>
      </c>
      <c r="J167" s="50">
        <f>J162/J120</f>
        <v>0.0233054962128569</v>
      </c>
      <c r="K167" s="50">
        <f>K162/K120</f>
        <v>0.0120574456646957</v>
      </c>
      <c r="L167" s="50">
        <f>L162/L120</f>
        <v>0.0137914453697024</v>
      </c>
      <c r="M167" s="61">
        <f>SUM(J167:L169)/COUNT(J167:L169)</f>
        <v>0.0570073455688384</v>
      </c>
      <c r="N167" s="1"/>
      <c r="O167" s="1"/>
      <c r="P167" s="60">
        <v>10</v>
      </c>
      <c r="Q167" s="50">
        <f t="shared" ref="Q167:S167" si="199">Q162/Q120</f>
        <v>0.0270063694267516</v>
      </c>
      <c r="R167" s="50">
        <f t="shared" si="199"/>
        <v>0.00829945799457991</v>
      </c>
      <c r="S167" s="50">
        <f t="shared" si="199"/>
        <v>0.00725625188043117</v>
      </c>
      <c r="T167" s="61">
        <f>SUM(Q167:S169)/COUNT(Q167:S169)</f>
        <v>0.135359878905595</v>
      </c>
      <c r="W167" s="60">
        <v>10</v>
      </c>
      <c r="X167" s="50">
        <f t="shared" ref="X167:Z167" si="200">X162/X120</f>
        <v>0.0349084716900807</v>
      </c>
      <c r="Y167" s="50">
        <f t="shared" si="200"/>
        <v>0.0102014628512768</v>
      </c>
      <c r="Z167" s="50">
        <f t="shared" si="200"/>
        <v>0.00673104031575968</v>
      </c>
      <c r="AA167" s="61">
        <f>SUM(X167:Z169)/COUNT(X167:Z169)</f>
        <v>0.100855538240259</v>
      </c>
    </row>
    <row r="168" spans="9:27">
      <c r="I168" s="60">
        <v>50</v>
      </c>
      <c r="J168" s="50">
        <f>J163/J121</f>
        <v>0.162106135986733</v>
      </c>
      <c r="K168" s="50">
        <f>K163/K121</f>
        <v>0.0865953027640198</v>
      </c>
      <c r="L168" s="50">
        <f>L163/L121</f>
        <v>0.0147200307869925</v>
      </c>
      <c r="M168" s="61"/>
      <c r="N168" s="1"/>
      <c r="O168" s="1"/>
      <c r="P168" s="60">
        <v>50</v>
      </c>
      <c r="Q168" s="50">
        <f t="shared" ref="Q168:S168" si="201">Q163/Q121</f>
        <v>0.37719298245614</v>
      </c>
      <c r="R168" s="50">
        <f t="shared" si="201"/>
        <v>0.0332694652499565</v>
      </c>
      <c r="S168" s="50">
        <f t="shared" si="201"/>
        <v>0.00980032973071985</v>
      </c>
      <c r="T168" s="61"/>
      <c r="W168" s="60">
        <v>50</v>
      </c>
      <c r="X168" s="50">
        <f t="shared" ref="X168:Z168" si="202">X163/X121</f>
        <v>0.404511278195489</v>
      </c>
      <c r="Y168" s="50">
        <f t="shared" si="202"/>
        <v>0.0675754060324828</v>
      </c>
      <c r="Z168" s="50">
        <f t="shared" si="202"/>
        <v>0.0257032007759457</v>
      </c>
      <c r="AA168" s="61"/>
    </row>
    <row r="169" ht="15.15" spans="9:27">
      <c r="I169" s="62">
        <v>100</v>
      </c>
      <c r="J169" s="63">
        <f>J164/J122</f>
        <v>0.0109204368174727</v>
      </c>
      <c r="K169" s="63">
        <f>K164/K122</f>
        <v>0.0184301821335645</v>
      </c>
      <c r="L169" s="63">
        <f>L164/L122</f>
        <v>0.171139634383508</v>
      </c>
      <c r="M169" s="64"/>
      <c r="N169" s="1"/>
      <c r="O169" s="1"/>
      <c r="P169" s="62">
        <v>100</v>
      </c>
      <c r="Q169" s="63">
        <f t="shared" ref="Q169:S169" si="203">Q164/Q122</f>
        <v>0.4487895716946</v>
      </c>
      <c r="R169" s="63">
        <f t="shared" si="203"/>
        <v>0.139339826839827</v>
      </c>
      <c r="S169" s="63">
        <f t="shared" si="203"/>
        <v>0.167284654877353</v>
      </c>
      <c r="T169" s="64"/>
      <c r="W169" s="62">
        <v>100</v>
      </c>
      <c r="X169" s="63">
        <f t="shared" ref="X169:Z169" si="204">X164/X122</f>
        <v>0.114537444933921</v>
      </c>
      <c r="Y169" s="63">
        <f t="shared" si="204"/>
        <v>0.0715524718126626</v>
      </c>
      <c r="Z169" s="63">
        <f t="shared" si="204"/>
        <v>0.17197906755471</v>
      </c>
      <c r="AA169" s="64"/>
    </row>
    <row r="170" ht="15.15"/>
  </sheetData>
  <mergeCells count="14">
    <mergeCell ref="C1:E1"/>
    <mergeCell ref="J1:L1"/>
    <mergeCell ref="Q1:S1"/>
    <mergeCell ref="X1:Z1"/>
    <mergeCell ref="A105:A109"/>
    <mergeCell ref="B1:B2"/>
    <mergeCell ref="B3:B5"/>
    <mergeCell ref="I1:I2"/>
    <mergeCell ref="I3:I5"/>
    <mergeCell ref="I111:I113"/>
    <mergeCell ref="P3:P5"/>
    <mergeCell ref="P111:P113"/>
    <mergeCell ref="W3:W5"/>
    <mergeCell ref="W111:W113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6"/>
  <sheetViews>
    <sheetView topLeftCell="G1" workbookViewId="0">
      <selection activeCell="F4" sqref="F4"/>
    </sheetView>
  </sheetViews>
  <sheetFormatPr defaultColWidth="8.88888888888889" defaultRowHeight="14.4"/>
  <cols>
    <col min="1" max="1" width="28.1111111111111" customWidth="1"/>
    <col min="2" max="2" width="21.1111111111111" style="1" customWidth="1"/>
    <col min="3" max="7" width="12.8888888888889" style="1"/>
    <col min="9" max="9" width="18" style="1" customWidth="1"/>
    <col min="10" max="13" width="12.8888888888889" style="1"/>
    <col min="14" max="14" width="12.4444444444444" style="1" customWidth="1"/>
    <col min="16" max="16" width="17.8888888888889" style="1" customWidth="1"/>
    <col min="17" max="20" width="13.3333333333333" style="1" customWidth="1"/>
    <col min="21" max="21" width="12.8888888888889" style="1"/>
    <col min="22" max="22" width="12.2222222222222" customWidth="1"/>
    <col min="23" max="23" width="17.8888888888889" style="1" customWidth="1"/>
    <col min="24" max="27" width="13.3333333333333" style="1" customWidth="1"/>
    <col min="28" max="28" width="13.1111111111111" customWidth="1"/>
  </cols>
  <sheetData>
    <row r="1" ht="63" customHeight="1" spans="1:7">
      <c r="A1" s="15" t="s">
        <v>268</v>
      </c>
      <c r="B1" s="15"/>
      <c r="C1" s="15"/>
      <c r="D1" s="15"/>
      <c r="E1" s="15"/>
      <c r="F1" s="15"/>
      <c r="G1" s="15"/>
    </row>
    <row r="2" spans="2:23">
      <c r="B2" s="1" t="s">
        <v>32</v>
      </c>
      <c r="I2" s="1" t="s">
        <v>3</v>
      </c>
      <c r="P2" s="1" t="s">
        <v>232</v>
      </c>
      <c r="W2" s="1" t="s">
        <v>269</v>
      </c>
    </row>
    <row r="3" spans="2:27">
      <c r="B3" s="1" t="s">
        <v>270</v>
      </c>
      <c r="C3" s="1">
        <v>1</v>
      </c>
      <c r="D3" s="1">
        <v>8</v>
      </c>
      <c r="E3" s="1">
        <v>16</v>
      </c>
      <c r="F3" s="1">
        <v>32</v>
      </c>
      <c r="I3" s="1" t="s">
        <v>270</v>
      </c>
      <c r="J3" s="1">
        <v>1</v>
      </c>
      <c r="K3" s="1">
        <v>8</v>
      </c>
      <c r="L3" s="1">
        <v>16</v>
      </c>
      <c r="M3" s="1">
        <v>32</v>
      </c>
      <c r="P3" s="1" t="s">
        <v>270</v>
      </c>
      <c r="Q3" s="1">
        <v>1</v>
      </c>
      <c r="R3" s="1">
        <v>8</v>
      </c>
      <c r="S3" s="1">
        <v>16</v>
      </c>
      <c r="T3" s="1">
        <v>32</v>
      </c>
      <c r="W3" s="1" t="s">
        <v>270</v>
      </c>
      <c r="X3" s="1">
        <v>1</v>
      </c>
      <c r="Y3" s="1">
        <v>8</v>
      </c>
      <c r="Z3" s="1">
        <v>16</v>
      </c>
      <c r="AA3" s="1">
        <v>32</v>
      </c>
    </row>
    <row r="4" spans="2:27">
      <c r="B4" s="1">
        <v>10</v>
      </c>
      <c r="C4" s="16">
        <v>27.4591576957702</v>
      </c>
      <c r="D4" s="16">
        <v>172.928355255126</v>
      </c>
      <c r="E4" s="16">
        <v>208.945975189208</v>
      </c>
      <c r="F4" s="16">
        <v>395.715660705566</v>
      </c>
      <c r="I4" s="16">
        <v>10</v>
      </c>
      <c r="J4" s="16">
        <v>16.399011554718</v>
      </c>
      <c r="K4" s="16">
        <v>68.3506745147705</v>
      </c>
      <c r="L4" s="16">
        <v>110.637385787963</v>
      </c>
      <c r="M4" s="16">
        <v>203.697675628662</v>
      </c>
      <c r="P4" s="16">
        <v>10</v>
      </c>
      <c r="Q4" s="16">
        <v>36.4851177215576</v>
      </c>
      <c r="R4" s="16">
        <v>118.924942550659</v>
      </c>
      <c r="S4" s="16">
        <v>186.985151214599</v>
      </c>
      <c r="T4" s="16">
        <v>331.710688476562</v>
      </c>
      <c r="W4" s="16">
        <v>10</v>
      </c>
      <c r="X4" s="16">
        <v>5.76741281032562</v>
      </c>
      <c r="Y4" s="16">
        <v>19.4293880653381</v>
      </c>
      <c r="Z4" s="16">
        <v>33.8434934997558</v>
      </c>
      <c r="AA4" s="16">
        <v>62.4705714797973</v>
      </c>
    </row>
    <row r="5" spans="2:27">
      <c r="B5" s="1">
        <v>20</v>
      </c>
      <c r="C5" s="16">
        <v>14.3002688121795</v>
      </c>
      <c r="D5" s="16">
        <v>88.7181967926025</v>
      </c>
      <c r="E5" s="16">
        <v>106.354278411865</v>
      </c>
      <c r="F5" s="16">
        <v>203.893658142089</v>
      </c>
      <c r="I5" s="16">
        <v>20</v>
      </c>
      <c r="J5" s="16">
        <v>9.32200835227966</v>
      </c>
      <c r="K5" s="16">
        <v>36.2440773010253</v>
      </c>
      <c r="L5" s="16">
        <v>58.7370948410034</v>
      </c>
      <c r="M5" s="16">
        <v>105.766200790405</v>
      </c>
      <c r="P5" s="16">
        <v>20</v>
      </c>
      <c r="Q5" s="16">
        <v>26.1885024261474</v>
      </c>
      <c r="R5" s="16">
        <v>64.6552054977417</v>
      </c>
      <c r="S5" s="16">
        <v>102.0394140625</v>
      </c>
      <c r="T5" s="16">
        <v>175.380817260742</v>
      </c>
      <c r="W5" s="16">
        <v>20</v>
      </c>
      <c r="X5" s="16">
        <v>5.27532415390014</v>
      </c>
      <c r="Y5" s="16">
        <v>10.5194525146484</v>
      </c>
      <c r="Z5" s="16">
        <v>17.7648282432556</v>
      </c>
      <c r="AA5" s="16">
        <v>32.8052619552612</v>
      </c>
    </row>
    <row r="6" spans="2:27">
      <c r="B6" s="1">
        <v>25</v>
      </c>
      <c r="C6" s="16">
        <v>10.6484371471405</v>
      </c>
      <c r="D6" s="16">
        <v>66.7595809936523</v>
      </c>
      <c r="E6" s="16">
        <v>81.2485776519775</v>
      </c>
      <c r="F6" s="16">
        <v>155.988681488037</v>
      </c>
      <c r="I6" s="16">
        <v>25</v>
      </c>
      <c r="J6" s="16">
        <v>7.0374137353897</v>
      </c>
      <c r="K6" s="16">
        <v>27.7936428642272</v>
      </c>
      <c r="L6" s="16">
        <v>45.7198117065429</v>
      </c>
      <c r="M6" s="16">
        <v>83.1046887207031</v>
      </c>
      <c r="P6" s="16">
        <v>25</v>
      </c>
      <c r="Q6" s="16">
        <v>25.7120252418518</v>
      </c>
      <c r="R6" s="16">
        <v>48.9366525268554</v>
      </c>
      <c r="S6" s="16">
        <v>81.7546183776855</v>
      </c>
      <c r="T6" s="16">
        <v>137.986616821289</v>
      </c>
      <c r="W6" s="16">
        <v>25</v>
      </c>
      <c r="X6" s="16">
        <v>5.19622112274169</v>
      </c>
      <c r="Y6" s="16">
        <v>8.05499711513519</v>
      </c>
      <c r="Z6" s="16">
        <v>13.9406358242034</v>
      </c>
      <c r="AA6" s="16">
        <v>25.8069862174987</v>
      </c>
    </row>
    <row r="7" spans="2:27">
      <c r="B7" s="1">
        <v>30</v>
      </c>
      <c r="C7" s="16">
        <v>9.30026238441467</v>
      </c>
      <c r="D7" s="16">
        <v>54.50093044281</v>
      </c>
      <c r="E7" s="16">
        <v>67.0211482238769</v>
      </c>
      <c r="F7" s="16">
        <v>128.692418289184</v>
      </c>
      <c r="I7" s="16">
        <v>30</v>
      </c>
      <c r="J7" s="16">
        <v>6.48562654495239</v>
      </c>
      <c r="K7" s="16">
        <v>23.5726469612121</v>
      </c>
      <c r="L7" s="16">
        <v>38.4964239883422</v>
      </c>
      <c r="M7" s="16">
        <v>69.9509857940673</v>
      </c>
      <c r="P7" s="16">
        <v>30</v>
      </c>
      <c r="Q7" s="16">
        <v>25.7318256187438</v>
      </c>
      <c r="R7" s="16">
        <v>42.3795862197876</v>
      </c>
      <c r="S7" s="16">
        <v>67.8292594146728</v>
      </c>
      <c r="T7" s="16">
        <v>116.595132369995</v>
      </c>
      <c r="W7" s="16">
        <v>30</v>
      </c>
      <c r="X7" s="16">
        <v>5.17231679439544</v>
      </c>
      <c r="Y7" s="16">
        <v>6.8448057603836</v>
      </c>
      <c r="Z7" s="16">
        <v>11.9528889560699</v>
      </c>
      <c r="AA7" s="16">
        <v>22.147285041809</v>
      </c>
    </row>
    <row r="8" spans="2:27">
      <c r="B8" s="1">
        <v>40</v>
      </c>
      <c r="C8" s="16">
        <v>7.59013537883758</v>
      </c>
      <c r="D8" s="16">
        <v>43.9296354675292</v>
      </c>
      <c r="E8" s="16">
        <v>54.8864953613281</v>
      </c>
      <c r="F8" s="16">
        <v>104.446403198242</v>
      </c>
      <c r="I8" s="16">
        <v>40</v>
      </c>
      <c r="J8" s="16">
        <v>6.46634850025177</v>
      </c>
      <c r="K8" s="16">
        <v>18.3713302612304</v>
      </c>
      <c r="L8" s="16">
        <v>32.39707862854</v>
      </c>
      <c r="M8" s="16">
        <v>59.2382322311401</v>
      </c>
      <c r="P8" s="16">
        <v>40</v>
      </c>
      <c r="Q8" s="16">
        <v>25.1611737632751</v>
      </c>
      <c r="R8" s="16">
        <v>35.0923558425903</v>
      </c>
      <c r="S8" s="16">
        <v>55.4571285629272</v>
      </c>
      <c r="T8" s="16">
        <v>97.979238204956</v>
      </c>
      <c r="W8" s="16">
        <v>40</v>
      </c>
      <c r="X8" s="16">
        <v>5.1503903388977</v>
      </c>
      <c r="Y8" s="16">
        <v>5.78525025367736</v>
      </c>
      <c r="Z8" s="16">
        <v>10.0882794570922</v>
      </c>
      <c r="AA8" s="16">
        <v>18.7756789398193</v>
      </c>
    </row>
    <row r="9" spans="2:27">
      <c r="B9" s="1">
        <v>50</v>
      </c>
      <c r="C9" s="16">
        <v>6.12253889083862</v>
      </c>
      <c r="D9" s="16">
        <v>35.6678936767578</v>
      </c>
      <c r="E9" s="16">
        <v>45.660877494812</v>
      </c>
      <c r="F9" s="16">
        <v>87.3222274017334</v>
      </c>
      <c r="I9" s="16">
        <v>50</v>
      </c>
      <c r="J9" s="16">
        <v>6.42371232509613</v>
      </c>
      <c r="K9" s="16">
        <v>16.0373068904876</v>
      </c>
      <c r="L9" s="16">
        <v>27.6337587356567</v>
      </c>
      <c r="M9" s="16">
        <v>50.2801660537719</v>
      </c>
      <c r="P9" s="16">
        <v>50</v>
      </c>
      <c r="Q9" s="16">
        <v>24.9820076560974</v>
      </c>
      <c r="R9" s="16">
        <v>30.6420157241821</v>
      </c>
      <c r="S9" s="16">
        <v>49.2518170547485</v>
      </c>
      <c r="T9" s="16">
        <v>85.3058262634277</v>
      </c>
      <c r="W9" s="16">
        <v>50</v>
      </c>
      <c r="X9" s="16">
        <v>5.13166653633117</v>
      </c>
      <c r="Y9" s="16">
        <v>5.52982624053955</v>
      </c>
      <c r="Z9" s="16">
        <v>9.2284310722351</v>
      </c>
      <c r="AA9" s="16">
        <v>16.867533378601</v>
      </c>
    </row>
    <row r="10" spans="2:27">
      <c r="B10" s="1">
        <v>60</v>
      </c>
      <c r="C10" s="16">
        <v>5.71727041721344</v>
      </c>
      <c r="D10" s="16">
        <v>32.2415372276306</v>
      </c>
      <c r="E10" s="16">
        <v>41.8714660644531</v>
      </c>
      <c r="F10" s="16">
        <v>79.7237525177001</v>
      </c>
      <c r="I10" s="16">
        <v>60</v>
      </c>
      <c r="J10" s="16">
        <v>6.41550080299377</v>
      </c>
      <c r="K10" s="16">
        <v>14.9520463275909</v>
      </c>
      <c r="L10" s="16">
        <v>25.3784158897399</v>
      </c>
      <c r="M10" s="16">
        <v>47.969853515625</v>
      </c>
      <c r="P10" s="16">
        <v>60</v>
      </c>
      <c r="Q10" s="16">
        <v>24.9354530334472</v>
      </c>
      <c r="R10" s="16">
        <v>27.9317125511169</v>
      </c>
      <c r="S10" s="16">
        <v>46.9861629867553</v>
      </c>
      <c r="T10" s="16">
        <v>79.9860718536377</v>
      </c>
      <c r="W10" s="16">
        <v>60</v>
      </c>
      <c r="X10" s="16">
        <v>5.10385568141937</v>
      </c>
      <c r="Y10" s="16">
        <v>5.22969567298889</v>
      </c>
      <c r="Z10" s="16">
        <v>8.25665760993957</v>
      </c>
      <c r="AA10" s="16">
        <v>15.7299577522277</v>
      </c>
    </row>
    <row r="11" spans="2:27">
      <c r="B11" s="1">
        <v>70</v>
      </c>
      <c r="C11" s="16">
        <v>5.14384384155273</v>
      </c>
      <c r="D11" s="16">
        <v>29.5663122558593</v>
      </c>
      <c r="E11" s="16">
        <v>39.173370513916</v>
      </c>
      <c r="F11" s="16">
        <v>74.5517700195312</v>
      </c>
      <c r="I11" s="16">
        <v>70</v>
      </c>
      <c r="J11" s="16">
        <v>6.33535264015197</v>
      </c>
      <c r="K11" s="16">
        <v>13.9757817649841</v>
      </c>
      <c r="L11" s="16">
        <v>24.603385066986</v>
      </c>
      <c r="M11" s="16">
        <v>44.3919072341919</v>
      </c>
      <c r="P11" s="16">
        <v>70</v>
      </c>
      <c r="Q11" s="16">
        <v>24.9157468403283</v>
      </c>
      <c r="R11" s="16">
        <v>26.7187371635437</v>
      </c>
      <c r="S11" s="16">
        <v>45.5891695785522</v>
      </c>
      <c r="T11" s="16">
        <v>77.8433264160156</v>
      </c>
      <c r="W11" s="16">
        <v>70</v>
      </c>
      <c r="X11" s="16">
        <v>5.09268094062805</v>
      </c>
      <c r="Y11" s="16">
        <v>5.18377822875976</v>
      </c>
      <c r="Z11" s="16">
        <v>8.09583902835846</v>
      </c>
      <c r="AA11" s="16">
        <v>15.258286447525</v>
      </c>
    </row>
    <row r="12" spans="2:27">
      <c r="B12" s="1">
        <v>75</v>
      </c>
      <c r="C12" s="16">
        <v>5.12522877693176</v>
      </c>
      <c r="D12" s="16">
        <v>28.1188800048828</v>
      </c>
      <c r="E12" s="16">
        <v>37.5424428558349</v>
      </c>
      <c r="F12" s="16">
        <v>71.494550704956</v>
      </c>
      <c r="I12" s="16">
        <v>75</v>
      </c>
      <c r="J12" s="16">
        <v>6.23533344268798</v>
      </c>
      <c r="K12" s="16">
        <v>13.198178281784</v>
      </c>
      <c r="L12" s="16">
        <v>22.7200118827819</v>
      </c>
      <c r="M12" s="16">
        <v>42.0388345336914</v>
      </c>
      <c r="P12" s="16">
        <v>75</v>
      </c>
      <c r="Q12" s="16">
        <v>24.848412361145</v>
      </c>
      <c r="R12" s="16">
        <v>25.6081759834289</v>
      </c>
      <c r="S12" s="16">
        <v>41.2422666931152</v>
      </c>
      <c r="T12" s="16">
        <v>73.7074770355224</v>
      </c>
      <c r="W12" s="16">
        <v>75</v>
      </c>
      <c r="X12" s="16">
        <v>5.08660865306854</v>
      </c>
      <c r="Y12" s="16">
        <v>5.11598143577575</v>
      </c>
      <c r="Z12" s="16">
        <v>7.54304893493652</v>
      </c>
      <c r="AA12" s="16">
        <v>14.4044425296783</v>
      </c>
    </row>
    <row r="13" spans="2:27">
      <c r="B13" s="1">
        <v>80</v>
      </c>
      <c r="C13" s="16">
        <v>5.11382658958435</v>
      </c>
      <c r="D13" s="16">
        <v>26.8100678253173</v>
      </c>
      <c r="E13" s="16">
        <v>36.3642081451416</v>
      </c>
      <c r="F13" s="16">
        <v>69.270037612915</v>
      </c>
      <c r="I13" s="16">
        <v>80</v>
      </c>
      <c r="J13" s="16">
        <v>6.16328927993774</v>
      </c>
      <c r="K13" s="16">
        <v>12.0932121562957</v>
      </c>
      <c r="L13" s="16">
        <v>22.182197856903</v>
      </c>
      <c r="M13" s="16">
        <v>40.5698979187011</v>
      </c>
      <c r="P13" s="16">
        <v>80</v>
      </c>
      <c r="Q13" s="16">
        <v>24.8139669799804</v>
      </c>
      <c r="R13" s="16">
        <v>26.0735359001159</v>
      </c>
      <c r="S13" s="16">
        <v>40.7035900115966</v>
      </c>
      <c r="T13" s="16">
        <v>71.4429307556152</v>
      </c>
      <c r="W13" s="16">
        <v>80</v>
      </c>
      <c r="X13" s="16">
        <v>5.02115361690521</v>
      </c>
      <c r="Y13" s="16">
        <v>5.04377886772155</v>
      </c>
      <c r="Z13" s="16">
        <v>7.40415326595306</v>
      </c>
      <c r="AA13" s="16">
        <v>14.1557740592956</v>
      </c>
    </row>
    <row r="14" spans="2:27">
      <c r="B14" s="1">
        <v>90</v>
      </c>
      <c r="C14" s="16">
        <v>4.82773118019104</v>
      </c>
      <c r="D14" s="16">
        <v>25.4834507942199</v>
      </c>
      <c r="E14" s="16">
        <v>34.7830692672729</v>
      </c>
      <c r="F14" s="16">
        <v>66.330132522583</v>
      </c>
      <c r="I14" s="16">
        <v>90</v>
      </c>
      <c r="J14" s="16">
        <v>5.66296191692352</v>
      </c>
      <c r="K14" s="16">
        <v>11.8964237213134</v>
      </c>
      <c r="L14" s="16">
        <v>21.0580438041687</v>
      </c>
      <c r="M14" s="16">
        <v>39.7171585845947</v>
      </c>
      <c r="P14" s="16">
        <v>90</v>
      </c>
      <c r="Q14" s="16">
        <v>24.6383807754516</v>
      </c>
      <c r="R14" s="16">
        <v>25.00675907135</v>
      </c>
      <c r="S14" s="16">
        <v>40.242879371643</v>
      </c>
      <c r="T14" s="16">
        <v>70.3987287139892</v>
      </c>
      <c r="W14" s="16">
        <v>90</v>
      </c>
      <c r="X14" s="16">
        <v>5.01492737293243</v>
      </c>
      <c r="Y14" s="16">
        <v>5.0410169506073</v>
      </c>
      <c r="Z14" s="16">
        <v>7.28941184520721</v>
      </c>
      <c r="AA14" s="16">
        <v>13.9643167972564</v>
      </c>
    </row>
    <row r="15" spans="2:27">
      <c r="B15" s="1">
        <v>100</v>
      </c>
      <c r="C15" s="16">
        <v>4.41192705631256</v>
      </c>
      <c r="D15" s="16">
        <v>23.6666972732543</v>
      </c>
      <c r="E15" s="16">
        <v>33.2199015426635</v>
      </c>
      <c r="F15" s="16">
        <v>63.2291100311279</v>
      </c>
      <c r="I15" s="16">
        <v>100</v>
      </c>
      <c r="J15" s="16">
        <v>5.84105278968811</v>
      </c>
      <c r="K15" s="16">
        <v>10.8069845962524</v>
      </c>
      <c r="L15" s="16">
        <v>20.3877625846862</v>
      </c>
      <c r="M15" s="16">
        <v>38.2399300384521</v>
      </c>
      <c r="P15" s="16">
        <v>100</v>
      </c>
      <c r="Q15" s="16">
        <v>24.4060329914093</v>
      </c>
      <c r="R15" s="16">
        <v>25.3061231803894</v>
      </c>
      <c r="S15" s="16">
        <v>39.229260520935</v>
      </c>
      <c r="T15" s="16">
        <v>68.6554895019531</v>
      </c>
      <c r="W15" s="16">
        <v>100</v>
      </c>
      <c r="X15" s="16">
        <v>4.99659264087677</v>
      </c>
      <c r="Y15" s="16">
        <v>5.03557535171508</v>
      </c>
      <c r="Z15" s="16">
        <v>7.05639901638031</v>
      </c>
      <c r="AA15" s="16">
        <v>13.645007982254</v>
      </c>
    </row>
    <row r="19" spans="2:27">
      <c r="B19" s="1" t="s">
        <v>241</v>
      </c>
      <c r="C19" s="17">
        <v>1</v>
      </c>
      <c r="D19" s="17">
        <v>8</v>
      </c>
      <c r="E19" s="17">
        <v>16</v>
      </c>
      <c r="F19" s="17">
        <v>32</v>
      </c>
      <c r="I19" s="1" t="s">
        <v>241</v>
      </c>
      <c r="J19" s="17">
        <v>1</v>
      </c>
      <c r="K19" s="17">
        <v>8</v>
      </c>
      <c r="L19" s="17">
        <v>16</v>
      </c>
      <c r="M19" s="17">
        <v>32</v>
      </c>
      <c r="P19" s="1" t="s">
        <v>241</v>
      </c>
      <c r="Q19" s="17">
        <v>1</v>
      </c>
      <c r="R19" s="17">
        <v>8</v>
      </c>
      <c r="S19" s="17">
        <v>16</v>
      </c>
      <c r="T19" s="17">
        <v>32</v>
      </c>
      <c r="W19" s="1" t="s">
        <v>241</v>
      </c>
      <c r="X19" s="17">
        <v>1</v>
      </c>
      <c r="Y19" s="17">
        <v>8</v>
      </c>
      <c r="Z19" s="17">
        <v>16</v>
      </c>
      <c r="AA19" s="17">
        <v>32</v>
      </c>
    </row>
    <row r="20" spans="2:27">
      <c r="B20" s="1">
        <v>10</v>
      </c>
      <c r="C20" s="18">
        <v>39.2799999999999</v>
      </c>
      <c r="D20" s="18">
        <v>246.299999999999</v>
      </c>
      <c r="E20" s="18">
        <v>295.489999999999</v>
      </c>
      <c r="F20" s="18">
        <v>565.699999999999</v>
      </c>
      <c r="I20" s="1">
        <v>10</v>
      </c>
      <c r="J20" s="18">
        <v>23.8948699999999</v>
      </c>
      <c r="K20" s="18">
        <v>96.4499999999999</v>
      </c>
      <c r="L20" s="18">
        <v>156.47</v>
      </c>
      <c r="M20" s="18">
        <v>285.519999999999</v>
      </c>
      <c r="P20" s="1">
        <v>10</v>
      </c>
      <c r="Q20" s="18">
        <v>53.2799999999999</v>
      </c>
      <c r="R20" s="18">
        <v>169.61</v>
      </c>
      <c r="S20" s="18">
        <v>265.539999999998</v>
      </c>
      <c r="T20" s="18">
        <v>470.839999999998</v>
      </c>
      <c r="W20" s="1">
        <v>10</v>
      </c>
      <c r="X20" s="18">
        <v>8.62149</v>
      </c>
      <c r="Y20" s="18">
        <v>26.9299999999999</v>
      </c>
      <c r="Z20" s="18">
        <v>45.9999999999999</v>
      </c>
      <c r="AA20" s="18">
        <v>83.85</v>
      </c>
    </row>
    <row r="21" spans="2:27">
      <c r="B21" s="1">
        <v>25</v>
      </c>
      <c r="C21" s="18">
        <v>14.9199999999999</v>
      </c>
      <c r="D21" s="18">
        <v>93.72</v>
      </c>
      <c r="E21" s="18">
        <v>112.269999999999</v>
      </c>
      <c r="F21" s="18">
        <v>214.749999999999</v>
      </c>
      <c r="I21" s="1">
        <v>25</v>
      </c>
      <c r="J21" s="18">
        <v>9.91251</v>
      </c>
      <c r="K21" s="18">
        <v>38.41</v>
      </c>
      <c r="L21" s="18">
        <v>62.3599999999999</v>
      </c>
      <c r="M21" s="18">
        <v>112.579999999999</v>
      </c>
      <c r="P21" s="1">
        <v>25</v>
      </c>
      <c r="Q21" s="18">
        <v>28.2793099999999</v>
      </c>
      <c r="R21" s="18">
        <v>67.9499999999999</v>
      </c>
      <c r="S21" s="18">
        <v>112.01</v>
      </c>
      <c r="T21" s="18">
        <v>190.73</v>
      </c>
      <c r="W21" s="1">
        <v>25</v>
      </c>
      <c r="X21" s="18">
        <v>4.11535</v>
      </c>
      <c r="Y21" s="18">
        <v>11.26202</v>
      </c>
      <c r="Z21" s="18">
        <v>18.5899999999999</v>
      </c>
      <c r="AA21" s="18">
        <v>33.63</v>
      </c>
    </row>
    <row r="22" spans="2:27">
      <c r="B22" s="1">
        <v>50</v>
      </c>
      <c r="C22" s="18">
        <v>6.85331</v>
      </c>
      <c r="D22" s="18">
        <v>46.53</v>
      </c>
      <c r="E22" s="18">
        <v>57.01</v>
      </c>
      <c r="F22" s="18">
        <v>109.009999999999</v>
      </c>
      <c r="I22" s="1">
        <v>50</v>
      </c>
      <c r="J22" s="18">
        <v>6.25198999999999</v>
      </c>
      <c r="K22" s="18">
        <v>20.86</v>
      </c>
      <c r="L22" s="18">
        <v>34.58</v>
      </c>
      <c r="M22" s="18">
        <v>62.35</v>
      </c>
      <c r="P22" s="1">
        <v>50</v>
      </c>
      <c r="Q22" s="18">
        <v>20.3591</v>
      </c>
      <c r="R22" s="18">
        <v>39.7999999999998</v>
      </c>
      <c r="S22" s="18">
        <v>62.5399999999999</v>
      </c>
      <c r="T22" s="18">
        <v>104.92</v>
      </c>
      <c r="W22" s="1">
        <v>50</v>
      </c>
      <c r="X22" s="18">
        <v>2.82513</v>
      </c>
      <c r="Y22" s="18">
        <v>6.78003999999999</v>
      </c>
      <c r="Z22" s="18">
        <v>11.12947</v>
      </c>
      <c r="AA22" s="18">
        <v>19.9299999999999</v>
      </c>
    </row>
    <row r="23" spans="2:27">
      <c r="B23" s="1">
        <v>75</v>
      </c>
      <c r="C23" s="18">
        <v>5.40067</v>
      </c>
      <c r="D23" s="18">
        <v>34.67</v>
      </c>
      <c r="E23" s="18">
        <v>43.7</v>
      </c>
      <c r="F23" s="18">
        <v>83.1599999999999</v>
      </c>
      <c r="I23" s="1">
        <v>75</v>
      </c>
      <c r="J23" s="18">
        <v>5.5839</v>
      </c>
      <c r="K23" s="18">
        <v>17.04055</v>
      </c>
      <c r="L23" s="18">
        <v>27.04</v>
      </c>
      <c r="M23" s="18">
        <v>49.55</v>
      </c>
      <c r="P23" s="1">
        <v>75</v>
      </c>
      <c r="Q23" s="18">
        <v>18.5118</v>
      </c>
      <c r="R23" s="18">
        <v>32.1424399999999</v>
      </c>
      <c r="S23" s="18">
        <v>49.5100000000001</v>
      </c>
      <c r="T23" s="18">
        <v>83.6100000000004</v>
      </c>
      <c r="W23" s="1">
        <v>75</v>
      </c>
      <c r="X23" s="18">
        <v>2.44034</v>
      </c>
      <c r="Y23" s="18">
        <v>5.57978999999999</v>
      </c>
      <c r="Z23" s="18">
        <v>9.23915999999999</v>
      </c>
      <c r="AA23" s="18">
        <v>16.5529999999999</v>
      </c>
    </row>
    <row r="24" spans="2:27">
      <c r="B24" s="1">
        <v>100</v>
      </c>
      <c r="C24" s="18">
        <v>4.32405</v>
      </c>
      <c r="D24" s="18">
        <v>27.64</v>
      </c>
      <c r="E24" s="18">
        <v>36.9</v>
      </c>
      <c r="F24" s="18">
        <v>70.23</v>
      </c>
      <c r="I24" s="1">
        <v>100</v>
      </c>
      <c r="J24" s="18">
        <v>5.02758</v>
      </c>
      <c r="K24" s="18">
        <v>13.2721299999999</v>
      </c>
      <c r="L24" s="18">
        <v>23.3642199999999</v>
      </c>
      <c r="M24" s="18">
        <v>42.38</v>
      </c>
      <c r="P24" s="1">
        <v>100</v>
      </c>
      <c r="Q24" s="18">
        <v>17.3303699999999</v>
      </c>
      <c r="R24" s="18">
        <v>28.1271299999999</v>
      </c>
      <c r="S24" s="18">
        <v>45.6000000000002</v>
      </c>
      <c r="T24" s="18">
        <v>76.8200000000003</v>
      </c>
      <c r="W24" s="1">
        <v>100</v>
      </c>
      <c r="X24" s="18">
        <v>2.32368999999999</v>
      </c>
      <c r="Y24" s="18">
        <v>5.09017</v>
      </c>
      <c r="Z24" s="18">
        <v>8.4168</v>
      </c>
      <c r="AA24" s="18">
        <v>15.3713599999999</v>
      </c>
    </row>
    <row r="25" spans="3:27">
      <c r="C25" s="18"/>
      <c r="D25" s="18"/>
      <c r="E25" s="18"/>
      <c r="F25" s="18"/>
      <c r="J25" s="18"/>
      <c r="K25" s="18"/>
      <c r="L25" s="18"/>
      <c r="M25" s="18"/>
      <c r="Q25" s="18"/>
      <c r="R25" s="18"/>
      <c r="S25" s="18"/>
      <c r="T25" s="18"/>
      <c r="X25" s="18"/>
      <c r="Y25" s="18"/>
      <c r="Z25" s="18"/>
      <c r="AA25" s="18"/>
    </row>
    <row r="27" spans="2:27">
      <c r="B27" s="1">
        <v>10</v>
      </c>
      <c r="C27" s="1">
        <f t="shared" ref="C27:F27" si="0">C20/C4</f>
        <v>1.43048816118823</v>
      </c>
      <c r="D27" s="1">
        <f t="shared" si="0"/>
        <v>1.42428926497697</v>
      </c>
      <c r="E27" s="1">
        <f t="shared" si="0"/>
        <v>1.41419330873649</v>
      </c>
      <c r="F27" s="1">
        <f t="shared" si="0"/>
        <v>1.42956181969485</v>
      </c>
      <c r="I27" s="1">
        <v>10</v>
      </c>
      <c r="J27" s="1">
        <f>J20/J4</f>
        <v>1.45709208876832</v>
      </c>
      <c r="K27" s="1">
        <f>K20/K4</f>
        <v>1.41110531365945</v>
      </c>
      <c r="L27" s="1">
        <f t="shared" ref="L27:T27" si="1">L20/L4</f>
        <v>1.41425973585344</v>
      </c>
      <c r="M27" s="1">
        <f t="shared" si="1"/>
        <v>1.40168511554593</v>
      </c>
      <c r="P27" s="1">
        <v>10</v>
      </c>
      <c r="Q27" s="1">
        <f t="shared" si="1"/>
        <v>1.46032144960077</v>
      </c>
      <c r="R27" s="1">
        <f t="shared" si="1"/>
        <v>1.4261936677224</v>
      </c>
      <c r="S27" s="1">
        <f t="shared" si="1"/>
        <v>1.4201127644368</v>
      </c>
      <c r="T27" s="1">
        <f t="shared" si="1"/>
        <v>1.41942969086227</v>
      </c>
      <c r="W27" s="1">
        <v>10</v>
      </c>
      <c r="X27" s="1">
        <f t="shared" ref="X27:AA27" si="2">X20/X4</f>
        <v>1.49486265047035</v>
      </c>
      <c r="Y27" s="1">
        <f t="shared" si="2"/>
        <v>1.38604468187255</v>
      </c>
      <c r="Z27" s="1">
        <f t="shared" si="2"/>
        <v>1.3591977435879</v>
      </c>
      <c r="AA27" s="1">
        <f t="shared" si="2"/>
        <v>1.34223199842372</v>
      </c>
    </row>
    <row r="28" spans="2:29">
      <c r="B28" s="1">
        <v>25</v>
      </c>
      <c r="C28" s="1">
        <f t="shared" ref="C28:F28" si="3">C21/C6</f>
        <v>1.40114458054593</v>
      </c>
      <c r="D28" s="1">
        <f t="shared" si="3"/>
        <v>1.40384344247025</v>
      </c>
      <c r="E28" s="1">
        <f t="shared" si="3"/>
        <v>1.38180880508333</v>
      </c>
      <c r="F28" s="1">
        <f t="shared" si="3"/>
        <v>1.3767024501484</v>
      </c>
      <c r="I28" s="1">
        <v>25</v>
      </c>
      <c r="J28" s="1">
        <f>J21/J6</f>
        <v>1.40854444156836</v>
      </c>
      <c r="K28" s="1">
        <f>K21/K6</f>
        <v>1.3819706969552</v>
      </c>
      <c r="L28" s="1">
        <f t="shared" ref="L28:T28" si="4">L21/L6</f>
        <v>1.3639601230264</v>
      </c>
      <c r="M28" s="1">
        <f t="shared" si="4"/>
        <v>1.35467687483141</v>
      </c>
      <c r="P28" s="1">
        <v>25</v>
      </c>
      <c r="Q28" s="1">
        <f t="shared" si="4"/>
        <v>1.09984762903738</v>
      </c>
      <c r="R28" s="1">
        <f t="shared" si="4"/>
        <v>1.38852979293405</v>
      </c>
      <c r="S28" s="1">
        <f t="shared" si="4"/>
        <v>1.37007550426745</v>
      </c>
      <c r="T28" s="1">
        <f t="shared" si="4"/>
        <v>1.38223549786006</v>
      </c>
      <c r="W28" s="1">
        <v>25</v>
      </c>
      <c r="X28" s="1">
        <f t="shared" ref="X28:AA28" si="5">X21/X6</f>
        <v>0.791989005623497</v>
      </c>
      <c r="Y28" s="1">
        <f t="shared" si="5"/>
        <v>1.39814078627525</v>
      </c>
      <c r="Z28" s="1">
        <f t="shared" si="5"/>
        <v>1.33351162991607</v>
      </c>
      <c r="AA28" s="1">
        <f t="shared" si="5"/>
        <v>1.30313550433862</v>
      </c>
      <c r="AC28" t="s">
        <v>115</v>
      </c>
    </row>
    <row r="29" spans="2:27">
      <c r="B29" s="1">
        <v>50</v>
      </c>
      <c r="C29" s="1">
        <f t="shared" ref="C29:F29" si="6">C22/C9</f>
        <v>1.11935752833761</v>
      </c>
      <c r="D29" s="1">
        <f t="shared" si="6"/>
        <v>1.30453456045598</v>
      </c>
      <c r="E29" s="1">
        <f t="shared" si="6"/>
        <v>1.24855243980971</v>
      </c>
      <c r="F29" s="1">
        <f t="shared" si="6"/>
        <v>1.2483648578785</v>
      </c>
      <c r="I29" s="1">
        <v>50</v>
      </c>
      <c r="J29" s="1">
        <f>J22/J9</f>
        <v>0.973267432225248</v>
      </c>
      <c r="K29" s="1">
        <f>K22/K9</f>
        <v>1.30071714299942</v>
      </c>
      <c r="L29" s="1">
        <f t="shared" ref="L29:T29" si="7">L22/L9</f>
        <v>1.25136794928228</v>
      </c>
      <c r="M29" s="1">
        <f t="shared" si="7"/>
        <v>1.24005159277557</v>
      </c>
      <c r="P29" s="1">
        <v>50</v>
      </c>
      <c r="Q29" s="1">
        <f t="shared" si="7"/>
        <v>0.814950514797033</v>
      </c>
      <c r="R29" s="1">
        <f t="shared" si="7"/>
        <v>1.29887016436032</v>
      </c>
      <c r="S29" s="1">
        <f t="shared" si="7"/>
        <v>1.26980086705187</v>
      </c>
      <c r="T29" s="1">
        <f t="shared" si="7"/>
        <v>1.22992771532396</v>
      </c>
      <c r="W29" s="1">
        <v>50</v>
      </c>
      <c r="X29" s="1">
        <f t="shared" ref="X29:AA29" si="8">X22/X9</f>
        <v>0.550528757080891</v>
      </c>
      <c r="Y29" s="1">
        <f t="shared" si="8"/>
        <v>1.22608554140364</v>
      </c>
      <c r="Z29" s="1">
        <f t="shared" si="8"/>
        <v>1.20599806325524</v>
      </c>
      <c r="AA29" s="1">
        <f t="shared" si="8"/>
        <v>1.18155983762772</v>
      </c>
    </row>
    <row r="30" spans="2:27">
      <c r="B30" s="1">
        <v>75</v>
      </c>
      <c r="C30" s="1">
        <f t="shared" ref="C30:F30" si="9">C23/C12</f>
        <v>1.0537422298704</v>
      </c>
      <c r="D30" s="1">
        <f t="shared" si="9"/>
        <v>1.23297940721606</v>
      </c>
      <c r="E30" s="1">
        <f t="shared" si="9"/>
        <v>1.16401588910478</v>
      </c>
      <c r="F30" s="1">
        <f t="shared" si="9"/>
        <v>1.16316557248097</v>
      </c>
      <c r="I30" s="1">
        <v>75</v>
      </c>
      <c r="J30" s="1">
        <f>J23/J12</f>
        <v>0.895525484133988</v>
      </c>
      <c r="K30" s="1">
        <f>K23/K12</f>
        <v>1.2911289449332</v>
      </c>
      <c r="L30" s="1">
        <f t="shared" ref="L30:T30" si="10">L23/L12</f>
        <v>1.19014022261546</v>
      </c>
      <c r="M30" s="1">
        <f t="shared" si="10"/>
        <v>1.17867206714042</v>
      </c>
      <c r="P30" s="1">
        <v>75</v>
      </c>
      <c r="Q30" s="1">
        <f t="shared" si="10"/>
        <v>0.744989246433569</v>
      </c>
      <c r="R30" s="1">
        <f t="shared" si="10"/>
        <v>1.25516319556689</v>
      </c>
      <c r="S30" s="1">
        <f t="shared" si="10"/>
        <v>1.20046748081053</v>
      </c>
      <c r="T30" s="1">
        <f t="shared" si="10"/>
        <v>1.13434896109258</v>
      </c>
      <c r="W30" s="1">
        <v>75</v>
      </c>
      <c r="X30" s="1">
        <f t="shared" ref="X30:AA30" si="11">X23/X12</f>
        <v>0.479757765230837</v>
      </c>
      <c r="Y30" s="1">
        <f t="shared" si="11"/>
        <v>1.09065876607387</v>
      </c>
      <c r="Z30" s="1">
        <f t="shared" si="11"/>
        <v>1.22485749193641</v>
      </c>
      <c r="AA30" s="1">
        <f t="shared" si="11"/>
        <v>1.14915936287675</v>
      </c>
    </row>
    <row r="31" spans="2:27">
      <c r="B31" s="1">
        <v>100</v>
      </c>
      <c r="C31" s="1">
        <f t="shared" ref="C31:F31" si="12">C24/C15</f>
        <v>0.980081933542662</v>
      </c>
      <c r="D31" s="1">
        <f t="shared" si="12"/>
        <v>1.16788581359157</v>
      </c>
      <c r="E31" s="1">
        <f t="shared" si="12"/>
        <v>1.1107799327042</v>
      </c>
      <c r="F31" s="1">
        <f t="shared" si="12"/>
        <v>1.11072257644344</v>
      </c>
      <c r="I31" s="1">
        <v>100</v>
      </c>
      <c r="J31" s="1">
        <f>J24/J15</f>
        <v>0.860731820276607</v>
      </c>
      <c r="K31" s="1">
        <f>K24/K15</f>
        <v>1.22810668246926</v>
      </c>
      <c r="L31" s="1">
        <f t="shared" ref="L31:T31" si="13">L24/L15</f>
        <v>1.1459923521745</v>
      </c>
      <c r="M31" s="1">
        <f t="shared" si="13"/>
        <v>1.10826562594086</v>
      </c>
      <c r="P31" s="1">
        <v>100</v>
      </c>
      <c r="Q31" s="1">
        <f t="shared" si="13"/>
        <v>0.710085494275126</v>
      </c>
      <c r="R31" s="1">
        <f t="shared" si="13"/>
        <v>1.1114752662627</v>
      </c>
      <c r="S31" s="1">
        <f t="shared" si="13"/>
        <v>1.16239764386243</v>
      </c>
      <c r="T31" s="1">
        <f t="shared" si="13"/>
        <v>1.11891999543336</v>
      </c>
      <c r="W31" s="1">
        <v>100</v>
      </c>
      <c r="X31" s="1">
        <f t="shared" ref="X31:AA31" si="14">X24/X15</f>
        <v>0.465054921826135</v>
      </c>
      <c r="Y31" s="1">
        <f t="shared" si="14"/>
        <v>1.01084178956161</v>
      </c>
      <c r="Z31" s="1">
        <f t="shared" si="14"/>
        <v>1.19278969067108</v>
      </c>
      <c r="AA31" s="1">
        <f t="shared" si="14"/>
        <v>1.12651894524291</v>
      </c>
    </row>
    <row r="32" spans="3:6">
      <c r="C32" s="19"/>
      <c r="D32" s="19"/>
      <c r="E32" s="19"/>
      <c r="F32" s="19"/>
    </row>
    <row r="33" spans="3:6">
      <c r="C33" s="19"/>
      <c r="D33" s="19"/>
      <c r="E33" s="19"/>
      <c r="F33" s="19"/>
    </row>
    <row r="34" spans="2:23">
      <c r="B34" s="1" t="s">
        <v>271</v>
      </c>
      <c r="I34" s="1" t="s">
        <v>271</v>
      </c>
      <c r="P34" s="1" t="s">
        <v>271</v>
      </c>
      <c r="W34" s="1" t="s">
        <v>271</v>
      </c>
    </row>
    <row r="35" spans="3:27">
      <c r="C35" s="1">
        <f>(C27+J27+Q27)/3</f>
        <v>1.44930056651911</v>
      </c>
      <c r="D35" s="1">
        <f>(D27+K27+R27)/3</f>
        <v>1.42052941545294</v>
      </c>
      <c r="E35" s="1">
        <f>(E27+L27+S27)/3</f>
        <v>1.41618860300891</v>
      </c>
      <c r="F35" s="1">
        <f>(F27+M27+T27)/3</f>
        <v>1.41689220870102</v>
      </c>
      <c r="J35" s="1">
        <v>1.44930056651911</v>
      </c>
      <c r="K35" s="1">
        <v>1.42052941545294</v>
      </c>
      <c r="L35" s="1">
        <v>1.41618860300891</v>
      </c>
      <c r="M35" s="1">
        <v>1.40977492670517</v>
      </c>
      <c r="P35" s="1">
        <v>10</v>
      </c>
      <c r="Q35" s="1">
        <v>1.44930056651911</v>
      </c>
      <c r="R35" s="1">
        <v>1.42052941545294</v>
      </c>
      <c r="S35" s="1">
        <v>1.41618860300891</v>
      </c>
      <c r="T35" s="1">
        <v>1.40977492670517</v>
      </c>
      <c r="W35" s="1">
        <v>10</v>
      </c>
      <c r="X35" s="1">
        <v>1.44930056651911</v>
      </c>
      <c r="Y35" s="1">
        <v>1.42052941545294</v>
      </c>
      <c r="Z35" s="1">
        <v>1.41618860300891</v>
      </c>
      <c r="AA35" s="1">
        <v>1.40977492670517</v>
      </c>
    </row>
    <row r="36" spans="3:27">
      <c r="C36" s="1">
        <f>(C28+J28+Q28)/3</f>
        <v>1.30317888371722</v>
      </c>
      <c r="D36" s="1">
        <f>(D28+K28+R28)/3</f>
        <v>1.39144797745316</v>
      </c>
      <c r="E36" s="1">
        <f>(E28+L28+S28)/3</f>
        <v>1.37194814412572</v>
      </c>
      <c r="F36" s="1">
        <f>(F28+M28+T28)/3</f>
        <v>1.37120494094662</v>
      </c>
      <c r="J36" s="1">
        <v>1.30317888371722</v>
      </c>
      <c r="K36" s="1">
        <v>1.39144797745316</v>
      </c>
      <c r="L36" s="1">
        <v>1.37194814412572</v>
      </c>
      <c r="M36" s="1">
        <v>1.37120494094662</v>
      </c>
      <c r="P36" s="1">
        <v>25</v>
      </c>
      <c r="Q36" s="1">
        <v>1.30317888371722</v>
      </c>
      <c r="R36" s="1">
        <v>1.39144797745316</v>
      </c>
      <c r="S36" s="1">
        <v>1.37194814412572</v>
      </c>
      <c r="T36" s="1">
        <v>1.37120494094662</v>
      </c>
      <c r="W36" s="1">
        <v>25</v>
      </c>
      <c r="X36" s="1">
        <v>1.30317888371722</v>
      </c>
      <c r="Y36" s="1">
        <v>1.39144797745316</v>
      </c>
      <c r="Z36" s="1">
        <v>1.37194814412572</v>
      </c>
      <c r="AA36" s="1">
        <v>1.37120494094662</v>
      </c>
    </row>
    <row r="37" spans="3:27">
      <c r="C37" s="1">
        <f>(C29+J29+Q29)/3</f>
        <v>0.969191825119963</v>
      </c>
      <c r="D37" s="1">
        <f>(D29+K29+R29)/3</f>
        <v>1.30137395593857</v>
      </c>
      <c r="E37" s="1">
        <f>(E29+L29+S29)/3</f>
        <v>1.25657375204796</v>
      </c>
      <c r="F37" s="1">
        <f>(F29+M29+T29)/3</f>
        <v>1.23944805532601</v>
      </c>
      <c r="J37" s="1">
        <v>1.02363547003206</v>
      </c>
      <c r="K37" s="1">
        <v>1.30137395593857</v>
      </c>
      <c r="L37" s="1">
        <v>1.25657375204796</v>
      </c>
      <c r="M37" s="1">
        <v>1.23944805532601</v>
      </c>
      <c r="P37" s="1">
        <v>50</v>
      </c>
      <c r="Q37" s="1">
        <v>1.02363547003206</v>
      </c>
      <c r="R37" s="1">
        <v>1.30137395593857</v>
      </c>
      <c r="S37" s="1">
        <v>1.25657375204796</v>
      </c>
      <c r="T37" s="1">
        <v>1.23944805532601</v>
      </c>
      <c r="W37" s="1">
        <v>50</v>
      </c>
      <c r="X37" s="1">
        <v>1.02363547003206</v>
      </c>
      <c r="Y37" s="1">
        <v>1.30137395593857</v>
      </c>
      <c r="Z37" s="1">
        <v>1.25657375204796</v>
      </c>
      <c r="AA37" s="1">
        <v>1.23944805532601</v>
      </c>
    </row>
    <row r="38" spans="3:27">
      <c r="C38" s="1">
        <f>(C30+J30+Q30)/3</f>
        <v>0.898085653479318</v>
      </c>
      <c r="D38" s="1">
        <f>(D30+K30+R30)/3</f>
        <v>1.25975718257205</v>
      </c>
      <c r="E38" s="1">
        <f>(E30+L30+S30)/3</f>
        <v>1.18487453084359</v>
      </c>
      <c r="F38" s="1">
        <f>(F30+M30+T30)/3</f>
        <v>1.15872886690466</v>
      </c>
      <c r="J38" s="1">
        <v>0.963123400639726</v>
      </c>
      <c r="K38" s="1">
        <v>1.25975718257205</v>
      </c>
      <c r="L38" s="1">
        <v>1.18487453084359</v>
      </c>
      <c r="M38" s="1">
        <v>1.15872886690466</v>
      </c>
      <c r="P38" s="1">
        <v>75</v>
      </c>
      <c r="Q38" s="1">
        <v>0.963123400639726</v>
      </c>
      <c r="R38" s="1">
        <v>1.25975718257205</v>
      </c>
      <c r="S38" s="1">
        <v>1.18487453084359</v>
      </c>
      <c r="T38" s="1">
        <v>1.15872886690466</v>
      </c>
      <c r="W38" s="1">
        <v>75</v>
      </c>
      <c r="X38" s="1">
        <v>0.963123400639726</v>
      </c>
      <c r="Y38" s="1">
        <v>1.25975718257205</v>
      </c>
      <c r="Z38" s="1">
        <v>1.18487453084359</v>
      </c>
      <c r="AA38" s="1">
        <v>1.15872886690466</v>
      </c>
    </row>
    <row r="39" spans="3:27">
      <c r="C39" s="1">
        <f>(C31+J31+Q31)/3</f>
        <v>0.850299749364798</v>
      </c>
      <c r="D39" s="1">
        <f>(D31+K31+R31)/3</f>
        <v>1.16915592077451</v>
      </c>
      <c r="E39" s="1">
        <f>(E31+L31+S31)/3</f>
        <v>1.13972330958038</v>
      </c>
      <c r="F39" s="1">
        <f>(F31+M31+T31)/3</f>
        <v>1.11263606593922</v>
      </c>
      <c r="J39" s="1">
        <v>0.925852524621225</v>
      </c>
      <c r="K39" s="1">
        <v>1.16915592077451</v>
      </c>
      <c r="L39" s="1">
        <v>1.13972330958038</v>
      </c>
      <c r="M39" s="1">
        <v>1.11263606593922</v>
      </c>
      <c r="P39" s="1">
        <v>100</v>
      </c>
      <c r="Q39" s="1">
        <v>0.925852524621225</v>
      </c>
      <c r="R39" s="1">
        <v>1.16915592077451</v>
      </c>
      <c r="S39" s="1">
        <v>1.13972330958038</v>
      </c>
      <c r="T39" s="1">
        <v>1.11263606593922</v>
      </c>
      <c r="W39" s="1">
        <v>100</v>
      </c>
      <c r="X39" s="1">
        <v>0.925852524621225</v>
      </c>
      <c r="Y39" s="1">
        <v>1.16915592077451</v>
      </c>
      <c r="Z39" s="1">
        <v>1.13972330958038</v>
      </c>
      <c r="AA39" s="1">
        <v>1.11263606593922</v>
      </c>
    </row>
    <row r="40" spans="3:6">
      <c r="C40" s="19"/>
      <c r="D40" s="19"/>
      <c r="E40" s="19"/>
      <c r="F40" s="19"/>
    </row>
    <row r="41" spans="3:6">
      <c r="C41" s="19"/>
      <c r="D41" s="19"/>
      <c r="E41" s="19"/>
      <c r="F41" s="19"/>
    </row>
    <row r="42" spans="2:27">
      <c r="B42" s="1" t="s">
        <v>272</v>
      </c>
      <c r="C42" s="17">
        <v>1</v>
      </c>
      <c r="D42" s="17">
        <v>8</v>
      </c>
      <c r="E42" s="17">
        <v>16</v>
      </c>
      <c r="F42" s="17">
        <v>32</v>
      </c>
      <c r="I42" s="1" t="s">
        <v>272</v>
      </c>
      <c r="J42" s="17">
        <v>1</v>
      </c>
      <c r="K42" s="17">
        <v>8</v>
      </c>
      <c r="L42" s="17">
        <v>16</v>
      </c>
      <c r="M42" s="17">
        <v>32</v>
      </c>
      <c r="P42" s="1" t="s">
        <v>272</v>
      </c>
      <c r="Q42" s="17">
        <v>1</v>
      </c>
      <c r="R42" s="17">
        <v>8</v>
      </c>
      <c r="S42" s="17">
        <v>16</v>
      </c>
      <c r="T42" s="17">
        <v>32</v>
      </c>
      <c r="W42" s="1" t="s">
        <v>272</v>
      </c>
      <c r="X42" s="17">
        <v>1</v>
      </c>
      <c r="Y42" s="17">
        <v>8</v>
      </c>
      <c r="Z42" s="17">
        <v>16</v>
      </c>
      <c r="AA42" s="17">
        <v>32</v>
      </c>
    </row>
    <row r="43" spans="2:27">
      <c r="B43" s="1">
        <v>10</v>
      </c>
      <c r="C43" s="1">
        <f>C20/C35</f>
        <v>27.1027286592053</v>
      </c>
      <c r="D43" s="1">
        <f>D20/D35</f>
        <v>173.386061084462</v>
      </c>
      <c r="E43" s="1">
        <f t="shared" ref="E43:M43" si="15">E20/E35</f>
        <v>208.651587346618</v>
      </c>
      <c r="F43" s="1">
        <f t="shared" si="15"/>
        <v>399.254083356576</v>
      </c>
      <c r="I43" s="1">
        <v>10</v>
      </c>
      <c r="J43" s="1">
        <f t="shared" si="15"/>
        <v>16.4871735732429</v>
      </c>
      <c r="K43" s="1">
        <f t="shared" si="15"/>
        <v>67.8972212407488</v>
      </c>
      <c r="L43" s="1">
        <f t="shared" si="15"/>
        <v>110.486696240568</v>
      </c>
      <c r="M43" s="1">
        <f t="shared" si="15"/>
        <v>202.528782851385</v>
      </c>
      <c r="P43" s="1">
        <v>10</v>
      </c>
      <c r="Q43" s="1">
        <f t="shared" ref="Q43:T43" si="16">Q20/Q35</f>
        <v>36.7625606660504</v>
      </c>
      <c r="R43" s="1">
        <f t="shared" si="16"/>
        <v>119.399146652602</v>
      </c>
      <c r="S43" s="1">
        <f t="shared" si="16"/>
        <v>187.503274236085</v>
      </c>
      <c r="T43" s="1">
        <f t="shared" si="16"/>
        <v>333.982390437609</v>
      </c>
      <c r="W43" s="1">
        <v>10</v>
      </c>
      <c r="X43" s="1">
        <f t="shared" ref="X43:AA43" si="17">X20/X35</f>
        <v>5.94872464633534</v>
      </c>
      <c r="Y43" s="1">
        <f t="shared" si="17"/>
        <v>18.9577207673754</v>
      </c>
      <c r="Z43" s="1">
        <f t="shared" si="17"/>
        <v>32.4815493517359</v>
      </c>
      <c r="AA43" s="1">
        <f t="shared" si="17"/>
        <v>59.4775793012353</v>
      </c>
    </row>
    <row r="44" spans="2:27">
      <c r="B44" s="1">
        <v>25</v>
      </c>
      <c r="C44" s="1">
        <f>C21/C36</f>
        <v>11.4489270708881</v>
      </c>
      <c r="D44" s="1">
        <f>D21/D36</f>
        <v>67.3542967603721</v>
      </c>
      <c r="E44" s="1">
        <f t="shared" ref="E44:M44" si="18">E21/E36</f>
        <v>81.8325389926041</v>
      </c>
      <c r="F44" s="1">
        <f t="shared" si="18"/>
        <v>156.614079768225</v>
      </c>
      <c r="I44" s="1">
        <v>25</v>
      </c>
      <c r="J44" s="1">
        <f t="shared" si="18"/>
        <v>7.606407780124</v>
      </c>
      <c r="K44" s="1">
        <f t="shared" si="18"/>
        <v>27.6043377994654</v>
      </c>
      <c r="L44" s="1">
        <f t="shared" si="18"/>
        <v>45.453613000613</v>
      </c>
      <c r="M44" s="1">
        <f t="shared" si="18"/>
        <v>82.1029713634772</v>
      </c>
      <c r="P44" s="1">
        <v>25</v>
      </c>
      <c r="Q44" s="1">
        <f t="shared" ref="Q44:T44" si="19">Q21/Q36</f>
        <v>21.7002518636085</v>
      </c>
      <c r="R44" s="1">
        <f t="shared" si="19"/>
        <v>48.8340211786948</v>
      </c>
      <c r="S44" s="1">
        <f t="shared" si="19"/>
        <v>81.6430274566818</v>
      </c>
      <c r="T44" s="1">
        <f t="shared" si="19"/>
        <v>139.096639972963</v>
      </c>
      <c r="W44" s="1">
        <v>25</v>
      </c>
      <c r="X44" s="1">
        <f t="shared" ref="X44:AA44" si="20">X21/X36</f>
        <v>3.15793177085656</v>
      </c>
      <c r="Y44" s="1">
        <f t="shared" si="20"/>
        <v>8.09374132737141</v>
      </c>
      <c r="Z44" s="1">
        <f t="shared" si="20"/>
        <v>13.5500748184958</v>
      </c>
      <c r="AA44" s="1">
        <f t="shared" si="20"/>
        <v>24.5258742845423</v>
      </c>
    </row>
    <row r="45" spans="2:27">
      <c r="B45" s="1">
        <v>50</v>
      </c>
      <c r="C45" s="1">
        <f>C22/C37</f>
        <v>7.07115951906809</v>
      </c>
      <c r="D45" s="1">
        <f>D22/D37</f>
        <v>35.7545191277796</v>
      </c>
      <c r="E45" s="1">
        <f t="shared" ref="E45:M45" si="21">E22/E37</f>
        <v>45.3694022392919</v>
      </c>
      <c r="F45" s="1">
        <f t="shared" si="21"/>
        <v>87.9504385291293</v>
      </c>
      <c r="I45" s="1">
        <v>50</v>
      </c>
      <c r="J45" s="1">
        <f t="shared" si="21"/>
        <v>6.10763321810661</v>
      </c>
      <c r="K45" s="1">
        <f t="shared" si="21"/>
        <v>16.0292127445838</v>
      </c>
      <c r="L45" s="1">
        <f t="shared" si="21"/>
        <v>27.5192760819982</v>
      </c>
      <c r="M45" s="1">
        <f t="shared" si="21"/>
        <v>50.3046495027178</v>
      </c>
      <c r="P45" s="1">
        <v>50</v>
      </c>
      <c r="Q45" s="1">
        <f t="shared" ref="Q45:T45" si="22">Q22/Q37</f>
        <v>19.8890138101236</v>
      </c>
      <c r="R45" s="1">
        <f t="shared" si="22"/>
        <v>30.5830617082661</v>
      </c>
      <c r="S45" s="1">
        <f t="shared" si="22"/>
        <v>49.7702581309474</v>
      </c>
      <c r="T45" s="1">
        <f t="shared" si="22"/>
        <v>84.6505826114699</v>
      </c>
      <c r="W45" s="1">
        <v>50</v>
      </c>
      <c r="X45" s="1">
        <f t="shared" ref="X45:AA45" si="23">X22/X37</f>
        <v>2.7598985016722</v>
      </c>
      <c r="Y45" s="1">
        <f t="shared" si="23"/>
        <v>5.20990908805311</v>
      </c>
      <c r="Z45" s="1">
        <f t="shared" si="23"/>
        <v>8.85699703806579</v>
      </c>
      <c r="AA45" s="1">
        <f t="shared" si="23"/>
        <v>16.0797380046377</v>
      </c>
    </row>
    <row r="46" spans="2:27">
      <c r="B46" s="1">
        <v>75</v>
      </c>
      <c r="C46" s="1">
        <f>C23/C38</f>
        <v>6.01353554538701</v>
      </c>
      <c r="D46" s="1">
        <f>D23/D38</f>
        <v>27.5211766836004</v>
      </c>
      <c r="E46" s="1">
        <f t="shared" ref="E46:M46" si="24">E23/E38</f>
        <v>36.8815421907053</v>
      </c>
      <c r="F46" s="1">
        <f t="shared" si="24"/>
        <v>71.7682991899109</v>
      </c>
      <c r="I46" s="1">
        <v>75</v>
      </c>
      <c r="J46" s="1">
        <f t="shared" si="24"/>
        <v>5.7976994394395</v>
      </c>
      <c r="K46" s="1">
        <f t="shared" si="24"/>
        <v>13.5268528219131</v>
      </c>
      <c r="L46" s="1">
        <f t="shared" si="24"/>
        <v>22.8209817125096</v>
      </c>
      <c r="M46" s="1">
        <f t="shared" si="24"/>
        <v>42.762376441319</v>
      </c>
      <c r="P46" s="1">
        <v>75</v>
      </c>
      <c r="Q46" s="1">
        <f t="shared" ref="Q46:T46" si="25">Q23/Q38</f>
        <v>19.2205899967793</v>
      </c>
      <c r="R46" s="1">
        <f t="shared" si="25"/>
        <v>25.5147900283248</v>
      </c>
      <c r="S46" s="1">
        <f t="shared" si="25"/>
        <v>41.7850149625131</v>
      </c>
      <c r="T46" s="1">
        <f t="shared" si="25"/>
        <v>72.1566557872593</v>
      </c>
      <c r="W46" s="1">
        <v>75</v>
      </c>
      <c r="X46" s="1">
        <f t="shared" ref="X46:AA46" si="26">X23/X38</f>
        <v>2.53377708233345</v>
      </c>
      <c r="Y46" s="1">
        <f t="shared" si="26"/>
        <v>4.42925833421939</v>
      </c>
      <c r="Z46" s="1">
        <f t="shared" si="26"/>
        <v>7.79758511090792</v>
      </c>
      <c r="AA46" s="1">
        <f t="shared" si="26"/>
        <v>14.285481679781</v>
      </c>
    </row>
    <row r="47" spans="2:27">
      <c r="B47" s="1">
        <v>100</v>
      </c>
      <c r="C47" s="1">
        <f>C24/C39</f>
        <v>5.08532432619227</v>
      </c>
      <c r="D47" s="1">
        <f>D24/D39</f>
        <v>23.6409870650014</v>
      </c>
      <c r="E47" s="1">
        <f t="shared" ref="E47:M47" si="27">E24/E39</f>
        <v>32.3762791282963</v>
      </c>
      <c r="F47" s="1">
        <f t="shared" si="27"/>
        <v>63.1203698585091</v>
      </c>
      <c r="I47" s="1">
        <v>100</v>
      </c>
      <c r="J47" s="1">
        <f t="shared" si="27"/>
        <v>5.43021687180345</v>
      </c>
      <c r="K47" s="1">
        <f t="shared" si="27"/>
        <v>11.3518905085027</v>
      </c>
      <c r="L47" s="1">
        <f t="shared" si="27"/>
        <v>20.4999053749301</v>
      </c>
      <c r="M47" s="1">
        <f t="shared" si="27"/>
        <v>38.0897234031555</v>
      </c>
      <c r="P47" s="1">
        <v>100</v>
      </c>
      <c r="Q47" s="1">
        <f t="shared" ref="Q47:T47" si="28">Q24/Q39</f>
        <v>18.718283462142</v>
      </c>
      <c r="R47" s="1">
        <f t="shared" si="28"/>
        <v>24.0576380790742</v>
      </c>
      <c r="S47" s="1">
        <f t="shared" si="28"/>
        <v>40.0097107926916</v>
      </c>
      <c r="T47" s="1">
        <f t="shared" si="28"/>
        <v>69.0432409587168</v>
      </c>
      <c r="W47" s="1">
        <v>100</v>
      </c>
      <c r="X47" s="1">
        <f t="shared" ref="X47:AA47" si="29">X24/X39</f>
        <v>2.50978415914633</v>
      </c>
      <c r="Y47" s="1">
        <f t="shared" si="29"/>
        <v>4.35371357194856</v>
      </c>
      <c r="Z47" s="1">
        <f t="shared" si="29"/>
        <v>7.38495030262992</v>
      </c>
      <c r="AA47" s="1">
        <f t="shared" si="29"/>
        <v>13.8152631130327</v>
      </c>
    </row>
    <row r="50" spans="2:28">
      <c r="B50" s="1" t="s">
        <v>273</v>
      </c>
      <c r="C50" s="17">
        <v>1</v>
      </c>
      <c r="D50" s="17">
        <v>8</v>
      </c>
      <c r="E50" s="17">
        <v>16</v>
      </c>
      <c r="F50" s="17">
        <v>32</v>
      </c>
      <c r="G50" s="1" t="s">
        <v>274</v>
      </c>
      <c r="I50" s="1" t="s">
        <v>273</v>
      </c>
      <c r="J50" s="17">
        <v>1</v>
      </c>
      <c r="K50" s="17">
        <v>8</v>
      </c>
      <c r="L50" s="17">
        <v>16</v>
      </c>
      <c r="M50" s="17">
        <v>32</v>
      </c>
      <c r="N50" s="1" t="s">
        <v>274</v>
      </c>
      <c r="P50" s="1" t="s">
        <v>273</v>
      </c>
      <c r="Q50" s="17">
        <v>1</v>
      </c>
      <c r="R50" s="17">
        <v>8</v>
      </c>
      <c r="S50" s="17">
        <v>16</v>
      </c>
      <c r="T50" s="17">
        <v>32</v>
      </c>
      <c r="U50" s="1" t="s">
        <v>274</v>
      </c>
      <c r="W50" s="1" t="s">
        <v>273</v>
      </c>
      <c r="X50" s="17">
        <v>1</v>
      </c>
      <c r="Y50" s="17">
        <v>8</v>
      </c>
      <c r="Z50" s="17">
        <v>16</v>
      </c>
      <c r="AA50" s="17">
        <v>32</v>
      </c>
      <c r="AB50" s="1" t="s">
        <v>274</v>
      </c>
    </row>
    <row r="51" spans="2:28">
      <c r="B51" s="1">
        <v>10</v>
      </c>
      <c r="C51" s="19">
        <f>ABS(C43-C4)</f>
        <v>0.356429036564872</v>
      </c>
      <c r="D51" s="19">
        <f t="shared" ref="C51:F51" si="30">ABS(D43-D4)</f>
        <v>0.457705829336476</v>
      </c>
      <c r="E51" s="19">
        <f t="shared" si="30"/>
        <v>0.294387842589742</v>
      </c>
      <c r="F51" s="19">
        <f t="shared" si="30"/>
        <v>3.53842265101008</v>
      </c>
      <c r="G51" s="1">
        <f>SUM(C51:F55)/COUNT(C51:F55)</f>
        <v>0.663928621894572</v>
      </c>
      <c r="I51" s="1">
        <v>10</v>
      </c>
      <c r="J51" s="19">
        <f t="shared" ref="J51:M51" si="31">ABS(J43-J4)</f>
        <v>0.0881620185249439</v>
      </c>
      <c r="K51" s="19">
        <f t="shared" si="31"/>
        <v>0.453453274021655</v>
      </c>
      <c r="L51" s="19">
        <f t="shared" si="31"/>
        <v>0.150689547394833</v>
      </c>
      <c r="M51" s="19">
        <f t="shared" si="31"/>
        <v>1.16889277727671</v>
      </c>
      <c r="N51" s="1">
        <f>SUM(J51:M55)/COUNT(J51:M55)</f>
        <v>0.357973184088808</v>
      </c>
      <c r="P51" s="1">
        <v>10</v>
      </c>
      <c r="Q51" s="19">
        <f t="shared" ref="Q51:T51" si="32">ABS(Q43-Q4)</f>
        <v>0.277442944492776</v>
      </c>
      <c r="R51" s="19">
        <f t="shared" si="32"/>
        <v>0.474204101942874</v>
      </c>
      <c r="S51" s="19">
        <f t="shared" si="32"/>
        <v>0.518123021485792</v>
      </c>
      <c r="T51" s="19">
        <f t="shared" si="32"/>
        <v>2.27170196104697</v>
      </c>
      <c r="U51" s="1">
        <f>SUM(Q51:T55)/COUNT(Q51:T55)</f>
        <v>1.55611688071649</v>
      </c>
      <c r="W51" s="1">
        <v>10</v>
      </c>
      <c r="X51" s="19">
        <f t="shared" ref="X51:AA51" si="33">ABS(X43-X4)</f>
        <v>0.181311836009719</v>
      </c>
      <c r="Y51" s="19">
        <f t="shared" si="33"/>
        <v>0.471667297962654</v>
      </c>
      <c r="Z51" s="19">
        <f t="shared" si="33"/>
        <v>1.36194414801985</v>
      </c>
      <c r="AA51" s="19">
        <f t="shared" si="33"/>
        <v>2.99299217856196</v>
      </c>
      <c r="AB51" s="1">
        <f>SUM(X51:AA55)/COUNT(X51:AA55)</f>
        <v>0.994403246765152</v>
      </c>
    </row>
    <row r="52" spans="2:28">
      <c r="B52" s="1">
        <v>25</v>
      </c>
      <c r="C52" s="19">
        <f t="shared" ref="C52:F52" si="34">ABS(C44-C6)</f>
        <v>0.800489923747634</v>
      </c>
      <c r="D52" s="19">
        <f t="shared" si="34"/>
        <v>0.594715766719816</v>
      </c>
      <c r="E52" s="19">
        <f t="shared" si="34"/>
        <v>0.583961340626573</v>
      </c>
      <c r="F52" s="19">
        <f t="shared" si="34"/>
        <v>0.625398280188193</v>
      </c>
      <c r="I52" s="1">
        <v>25</v>
      </c>
      <c r="J52" s="19">
        <f t="shared" ref="J52:M52" si="35">ABS(J44-J6)</f>
        <v>0.5689940447343</v>
      </c>
      <c r="K52" s="19">
        <f t="shared" si="35"/>
        <v>0.189305064761843</v>
      </c>
      <c r="L52" s="19">
        <f t="shared" si="35"/>
        <v>0.266198705929853</v>
      </c>
      <c r="M52" s="19">
        <f t="shared" si="35"/>
        <v>1.00171735722594</v>
      </c>
      <c r="P52" s="1">
        <v>25</v>
      </c>
      <c r="Q52" s="19">
        <f t="shared" ref="Q52:T52" si="36">ABS(Q44-Q6)</f>
        <v>4.01177337824332</v>
      </c>
      <c r="R52" s="19">
        <f t="shared" si="36"/>
        <v>0.102631348160564</v>
      </c>
      <c r="S52" s="19">
        <f t="shared" si="36"/>
        <v>0.111590921003724</v>
      </c>
      <c r="T52" s="19">
        <f t="shared" si="36"/>
        <v>1.11002315167366</v>
      </c>
      <c r="W52" s="1">
        <v>25</v>
      </c>
      <c r="X52" s="19">
        <f t="shared" ref="X52:AA52" si="37">ABS(X44-X6)</f>
        <v>2.03828935188513</v>
      </c>
      <c r="Y52" s="19">
        <f t="shared" si="37"/>
        <v>0.0387442122362174</v>
      </c>
      <c r="Z52" s="19">
        <f t="shared" si="37"/>
        <v>0.390561005707646</v>
      </c>
      <c r="AA52" s="19">
        <f t="shared" si="37"/>
        <v>1.28111193295643</v>
      </c>
      <c r="AB52" s="1"/>
    </row>
    <row r="53" spans="2:28">
      <c r="B53" s="1">
        <v>50</v>
      </c>
      <c r="C53" s="19">
        <f t="shared" ref="C53:C55" si="38">ABS(C45-C9)</f>
        <v>0.948620628229465</v>
      </c>
      <c r="D53" s="19">
        <f t="shared" ref="D53:F53" si="39">ABS(D45-D9)</f>
        <v>0.0866254510218241</v>
      </c>
      <c r="E53" s="19">
        <f t="shared" si="39"/>
        <v>0.291475255520062</v>
      </c>
      <c r="F53" s="19">
        <f t="shared" si="39"/>
        <v>0.628211127395886</v>
      </c>
      <c r="I53" s="1">
        <v>50</v>
      </c>
      <c r="J53" s="19">
        <f t="shared" ref="J53:M53" si="40">ABS(J45-J9)</f>
        <v>0.316079106989524</v>
      </c>
      <c r="K53" s="19">
        <f t="shared" si="40"/>
        <v>0.00809414590382929</v>
      </c>
      <c r="L53" s="19">
        <f t="shared" si="40"/>
        <v>0.114482653658538</v>
      </c>
      <c r="M53" s="19">
        <f t="shared" si="40"/>
        <v>0.0244834489458512</v>
      </c>
      <c r="P53" s="1">
        <v>50</v>
      </c>
      <c r="Q53" s="19">
        <f t="shared" ref="Q53:T53" si="41">ABS(Q45-Q9)</f>
        <v>5.09299384597384</v>
      </c>
      <c r="R53" s="19">
        <f t="shared" si="41"/>
        <v>0.0589540159160009</v>
      </c>
      <c r="S53" s="19">
        <f t="shared" si="41"/>
        <v>0.518441076198933</v>
      </c>
      <c r="T53" s="19">
        <f t="shared" si="41"/>
        <v>0.655243651957832</v>
      </c>
      <c r="W53" s="1">
        <v>50</v>
      </c>
      <c r="X53" s="19">
        <f t="shared" ref="X53:AA53" si="42">ABS(X45-X9)</f>
        <v>2.37176803465897</v>
      </c>
      <c r="Y53" s="19">
        <f t="shared" si="42"/>
        <v>0.319917152486435</v>
      </c>
      <c r="Z53" s="19">
        <f t="shared" si="42"/>
        <v>0.37143403416931</v>
      </c>
      <c r="AA53" s="19">
        <f t="shared" si="42"/>
        <v>0.787795373963327</v>
      </c>
      <c r="AB53" s="1"/>
    </row>
    <row r="54" spans="2:28">
      <c r="B54" s="1">
        <v>75</v>
      </c>
      <c r="C54" s="19">
        <f t="shared" ref="C54:F54" si="43">ABS(C46-C12)</f>
        <v>0.88830676845525</v>
      </c>
      <c r="D54" s="19">
        <f t="shared" si="43"/>
        <v>0.59770332128242</v>
      </c>
      <c r="E54" s="19">
        <f t="shared" si="43"/>
        <v>0.660900665129631</v>
      </c>
      <c r="F54" s="19">
        <f t="shared" si="43"/>
        <v>0.273748484954908</v>
      </c>
      <c r="I54" s="1">
        <v>75</v>
      </c>
      <c r="J54" s="19">
        <f t="shared" ref="J54:M54" si="44">ABS(J46-J12)</f>
        <v>0.437634003248483</v>
      </c>
      <c r="K54" s="19">
        <f t="shared" si="44"/>
        <v>0.328674540129079</v>
      </c>
      <c r="L54" s="19">
        <f t="shared" si="44"/>
        <v>0.100969829727717</v>
      </c>
      <c r="M54" s="19">
        <f t="shared" si="44"/>
        <v>0.723541907627613</v>
      </c>
      <c r="P54" s="1">
        <v>75</v>
      </c>
      <c r="Q54" s="19">
        <f t="shared" ref="Q54:T54" si="45">ABS(Q46-Q12)</f>
        <v>5.62782236436567</v>
      </c>
      <c r="R54" s="19">
        <f t="shared" si="45"/>
        <v>0.0933859551040825</v>
      </c>
      <c r="S54" s="19">
        <f t="shared" si="45"/>
        <v>0.542748269397869</v>
      </c>
      <c r="T54" s="19">
        <f t="shared" si="45"/>
        <v>1.55082124826306</v>
      </c>
      <c r="W54" s="1">
        <v>75</v>
      </c>
      <c r="X54" s="19">
        <f t="shared" ref="X54:AA54" si="46">ABS(X46-X12)</f>
        <v>2.55283157073508</v>
      </c>
      <c r="Y54" s="19">
        <f t="shared" si="46"/>
        <v>0.68672310155636</v>
      </c>
      <c r="Z54" s="19">
        <f t="shared" si="46"/>
        <v>0.254536175971404</v>
      </c>
      <c r="AA54" s="19">
        <f t="shared" si="46"/>
        <v>0.118960849897315</v>
      </c>
      <c r="AB54" s="1"/>
    </row>
    <row r="55" spans="2:28">
      <c r="B55" s="1">
        <v>100</v>
      </c>
      <c r="C55" s="19">
        <f t="shared" ref="C55:F55" si="47">ABS(C47-C15)</f>
        <v>0.67339726987971</v>
      </c>
      <c r="D55" s="19">
        <f t="shared" si="47"/>
        <v>0.0257102082528959</v>
      </c>
      <c r="E55" s="19">
        <f t="shared" si="47"/>
        <v>0.843622414367168</v>
      </c>
      <c r="F55" s="19">
        <f t="shared" si="47"/>
        <v>0.108740172618838</v>
      </c>
      <c r="I55" s="1">
        <v>100</v>
      </c>
      <c r="J55" s="19">
        <f t="shared" ref="J55:M55" si="48">ABS(J47-J15)</f>
        <v>0.410835917884657</v>
      </c>
      <c r="K55" s="19">
        <f t="shared" si="48"/>
        <v>0.544905912250321</v>
      </c>
      <c r="L55" s="19">
        <f t="shared" si="48"/>
        <v>0.112142790243883</v>
      </c>
      <c r="M55" s="19">
        <f t="shared" si="48"/>
        <v>0.150206635296584</v>
      </c>
      <c r="P55" s="1">
        <v>100</v>
      </c>
      <c r="Q55" s="19">
        <f t="shared" ref="Q55:T55" si="49">ABS(Q47-Q15)</f>
        <v>5.68774952926731</v>
      </c>
      <c r="R55" s="19">
        <f t="shared" si="49"/>
        <v>1.24848510131517</v>
      </c>
      <c r="S55" s="19">
        <f t="shared" si="49"/>
        <v>0.780450271756557</v>
      </c>
      <c r="T55" s="19">
        <f t="shared" si="49"/>
        <v>0.387751456763709</v>
      </c>
      <c r="W55" s="1">
        <v>100</v>
      </c>
      <c r="X55" s="19">
        <f t="shared" ref="X55:AA55" si="50">ABS(X47-X15)</f>
        <v>2.48680848173044</v>
      </c>
      <c r="Y55" s="19">
        <f t="shared" si="50"/>
        <v>0.681861779766519</v>
      </c>
      <c r="Z55" s="19">
        <f t="shared" si="50"/>
        <v>0.328551286249609</v>
      </c>
      <c r="AA55" s="19">
        <f t="shared" si="50"/>
        <v>0.170255130778676</v>
      </c>
      <c r="AB55" s="1"/>
    </row>
    <row r="56" spans="3:28">
      <c r="C56" s="20"/>
      <c r="D56" s="20"/>
      <c r="E56" s="20"/>
      <c r="F56" s="20"/>
      <c r="AB56" s="1"/>
    </row>
    <row r="57" spans="28:28">
      <c r="AB57" s="1"/>
    </row>
    <row r="58" spans="2:28">
      <c r="B58" s="1" t="s">
        <v>275</v>
      </c>
      <c r="C58" s="17">
        <v>1</v>
      </c>
      <c r="D58" s="17">
        <v>8</v>
      </c>
      <c r="E58" s="17">
        <v>16</v>
      </c>
      <c r="F58" s="17">
        <v>32</v>
      </c>
      <c r="G58" s="1" t="s">
        <v>276</v>
      </c>
      <c r="I58" s="1" t="s">
        <v>275</v>
      </c>
      <c r="J58" s="17">
        <v>1</v>
      </c>
      <c r="K58" s="17">
        <v>8</v>
      </c>
      <c r="L58" s="17">
        <v>16</v>
      </c>
      <c r="M58" s="17">
        <v>32</v>
      </c>
      <c r="N58" s="1" t="s">
        <v>276</v>
      </c>
      <c r="P58" s="1" t="s">
        <v>275</v>
      </c>
      <c r="Q58" s="17">
        <v>1</v>
      </c>
      <c r="R58" s="17">
        <v>8</v>
      </c>
      <c r="S58" s="17">
        <v>16</v>
      </c>
      <c r="T58" s="17">
        <v>32</v>
      </c>
      <c r="U58" s="1" t="s">
        <v>276</v>
      </c>
      <c r="W58" s="1" t="s">
        <v>275</v>
      </c>
      <c r="X58" s="17">
        <v>1</v>
      </c>
      <c r="Y58" s="17">
        <v>8</v>
      </c>
      <c r="Z58" s="17">
        <v>16</v>
      </c>
      <c r="AA58" s="17">
        <v>32</v>
      </c>
      <c r="AB58" s="1" t="s">
        <v>276</v>
      </c>
    </row>
    <row r="59" spans="2:28">
      <c r="B59" s="1">
        <v>10</v>
      </c>
      <c r="C59" s="20">
        <f t="shared" ref="C59:F59" si="51">ABS(C43-C4)/C4</f>
        <v>0.01298033393864</v>
      </c>
      <c r="D59" s="20">
        <f t="shared" si="51"/>
        <v>0.00264679455640002</v>
      </c>
      <c r="E59" s="20">
        <f t="shared" si="51"/>
        <v>0.00140891846480012</v>
      </c>
      <c r="F59" s="20">
        <f t="shared" si="51"/>
        <v>0.00894183122472593</v>
      </c>
      <c r="G59" s="1">
        <f>SUM(C59:F63)/COUNT(C59:F63)</f>
        <v>0.0344522337070709</v>
      </c>
      <c r="I59" s="1">
        <v>10</v>
      </c>
      <c r="J59" s="20">
        <f t="shared" ref="J59:M59" si="52">ABS(J43-J4)/J4</f>
        <v>0.00537605685749881</v>
      </c>
      <c r="K59" s="20">
        <f t="shared" si="52"/>
        <v>0.0066342179830817</v>
      </c>
      <c r="L59" s="20">
        <f t="shared" si="52"/>
        <v>0.00136201290659227</v>
      </c>
      <c r="M59" s="20">
        <f t="shared" si="52"/>
        <v>0.00573837071861137</v>
      </c>
      <c r="N59" s="1">
        <f>SUM(J59:M63)/COUNT(J59:M63)</f>
        <v>0.0212960355870118</v>
      </c>
      <c r="P59" s="1">
        <v>10</v>
      </c>
      <c r="Q59" s="20">
        <f t="shared" ref="Q59:T59" si="53">ABS(Q43-Q4)/Q4</f>
        <v>0.00760427708114112</v>
      </c>
      <c r="R59" s="20">
        <f t="shared" si="53"/>
        <v>0.00398742342667834</v>
      </c>
      <c r="S59" s="20">
        <f t="shared" si="53"/>
        <v>0.00277093137139619</v>
      </c>
      <c r="T59" s="20">
        <f t="shared" si="53"/>
        <v>0.00684844365878034</v>
      </c>
      <c r="U59" s="1">
        <f>SUM(Q59:T63)/COUNT(Q59:T63)</f>
        <v>0.0492500183902953</v>
      </c>
      <c r="W59" s="1">
        <v>10</v>
      </c>
      <c r="X59" s="20">
        <f t="shared" ref="X59:AA59" si="54">ABS(X43-X4)/X4</f>
        <v>0.0314372912036242</v>
      </c>
      <c r="Y59" s="20">
        <f t="shared" si="54"/>
        <v>0.024275972890989</v>
      </c>
      <c r="Z59" s="20">
        <f t="shared" si="54"/>
        <v>0.0402424220191594</v>
      </c>
      <c r="AA59" s="20">
        <f t="shared" si="54"/>
        <v>0.0479104337876895</v>
      </c>
      <c r="AB59" s="1">
        <f>SUM(X59:AA63)/COUNT(X59:AA63)</f>
        <v>0.129792126690644</v>
      </c>
    </row>
    <row r="60" spans="2:28">
      <c r="B60" s="1">
        <v>25</v>
      </c>
      <c r="C60" s="20">
        <f t="shared" ref="C60:F60" si="55">ABS(C44-C6)/C6</f>
        <v>0.0751744047212219</v>
      </c>
      <c r="D60" s="20">
        <f t="shared" si="55"/>
        <v>0.00890832084126416</v>
      </c>
      <c r="E60" s="20">
        <f t="shared" si="55"/>
        <v>0.00718734232035334</v>
      </c>
      <c r="F60" s="20">
        <f t="shared" si="55"/>
        <v>0.00400925422423136</v>
      </c>
      <c r="I60" s="1">
        <v>25</v>
      </c>
      <c r="J60" s="20">
        <f t="shared" ref="J60:M60" si="56">ABS(J44-J6)/J6</f>
        <v>0.0808527203499414</v>
      </c>
      <c r="K60" s="20">
        <f t="shared" si="56"/>
        <v>0.00681109222301676</v>
      </c>
      <c r="L60" s="20">
        <f t="shared" si="56"/>
        <v>0.00582239287507296</v>
      </c>
      <c r="M60" s="20">
        <f t="shared" si="56"/>
        <v>0.0120536803957295</v>
      </c>
      <c r="P60" s="1">
        <v>25</v>
      </c>
      <c r="Q60" s="20">
        <f t="shared" ref="Q60:T60" si="57">ABS(Q44-Q6)/Q6</f>
        <v>0.156027125071163</v>
      </c>
      <c r="R60" s="20">
        <f t="shared" si="57"/>
        <v>0.00209722861824769</v>
      </c>
      <c r="S60" s="20">
        <f t="shared" si="57"/>
        <v>0.0013649494452803</v>
      </c>
      <c r="T60" s="20">
        <f t="shared" si="57"/>
        <v>0.00804442617149811</v>
      </c>
      <c r="W60" s="1">
        <v>25</v>
      </c>
      <c r="X60" s="20">
        <f t="shared" ref="X60:AA60" si="58">ABS(X44-X6)/X6</f>
        <v>0.392263782417647</v>
      </c>
      <c r="Y60" s="20">
        <f t="shared" si="58"/>
        <v>0.0048099597904781</v>
      </c>
      <c r="Z60" s="20">
        <f t="shared" si="58"/>
        <v>0.0280160109361413</v>
      </c>
      <c r="AA60" s="20">
        <f t="shared" si="58"/>
        <v>0.0496420590207377</v>
      </c>
      <c r="AB60" s="1"/>
    </row>
    <row r="61" spans="2:28">
      <c r="B61" s="1">
        <v>50</v>
      </c>
      <c r="C61" s="20">
        <f>ABS(C45-C9)/C9</f>
        <v>0.154939093918852</v>
      </c>
      <c r="D61" s="20">
        <f t="shared" ref="C61:F61" si="59">ABS(D45-D9)/D9</f>
        <v>0.00242866741184304</v>
      </c>
      <c r="E61" s="20">
        <f t="shared" si="59"/>
        <v>0.00638347906373853</v>
      </c>
      <c r="F61" s="20">
        <f t="shared" si="59"/>
        <v>0.00719417204631928</v>
      </c>
      <c r="I61" s="1">
        <v>50</v>
      </c>
      <c r="J61" s="20">
        <f t="shared" ref="J61:M61" si="60">ABS(J45-J9)/J9</f>
        <v>0.0492050532454057</v>
      </c>
      <c r="K61" s="20">
        <f t="shared" si="60"/>
        <v>0.000504707302734867</v>
      </c>
      <c r="L61" s="20">
        <f t="shared" si="60"/>
        <v>0.00414285493166795</v>
      </c>
      <c r="M61" s="20">
        <f t="shared" si="60"/>
        <v>0.000486940494979024</v>
      </c>
      <c r="P61" s="1">
        <v>50</v>
      </c>
      <c r="Q61" s="20">
        <f t="shared" ref="Q61:T61" si="61">ABS(Q45-Q9)/Q9</f>
        <v>0.203866475268283</v>
      </c>
      <c r="R61" s="20">
        <f t="shared" si="61"/>
        <v>0.00192396010910847</v>
      </c>
      <c r="S61" s="20">
        <f t="shared" si="61"/>
        <v>0.0105263339954063</v>
      </c>
      <c r="T61" s="20">
        <f t="shared" si="61"/>
        <v>0.00768111254129834</v>
      </c>
      <c r="W61" s="1">
        <v>50</v>
      </c>
      <c r="X61" s="20">
        <f t="shared" ref="X61:AA61" si="62">ABS(X45-X9)/X9</f>
        <v>0.46218280511162</v>
      </c>
      <c r="Y61" s="20">
        <f t="shared" si="62"/>
        <v>0.0578530207949573</v>
      </c>
      <c r="Z61" s="20">
        <f t="shared" si="62"/>
        <v>0.0402488820972848</v>
      </c>
      <c r="AA61" s="20">
        <f t="shared" si="62"/>
        <v>0.0467048356319107</v>
      </c>
      <c r="AB61" s="1"/>
    </row>
    <row r="62" spans="2:28">
      <c r="B62" s="1">
        <v>75</v>
      </c>
      <c r="C62" s="20">
        <f>ABS(C46-C12)/C12</f>
        <v>0.173320413023014</v>
      </c>
      <c r="D62" s="20">
        <f t="shared" ref="C62:F62" si="63">ABS(D46-D12)/D12</f>
        <v>0.021256299012572</v>
      </c>
      <c r="E62" s="20">
        <f t="shared" si="63"/>
        <v>0.0176040932569979</v>
      </c>
      <c r="F62" s="20">
        <f t="shared" si="63"/>
        <v>0.0038289419578929</v>
      </c>
      <c r="I62" s="1">
        <v>75</v>
      </c>
      <c r="J62" s="20">
        <f t="shared" ref="J62:M62" si="64">ABS(J46-J12)/J12</f>
        <v>0.0701861427734367</v>
      </c>
      <c r="K62" s="20">
        <f t="shared" si="64"/>
        <v>0.024903023213644</v>
      </c>
      <c r="L62" s="20">
        <f t="shared" si="64"/>
        <v>0.00444409229399372</v>
      </c>
      <c r="M62" s="20">
        <f t="shared" si="64"/>
        <v>0.017211274186199</v>
      </c>
      <c r="P62" s="1">
        <v>75</v>
      </c>
      <c r="Q62" s="20">
        <f t="shared" ref="Q62:T62" si="65">ABS(Q46-Q12)/Q12</f>
        <v>0.226486194875202</v>
      </c>
      <c r="R62" s="20">
        <f t="shared" si="65"/>
        <v>0.00364672420107206</v>
      </c>
      <c r="S62" s="20">
        <f t="shared" si="65"/>
        <v>0.0131600009630041</v>
      </c>
      <c r="T62" s="20">
        <f t="shared" si="65"/>
        <v>0.0210402161440916</v>
      </c>
      <c r="W62" s="1">
        <v>75</v>
      </c>
      <c r="X62" s="20">
        <f t="shared" ref="X62:AA62" si="66">ABS(X46-X12)/X12</f>
        <v>0.501873005149525</v>
      </c>
      <c r="Y62" s="20">
        <f t="shared" si="66"/>
        <v>0.134230960408524</v>
      </c>
      <c r="Z62" s="20">
        <f t="shared" si="66"/>
        <v>0.0337444683399163</v>
      </c>
      <c r="AA62" s="20">
        <f t="shared" si="66"/>
        <v>0.00825862227241442</v>
      </c>
      <c r="AB62" s="1"/>
    </row>
    <row r="63" spans="2:28">
      <c r="B63" s="1">
        <v>100</v>
      </c>
      <c r="C63" s="20">
        <f t="shared" ref="C63:F63" si="67">ABS(C47-C15)/C15</f>
        <v>0.15263109776854</v>
      </c>
      <c r="D63" s="20">
        <f t="shared" si="67"/>
        <v>0.00108634542268604</v>
      </c>
      <c r="E63" s="20">
        <f t="shared" si="67"/>
        <v>0.0253950907495534</v>
      </c>
      <c r="F63" s="20">
        <f t="shared" si="67"/>
        <v>0.0017197802177716</v>
      </c>
      <c r="I63" s="1">
        <v>100</v>
      </c>
      <c r="J63" s="20">
        <f t="shared" ref="J63:M63" si="68">ABS(J47-J15)/J15</f>
        <v>0.0703359364616518</v>
      </c>
      <c r="K63" s="20">
        <f t="shared" si="68"/>
        <v>0.0504216423551933</v>
      </c>
      <c r="L63" s="20">
        <f t="shared" si="68"/>
        <v>0.00550049520039618</v>
      </c>
      <c r="M63" s="20">
        <f t="shared" si="68"/>
        <v>0.00392800497138839</v>
      </c>
      <c r="P63" s="1">
        <v>100</v>
      </c>
      <c r="Q63" s="20">
        <f t="shared" ref="Q63:T63" si="69">ABS(Q47-Q15)/Q15</f>
        <v>0.233046867193425</v>
      </c>
      <c r="R63" s="20">
        <f t="shared" si="69"/>
        <v>0.0493352969325093</v>
      </c>
      <c r="S63" s="20">
        <f t="shared" si="69"/>
        <v>0.0198945955491581</v>
      </c>
      <c r="T63" s="20">
        <f t="shared" si="69"/>
        <v>0.00564778518916071</v>
      </c>
      <c r="W63" s="1">
        <v>100</v>
      </c>
      <c r="X63" s="20">
        <f t="shared" ref="X63:AA63" si="70">ABS(X47-X15)/X15</f>
        <v>0.497700865463003</v>
      </c>
      <c r="Y63" s="20">
        <f t="shared" si="70"/>
        <v>0.135408912019216</v>
      </c>
      <c r="Z63" s="20">
        <f t="shared" si="70"/>
        <v>0.0465607579003015</v>
      </c>
      <c r="AA63" s="20">
        <f t="shared" si="70"/>
        <v>0.0124774665577405</v>
      </c>
      <c r="AB63" s="1"/>
    </row>
    <row r="66" spans="2:27">
      <c r="B66" s="1" t="s">
        <v>236</v>
      </c>
      <c r="C66" s="17">
        <v>1</v>
      </c>
      <c r="D66" s="17">
        <v>8</v>
      </c>
      <c r="E66" s="17">
        <v>16</v>
      </c>
      <c r="F66" s="17">
        <v>32</v>
      </c>
      <c r="I66" s="1" t="s">
        <v>236</v>
      </c>
      <c r="J66" s="17">
        <v>1</v>
      </c>
      <c r="K66" s="17">
        <v>8</v>
      </c>
      <c r="L66" s="17">
        <v>16</v>
      </c>
      <c r="M66" s="17">
        <v>32</v>
      </c>
      <c r="P66" s="1" t="s">
        <v>236</v>
      </c>
      <c r="Q66" s="17">
        <v>1</v>
      </c>
      <c r="R66" s="17">
        <v>8</v>
      </c>
      <c r="S66" s="17">
        <v>16</v>
      </c>
      <c r="T66" s="17">
        <v>32</v>
      </c>
      <c r="W66" s="1" t="s">
        <v>236</v>
      </c>
      <c r="X66" s="17">
        <v>1</v>
      </c>
      <c r="Y66" s="17">
        <v>8</v>
      </c>
      <c r="Z66" s="17">
        <v>16</v>
      </c>
      <c r="AA66" s="17">
        <v>32</v>
      </c>
    </row>
    <row r="67" spans="2:27">
      <c r="B67" s="1">
        <v>10</v>
      </c>
      <c r="C67" s="1">
        <f>78*0.007/1*(10/100)</f>
        <v>0.0546</v>
      </c>
      <c r="D67" s="1">
        <f>C67/8</f>
        <v>0.006825</v>
      </c>
      <c r="E67" s="1">
        <f>C67/16</f>
        <v>0.0034125</v>
      </c>
      <c r="F67" s="1">
        <f>C67/32</f>
        <v>0.00170625</v>
      </c>
      <c r="I67" s="1">
        <v>10</v>
      </c>
      <c r="J67" s="1">
        <f>253*0.007/1*(10/100)</f>
        <v>0.1771</v>
      </c>
      <c r="K67" s="1">
        <f t="shared" ref="K67:K71" si="71">J67/8</f>
        <v>0.0221375</v>
      </c>
      <c r="L67" s="1">
        <f t="shared" ref="L67:L71" si="72">J67/16</f>
        <v>0.01106875</v>
      </c>
      <c r="M67" s="1">
        <f t="shared" ref="M67:M71" si="73">J67/32</f>
        <v>0.005534375</v>
      </c>
      <c r="P67" s="1">
        <v>10</v>
      </c>
      <c r="Q67" s="1">
        <f>1080*0.007/1*(10/100)</f>
        <v>0.756</v>
      </c>
      <c r="R67" s="1">
        <f t="shared" ref="R67:R71" si="74">Q67/8</f>
        <v>0.0945</v>
      </c>
      <c r="S67" s="1">
        <f t="shared" ref="S67:S71" si="75">Q67/16</f>
        <v>0.04725</v>
      </c>
      <c r="T67" s="1">
        <f t="shared" ref="T67:T71" si="76">Q67/32</f>
        <v>0.023625</v>
      </c>
      <c r="W67" s="1">
        <v>10</v>
      </c>
      <c r="X67" s="1">
        <f>230*0.007/1*(10/100)</f>
        <v>0.161</v>
      </c>
      <c r="Y67" s="1">
        <f t="shared" ref="Y67:Y71" si="77">X67/8</f>
        <v>0.020125</v>
      </c>
      <c r="Z67" s="1">
        <f t="shared" ref="Z67:Z71" si="78">X67/16</f>
        <v>0.0100625</v>
      </c>
      <c r="AA67" s="1">
        <f t="shared" ref="AA67:AA71" si="79">X67/32</f>
        <v>0.00503125</v>
      </c>
    </row>
    <row r="68" spans="2:27">
      <c r="B68" s="1">
        <v>25</v>
      </c>
      <c r="C68" s="1">
        <f>78*0.007/1*(25/100)</f>
        <v>0.1365</v>
      </c>
      <c r="D68" s="1">
        <f>C68/8</f>
        <v>0.0170625</v>
      </c>
      <c r="E68" s="1">
        <f>C68/16</f>
        <v>0.00853125</v>
      </c>
      <c r="F68" s="1">
        <f>C68/32</f>
        <v>0.004265625</v>
      </c>
      <c r="I68" s="1">
        <v>25</v>
      </c>
      <c r="J68" s="1">
        <f>253*0.007/1*(25/100)</f>
        <v>0.44275</v>
      </c>
      <c r="K68" s="1">
        <f t="shared" si="71"/>
        <v>0.05534375</v>
      </c>
      <c r="L68" s="1">
        <f t="shared" si="72"/>
        <v>0.027671875</v>
      </c>
      <c r="M68" s="1">
        <f t="shared" si="73"/>
        <v>0.0138359375</v>
      </c>
      <c r="P68" s="1">
        <v>25</v>
      </c>
      <c r="Q68" s="1">
        <f>1080*0.007/1*(25/100)</f>
        <v>1.89</v>
      </c>
      <c r="R68" s="1">
        <f t="shared" si="74"/>
        <v>0.23625</v>
      </c>
      <c r="S68" s="1">
        <f t="shared" si="75"/>
        <v>0.118125</v>
      </c>
      <c r="T68" s="1">
        <f t="shared" si="76"/>
        <v>0.0590625</v>
      </c>
      <c r="W68" s="1">
        <v>25</v>
      </c>
      <c r="X68" s="1">
        <f>230*0.007/1*(25/100)</f>
        <v>0.4025</v>
      </c>
      <c r="Y68" s="1">
        <f t="shared" si="77"/>
        <v>0.0503125</v>
      </c>
      <c r="Z68" s="1">
        <f t="shared" si="78"/>
        <v>0.02515625</v>
      </c>
      <c r="AA68" s="1">
        <f t="shared" si="79"/>
        <v>0.012578125</v>
      </c>
    </row>
    <row r="69" spans="2:27">
      <c r="B69" s="1">
        <v>50</v>
      </c>
      <c r="C69" s="1">
        <f>78*0.007/1*(50/100)</f>
        <v>0.273</v>
      </c>
      <c r="D69" s="1">
        <f>C69/8</f>
        <v>0.034125</v>
      </c>
      <c r="E69" s="1">
        <f>C69/16</f>
        <v>0.0170625</v>
      </c>
      <c r="F69" s="1">
        <f>C69/32</f>
        <v>0.00853125</v>
      </c>
      <c r="I69" s="1">
        <v>50</v>
      </c>
      <c r="J69" s="1">
        <f>253*0.007/1*(50/100)</f>
        <v>0.8855</v>
      </c>
      <c r="K69" s="1">
        <f t="shared" si="71"/>
        <v>0.1106875</v>
      </c>
      <c r="L69" s="1">
        <f t="shared" si="72"/>
        <v>0.05534375</v>
      </c>
      <c r="M69" s="1">
        <f t="shared" si="73"/>
        <v>0.027671875</v>
      </c>
      <c r="P69" s="1">
        <v>50</v>
      </c>
      <c r="Q69" s="1">
        <f>1080*0.007/1*(50/100)</f>
        <v>3.78</v>
      </c>
      <c r="R69" s="1">
        <f t="shared" si="74"/>
        <v>0.4725</v>
      </c>
      <c r="S69" s="1">
        <f t="shared" si="75"/>
        <v>0.23625</v>
      </c>
      <c r="T69" s="1">
        <f t="shared" si="76"/>
        <v>0.118125</v>
      </c>
      <c r="W69" s="1">
        <v>50</v>
      </c>
      <c r="X69" s="1">
        <f>230*0.007/1*(50/100)</f>
        <v>0.805</v>
      </c>
      <c r="Y69" s="1">
        <f t="shared" si="77"/>
        <v>0.100625</v>
      </c>
      <c r="Z69" s="1">
        <f t="shared" si="78"/>
        <v>0.0503125</v>
      </c>
      <c r="AA69" s="1">
        <f t="shared" si="79"/>
        <v>0.02515625</v>
      </c>
    </row>
    <row r="70" spans="2:27">
      <c r="B70" s="1">
        <v>75</v>
      </c>
      <c r="C70" s="1">
        <f>78*0.007/1*(75/100)</f>
        <v>0.4095</v>
      </c>
      <c r="D70" s="1">
        <f>C70/8</f>
        <v>0.0511875</v>
      </c>
      <c r="E70" s="1">
        <f>C70/16</f>
        <v>0.02559375</v>
      </c>
      <c r="F70" s="1">
        <f>C70/32</f>
        <v>0.012796875</v>
      </c>
      <c r="I70" s="1">
        <v>75</v>
      </c>
      <c r="J70" s="1">
        <f>253*0.007/1*(75/100)</f>
        <v>1.32825</v>
      </c>
      <c r="K70" s="1">
        <f t="shared" si="71"/>
        <v>0.16603125</v>
      </c>
      <c r="L70" s="1">
        <f t="shared" si="72"/>
        <v>0.083015625</v>
      </c>
      <c r="M70" s="1">
        <f t="shared" si="73"/>
        <v>0.0415078125</v>
      </c>
      <c r="P70" s="1">
        <v>75</v>
      </c>
      <c r="Q70" s="1">
        <f>1080*0.007/1*(75/100)</f>
        <v>5.67</v>
      </c>
      <c r="R70" s="1">
        <f t="shared" si="74"/>
        <v>0.70875</v>
      </c>
      <c r="S70" s="1">
        <f t="shared" si="75"/>
        <v>0.354375</v>
      </c>
      <c r="T70" s="1">
        <f t="shared" si="76"/>
        <v>0.1771875</v>
      </c>
      <c r="W70" s="1">
        <v>75</v>
      </c>
      <c r="X70" s="1">
        <f>230*0.007/1*(75/100)</f>
        <v>1.2075</v>
      </c>
      <c r="Y70" s="1">
        <f t="shared" si="77"/>
        <v>0.1509375</v>
      </c>
      <c r="Z70" s="1">
        <f t="shared" si="78"/>
        <v>0.07546875</v>
      </c>
      <c r="AA70" s="1">
        <f t="shared" si="79"/>
        <v>0.037734375</v>
      </c>
    </row>
    <row r="71" spans="2:27">
      <c r="B71" s="1">
        <v>100</v>
      </c>
      <c r="C71" s="1">
        <f>78*0.007/1*(100/100)</f>
        <v>0.546</v>
      </c>
      <c r="D71" s="1">
        <f>C71/8</f>
        <v>0.06825</v>
      </c>
      <c r="E71" s="1">
        <f>C71/16</f>
        <v>0.034125</v>
      </c>
      <c r="F71" s="1">
        <f>C71/32</f>
        <v>0.0170625</v>
      </c>
      <c r="I71" s="1">
        <v>100</v>
      </c>
      <c r="J71" s="1">
        <f>253*0.007/1*(100/100)</f>
        <v>1.771</v>
      </c>
      <c r="K71" s="1">
        <f t="shared" si="71"/>
        <v>0.221375</v>
      </c>
      <c r="L71" s="1">
        <f t="shared" si="72"/>
        <v>0.1106875</v>
      </c>
      <c r="M71" s="1">
        <f t="shared" si="73"/>
        <v>0.05534375</v>
      </c>
      <c r="P71" s="1">
        <v>100</v>
      </c>
      <c r="Q71" s="1">
        <f>1080*0.007/1*(100/100)</f>
        <v>7.56</v>
      </c>
      <c r="R71" s="1">
        <f t="shared" si="74"/>
        <v>0.945</v>
      </c>
      <c r="S71" s="1">
        <f t="shared" si="75"/>
        <v>0.4725</v>
      </c>
      <c r="T71" s="1">
        <f t="shared" si="76"/>
        <v>0.23625</v>
      </c>
      <c r="W71" s="1">
        <v>100</v>
      </c>
      <c r="X71" s="1">
        <f>230*0.007/1*(100/100)</f>
        <v>1.61</v>
      </c>
      <c r="Y71" s="1">
        <f t="shared" si="77"/>
        <v>0.20125</v>
      </c>
      <c r="Z71" s="1">
        <f t="shared" si="78"/>
        <v>0.100625</v>
      </c>
      <c r="AA71" s="1">
        <f t="shared" si="79"/>
        <v>0.0503125</v>
      </c>
    </row>
    <row r="74" spans="2:28">
      <c r="B74" s="1" t="s">
        <v>277</v>
      </c>
      <c r="C74" s="17">
        <v>1</v>
      </c>
      <c r="D74" s="17">
        <v>8</v>
      </c>
      <c r="E74" s="17">
        <v>16</v>
      </c>
      <c r="F74" s="17">
        <v>32</v>
      </c>
      <c r="G74" s="1" t="s">
        <v>274</v>
      </c>
      <c r="I74" s="1" t="s">
        <v>277</v>
      </c>
      <c r="J74" s="17">
        <v>1</v>
      </c>
      <c r="K74" s="17">
        <v>8</v>
      </c>
      <c r="L74" s="17">
        <v>16</v>
      </c>
      <c r="M74" s="17">
        <v>32</v>
      </c>
      <c r="N74" s="1" t="s">
        <v>274</v>
      </c>
      <c r="P74" s="1" t="s">
        <v>277</v>
      </c>
      <c r="Q74" s="17">
        <v>1</v>
      </c>
      <c r="R74" s="17">
        <v>8</v>
      </c>
      <c r="S74" s="17">
        <v>16</v>
      </c>
      <c r="T74" s="17">
        <v>32</v>
      </c>
      <c r="U74" s="1" t="s">
        <v>274</v>
      </c>
      <c r="W74" s="1" t="s">
        <v>277</v>
      </c>
      <c r="X74" s="17">
        <v>1</v>
      </c>
      <c r="Y74" s="17">
        <v>8</v>
      </c>
      <c r="Z74" s="17">
        <v>16</v>
      </c>
      <c r="AA74" s="17">
        <v>32</v>
      </c>
      <c r="AB74" s="1" t="s">
        <v>274</v>
      </c>
    </row>
    <row r="75" spans="2:28">
      <c r="B75" s="1">
        <v>10</v>
      </c>
      <c r="C75" s="19">
        <f>ABS(C43+C67-C4)</f>
        <v>0.301829036564872</v>
      </c>
      <c r="D75" s="19">
        <f>ABS(D43+D67-D4)</f>
        <v>0.464530829336468</v>
      </c>
      <c r="E75" s="19">
        <f t="shared" ref="E75:M75" si="80">ABS(E43+E67-E4)</f>
        <v>0.290975342589746</v>
      </c>
      <c r="F75" s="19">
        <f t="shared" si="80"/>
        <v>3.54012890101006</v>
      </c>
      <c r="G75" s="1">
        <f>SUM(C75:F79)/COUNT(C75:F79)</f>
        <v>0.727560101069269</v>
      </c>
      <c r="I75" s="1">
        <v>10</v>
      </c>
      <c r="J75" s="19">
        <f t="shared" si="80"/>
        <v>0.265262018524897</v>
      </c>
      <c r="K75" s="19">
        <f t="shared" si="80"/>
        <v>0.431315774021698</v>
      </c>
      <c r="L75" s="19">
        <f t="shared" si="80"/>
        <v>0.139620797394997</v>
      </c>
      <c r="M75" s="19">
        <f t="shared" si="80"/>
        <v>1.16335840227703</v>
      </c>
      <c r="N75" s="1">
        <f>SUM(J75:M79)/COUNT(J75:M79)</f>
        <v>0.496673710436183</v>
      </c>
      <c r="P75" s="1">
        <v>10</v>
      </c>
      <c r="Q75" s="19">
        <f t="shared" ref="Q75:T75" si="81">ABS(Q43+Q67-Q4)</f>
        <v>1.0334429444928</v>
      </c>
      <c r="R75" s="19">
        <f t="shared" si="81"/>
        <v>0.568704101942998</v>
      </c>
      <c r="S75" s="19">
        <f t="shared" si="81"/>
        <v>0.565373021485982</v>
      </c>
      <c r="T75" s="19">
        <f t="shared" si="81"/>
        <v>2.29532696104701</v>
      </c>
      <c r="U75" s="1">
        <f>SUM(Q75:T79)/COUNT(Q75:T79)</f>
        <v>0.894659717334784</v>
      </c>
      <c r="W75" s="1">
        <v>10</v>
      </c>
      <c r="X75" s="19">
        <f t="shared" ref="X75:AA75" si="82">ABS(X43+X67-X4)</f>
        <v>0.342311836009719</v>
      </c>
      <c r="Y75" s="19">
        <f t="shared" si="82"/>
        <v>0.451542297962654</v>
      </c>
      <c r="Z75" s="19">
        <f t="shared" si="82"/>
        <v>1.35188164801986</v>
      </c>
      <c r="AA75" s="19">
        <f t="shared" si="82"/>
        <v>2.98796092856195</v>
      </c>
      <c r="AB75" s="1">
        <f>SUM(X75:AA79)/COUNT(X75:AA79)</f>
        <v>0.783090746765153</v>
      </c>
    </row>
    <row r="76" spans="2:28">
      <c r="B76" s="1">
        <v>25</v>
      </c>
      <c r="C76" s="19">
        <f>ABS(C44+C68-C6)</f>
        <v>0.9369899237476</v>
      </c>
      <c r="D76" s="19">
        <f>ABS(D44+D68-D6)</f>
        <v>0.611778266719782</v>
      </c>
      <c r="E76" s="19">
        <f t="shared" ref="E76:M76" si="83">ABS(E44+E68-E6)</f>
        <v>0.592492590626605</v>
      </c>
      <c r="F76" s="19">
        <f t="shared" si="83"/>
        <v>0.629663905187982</v>
      </c>
      <c r="I76" s="1">
        <v>25</v>
      </c>
      <c r="J76" s="19">
        <f t="shared" si="83"/>
        <v>1.0117440447343</v>
      </c>
      <c r="K76" s="19">
        <f t="shared" si="83"/>
        <v>0.133961314761798</v>
      </c>
      <c r="L76" s="19">
        <f t="shared" si="83"/>
        <v>0.238526830929899</v>
      </c>
      <c r="M76" s="19">
        <f t="shared" si="83"/>
        <v>0.987881419725895</v>
      </c>
      <c r="P76" s="1">
        <v>25</v>
      </c>
      <c r="Q76" s="19">
        <f t="shared" ref="Q76:T76" si="84">ABS(Q44+Q68-Q6)</f>
        <v>2.1217733782433</v>
      </c>
      <c r="R76" s="19">
        <f t="shared" si="84"/>
        <v>0.133618651839399</v>
      </c>
      <c r="S76" s="19">
        <f t="shared" si="84"/>
        <v>0.0065340789963102</v>
      </c>
      <c r="T76" s="19">
        <f t="shared" si="84"/>
        <v>1.16908565167401</v>
      </c>
      <c r="W76" s="1">
        <v>25</v>
      </c>
      <c r="X76" s="19">
        <f t="shared" ref="X76:AA76" si="85">ABS(X44+X68-X6)</f>
        <v>1.63578935188513</v>
      </c>
      <c r="Y76" s="19">
        <f t="shared" si="85"/>
        <v>0.0890567122362178</v>
      </c>
      <c r="Z76" s="19">
        <f t="shared" si="85"/>
        <v>0.365404755707646</v>
      </c>
      <c r="AA76" s="19">
        <f t="shared" si="85"/>
        <v>1.26853380795643</v>
      </c>
      <c r="AB76" s="1"/>
    </row>
    <row r="77" spans="2:28">
      <c r="B77" s="1">
        <v>50</v>
      </c>
      <c r="C77" s="19">
        <f>ABS(C45+C69-C9)</f>
        <v>1.22162062822947</v>
      </c>
      <c r="D77" s="19">
        <f>ABS(D45+D69-D9)</f>
        <v>0.120750451021806</v>
      </c>
      <c r="E77" s="19">
        <f t="shared" ref="E77:M77" si="86">ABS(E45+E69-E9)</f>
        <v>0.274412755520096</v>
      </c>
      <c r="F77" s="19">
        <f t="shared" si="86"/>
        <v>0.636742377395905</v>
      </c>
      <c r="I77" s="1">
        <v>50</v>
      </c>
      <c r="J77" s="19">
        <f t="shared" si="86"/>
        <v>0.569420893010481</v>
      </c>
      <c r="K77" s="19">
        <f t="shared" si="86"/>
        <v>0.1025933540962</v>
      </c>
      <c r="L77" s="19">
        <f t="shared" si="86"/>
        <v>0.0591389036584999</v>
      </c>
      <c r="M77" s="19">
        <f t="shared" si="86"/>
        <v>0.0521553239459038</v>
      </c>
      <c r="P77" s="1">
        <v>50</v>
      </c>
      <c r="Q77" s="19">
        <f t="shared" ref="Q77:T77" si="87">ABS(Q45+Q69-Q9)</f>
        <v>1.3129938459738</v>
      </c>
      <c r="R77" s="19">
        <f t="shared" si="87"/>
        <v>0.413545984083999</v>
      </c>
      <c r="S77" s="19">
        <f t="shared" si="87"/>
        <v>0.754691076198895</v>
      </c>
      <c r="T77" s="19">
        <f t="shared" si="87"/>
        <v>0.537118651957798</v>
      </c>
      <c r="W77" s="1">
        <v>50</v>
      </c>
      <c r="X77" s="19">
        <f t="shared" ref="X77:AA77" si="88">ABS(X45+X69-X9)</f>
        <v>1.56676803465897</v>
      </c>
      <c r="Y77" s="19">
        <f t="shared" si="88"/>
        <v>0.219292152486435</v>
      </c>
      <c r="Z77" s="19">
        <f t="shared" si="88"/>
        <v>0.321121534169309</v>
      </c>
      <c r="AA77" s="19">
        <f t="shared" si="88"/>
        <v>0.762639123963329</v>
      </c>
      <c r="AB77" s="1"/>
    </row>
    <row r="78" spans="2:28">
      <c r="B78" s="1">
        <v>75</v>
      </c>
      <c r="C78" s="19">
        <f>ABS(C46+C70-C12)</f>
        <v>1.29780676845525</v>
      </c>
      <c r="D78" s="19">
        <f>ABS(D46+D70-D12)</f>
        <v>0.546515821282398</v>
      </c>
      <c r="E78" s="19">
        <f t="shared" ref="E78:M78" si="89">ABS(E46+E70-E12)</f>
        <v>0.635306915129604</v>
      </c>
      <c r="F78" s="19">
        <f t="shared" si="89"/>
        <v>0.286545359954914</v>
      </c>
      <c r="I78" s="1">
        <v>75</v>
      </c>
      <c r="J78" s="19">
        <f t="shared" si="89"/>
        <v>0.890615996751519</v>
      </c>
      <c r="K78" s="19">
        <f t="shared" si="89"/>
        <v>0.4947057901291</v>
      </c>
      <c r="L78" s="19">
        <f t="shared" si="89"/>
        <v>0.183985454727701</v>
      </c>
      <c r="M78" s="19">
        <f t="shared" si="89"/>
        <v>0.7650497201276</v>
      </c>
      <c r="P78" s="1">
        <v>75</v>
      </c>
      <c r="Q78" s="19">
        <f t="shared" ref="Q78:T78" si="90">ABS(Q46+Q70-Q12)</f>
        <v>0.042177635634296</v>
      </c>
      <c r="R78" s="19">
        <f t="shared" si="90"/>
        <v>0.615364044895898</v>
      </c>
      <c r="S78" s="19">
        <f t="shared" si="90"/>
        <v>0.897123269397902</v>
      </c>
      <c r="T78" s="19">
        <f t="shared" si="90"/>
        <v>1.3736337482631</v>
      </c>
      <c r="W78" s="1">
        <v>75</v>
      </c>
      <c r="X78" s="19">
        <f t="shared" ref="X78:AA78" si="91">ABS(X46+X70-X12)</f>
        <v>1.34533157073508</v>
      </c>
      <c r="Y78" s="19">
        <f t="shared" si="91"/>
        <v>0.535785601556359</v>
      </c>
      <c r="Z78" s="19">
        <f t="shared" si="91"/>
        <v>0.330004925971404</v>
      </c>
      <c r="AA78" s="19">
        <f t="shared" si="91"/>
        <v>0.0812264748973153</v>
      </c>
      <c r="AB78" s="1"/>
    </row>
    <row r="79" spans="2:28">
      <c r="B79" s="1">
        <v>100</v>
      </c>
      <c r="C79" s="19">
        <f>ABS(C47+C71-C15)</f>
        <v>1.21939726987971</v>
      </c>
      <c r="D79" s="19">
        <f>ABS(D47+D71-D15)</f>
        <v>0.0425397917471031</v>
      </c>
      <c r="E79" s="19">
        <f t="shared" ref="E79:M79" si="92">ABS(E47+E71-E15)</f>
        <v>0.8094974143672</v>
      </c>
      <c r="F79" s="19">
        <f t="shared" si="92"/>
        <v>0.0916776726188004</v>
      </c>
      <c r="I79" s="1">
        <v>100</v>
      </c>
      <c r="J79" s="19">
        <f t="shared" si="92"/>
        <v>1.36016408211534</v>
      </c>
      <c r="K79" s="19">
        <f t="shared" si="92"/>
        <v>0.7662809122503</v>
      </c>
      <c r="L79" s="19">
        <f t="shared" si="92"/>
        <v>0.222830290243902</v>
      </c>
      <c r="M79" s="19">
        <f t="shared" si="92"/>
        <v>0.0948628852965996</v>
      </c>
      <c r="P79" s="1">
        <v>100</v>
      </c>
      <c r="Q79" s="19">
        <f t="shared" ref="Q79:T79" si="93">ABS(Q47+Q71-Q15)</f>
        <v>1.8722504707327</v>
      </c>
      <c r="R79" s="19">
        <f t="shared" si="93"/>
        <v>0.3034851013152</v>
      </c>
      <c r="S79" s="19">
        <f t="shared" si="93"/>
        <v>1.2529502717566</v>
      </c>
      <c r="T79" s="19">
        <f t="shared" si="93"/>
        <v>0.624001456763693</v>
      </c>
      <c r="W79" s="1">
        <v>100</v>
      </c>
      <c r="X79" s="19">
        <f t="shared" ref="X79:AA79" si="94">ABS(X47+X71-X15)</f>
        <v>0.876808481730438</v>
      </c>
      <c r="Y79" s="19">
        <f t="shared" si="94"/>
        <v>0.480611779766519</v>
      </c>
      <c r="Z79" s="19">
        <f t="shared" si="94"/>
        <v>0.429176286249609</v>
      </c>
      <c r="AA79" s="19">
        <f t="shared" si="94"/>
        <v>0.220567630778676</v>
      </c>
      <c r="AB79" s="1"/>
    </row>
    <row r="82" spans="2:28">
      <c r="B82" s="1" t="s">
        <v>277</v>
      </c>
      <c r="C82" s="17">
        <v>1</v>
      </c>
      <c r="D82" s="17">
        <v>8</v>
      </c>
      <c r="E82" s="17">
        <v>16</v>
      </c>
      <c r="F82" s="17">
        <v>32</v>
      </c>
      <c r="G82" s="1" t="s">
        <v>276</v>
      </c>
      <c r="I82" s="1" t="s">
        <v>277</v>
      </c>
      <c r="J82" s="17">
        <v>1</v>
      </c>
      <c r="K82" s="17">
        <v>8</v>
      </c>
      <c r="L82" s="17">
        <v>16</v>
      </c>
      <c r="M82" s="17">
        <v>32</v>
      </c>
      <c r="N82" s="1" t="s">
        <v>276</v>
      </c>
      <c r="P82" s="1" t="s">
        <v>277</v>
      </c>
      <c r="Q82" s="17">
        <v>1</v>
      </c>
      <c r="R82" s="17">
        <v>8</v>
      </c>
      <c r="S82" s="17">
        <v>16</v>
      </c>
      <c r="T82" s="17">
        <v>32</v>
      </c>
      <c r="U82" s="1" t="s">
        <v>276</v>
      </c>
      <c r="W82" s="1" t="s">
        <v>277</v>
      </c>
      <c r="X82" s="17">
        <v>1</v>
      </c>
      <c r="Y82" s="17">
        <v>8</v>
      </c>
      <c r="Z82" s="17">
        <v>16</v>
      </c>
      <c r="AA82" s="17">
        <v>32</v>
      </c>
      <c r="AB82" s="1" t="s">
        <v>276</v>
      </c>
    </row>
    <row r="83" spans="2:28">
      <c r="B83" s="1">
        <v>10</v>
      </c>
      <c r="C83" s="21">
        <f>C75/C4</f>
        <v>0.0109919262604098</v>
      </c>
      <c r="D83" s="21">
        <f>D75/D4</f>
        <v>0.00268626176806651</v>
      </c>
      <c r="E83" s="21">
        <f t="shared" ref="E83:M83" si="95">E75/E4</f>
        <v>0.00139258649192098</v>
      </c>
      <c r="F83" s="21">
        <f t="shared" si="95"/>
        <v>0.00894614303284831</v>
      </c>
      <c r="G83" s="1">
        <f>SUM(C83:F87)/COUNT(C83:F87)</f>
        <v>0.0473152863921616</v>
      </c>
      <c r="I83" s="1">
        <v>10</v>
      </c>
      <c r="J83" s="21">
        <f t="shared" si="95"/>
        <v>0.0161754882384104</v>
      </c>
      <c r="K83" s="21">
        <f t="shared" si="95"/>
        <v>0.0063103367608829</v>
      </c>
      <c r="L83" s="21">
        <f t="shared" si="95"/>
        <v>0.00126196761068253</v>
      </c>
      <c r="M83" s="21">
        <f t="shared" si="95"/>
        <v>0.00571120116460147</v>
      </c>
      <c r="N83" s="1">
        <f>SUM(J83:M87)/COUNT(J83:M87)</f>
        <v>0.040858012440191</v>
      </c>
      <c r="P83" s="1">
        <v>10</v>
      </c>
      <c r="Q83" s="21">
        <f t="shared" ref="Q83:T83" si="96">Q75/Q4</f>
        <v>0.0283250544065581</v>
      </c>
      <c r="R83" s="21">
        <f t="shared" si="96"/>
        <v>0.00478204226754825</v>
      </c>
      <c r="S83" s="21">
        <f t="shared" si="96"/>
        <v>0.00302362523341287</v>
      </c>
      <c r="T83" s="21">
        <f t="shared" si="96"/>
        <v>0.00691966536136864</v>
      </c>
      <c r="U83" s="1">
        <f>SUM(Q83:T87)/COUNT(Q83:T87)</f>
        <v>0.0210188202692957</v>
      </c>
      <c r="W83" s="1">
        <v>10</v>
      </c>
      <c r="X83" s="21">
        <f t="shared" ref="X83:AA83" si="97">X75/X4</f>
        <v>0.0593527543922059</v>
      </c>
      <c r="Y83" s="21">
        <f t="shared" si="97"/>
        <v>0.023240170840388</v>
      </c>
      <c r="Z83" s="21">
        <f t="shared" si="97"/>
        <v>0.0399450975127497</v>
      </c>
      <c r="AA83" s="21">
        <f t="shared" si="97"/>
        <v>0.0478298958658998</v>
      </c>
      <c r="AB83" s="1">
        <f>SUM(X83:AA87)/COUNT(X83:AA87)</f>
        <v>0.0881542802315061</v>
      </c>
    </row>
    <row r="84" spans="2:28">
      <c r="B84" s="1">
        <v>25</v>
      </c>
      <c r="C84" s="21">
        <f>C76/C6</f>
        <v>0.08799318724431</v>
      </c>
      <c r="D84" s="21">
        <f>D76/D6</f>
        <v>0.00916390213380685</v>
      </c>
      <c r="E84" s="21">
        <f t="shared" ref="E84:M84" si="98">E76/E6</f>
        <v>0.00729234415849721</v>
      </c>
      <c r="F84" s="21">
        <f t="shared" si="98"/>
        <v>0.00403659995828782</v>
      </c>
      <c r="I84" s="1">
        <v>25</v>
      </c>
      <c r="J84" s="21">
        <f t="shared" si="98"/>
        <v>0.143766457789237</v>
      </c>
      <c r="K84" s="21">
        <f t="shared" si="98"/>
        <v>0.00481985450472266</v>
      </c>
      <c r="L84" s="21">
        <f t="shared" si="98"/>
        <v>0.00521714377261453</v>
      </c>
      <c r="M84" s="21">
        <f t="shared" si="98"/>
        <v>0.0118871923465829</v>
      </c>
      <c r="P84" s="1">
        <v>25</v>
      </c>
      <c r="Q84" s="21">
        <f t="shared" ref="Q84:T84" si="99">Q76/Q6</f>
        <v>0.0825206633194208</v>
      </c>
      <c r="R84" s="21">
        <f t="shared" si="99"/>
        <v>0.00273044119162159</v>
      </c>
      <c r="S84" s="21">
        <f t="shared" si="99"/>
        <v>7.99230566538079e-5</v>
      </c>
      <c r="T84" s="21">
        <f t="shared" si="99"/>
        <v>0.00847245681215687</v>
      </c>
      <c r="W84" s="1">
        <v>25</v>
      </c>
      <c r="X84" s="21">
        <f t="shared" ref="X84:AA84" si="100">X76/X6</f>
        <v>0.314803645427243</v>
      </c>
      <c r="Y84" s="21">
        <f t="shared" si="100"/>
        <v>0.0110560824495991</v>
      </c>
      <c r="Z84" s="21">
        <f t="shared" si="100"/>
        <v>0.0262114842045611</v>
      </c>
      <c r="AA84" s="21">
        <f t="shared" si="100"/>
        <v>0.0491546667737704</v>
      </c>
      <c r="AB84" s="1"/>
    </row>
    <row r="85" spans="2:28">
      <c r="B85" s="1">
        <v>50</v>
      </c>
      <c r="C85" s="21">
        <f>C77/C9</f>
        <v>0.199528439101861</v>
      </c>
      <c r="D85" s="21">
        <f>D77/D9</f>
        <v>0.00338541019876624</v>
      </c>
      <c r="E85" s="21">
        <f t="shared" ref="E85:M85" si="101">E77/E9</f>
        <v>0.00600980030555206</v>
      </c>
      <c r="F85" s="21">
        <f t="shared" si="101"/>
        <v>0.00729187053906123</v>
      </c>
      <c r="I85" s="1">
        <v>50</v>
      </c>
      <c r="J85" s="21">
        <f t="shared" si="101"/>
        <v>0.0886435855456773</v>
      </c>
      <c r="K85" s="21">
        <f t="shared" si="101"/>
        <v>0.00639716847702481</v>
      </c>
      <c r="L85" s="21">
        <f t="shared" si="101"/>
        <v>0.00214009625777731</v>
      </c>
      <c r="M85" s="21">
        <f t="shared" si="101"/>
        <v>0.0010372941865412</v>
      </c>
      <c r="P85" s="1">
        <v>50</v>
      </c>
      <c r="Q85" s="21">
        <f t="shared" ref="Q85:T85" si="102">Q77/Q9</f>
        <v>0.0525575792005386</v>
      </c>
      <c r="R85" s="21">
        <f t="shared" si="102"/>
        <v>0.0134960437265763</v>
      </c>
      <c r="S85" s="21">
        <f t="shared" si="102"/>
        <v>0.0153231113353641</v>
      </c>
      <c r="T85" s="21">
        <f t="shared" si="102"/>
        <v>0.00629638883397195</v>
      </c>
      <c r="W85" s="1">
        <v>50</v>
      </c>
      <c r="X85" s="21">
        <f t="shared" ref="X85:AA85" si="103">X77/X9</f>
        <v>0.305313687778925</v>
      </c>
      <c r="Y85" s="21">
        <f t="shared" si="103"/>
        <v>0.0396562464980887</v>
      </c>
      <c r="Z85" s="21">
        <f t="shared" si="103"/>
        <v>0.0347969802944559</v>
      </c>
      <c r="AA85" s="21">
        <f t="shared" si="103"/>
        <v>0.0452134349964205</v>
      </c>
      <c r="AB85" s="1"/>
    </row>
    <row r="86" spans="2:28">
      <c r="B86" s="1">
        <v>75</v>
      </c>
      <c r="C86" s="21">
        <f>C78/C12</f>
        <v>0.253219285409575</v>
      </c>
      <c r="D86" s="21">
        <f>D78/D12</f>
        <v>0.019435902894692</v>
      </c>
      <c r="E86" s="21">
        <f t="shared" ref="E86:M86" si="104">E78/E12</f>
        <v>0.0169223648436842</v>
      </c>
      <c r="F86" s="21">
        <f t="shared" si="104"/>
        <v>0.0040079328722189</v>
      </c>
      <c r="I86" s="1">
        <v>75</v>
      </c>
      <c r="J86" s="21">
        <f t="shared" si="104"/>
        <v>0.142833740158022</v>
      </c>
      <c r="K86" s="21">
        <f t="shared" si="104"/>
        <v>0.0374828843471442</v>
      </c>
      <c r="L86" s="21">
        <f t="shared" si="104"/>
        <v>0.00809794711714618</v>
      </c>
      <c r="M86" s="21">
        <f t="shared" si="104"/>
        <v>0.018198642484117</v>
      </c>
      <c r="P86" s="1">
        <v>75</v>
      </c>
      <c r="Q86" s="21">
        <f t="shared" ref="Q86:T86" si="105">Q78/Q12</f>
        <v>0.00169739760517853</v>
      </c>
      <c r="R86" s="21">
        <f t="shared" si="105"/>
        <v>0.0240299834433386</v>
      </c>
      <c r="S86" s="21">
        <f t="shared" si="105"/>
        <v>0.0217525209289155</v>
      </c>
      <c r="T86" s="21">
        <f t="shared" si="105"/>
        <v>0.018636287707977</v>
      </c>
      <c r="W86" s="1">
        <v>75</v>
      </c>
      <c r="X86" s="21">
        <f t="shared" ref="X86:AA86" si="106">X78/X12</f>
        <v>0.264484976630451</v>
      </c>
      <c r="Y86" s="21">
        <f t="shared" si="106"/>
        <v>0.104727823640962</v>
      </c>
      <c r="Z86" s="21">
        <f t="shared" si="106"/>
        <v>0.0437495406456861</v>
      </c>
      <c r="AA86" s="21">
        <f t="shared" si="106"/>
        <v>0.00563898774492381</v>
      </c>
      <c r="AB86" s="1"/>
    </row>
    <row r="87" spans="2:28">
      <c r="B87" s="1">
        <v>100</v>
      </c>
      <c r="C87" s="21">
        <f>C79/C15</f>
        <v>0.276386543638568</v>
      </c>
      <c r="D87" s="21">
        <f>D79/D15</f>
        <v>0.00179745366478225</v>
      </c>
      <c r="E87" s="21">
        <f t="shared" ref="E87:M87" si="107">E79/E15</f>
        <v>0.024367845080082</v>
      </c>
      <c r="F87" s="21">
        <f t="shared" si="107"/>
        <v>0.00144992824624081</v>
      </c>
      <c r="I87" s="1">
        <v>100</v>
      </c>
      <c r="J87" s="21">
        <f t="shared" si="107"/>
        <v>0.232862829885153</v>
      </c>
      <c r="K87" s="21">
        <f t="shared" si="107"/>
        <v>0.0709060798065751</v>
      </c>
      <c r="L87" s="21">
        <f t="shared" si="107"/>
        <v>0.0109296098244383</v>
      </c>
      <c r="M87" s="21">
        <f t="shared" si="107"/>
        <v>0.00248072852646985</v>
      </c>
      <c r="P87" s="1">
        <v>100</v>
      </c>
      <c r="Q87" s="21">
        <f t="shared" ref="Q87:T87" si="108">Q79/Q15</f>
        <v>0.0767126091893637</v>
      </c>
      <c r="R87" s="21">
        <f t="shared" si="108"/>
        <v>0.0119925560763247</v>
      </c>
      <c r="S87" s="21">
        <f t="shared" si="108"/>
        <v>0.0319391763983914</v>
      </c>
      <c r="T87" s="21">
        <f t="shared" si="108"/>
        <v>0.00908887929123194</v>
      </c>
      <c r="W87" s="1">
        <v>100</v>
      </c>
      <c r="X87" s="21">
        <f t="shared" ref="X87:AA87" si="109">X79/X15</f>
        <v>0.175481281895452</v>
      </c>
      <c r="Y87" s="21">
        <f t="shared" si="109"/>
        <v>0.0954432703708478</v>
      </c>
      <c r="Z87" s="21">
        <f t="shared" si="109"/>
        <v>0.0608208641905516</v>
      </c>
      <c r="AA87" s="21">
        <f t="shared" si="109"/>
        <v>0.0161647124769392</v>
      </c>
      <c r="AB87" s="1"/>
    </row>
    <row r="90" s="14" customFormat="1" spans="1:27">
      <c r="A90" s="14" t="s">
        <v>278</v>
      </c>
      <c r="B90" s="15"/>
      <c r="C90" s="15"/>
      <c r="D90" s="15"/>
      <c r="E90" s="15"/>
      <c r="F90" s="15"/>
      <c r="G90" s="15"/>
      <c r="I90" s="15"/>
      <c r="J90" s="15"/>
      <c r="K90" s="15"/>
      <c r="L90" s="15"/>
      <c r="M90" s="15"/>
      <c r="N90" s="15"/>
      <c r="P90" s="15"/>
      <c r="Q90" s="15"/>
      <c r="R90" s="15"/>
      <c r="S90" s="15"/>
      <c r="T90" s="15"/>
      <c r="U90" s="15"/>
      <c r="W90" s="15"/>
      <c r="X90" s="15"/>
      <c r="Y90" s="15"/>
      <c r="Z90" s="15"/>
      <c r="AA90" s="15"/>
    </row>
    <row r="92" spans="2:23">
      <c r="B92" s="1" t="s">
        <v>32</v>
      </c>
      <c r="I92" s="1" t="s">
        <v>3</v>
      </c>
      <c r="P92" s="1" t="s">
        <v>232</v>
      </c>
      <c r="W92" s="1" t="s">
        <v>269</v>
      </c>
    </row>
    <row r="93" spans="2:27">
      <c r="B93" s="1" t="s">
        <v>270</v>
      </c>
      <c r="C93" s="1">
        <v>1</v>
      </c>
      <c r="D93" s="1">
        <v>8</v>
      </c>
      <c r="E93" s="1">
        <v>16</v>
      </c>
      <c r="F93" s="1">
        <v>32</v>
      </c>
      <c r="I93" s="1" t="s">
        <v>270</v>
      </c>
      <c r="J93" s="1">
        <v>1</v>
      </c>
      <c r="K93" s="1">
        <v>8</v>
      </c>
      <c r="L93" s="1">
        <v>16</v>
      </c>
      <c r="M93" s="1">
        <v>32</v>
      </c>
      <c r="P93" s="1" t="s">
        <v>270</v>
      </c>
      <c r="Q93" s="1">
        <v>1</v>
      </c>
      <c r="R93" s="1">
        <v>8</v>
      </c>
      <c r="S93" s="1">
        <v>16</v>
      </c>
      <c r="T93" s="1">
        <v>32</v>
      </c>
      <c r="W93" s="1" t="s">
        <v>270</v>
      </c>
      <c r="X93" s="1">
        <v>1</v>
      </c>
      <c r="Y93" s="1">
        <v>8</v>
      </c>
      <c r="Z93" s="1">
        <v>16</v>
      </c>
      <c r="AA93" s="1">
        <v>32</v>
      </c>
    </row>
    <row r="94" spans="2:27">
      <c r="B94" s="1">
        <v>10</v>
      </c>
      <c r="C94" s="16">
        <v>27.4591576957702</v>
      </c>
      <c r="D94" s="16">
        <v>172.928355255126</v>
      </c>
      <c r="E94" s="16">
        <v>208.945975189208</v>
      </c>
      <c r="F94" s="16">
        <v>395.715660705566</v>
      </c>
      <c r="I94" s="16">
        <v>10</v>
      </c>
      <c r="J94" s="16">
        <v>16.399011554718</v>
      </c>
      <c r="K94" s="16">
        <v>68.3506745147705</v>
      </c>
      <c r="L94" s="16">
        <v>110.637385787963</v>
      </c>
      <c r="M94" s="16">
        <v>203.697675628662</v>
      </c>
      <c r="P94" s="16">
        <v>10</v>
      </c>
      <c r="Q94" s="16">
        <v>36.4851177215576</v>
      </c>
      <c r="R94" s="16">
        <v>118.924942550659</v>
      </c>
      <c r="S94" s="16">
        <v>186.985151214599</v>
      </c>
      <c r="T94" s="16">
        <v>331.710688476562</v>
      </c>
      <c r="W94" s="16">
        <v>10</v>
      </c>
      <c r="X94" s="16">
        <v>5.76741281032562</v>
      </c>
      <c r="Y94" s="16">
        <v>19.4293880653381</v>
      </c>
      <c r="Z94" s="16">
        <v>33.8434934997558</v>
      </c>
      <c r="AA94" s="16">
        <v>62.4705714797973</v>
      </c>
    </row>
    <row r="95" spans="2:27">
      <c r="B95" s="1">
        <v>25</v>
      </c>
      <c r="C95" s="16">
        <v>10.6484371471405</v>
      </c>
      <c r="D95" s="16">
        <v>66.7595809936523</v>
      </c>
      <c r="E95" s="16">
        <v>81.2485776519775</v>
      </c>
      <c r="F95" s="16">
        <v>155.988681488037</v>
      </c>
      <c r="I95" s="16">
        <v>25</v>
      </c>
      <c r="J95" s="16">
        <v>7.0374137353897</v>
      </c>
      <c r="K95" s="16">
        <v>27.7936428642272</v>
      </c>
      <c r="L95" s="16">
        <v>45.7198117065429</v>
      </c>
      <c r="M95" s="16">
        <v>83.1046887207031</v>
      </c>
      <c r="P95" s="16">
        <v>25</v>
      </c>
      <c r="Q95" s="16">
        <v>25.7120252418518</v>
      </c>
      <c r="R95" s="16">
        <v>48.9366525268554</v>
      </c>
      <c r="S95" s="16">
        <v>81.7546183776855</v>
      </c>
      <c r="T95" s="16">
        <v>137.986616821289</v>
      </c>
      <c r="W95" s="16">
        <v>25</v>
      </c>
      <c r="X95" s="16">
        <v>5.19622112274169</v>
      </c>
      <c r="Y95" s="16">
        <v>8.05499711513519</v>
      </c>
      <c r="Z95" s="16">
        <v>13.9406358242034</v>
      </c>
      <c r="AA95" s="16">
        <v>25.8069862174987</v>
      </c>
    </row>
    <row r="96" spans="2:27">
      <c r="B96" s="1">
        <v>50</v>
      </c>
      <c r="C96" s="16">
        <v>6.12253889083862</v>
      </c>
      <c r="D96" s="16">
        <v>35.6678936767578</v>
      </c>
      <c r="E96" s="16">
        <v>45.660877494812</v>
      </c>
      <c r="F96" s="16">
        <v>87.3222274017334</v>
      </c>
      <c r="I96" s="16">
        <v>50</v>
      </c>
      <c r="J96" s="16">
        <v>6.42371232509613</v>
      </c>
      <c r="K96" s="16">
        <v>16.0373068904876</v>
      </c>
      <c r="L96" s="16">
        <v>27.6337587356567</v>
      </c>
      <c r="M96" s="16">
        <v>50.2801660537719</v>
      </c>
      <c r="P96" s="16">
        <v>50</v>
      </c>
      <c r="Q96" s="16">
        <v>24.9820076560974</v>
      </c>
      <c r="R96" s="16">
        <v>30.6420157241821</v>
      </c>
      <c r="S96" s="16">
        <v>49.2518170547485</v>
      </c>
      <c r="T96" s="16">
        <v>85.3058262634277</v>
      </c>
      <c r="W96" s="16">
        <v>50</v>
      </c>
      <c r="X96" s="16">
        <v>5.13166653633117</v>
      </c>
      <c r="Y96" s="16">
        <v>5.52982624053955</v>
      </c>
      <c r="Z96" s="16">
        <v>9.2284310722351</v>
      </c>
      <c r="AA96" s="16">
        <v>16.867533378601</v>
      </c>
    </row>
    <row r="97" spans="2:27">
      <c r="B97" s="1">
        <v>75</v>
      </c>
      <c r="C97" s="16">
        <v>5.12522877693176</v>
      </c>
      <c r="D97" s="16">
        <v>28.1188800048828</v>
      </c>
      <c r="E97" s="16">
        <v>37.5424428558349</v>
      </c>
      <c r="F97" s="16">
        <v>71.494550704956</v>
      </c>
      <c r="I97" s="16">
        <v>75</v>
      </c>
      <c r="J97" s="16">
        <v>6.23533344268798</v>
      </c>
      <c r="K97" s="16">
        <v>13.198178281784</v>
      </c>
      <c r="L97" s="16">
        <v>22.7200118827819</v>
      </c>
      <c r="M97" s="16">
        <v>42.0388345336914</v>
      </c>
      <c r="P97" s="16">
        <v>75</v>
      </c>
      <c r="Q97" s="16">
        <v>24.848412361145</v>
      </c>
      <c r="R97" s="16">
        <v>25.6081759834289</v>
      </c>
      <c r="S97" s="16">
        <v>41.2422666931152</v>
      </c>
      <c r="T97" s="16">
        <v>73.7074770355224</v>
      </c>
      <c r="W97" s="16">
        <v>75</v>
      </c>
      <c r="X97" s="16">
        <v>5.08660865306854</v>
      </c>
      <c r="Y97" s="16">
        <v>5.11598143577575</v>
      </c>
      <c r="Z97" s="16">
        <v>7.54304893493652</v>
      </c>
      <c r="AA97" s="16">
        <v>14.4044425296783</v>
      </c>
    </row>
    <row r="98" spans="2:27">
      <c r="B98" s="1">
        <v>100</v>
      </c>
      <c r="C98" s="16">
        <v>4.41192705631256</v>
      </c>
      <c r="D98" s="16">
        <v>23.6666972732543</v>
      </c>
      <c r="E98" s="16">
        <v>33.2199015426635</v>
      </c>
      <c r="F98" s="16">
        <v>63.2291100311279</v>
      </c>
      <c r="I98" s="16">
        <v>100</v>
      </c>
      <c r="J98" s="16">
        <v>5.84105278968811</v>
      </c>
      <c r="K98" s="16">
        <v>10.8069845962524</v>
      </c>
      <c r="L98" s="16">
        <v>20.3877625846862</v>
      </c>
      <c r="M98" s="16">
        <v>38.2399300384521</v>
      </c>
      <c r="P98" s="16">
        <v>100</v>
      </c>
      <c r="Q98" s="16">
        <v>24.4060329914093</v>
      </c>
      <c r="R98" s="16">
        <v>25.3061231803894</v>
      </c>
      <c r="S98" s="16">
        <v>39.229260520935</v>
      </c>
      <c r="T98" s="16">
        <v>68.6554895019531</v>
      </c>
      <c r="W98" s="16">
        <v>100</v>
      </c>
      <c r="X98" s="16">
        <v>4.99659264087677</v>
      </c>
      <c r="Y98" s="16">
        <v>5.03557535171508</v>
      </c>
      <c r="Z98" s="16">
        <v>7.05639901638031</v>
      </c>
      <c r="AA98" s="16">
        <v>13.645007982254</v>
      </c>
    </row>
    <row r="100" spans="2:27">
      <c r="B100" s="1" t="s">
        <v>279</v>
      </c>
      <c r="C100" s="1">
        <v>1</v>
      </c>
      <c r="D100" s="1">
        <v>8</v>
      </c>
      <c r="E100" s="1">
        <v>16</v>
      </c>
      <c r="F100" s="1">
        <v>32</v>
      </c>
      <c r="P100" s="16"/>
      <c r="Q100" s="16"/>
      <c r="R100" s="16"/>
      <c r="S100" s="16"/>
      <c r="T100" s="16"/>
      <c r="W100" s="16"/>
      <c r="X100" s="16"/>
      <c r="Y100" s="16"/>
      <c r="Z100" s="16"/>
      <c r="AA100" s="16"/>
    </row>
    <row r="101" spans="2:28">
      <c r="B101" s="1">
        <v>10</v>
      </c>
      <c r="C101" s="2">
        <v>32.7288796961966</v>
      </c>
      <c r="D101" s="2">
        <v>239.7407986255</v>
      </c>
      <c r="E101" s="2">
        <v>286.011958754413</v>
      </c>
      <c r="F101" s="2">
        <v>546.184465097984</v>
      </c>
      <c r="I101" s="1" t="s">
        <v>279</v>
      </c>
      <c r="J101" s="1">
        <v>1</v>
      </c>
      <c r="K101" s="1">
        <v>8</v>
      </c>
      <c r="L101" s="1">
        <v>16</v>
      </c>
      <c r="M101" s="1">
        <v>32</v>
      </c>
      <c r="P101" s="1" t="s">
        <v>279</v>
      </c>
      <c r="Q101" s="1">
        <v>1</v>
      </c>
      <c r="R101" s="1">
        <v>8</v>
      </c>
      <c r="S101" s="1">
        <v>16</v>
      </c>
      <c r="T101" s="1">
        <v>32</v>
      </c>
      <c r="W101" s="1" t="s">
        <v>279</v>
      </c>
      <c r="X101" s="1">
        <v>1</v>
      </c>
      <c r="Y101" s="1">
        <v>8</v>
      </c>
      <c r="Z101" s="1">
        <v>16</v>
      </c>
      <c r="AA101" s="1">
        <v>32</v>
      </c>
      <c r="AB101" s="1"/>
    </row>
    <row r="102" spans="2:28">
      <c r="B102" s="1">
        <v>25</v>
      </c>
      <c r="C102" s="2">
        <v>12.9125365281382</v>
      </c>
      <c r="D102" s="2">
        <v>93.5735724588952</v>
      </c>
      <c r="E102" s="2">
        <v>111.651724535064</v>
      </c>
      <c r="F102" s="2">
        <v>232.701836280504</v>
      </c>
      <c r="I102" s="1">
        <v>10</v>
      </c>
      <c r="J102" s="2">
        <v>20.6822009904353</v>
      </c>
      <c r="K102" s="2">
        <v>92.2760789637925</v>
      </c>
      <c r="L102" s="2">
        <v>156.785402338223</v>
      </c>
      <c r="M102" s="2">
        <v>276.185164902642</v>
      </c>
      <c r="P102" s="1">
        <v>10</v>
      </c>
      <c r="Q102" s="16">
        <v>50.8535292110862</v>
      </c>
      <c r="R102" s="16">
        <v>168.11666641319</v>
      </c>
      <c r="S102" s="16">
        <v>260.660414686333</v>
      </c>
      <c r="T102" s="16">
        <v>479.211561787987</v>
      </c>
      <c r="W102" s="1">
        <v>10</v>
      </c>
      <c r="X102" s="2">
        <v>7.85405191069801</v>
      </c>
      <c r="Y102" s="2">
        <v>24.726704097811</v>
      </c>
      <c r="Z102" s="2">
        <v>43.1639117530307</v>
      </c>
      <c r="AA102" s="2">
        <v>81.3715677916942</v>
      </c>
      <c r="AB102" s="1"/>
    </row>
    <row r="103" spans="2:28">
      <c r="B103" s="1">
        <v>50</v>
      </c>
      <c r="C103" s="2">
        <v>6.47276771016924</v>
      </c>
      <c r="D103" s="2">
        <v>49.1675729786852</v>
      </c>
      <c r="E103" s="2">
        <v>60.1808140495625</v>
      </c>
      <c r="F103" s="2">
        <v>110.062404667651</v>
      </c>
      <c r="I103" s="1">
        <v>25</v>
      </c>
      <c r="J103" s="2">
        <v>10.0706959424893</v>
      </c>
      <c r="K103" s="2">
        <v>39.4508357078212</v>
      </c>
      <c r="L103" s="2">
        <v>62.4050587547257</v>
      </c>
      <c r="M103" s="2">
        <v>114.264154742185</v>
      </c>
      <c r="P103" s="1">
        <v>25</v>
      </c>
      <c r="Q103" s="16">
        <v>28.3544486319789</v>
      </c>
      <c r="R103" s="16">
        <v>69.5916821203762</v>
      </c>
      <c r="S103" s="16">
        <v>109.891749968967</v>
      </c>
      <c r="T103" s="16">
        <v>187.364439433663</v>
      </c>
      <c r="W103" s="1">
        <v>25</v>
      </c>
      <c r="X103" s="2">
        <v>5.13898943049882</v>
      </c>
      <c r="Y103" s="2">
        <v>11.3076002618823</v>
      </c>
      <c r="Z103" s="2">
        <v>18.7920696460423</v>
      </c>
      <c r="AA103" s="2">
        <v>33.6815316464523</v>
      </c>
      <c r="AB103" s="1"/>
    </row>
    <row r="104" spans="2:28">
      <c r="B104" s="1">
        <v>75</v>
      </c>
      <c r="C104" s="2">
        <v>5.24877854195969</v>
      </c>
      <c r="D104" s="2">
        <v>33.8085130550696</v>
      </c>
      <c r="E104" s="2">
        <v>43.3373382264005</v>
      </c>
      <c r="F104" s="2">
        <v>84.9857396009156</v>
      </c>
      <c r="I104" s="1">
        <v>50</v>
      </c>
      <c r="J104" s="2">
        <v>6.903376380276</v>
      </c>
      <c r="K104" s="2">
        <v>22.2978580796065</v>
      </c>
      <c r="L104" s="2">
        <v>36.2409803160378</v>
      </c>
      <c r="M104" s="2">
        <v>65.977908678114</v>
      </c>
      <c r="P104" s="1">
        <v>50</v>
      </c>
      <c r="Q104" s="16">
        <v>20.9344555607763</v>
      </c>
      <c r="R104" s="16">
        <v>41.9998201421203</v>
      </c>
      <c r="S104" s="16">
        <v>65.7102076729147</v>
      </c>
      <c r="T104" s="16">
        <v>110.94600640909</v>
      </c>
      <c r="W104" s="1">
        <v>50</v>
      </c>
      <c r="X104" s="2">
        <v>3.25331523729346</v>
      </c>
      <c r="Y104" s="2">
        <v>7.19676881372176</v>
      </c>
      <c r="Z104" s="2">
        <v>11.8478079749485</v>
      </c>
      <c r="AA104" s="2">
        <v>21.2616147811489</v>
      </c>
      <c r="AB104" s="1"/>
    </row>
    <row r="105" spans="2:28">
      <c r="B105" s="1">
        <v>100</v>
      </c>
      <c r="C105" s="2">
        <v>4.41921275514029</v>
      </c>
      <c r="D105" s="2">
        <v>28.2219531443612</v>
      </c>
      <c r="E105" s="2">
        <v>36.7859683783048</v>
      </c>
      <c r="F105" s="2">
        <v>71.8479568113863</v>
      </c>
      <c r="I105" s="1">
        <v>75</v>
      </c>
      <c r="J105" s="2">
        <v>5.5648645052923</v>
      </c>
      <c r="K105" s="2">
        <v>16.3778929097022</v>
      </c>
      <c r="L105" s="2">
        <v>27.4577216647218</v>
      </c>
      <c r="M105" s="2">
        <v>50.0575242082088</v>
      </c>
      <c r="P105" s="1">
        <v>75</v>
      </c>
      <c r="Q105" s="16">
        <v>18.6218558058671</v>
      </c>
      <c r="R105" s="16">
        <v>32.7129394404659</v>
      </c>
      <c r="S105" s="16">
        <v>52.0240576563007</v>
      </c>
      <c r="T105" s="16">
        <v>87.1202035440048</v>
      </c>
      <c r="W105" s="1">
        <v>75</v>
      </c>
      <c r="X105" s="2">
        <v>2.61079755084084</v>
      </c>
      <c r="Y105" s="2">
        <v>5.73440805693143</v>
      </c>
      <c r="Z105" s="2">
        <v>9.40676056254889</v>
      </c>
      <c r="AA105" s="2">
        <v>17.0415962459639</v>
      </c>
      <c r="AB105" s="1"/>
    </row>
    <row r="106" spans="3:28">
      <c r="C106" s="2"/>
      <c r="D106" s="2"/>
      <c r="E106" s="2"/>
      <c r="F106" s="2"/>
      <c r="I106" s="1">
        <v>100</v>
      </c>
      <c r="J106" s="2">
        <v>4.98910371285642</v>
      </c>
      <c r="K106" s="2">
        <v>13.3962145805611</v>
      </c>
      <c r="L106" s="2">
        <v>23.0576575216851</v>
      </c>
      <c r="M106" s="2">
        <v>42.0851914155603</v>
      </c>
      <c r="P106" s="1">
        <v>100</v>
      </c>
      <c r="Q106" s="16">
        <v>17.585550388064</v>
      </c>
      <c r="R106" s="16">
        <v>27.95497592778</v>
      </c>
      <c r="S106" s="16">
        <v>45.333497030812</v>
      </c>
      <c r="T106" s="16">
        <v>75.5728688573706</v>
      </c>
      <c r="W106" s="1">
        <v>100</v>
      </c>
      <c r="X106" s="2">
        <v>2.48846619868078</v>
      </c>
      <c r="Y106" s="2">
        <v>4.98663939919814</v>
      </c>
      <c r="Z106" s="2">
        <v>8.1369493478331</v>
      </c>
      <c r="AA106" s="2">
        <v>14.8838578316472</v>
      </c>
      <c r="AB106" s="1"/>
    </row>
    <row r="107" spans="10:28">
      <c r="J107" s="2"/>
      <c r="K107" s="2"/>
      <c r="L107" s="2"/>
      <c r="M107" s="2"/>
      <c r="Q107" s="16"/>
      <c r="R107" s="16"/>
      <c r="S107" s="16"/>
      <c r="T107" s="16"/>
      <c r="X107" s="2"/>
      <c r="Y107" s="2"/>
      <c r="Z107" s="2"/>
      <c r="AA107" s="2"/>
      <c r="AB107" s="1"/>
    </row>
    <row r="108" spans="2:28">
      <c r="B108" s="1" t="s">
        <v>271</v>
      </c>
      <c r="C108" s="1">
        <v>1</v>
      </c>
      <c r="D108" s="1">
        <v>8</v>
      </c>
      <c r="E108" s="1">
        <v>16</v>
      </c>
      <c r="F108" s="1">
        <v>32</v>
      </c>
      <c r="AB108" s="1"/>
    </row>
    <row r="109" spans="2:28">
      <c r="B109" s="1">
        <v>10</v>
      </c>
      <c r="C109" s="1">
        <v>1.44930056651911</v>
      </c>
      <c r="D109" s="1">
        <v>1.42052941545294</v>
      </c>
      <c r="E109" s="1">
        <v>1.41618860300891</v>
      </c>
      <c r="F109" s="1">
        <v>1.40977492670517</v>
      </c>
      <c r="I109" s="1" t="s">
        <v>271</v>
      </c>
      <c r="J109" s="1">
        <v>1</v>
      </c>
      <c r="K109" s="1">
        <v>8</v>
      </c>
      <c r="L109" s="1">
        <v>16</v>
      </c>
      <c r="M109" s="1">
        <v>32</v>
      </c>
      <c r="P109" s="1" t="s">
        <v>271</v>
      </c>
      <c r="Q109" s="1">
        <v>1</v>
      </c>
      <c r="R109" s="1">
        <v>8</v>
      </c>
      <c r="S109" s="1">
        <v>16</v>
      </c>
      <c r="T109" s="1">
        <v>32</v>
      </c>
      <c r="W109" s="1" t="s">
        <v>271</v>
      </c>
      <c r="X109" s="1">
        <v>1</v>
      </c>
      <c r="Y109" s="1">
        <v>8</v>
      </c>
      <c r="Z109" s="1">
        <v>16</v>
      </c>
      <c r="AA109" s="1">
        <v>32</v>
      </c>
      <c r="AB109" s="1"/>
    </row>
    <row r="110" spans="2:28">
      <c r="B110" s="1">
        <v>25</v>
      </c>
      <c r="C110" s="1">
        <v>1.30317888371722</v>
      </c>
      <c r="D110" s="1">
        <v>1.39144797745316</v>
      </c>
      <c r="E110" s="1">
        <v>1.37194814412572</v>
      </c>
      <c r="F110" s="1">
        <v>1.37120494094662</v>
      </c>
      <c r="I110" s="1">
        <v>10</v>
      </c>
      <c r="J110" s="1">
        <v>1.44930056651911</v>
      </c>
      <c r="K110" s="1">
        <v>1.42052941545294</v>
      </c>
      <c r="L110" s="1">
        <v>1.41618860300891</v>
      </c>
      <c r="M110" s="1">
        <v>1.40977492670517</v>
      </c>
      <c r="P110" s="1">
        <v>10</v>
      </c>
      <c r="Q110" s="1">
        <v>1.44930056651911</v>
      </c>
      <c r="R110" s="1">
        <v>1.42052941545294</v>
      </c>
      <c r="S110" s="1">
        <v>1.41618860300891</v>
      </c>
      <c r="T110" s="1">
        <v>1.40977492670517</v>
      </c>
      <c r="W110" s="1">
        <v>10</v>
      </c>
      <c r="X110" s="1">
        <v>1.44930056651911</v>
      </c>
      <c r="Y110" s="1">
        <v>1.42052941545294</v>
      </c>
      <c r="Z110" s="1">
        <v>1.41618860300891</v>
      </c>
      <c r="AA110" s="1">
        <v>1.40977492670517</v>
      </c>
      <c r="AB110" s="1"/>
    </row>
    <row r="111" spans="2:28">
      <c r="B111" s="1">
        <v>50</v>
      </c>
      <c r="C111" s="1">
        <v>1.02363547003206</v>
      </c>
      <c r="D111" s="1">
        <v>1.30137395593857</v>
      </c>
      <c r="E111" s="1">
        <v>1.25657375204796</v>
      </c>
      <c r="F111" s="1">
        <v>1.23944805532601</v>
      </c>
      <c r="I111" s="1">
        <v>25</v>
      </c>
      <c r="J111" s="1">
        <v>1.30317888371722</v>
      </c>
      <c r="K111" s="1">
        <v>1.39144797745316</v>
      </c>
      <c r="L111" s="1">
        <v>1.37194814412572</v>
      </c>
      <c r="M111" s="1">
        <v>1.37120494094662</v>
      </c>
      <c r="P111" s="1">
        <v>25</v>
      </c>
      <c r="Q111" s="1">
        <v>1.30317888371722</v>
      </c>
      <c r="R111" s="1">
        <v>1.39144797745316</v>
      </c>
      <c r="S111" s="1">
        <v>1.37194814412572</v>
      </c>
      <c r="T111" s="1">
        <v>1.37120494094662</v>
      </c>
      <c r="W111" s="1">
        <v>25</v>
      </c>
      <c r="X111" s="1">
        <v>1.30317888371722</v>
      </c>
      <c r="Y111" s="1">
        <v>1.39144797745316</v>
      </c>
      <c r="Z111" s="1">
        <v>1.37194814412572</v>
      </c>
      <c r="AA111" s="1">
        <v>1.37120494094662</v>
      </c>
      <c r="AB111" s="1"/>
    </row>
    <row r="112" spans="2:28">
      <c r="B112" s="1">
        <v>75</v>
      </c>
      <c r="C112" s="1">
        <v>0.963123400639726</v>
      </c>
      <c r="D112" s="1">
        <v>1.25975718257205</v>
      </c>
      <c r="E112" s="1">
        <v>1.18487453084359</v>
      </c>
      <c r="F112" s="1">
        <v>1.15872886690466</v>
      </c>
      <c r="I112" s="1">
        <v>50</v>
      </c>
      <c r="J112" s="1">
        <v>1.02363547003206</v>
      </c>
      <c r="K112" s="1">
        <v>1.30137395593857</v>
      </c>
      <c r="L112" s="1">
        <v>1.25657375204796</v>
      </c>
      <c r="M112" s="1">
        <v>1.23944805532601</v>
      </c>
      <c r="P112" s="1">
        <v>50</v>
      </c>
      <c r="Q112" s="1">
        <v>1.02363547003206</v>
      </c>
      <c r="R112" s="1">
        <v>1.30137395593857</v>
      </c>
      <c r="S112" s="1">
        <v>1.25657375204796</v>
      </c>
      <c r="T112" s="1">
        <v>1.23944805532601</v>
      </c>
      <c r="W112" s="1">
        <v>50</v>
      </c>
      <c r="X112" s="1">
        <v>1.02363547003206</v>
      </c>
      <c r="Y112" s="1">
        <v>1.30137395593857</v>
      </c>
      <c r="Z112" s="1">
        <v>1.25657375204796</v>
      </c>
      <c r="AA112" s="1">
        <v>1.23944805532601</v>
      </c>
      <c r="AB112" s="1"/>
    </row>
    <row r="113" spans="2:28">
      <c r="B113" s="1">
        <v>100</v>
      </c>
      <c r="C113" s="1">
        <v>0.925852524621225</v>
      </c>
      <c r="D113" s="1">
        <v>1.16915592077451</v>
      </c>
      <c r="E113" s="1">
        <v>1.13972330958038</v>
      </c>
      <c r="F113" s="1">
        <v>1.11263606593922</v>
      </c>
      <c r="I113" s="1">
        <v>75</v>
      </c>
      <c r="J113" s="1">
        <v>0.963123400639726</v>
      </c>
      <c r="K113" s="1">
        <v>1.25975718257205</v>
      </c>
      <c r="L113" s="1">
        <v>1.18487453084359</v>
      </c>
      <c r="M113" s="1">
        <v>1.15872886690466</v>
      </c>
      <c r="P113" s="1">
        <v>75</v>
      </c>
      <c r="Q113" s="1">
        <v>0.963123400639726</v>
      </c>
      <c r="R113" s="1">
        <v>1.25975718257205</v>
      </c>
      <c r="S113" s="1">
        <v>1.18487453084359</v>
      </c>
      <c r="T113" s="1">
        <v>1.15872886690466</v>
      </c>
      <c r="W113" s="1">
        <v>75</v>
      </c>
      <c r="X113" s="1">
        <v>0.963123400639726</v>
      </c>
      <c r="Y113" s="1">
        <v>1.25975718257205</v>
      </c>
      <c r="Z113" s="1">
        <v>1.18487453084359</v>
      </c>
      <c r="AA113" s="1">
        <v>1.15872886690466</v>
      </c>
      <c r="AB113" s="1"/>
    </row>
    <row r="114" spans="9:28">
      <c r="I114" s="1">
        <v>100</v>
      </c>
      <c r="J114" s="1">
        <v>0.925852524621225</v>
      </c>
      <c r="K114" s="1">
        <v>1.16915592077451</v>
      </c>
      <c r="L114" s="1">
        <v>1.13972330958038</v>
      </c>
      <c r="M114" s="1">
        <v>1.11263606593922</v>
      </c>
      <c r="P114" s="1">
        <v>100</v>
      </c>
      <c r="Q114" s="1">
        <v>0.925852524621225</v>
      </c>
      <c r="R114" s="1">
        <v>1.16915592077451</v>
      </c>
      <c r="S114" s="1">
        <v>1.13972330958038</v>
      </c>
      <c r="T114" s="1">
        <v>1.11263606593922</v>
      </c>
      <c r="W114" s="1">
        <v>100</v>
      </c>
      <c r="X114" s="1">
        <v>0.925852524621225</v>
      </c>
      <c r="Y114" s="1">
        <v>1.16915592077451</v>
      </c>
      <c r="Z114" s="1">
        <v>1.13972330958038</v>
      </c>
      <c r="AA114" s="1">
        <v>1.11263606593922</v>
      </c>
      <c r="AB114" s="1"/>
    </row>
    <row r="115" spans="28:28">
      <c r="AB115" s="1"/>
    </row>
    <row r="116" spans="2:28">
      <c r="B116" s="1" t="s">
        <v>272</v>
      </c>
      <c r="C116" s="1">
        <v>1</v>
      </c>
      <c r="D116" s="1">
        <v>8</v>
      </c>
      <c r="E116" s="1">
        <v>16</v>
      </c>
      <c r="F116" s="1">
        <v>32</v>
      </c>
      <c r="AB116" s="1"/>
    </row>
    <row r="117" spans="2:28">
      <c r="B117" s="1">
        <v>10</v>
      </c>
      <c r="C117" s="1">
        <f t="shared" ref="C117:F117" si="110">C101/C109</f>
        <v>22.5825342598216</v>
      </c>
      <c r="D117" s="1">
        <f t="shared" si="110"/>
        <v>168.768626694758</v>
      </c>
      <c r="E117" s="1">
        <f t="shared" si="110"/>
        <v>201.958946814525</v>
      </c>
      <c r="F117" s="1">
        <f t="shared" si="110"/>
        <v>387.426712414647</v>
      </c>
      <c r="I117" s="1" t="s">
        <v>272</v>
      </c>
      <c r="J117" s="1">
        <v>1</v>
      </c>
      <c r="K117" s="1">
        <v>8</v>
      </c>
      <c r="L117" s="1">
        <v>16</v>
      </c>
      <c r="M117" s="1">
        <v>32</v>
      </c>
      <c r="P117" s="1" t="s">
        <v>272</v>
      </c>
      <c r="Q117" s="1">
        <v>1</v>
      </c>
      <c r="R117" s="1">
        <v>8</v>
      </c>
      <c r="S117" s="1">
        <v>16</v>
      </c>
      <c r="T117" s="1">
        <v>32</v>
      </c>
      <c r="W117" s="1" t="s">
        <v>272</v>
      </c>
      <c r="X117" s="1">
        <v>1</v>
      </c>
      <c r="Y117" s="1">
        <v>8</v>
      </c>
      <c r="Z117" s="1">
        <v>16</v>
      </c>
      <c r="AA117" s="1">
        <v>32</v>
      </c>
      <c r="AB117" s="1"/>
    </row>
    <row r="118" spans="2:28">
      <c r="B118" s="1">
        <v>25</v>
      </c>
      <c r="C118" s="1">
        <f t="shared" ref="C118:F118" si="111">C102/C110</f>
        <v>9.90849122056533</v>
      </c>
      <c r="D118" s="1">
        <f t="shared" si="111"/>
        <v>67.2490628289013</v>
      </c>
      <c r="E118" s="1">
        <f t="shared" si="111"/>
        <v>81.3818838657452</v>
      </c>
      <c r="F118" s="1">
        <f t="shared" si="111"/>
        <v>169.706095224436</v>
      </c>
      <c r="I118" s="1">
        <v>10</v>
      </c>
      <c r="J118" s="1">
        <f>J102/J110</f>
        <v>14.2704705071007</v>
      </c>
      <c r="K118" s="1">
        <f>K102/K110</f>
        <v>64.95893570382</v>
      </c>
      <c r="L118" s="1">
        <f t="shared" ref="L118:T118" si="112">L102/L110</f>
        <v>110.709408340886</v>
      </c>
      <c r="M118" s="1">
        <f t="shared" si="112"/>
        <v>195.907275460008</v>
      </c>
      <c r="P118" s="1">
        <v>10</v>
      </c>
      <c r="Q118" s="1">
        <f t="shared" si="112"/>
        <v>35.088324938163</v>
      </c>
      <c r="R118" s="1">
        <f t="shared" si="112"/>
        <v>118.347895217351</v>
      </c>
      <c r="S118" s="1">
        <f t="shared" si="112"/>
        <v>184.057698340828</v>
      </c>
      <c r="T118" s="1">
        <f t="shared" si="112"/>
        <v>339.92061619933</v>
      </c>
      <c r="W118" s="1">
        <v>10</v>
      </c>
      <c r="X118" s="1">
        <f t="shared" ref="X118:AA118" si="113">X102/X110</f>
        <v>5.41920157359881</v>
      </c>
      <c r="Y118" s="1">
        <f t="shared" si="113"/>
        <v>17.4066822051177</v>
      </c>
      <c r="Z118" s="1">
        <f t="shared" si="113"/>
        <v>30.4789289091314</v>
      </c>
      <c r="AA118" s="1">
        <f t="shared" si="113"/>
        <v>57.7195453332897</v>
      </c>
      <c r="AB118" s="1"/>
    </row>
    <row r="119" spans="2:28">
      <c r="B119" s="1">
        <v>50</v>
      </c>
      <c r="C119" s="1">
        <f t="shared" ref="C119:F119" si="114">C103/C111</f>
        <v>6.32331322982244</v>
      </c>
      <c r="D119" s="1">
        <f t="shared" si="114"/>
        <v>37.781279358111</v>
      </c>
      <c r="E119" s="1">
        <f t="shared" si="114"/>
        <v>47.8927830153065</v>
      </c>
      <c r="F119" s="1">
        <f t="shared" si="114"/>
        <v>88.7995299155167</v>
      </c>
      <c r="I119" s="1">
        <v>25</v>
      </c>
      <c r="J119" s="1">
        <f>J103/J111</f>
        <v>7.72779245299264</v>
      </c>
      <c r="K119" s="1">
        <f>K103/K111</f>
        <v>28.3523612431635</v>
      </c>
      <c r="L119" s="1">
        <f t="shared" ref="L119:T119" si="115">L103/L111</f>
        <v>45.4864558999011</v>
      </c>
      <c r="M119" s="1">
        <f t="shared" si="115"/>
        <v>83.3312011429174</v>
      </c>
      <c r="P119" s="1">
        <v>25</v>
      </c>
      <c r="Q119" s="1">
        <f t="shared" si="115"/>
        <v>21.7579098205612</v>
      </c>
      <c r="R119" s="1">
        <f t="shared" si="115"/>
        <v>50.0138584036419</v>
      </c>
      <c r="S119" s="1">
        <f t="shared" si="115"/>
        <v>80.0990550841818</v>
      </c>
      <c r="T119" s="1">
        <f t="shared" si="115"/>
        <v>136.642185160385</v>
      </c>
      <c r="W119" s="1">
        <v>25</v>
      </c>
      <c r="X119" s="1">
        <f t="shared" ref="X119:AA119" si="116">X103/X111</f>
        <v>3.94342595226853</v>
      </c>
      <c r="Y119" s="1">
        <f t="shared" si="116"/>
        <v>8.12649875892535</v>
      </c>
      <c r="Z119" s="1">
        <f t="shared" si="116"/>
        <v>13.6973614684377</v>
      </c>
      <c r="AA119" s="1">
        <f t="shared" si="116"/>
        <v>24.5634555715647</v>
      </c>
      <c r="AB119" s="1"/>
    </row>
    <row r="120" spans="2:28">
      <c r="B120" s="1">
        <v>75</v>
      </c>
      <c r="C120" s="1">
        <f t="shared" ref="C120:F120" si="117">C104/C112</f>
        <v>5.44974666639119</v>
      </c>
      <c r="D120" s="1">
        <f t="shared" si="117"/>
        <v>26.8373250994629</v>
      </c>
      <c r="E120" s="1">
        <f t="shared" si="117"/>
        <v>36.5754660922164</v>
      </c>
      <c r="F120" s="1">
        <f t="shared" si="117"/>
        <v>73.3439392322555</v>
      </c>
      <c r="I120" s="1">
        <v>50</v>
      </c>
      <c r="J120" s="1">
        <f>J104/J112</f>
        <v>6.74397926056606</v>
      </c>
      <c r="K120" s="1">
        <f>K104/K112</f>
        <v>17.1340896887128</v>
      </c>
      <c r="L120" s="1">
        <f t="shared" ref="L120:T120" si="118">L104/L112</f>
        <v>28.8411088143234</v>
      </c>
      <c r="M120" s="1">
        <f t="shared" si="118"/>
        <v>53.2316851800295</v>
      </c>
      <c r="P120" s="1">
        <v>50</v>
      </c>
      <c r="Q120" s="1">
        <f t="shared" si="118"/>
        <v>20.4510845644306</v>
      </c>
      <c r="R120" s="1">
        <f t="shared" si="118"/>
        <v>32.2734445010692</v>
      </c>
      <c r="S120" s="1">
        <f t="shared" si="118"/>
        <v>52.2931563434461</v>
      </c>
      <c r="T120" s="1">
        <f t="shared" si="118"/>
        <v>89.512429288461</v>
      </c>
      <c r="W120" s="1">
        <v>50</v>
      </c>
      <c r="X120" s="1">
        <f t="shared" ref="X120:AA120" si="119">X104/X112</f>
        <v>3.17819705601992</v>
      </c>
      <c r="Y120" s="1">
        <f t="shared" si="119"/>
        <v>5.53013127462763</v>
      </c>
      <c r="Z120" s="1">
        <f t="shared" si="119"/>
        <v>9.42866103612222</v>
      </c>
      <c r="AA120" s="1">
        <f t="shared" si="119"/>
        <v>17.1540991087008</v>
      </c>
      <c r="AB120" s="1"/>
    </row>
    <row r="121" spans="2:28">
      <c r="B121" s="1">
        <v>100</v>
      </c>
      <c r="C121" s="1">
        <f t="shared" ref="C121:F121" si="120">C105/C113</f>
        <v>4.77312815769253</v>
      </c>
      <c r="D121" s="1">
        <f t="shared" si="120"/>
        <v>24.1387420128408</v>
      </c>
      <c r="E121" s="1">
        <f t="shared" si="120"/>
        <v>32.2762271062514</v>
      </c>
      <c r="F121" s="1">
        <f t="shared" si="120"/>
        <v>64.574535205936</v>
      </c>
      <c r="I121" s="1">
        <v>75</v>
      </c>
      <c r="J121" s="1">
        <f>J105/J113</f>
        <v>5.77793510322354</v>
      </c>
      <c r="K121" s="1">
        <f>K105/K113</f>
        <v>13.0008331258437</v>
      </c>
      <c r="L121" s="1">
        <f t="shared" ref="L121:T121" si="121">L105/L113</f>
        <v>23.1735267743268</v>
      </c>
      <c r="M121" s="1">
        <f t="shared" si="121"/>
        <v>43.2003772737005</v>
      </c>
      <c r="P121" s="1">
        <v>75</v>
      </c>
      <c r="Q121" s="1">
        <f t="shared" si="121"/>
        <v>19.3348596799726</v>
      </c>
      <c r="R121" s="1">
        <f t="shared" si="121"/>
        <v>25.9676546345827</v>
      </c>
      <c r="S121" s="1">
        <f t="shared" si="121"/>
        <v>43.9068072627583</v>
      </c>
      <c r="T121" s="1">
        <f t="shared" si="121"/>
        <v>75.1860129080335</v>
      </c>
      <c r="W121" s="1">
        <v>75</v>
      </c>
      <c r="X121" s="1">
        <f t="shared" ref="X121:AA121" si="122">X105/X113</f>
        <v>2.71076120578806</v>
      </c>
      <c r="Y121" s="1">
        <f t="shared" si="122"/>
        <v>4.55199473062219</v>
      </c>
      <c r="Z121" s="1">
        <f t="shared" si="122"/>
        <v>7.93903516168214</v>
      </c>
      <c r="AA121" s="1">
        <f t="shared" si="122"/>
        <v>14.7071474032467</v>
      </c>
      <c r="AB121" s="1"/>
    </row>
    <row r="122" spans="9:28">
      <c r="I122" s="1">
        <v>100</v>
      </c>
      <c r="J122" s="1">
        <f>J106/J114</f>
        <v>5.38865918726906</v>
      </c>
      <c r="K122" s="1">
        <f>K106/K114</f>
        <v>11.4580222727579</v>
      </c>
      <c r="L122" s="1">
        <f t="shared" ref="L122:T122" si="123">L106/L114</f>
        <v>20.2309256359549</v>
      </c>
      <c r="M122" s="1">
        <f t="shared" si="123"/>
        <v>37.8247593295787</v>
      </c>
      <c r="P122" s="1">
        <v>100</v>
      </c>
      <c r="Q122" s="1">
        <f t="shared" si="123"/>
        <v>18.9939001303241</v>
      </c>
      <c r="R122" s="1">
        <f t="shared" si="123"/>
        <v>23.910391617622</v>
      </c>
      <c r="S122" s="1">
        <f t="shared" si="123"/>
        <v>39.7758795049149</v>
      </c>
      <c r="T122" s="1">
        <f t="shared" si="123"/>
        <v>67.9223612921235</v>
      </c>
      <c r="W122" s="1">
        <v>100</v>
      </c>
      <c r="X122" s="1">
        <f t="shared" ref="X122:AA122" si="124">X106/X114</f>
        <v>2.6877565622007</v>
      </c>
      <c r="Y122" s="1">
        <f t="shared" si="124"/>
        <v>4.26516199472755</v>
      </c>
      <c r="Z122" s="1">
        <f t="shared" si="124"/>
        <v>7.13940767854343</v>
      </c>
      <c r="AA122" s="1">
        <f t="shared" si="124"/>
        <v>13.3771125054113</v>
      </c>
      <c r="AB122" s="1"/>
    </row>
    <row r="123" spans="28:28">
      <c r="AB123" s="1"/>
    </row>
    <row r="124" spans="2:28">
      <c r="B124" s="1" t="s">
        <v>236</v>
      </c>
      <c r="C124" s="17">
        <v>1</v>
      </c>
      <c r="D124" s="17">
        <v>8</v>
      </c>
      <c r="E124" s="17">
        <v>16</v>
      </c>
      <c r="F124" s="17">
        <v>32</v>
      </c>
      <c r="AB124" s="1"/>
    </row>
    <row r="125" spans="2:28">
      <c r="B125" s="1">
        <v>10</v>
      </c>
      <c r="C125" s="1">
        <f>78*0.007/1*(10/100)</f>
        <v>0.0546</v>
      </c>
      <c r="D125" s="1">
        <f t="shared" ref="D125:D129" si="125">C125/8</f>
        <v>0.006825</v>
      </c>
      <c r="E125" s="1">
        <f t="shared" ref="E125:E129" si="126">C125/16</f>
        <v>0.0034125</v>
      </c>
      <c r="F125" s="1">
        <f t="shared" ref="F125:F129" si="127">C125/32</f>
        <v>0.00170625</v>
      </c>
      <c r="I125" s="1" t="s">
        <v>236</v>
      </c>
      <c r="J125" s="17">
        <v>1</v>
      </c>
      <c r="K125" s="17">
        <v>8</v>
      </c>
      <c r="L125" s="17">
        <v>16</v>
      </c>
      <c r="M125" s="17">
        <v>32</v>
      </c>
      <c r="P125" s="1" t="s">
        <v>236</v>
      </c>
      <c r="Q125" s="17">
        <v>1</v>
      </c>
      <c r="R125" s="17">
        <v>8</v>
      </c>
      <c r="S125" s="17">
        <v>16</v>
      </c>
      <c r="T125" s="17">
        <v>32</v>
      </c>
      <c r="W125" s="1" t="s">
        <v>236</v>
      </c>
      <c r="X125" s="17">
        <v>1</v>
      </c>
      <c r="Y125" s="17">
        <v>8</v>
      </c>
      <c r="Z125" s="17">
        <v>16</v>
      </c>
      <c r="AA125" s="17">
        <v>32</v>
      </c>
      <c r="AB125" s="1"/>
    </row>
    <row r="126" spans="2:28">
      <c r="B126" s="1">
        <v>25</v>
      </c>
      <c r="C126" s="1">
        <f>78*0.007/1*(25/100)</f>
        <v>0.1365</v>
      </c>
      <c r="D126" s="1">
        <f t="shared" si="125"/>
        <v>0.0170625</v>
      </c>
      <c r="E126" s="1">
        <f t="shared" si="126"/>
        <v>0.00853125</v>
      </c>
      <c r="F126" s="1">
        <f t="shared" si="127"/>
        <v>0.004265625</v>
      </c>
      <c r="I126" s="1">
        <v>10</v>
      </c>
      <c r="J126" s="1">
        <f>253*0.007/1*(10/100)</f>
        <v>0.1771</v>
      </c>
      <c r="K126" s="1">
        <f t="shared" ref="K126:K130" si="128">J126/8</f>
        <v>0.0221375</v>
      </c>
      <c r="L126" s="1">
        <f t="shared" ref="L126:L130" si="129">J126/16</f>
        <v>0.01106875</v>
      </c>
      <c r="M126" s="1">
        <f t="shared" ref="M126:M130" si="130">J126/32</f>
        <v>0.005534375</v>
      </c>
      <c r="P126" s="1">
        <v>10</v>
      </c>
      <c r="Q126" s="1">
        <f>1080*0.007/1*(10/100)</f>
        <v>0.756</v>
      </c>
      <c r="R126" s="1">
        <f t="shared" ref="R126:R130" si="131">Q126/8</f>
        <v>0.0945</v>
      </c>
      <c r="S126" s="1">
        <f t="shared" ref="S126:S130" si="132">Q126/16</f>
        <v>0.04725</v>
      </c>
      <c r="T126" s="1">
        <f t="shared" ref="T126:T130" si="133">Q126/32</f>
        <v>0.023625</v>
      </c>
      <c r="W126" s="1">
        <v>10</v>
      </c>
      <c r="X126" s="1">
        <f>230*0.007/1*(10/100)</f>
        <v>0.161</v>
      </c>
      <c r="Y126" s="1">
        <f t="shared" ref="Y126:Y130" si="134">X126/8</f>
        <v>0.020125</v>
      </c>
      <c r="Z126" s="1">
        <f t="shared" ref="Z126:Z130" si="135">X126/16</f>
        <v>0.0100625</v>
      </c>
      <c r="AA126" s="1">
        <f t="shared" ref="AA126:AA130" si="136">X126/32</f>
        <v>0.00503125</v>
      </c>
      <c r="AB126" s="1"/>
    </row>
    <row r="127" spans="2:28">
      <c r="B127" s="1">
        <v>50</v>
      </c>
      <c r="C127" s="1">
        <f>78*0.007/1*(50/100)</f>
        <v>0.273</v>
      </c>
      <c r="D127" s="1">
        <f t="shared" si="125"/>
        <v>0.034125</v>
      </c>
      <c r="E127" s="1">
        <f t="shared" si="126"/>
        <v>0.0170625</v>
      </c>
      <c r="F127" s="1">
        <f t="shared" si="127"/>
        <v>0.00853125</v>
      </c>
      <c r="I127" s="1">
        <v>25</v>
      </c>
      <c r="J127" s="1">
        <f>253*0.007/1*(25/100)</f>
        <v>0.44275</v>
      </c>
      <c r="K127" s="1">
        <f t="shared" si="128"/>
        <v>0.05534375</v>
      </c>
      <c r="L127" s="1">
        <f t="shared" si="129"/>
        <v>0.027671875</v>
      </c>
      <c r="M127" s="1">
        <f t="shared" si="130"/>
        <v>0.0138359375</v>
      </c>
      <c r="P127" s="1">
        <v>25</v>
      </c>
      <c r="Q127" s="1">
        <f>1080*0.007/1*(25/100)</f>
        <v>1.89</v>
      </c>
      <c r="R127" s="1">
        <f t="shared" si="131"/>
        <v>0.23625</v>
      </c>
      <c r="S127" s="1">
        <f t="shared" si="132"/>
        <v>0.118125</v>
      </c>
      <c r="T127" s="1">
        <f t="shared" si="133"/>
        <v>0.0590625</v>
      </c>
      <c r="W127" s="1">
        <v>25</v>
      </c>
      <c r="X127" s="1">
        <f>230*0.007/1*(25/100)</f>
        <v>0.4025</v>
      </c>
      <c r="Y127" s="1">
        <f t="shared" si="134"/>
        <v>0.0503125</v>
      </c>
      <c r="Z127" s="1">
        <f t="shared" si="135"/>
        <v>0.02515625</v>
      </c>
      <c r="AA127" s="1">
        <f t="shared" si="136"/>
        <v>0.012578125</v>
      </c>
      <c r="AB127" s="1"/>
    </row>
    <row r="128" spans="2:28">
      <c r="B128" s="1">
        <v>75</v>
      </c>
      <c r="C128" s="1">
        <f>78*0.007/1*(75/100)</f>
        <v>0.4095</v>
      </c>
      <c r="D128" s="1">
        <f t="shared" si="125"/>
        <v>0.0511875</v>
      </c>
      <c r="E128" s="1">
        <f t="shared" si="126"/>
        <v>0.02559375</v>
      </c>
      <c r="F128" s="1">
        <f t="shared" si="127"/>
        <v>0.012796875</v>
      </c>
      <c r="I128" s="1">
        <v>50</v>
      </c>
      <c r="J128" s="1">
        <f>253*0.007/1*(50/100)</f>
        <v>0.8855</v>
      </c>
      <c r="K128" s="1">
        <f t="shared" si="128"/>
        <v>0.1106875</v>
      </c>
      <c r="L128" s="1">
        <f t="shared" si="129"/>
        <v>0.05534375</v>
      </c>
      <c r="M128" s="1">
        <f t="shared" si="130"/>
        <v>0.027671875</v>
      </c>
      <c r="P128" s="1">
        <v>50</v>
      </c>
      <c r="Q128" s="1">
        <f>1080*0.007/1*(50/100)</f>
        <v>3.78</v>
      </c>
      <c r="R128" s="1">
        <f t="shared" si="131"/>
        <v>0.4725</v>
      </c>
      <c r="S128" s="1">
        <f t="shared" si="132"/>
        <v>0.23625</v>
      </c>
      <c r="T128" s="1">
        <f t="shared" si="133"/>
        <v>0.118125</v>
      </c>
      <c r="W128" s="1">
        <v>50</v>
      </c>
      <c r="X128" s="1">
        <f>230*0.007/1*(50/100)</f>
        <v>0.805</v>
      </c>
      <c r="Y128" s="1">
        <f t="shared" si="134"/>
        <v>0.100625</v>
      </c>
      <c r="Z128" s="1">
        <f t="shared" si="135"/>
        <v>0.0503125</v>
      </c>
      <c r="AA128" s="1">
        <f t="shared" si="136"/>
        <v>0.02515625</v>
      </c>
      <c r="AB128" s="1"/>
    </row>
    <row r="129" spans="2:28">
      <c r="B129" s="1">
        <v>100</v>
      </c>
      <c r="C129" s="1">
        <f>78*0.007/1*(100/100)</f>
        <v>0.546</v>
      </c>
      <c r="D129" s="1">
        <f t="shared" si="125"/>
        <v>0.06825</v>
      </c>
      <c r="E129" s="1">
        <f t="shared" si="126"/>
        <v>0.034125</v>
      </c>
      <c r="F129" s="1">
        <f t="shared" si="127"/>
        <v>0.0170625</v>
      </c>
      <c r="I129" s="1">
        <v>75</v>
      </c>
      <c r="J129" s="1">
        <f>253*0.007/1*(75/100)</f>
        <v>1.32825</v>
      </c>
      <c r="K129" s="1">
        <f t="shared" si="128"/>
        <v>0.16603125</v>
      </c>
      <c r="L129" s="1">
        <f t="shared" si="129"/>
        <v>0.083015625</v>
      </c>
      <c r="M129" s="1">
        <f t="shared" si="130"/>
        <v>0.0415078125</v>
      </c>
      <c r="P129" s="1">
        <v>75</v>
      </c>
      <c r="Q129" s="1">
        <f>1080*0.007/1*(75/100)</f>
        <v>5.67</v>
      </c>
      <c r="R129" s="1">
        <f t="shared" si="131"/>
        <v>0.70875</v>
      </c>
      <c r="S129" s="1">
        <f t="shared" si="132"/>
        <v>0.354375</v>
      </c>
      <c r="T129" s="1">
        <f t="shared" si="133"/>
        <v>0.1771875</v>
      </c>
      <c r="W129" s="1">
        <v>75</v>
      </c>
      <c r="X129" s="1">
        <f>230*0.007/1*(75/100)</f>
        <v>1.2075</v>
      </c>
      <c r="Y129" s="1">
        <f t="shared" si="134"/>
        <v>0.1509375</v>
      </c>
      <c r="Z129" s="1">
        <f t="shared" si="135"/>
        <v>0.07546875</v>
      </c>
      <c r="AA129" s="1">
        <f t="shared" si="136"/>
        <v>0.037734375</v>
      </c>
      <c r="AB129" s="1"/>
    </row>
    <row r="130" spans="9:28">
      <c r="I130" s="1">
        <v>100</v>
      </c>
      <c r="J130" s="1">
        <f>253*0.007/1*(100/100)</f>
        <v>1.771</v>
      </c>
      <c r="K130" s="1">
        <f t="shared" si="128"/>
        <v>0.221375</v>
      </c>
      <c r="L130" s="1">
        <f t="shared" si="129"/>
        <v>0.1106875</v>
      </c>
      <c r="M130" s="1">
        <f t="shared" si="130"/>
        <v>0.05534375</v>
      </c>
      <c r="P130" s="1">
        <v>100</v>
      </c>
      <c r="Q130" s="1">
        <f>1080*0.007/1*(100/100)</f>
        <v>7.56</v>
      </c>
      <c r="R130" s="1">
        <f t="shared" si="131"/>
        <v>0.945</v>
      </c>
      <c r="S130" s="1">
        <f t="shared" si="132"/>
        <v>0.4725</v>
      </c>
      <c r="T130" s="1">
        <f t="shared" si="133"/>
        <v>0.23625</v>
      </c>
      <c r="W130" s="1">
        <v>100</v>
      </c>
      <c r="X130" s="1">
        <f>230*0.007/1*(100/100)</f>
        <v>1.61</v>
      </c>
      <c r="Y130" s="1">
        <f t="shared" si="134"/>
        <v>0.20125</v>
      </c>
      <c r="Z130" s="1">
        <f t="shared" si="135"/>
        <v>0.100625</v>
      </c>
      <c r="AA130" s="1">
        <f t="shared" si="136"/>
        <v>0.0503125</v>
      </c>
      <c r="AB130" s="1"/>
    </row>
    <row r="131" spans="28:28">
      <c r="AB131" s="1"/>
    </row>
    <row r="132" spans="2:28">
      <c r="B132" s="1" t="s">
        <v>277</v>
      </c>
      <c r="C132" s="17">
        <v>1</v>
      </c>
      <c r="D132" s="17">
        <v>8</v>
      </c>
      <c r="E132" s="17">
        <v>16</v>
      </c>
      <c r="F132" s="17">
        <v>32</v>
      </c>
      <c r="G132" s="1" t="s">
        <v>274</v>
      </c>
      <c r="AB132" s="1"/>
    </row>
    <row r="133" spans="2:28">
      <c r="B133" s="1">
        <v>10</v>
      </c>
      <c r="C133" s="1">
        <f>ABS(C125+C117-C94)</f>
        <v>4.82202343594864</v>
      </c>
      <c r="D133" s="1">
        <f>ABS(D125+D117-D94)</f>
        <v>4.15290356036803</v>
      </c>
      <c r="E133" s="1">
        <f>ABS(E125+E117-E94)</f>
        <v>6.98361587468295</v>
      </c>
      <c r="F133" s="1">
        <f>ABS(F125+F117-F94)</f>
        <v>8.28724204091895</v>
      </c>
      <c r="G133" s="1">
        <f>SUM(C133:F137)/COUNT(C133:F137)</f>
        <v>2.7031432733254</v>
      </c>
      <c r="I133" s="1" t="s">
        <v>277</v>
      </c>
      <c r="J133" s="17">
        <v>1</v>
      </c>
      <c r="K133" s="17">
        <v>8</v>
      </c>
      <c r="L133" s="17">
        <v>16</v>
      </c>
      <c r="M133" s="17">
        <v>32</v>
      </c>
      <c r="N133" s="1" t="s">
        <v>274</v>
      </c>
      <c r="P133" s="1" t="s">
        <v>277</v>
      </c>
      <c r="Q133" s="17">
        <v>1</v>
      </c>
      <c r="R133" s="17">
        <v>8</v>
      </c>
      <c r="S133" s="17">
        <v>16</v>
      </c>
      <c r="T133" s="17">
        <v>32</v>
      </c>
      <c r="U133" s="1" t="s">
        <v>274</v>
      </c>
      <c r="W133" s="1" t="s">
        <v>277</v>
      </c>
      <c r="X133" s="17">
        <v>1</v>
      </c>
      <c r="Y133" s="17">
        <v>8</v>
      </c>
      <c r="Z133" s="17">
        <v>16</v>
      </c>
      <c r="AA133" s="17">
        <v>32</v>
      </c>
      <c r="AB133" s="1" t="s">
        <v>274</v>
      </c>
    </row>
    <row r="134" spans="2:28">
      <c r="B134" s="1">
        <v>25</v>
      </c>
      <c r="C134" s="1">
        <f>ABS(C126+C118-C95)</f>
        <v>0.603445926575173</v>
      </c>
      <c r="D134" s="1">
        <f>ABS(D126+D118-D95)</f>
        <v>0.506544335248989</v>
      </c>
      <c r="E134" s="1">
        <f>ABS(E126+E118-E95)</f>
        <v>0.141837463767715</v>
      </c>
      <c r="F134" s="1">
        <f>ABS(F126+F118-F95)</f>
        <v>13.7216793613988</v>
      </c>
      <c r="I134" s="1">
        <v>10</v>
      </c>
      <c r="J134" s="1">
        <f>ABS(J126+J118-J94)</f>
        <v>1.9514410476173</v>
      </c>
      <c r="K134" s="1">
        <f>ABS(K126+K118-K94)</f>
        <v>3.36960131095053</v>
      </c>
      <c r="L134" s="1">
        <f t="shared" ref="L134:T134" si="137">ABS(L126+L118-L94)</f>
        <v>0.0830913029235063</v>
      </c>
      <c r="M134" s="1">
        <f t="shared" si="137"/>
        <v>7.78486579365426</v>
      </c>
      <c r="N134" s="1">
        <f>SUM(J134:M138)/COUNT(J134:M138)</f>
        <v>1.36380433869407</v>
      </c>
      <c r="P134" s="1">
        <v>10</v>
      </c>
      <c r="Q134" s="1">
        <f t="shared" si="137"/>
        <v>0.640792783394637</v>
      </c>
      <c r="R134" s="1">
        <f t="shared" si="137"/>
        <v>0.482547333307593</v>
      </c>
      <c r="S134" s="1">
        <f t="shared" si="137"/>
        <v>2.88020287377068</v>
      </c>
      <c r="T134" s="1">
        <f t="shared" si="137"/>
        <v>8.23355272276825</v>
      </c>
      <c r="U134" s="1">
        <f>SUM(Q134:T138)/COUNT(Q134:T138)</f>
        <v>1.9454277227819</v>
      </c>
      <c r="W134" s="1">
        <v>10</v>
      </c>
      <c r="X134" s="1">
        <f t="shared" ref="X134:AA134" si="138">ABS(X126+X118-X94)</f>
        <v>0.187211236726808</v>
      </c>
      <c r="Y134" s="1">
        <f t="shared" si="138"/>
        <v>2.00258086022036</v>
      </c>
      <c r="Z134" s="1">
        <f t="shared" si="138"/>
        <v>3.35450209062438</v>
      </c>
      <c r="AA134" s="1">
        <f t="shared" si="138"/>
        <v>4.74599489650761</v>
      </c>
      <c r="AB134" s="1">
        <f>SUM(X134:AA138)/COUNT(X134:AA138)</f>
        <v>0.929281996792295</v>
      </c>
    </row>
    <row r="135" spans="2:28">
      <c r="B135" s="1">
        <v>50</v>
      </c>
      <c r="C135" s="1">
        <f>ABS(C127+C119-C96)</f>
        <v>0.473774338983823</v>
      </c>
      <c r="D135" s="1">
        <f>ABS(D127+D119-D96)</f>
        <v>2.14751068135325</v>
      </c>
      <c r="E135" s="1">
        <f>ABS(E127+E119-E96)</f>
        <v>2.2489680204945</v>
      </c>
      <c r="F135" s="1">
        <f>ABS(F127+F119-F96)</f>
        <v>1.48583376378328</v>
      </c>
      <c r="I135" s="1">
        <v>25</v>
      </c>
      <c r="J135" s="1">
        <f>ABS(J127+J119-J95)</f>
        <v>1.13312871760293</v>
      </c>
      <c r="K135" s="1">
        <f>ABS(K127+K119-K95)</f>
        <v>0.61406212893629</v>
      </c>
      <c r="L135" s="1">
        <f t="shared" ref="L135:T135" si="139">ABS(L127+L119-L95)</f>
        <v>0.205683931641808</v>
      </c>
      <c r="M135" s="1">
        <f t="shared" si="139"/>
        <v>0.240348359714332</v>
      </c>
      <c r="P135" s="1">
        <v>25</v>
      </c>
      <c r="Q135" s="1">
        <f t="shared" si="139"/>
        <v>2.06411542129059</v>
      </c>
      <c r="R135" s="1">
        <f t="shared" si="139"/>
        <v>1.31345587678646</v>
      </c>
      <c r="S135" s="1">
        <f t="shared" si="139"/>
        <v>1.53743829350371</v>
      </c>
      <c r="T135" s="1">
        <f t="shared" si="139"/>
        <v>1.28536916090388</v>
      </c>
      <c r="W135" s="1">
        <v>25</v>
      </c>
      <c r="X135" s="1">
        <f t="shared" ref="X135:AA135" si="140">ABS(X127+X119-X95)</f>
        <v>0.850295170473158</v>
      </c>
      <c r="Y135" s="1">
        <f t="shared" si="140"/>
        <v>0.121814143790164</v>
      </c>
      <c r="Z135" s="1">
        <f t="shared" si="140"/>
        <v>0.218118105765662</v>
      </c>
      <c r="AA135" s="1">
        <f t="shared" si="140"/>
        <v>1.230952520934</v>
      </c>
      <c r="AB135" s="1"/>
    </row>
    <row r="136" spans="2:28">
      <c r="B136" s="1">
        <v>75</v>
      </c>
      <c r="C136" s="1">
        <f>ABS(C128+C120-C97)</f>
        <v>0.734017889459428</v>
      </c>
      <c r="D136" s="1">
        <f>ABS(D128+D120-D97)</f>
        <v>1.23036740541986</v>
      </c>
      <c r="E136" s="1">
        <f>ABS(E128+E120-E97)</f>
        <v>0.941383013618534</v>
      </c>
      <c r="F136" s="1">
        <f>ABS(F128+F120-F97)</f>
        <v>1.86218540229946</v>
      </c>
      <c r="I136" s="1">
        <v>50</v>
      </c>
      <c r="J136" s="1">
        <f>ABS(J128+J120-J96)</f>
        <v>1.20576693546993</v>
      </c>
      <c r="K136" s="1">
        <f>ABS(K128+K120-K96)</f>
        <v>1.20747029822525</v>
      </c>
      <c r="L136" s="1">
        <f t="shared" ref="L136:T136" si="141">ABS(L128+L120-L96)</f>
        <v>1.26269382866666</v>
      </c>
      <c r="M136" s="1">
        <f t="shared" si="141"/>
        <v>2.97919100125764</v>
      </c>
      <c r="P136" s="1">
        <v>50</v>
      </c>
      <c r="Q136" s="1">
        <f t="shared" si="141"/>
        <v>0.750923091666824</v>
      </c>
      <c r="R136" s="1">
        <f t="shared" si="141"/>
        <v>2.10392877688709</v>
      </c>
      <c r="S136" s="1">
        <f t="shared" si="141"/>
        <v>3.27758928869764</v>
      </c>
      <c r="T136" s="1">
        <f t="shared" si="141"/>
        <v>4.32472802503332</v>
      </c>
      <c r="W136" s="1">
        <v>50</v>
      </c>
      <c r="X136" s="1">
        <f t="shared" ref="X136:AA136" si="142">ABS(X128+X120-X96)</f>
        <v>1.14846948031125</v>
      </c>
      <c r="Y136" s="1">
        <f t="shared" si="142"/>
        <v>0.100930034088076</v>
      </c>
      <c r="Z136" s="1">
        <f t="shared" si="142"/>
        <v>0.250542463887117</v>
      </c>
      <c r="AA136" s="1">
        <f t="shared" si="142"/>
        <v>0.31172198009984</v>
      </c>
      <c r="AB136" s="1"/>
    </row>
    <row r="137" spans="2:28">
      <c r="B137" s="1">
        <v>100</v>
      </c>
      <c r="C137" s="1">
        <f>ABS(C129+C121-C98)</f>
        <v>0.907201101379974</v>
      </c>
      <c r="D137" s="1">
        <f>ABS(D129+D121-D98)</f>
        <v>0.540294739586471</v>
      </c>
      <c r="E137" s="1">
        <f>ABS(E129+E121-E98)</f>
        <v>0.909549436412114</v>
      </c>
      <c r="F137" s="1">
        <f>ABS(F129+F121-F98)</f>
        <v>1.36248767480809</v>
      </c>
      <c r="I137" s="1">
        <v>75</v>
      </c>
      <c r="J137" s="1">
        <f>ABS(J129+J121-J97)</f>
        <v>0.870851660535558</v>
      </c>
      <c r="K137" s="1">
        <f>ABS(K129+K121-K97)</f>
        <v>0.031313905940328</v>
      </c>
      <c r="L137" s="1">
        <f t="shared" ref="L137:T137" si="143">ABS(L129+L121-L97)</f>
        <v>0.536530516544868</v>
      </c>
      <c r="M137" s="1">
        <f t="shared" si="143"/>
        <v>1.20305055250909</v>
      </c>
      <c r="P137" s="1">
        <v>75</v>
      </c>
      <c r="Q137" s="1">
        <f t="shared" si="143"/>
        <v>0.15644731882756</v>
      </c>
      <c r="R137" s="1">
        <f t="shared" si="143"/>
        <v>1.06822865115377</v>
      </c>
      <c r="S137" s="1">
        <f t="shared" si="143"/>
        <v>3.01891556964313</v>
      </c>
      <c r="T137" s="1">
        <f t="shared" si="143"/>
        <v>1.65572337251109</v>
      </c>
      <c r="W137" s="1">
        <v>75</v>
      </c>
      <c r="X137" s="1">
        <f t="shared" ref="X137:AA137" si="144">ABS(X129+X121-X97)</f>
        <v>1.16834744728048</v>
      </c>
      <c r="Y137" s="1">
        <f t="shared" si="144"/>
        <v>0.413049205153557</v>
      </c>
      <c r="Z137" s="1">
        <f t="shared" si="144"/>
        <v>0.471454976745619</v>
      </c>
      <c r="AA137" s="1">
        <f t="shared" si="144"/>
        <v>0.34043924856843</v>
      </c>
      <c r="AB137" s="1"/>
    </row>
    <row r="138" spans="9:28">
      <c r="I138" s="1">
        <v>100</v>
      </c>
      <c r="J138" s="1">
        <f>ABS(J130+J122-J98)</f>
        <v>1.31860639758095</v>
      </c>
      <c r="K138" s="1">
        <f>ABS(K130+K122-K98)</f>
        <v>0.872412676505496</v>
      </c>
      <c r="L138" s="1">
        <f t="shared" ref="L138:T138" si="145">ABS(L130+L122-L98)</f>
        <v>0.0461494487312741</v>
      </c>
      <c r="M138" s="1">
        <f t="shared" si="145"/>
        <v>0.359826958873363</v>
      </c>
      <c r="P138" s="1">
        <v>100</v>
      </c>
      <c r="Q138" s="1">
        <f t="shared" si="145"/>
        <v>2.14786713891482</v>
      </c>
      <c r="R138" s="1">
        <f t="shared" si="145"/>
        <v>0.450731562767373</v>
      </c>
      <c r="S138" s="1">
        <f t="shared" si="145"/>
        <v>1.01911898397988</v>
      </c>
      <c r="T138" s="1">
        <f t="shared" si="145"/>
        <v>0.496878209829646</v>
      </c>
      <c r="W138" s="1">
        <v>100</v>
      </c>
      <c r="X138" s="1">
        <f t="shared" ref="X138:AA138" si="146">ABS(X130+X122-X98)</f>
        <v>0.698836078676073</v>
      </c>
      <c r="Y138" s="1">
        <f t="shared" si="146"/>
        <v>0.569163356987525</v>
      </c>
      <c r="Z138" s="1">
        <f t="shared" si="146"/>
        <v>0.183633662163124</v>
      </c>
      <c r="AA138" s="1">
        <f t="shared" si="146"/>
        <v>0.217582976842674</v>
      </c>
      <c r="AB138" s="1"/>
    </row>
    <row r="139" spans="28:28">
      <c r="AB139" s="1"/>
    </row>
    <row r="140" spans="2:28">
      <c r="B140" s="1" t="s">
        <v>280</v>
      </c>
      <c r="C140" s="17">
        <v>1</v>
      </c>
      <c r="D140" s="17">
        <v>8</v>
      </c>
      <c r="E140" s="17">
        <v>16</v>
      </c>
      <c r="F140" s="17">
        <v>32</v>
      </c>
      <c r="G140" s="1" t="s">
        <v>276</v>
      </c>
      <c r="AB140" s="1"/>
    </row>
    <row r="141" spans="2:28">
      <c r="B141" s="1">
        <v>10</v>
      </c>
      <c r="C141" s="20">
        <f>C133/C94</f>
        <v>0.175607114004499</v>
      </c>
      <c r="D141" s="20">
        <f>D133/D94</f>
        <v>0.0240151683293416</v>
      </c>
      <c r="E141" s="20">
        <f>E133/E94</f>
        <v>0.0334230696157657</v>
      </c>
      <c r="F141" s="20">
        <f>F133/F94</f>
        <v>0.0209424161433053</v>
      </c>
      <c r="G141" s="1">
        <f>SUM(C141:F145)/COUNT(C141:F145)</f>
        <v>0.05636464649148</v>
      </c>
      <c r="I141" s="1" t="s">
        <v>280</v>
      </c>
      <c r="J141" s="17">
        <v>1</v>
      </c>
      <c r="K141" s="17">
        <v>8</v>
      </c>
      <c r="L141" s="17">
        <v>16</v>
      </c>
      <c r="M141" s="17">
        <v>32</v>
      </c>
      <c r="N141" s="1" t="s">
        <v>276</v>
      </c>
      <c r="P141" s="1" t="s">
        <v>280</v>
      </c>
      <c r="Q141" s="17">
        <v>1</v>
      </c>
      <c r="R141" s="17">
        <v>8</v>
      </c>
      <c r="S141" s="17">
        <v>16</v>
      </c>
      <c r="T141" s="17">
        <v>32</v>
      </c>
      <c r="U141" s="1" t="s">
        <v>276</v>
      </c>
      <c r="W141" s="1" t="s">
        <v>280</v>
      </c>
      <c r="X141" s="17">
        <v>1</v>
      </c>
      <c r="Y141" s="17">
        <v>8</v>
      </c>
      <c r="Z141" s="17">
        <v>16</v>
      </c>
      <c r="AA141" s="17">
        <v>32</v>
      </c>
      <c r="AB141" s="1" t="s">
        <v>276</v>
      </c>
    </row>
    <row r="142" spans="2:28">
      <c r="B142" s="1">
        <v>25</v>
      </c>
      <c r="C142" s="20">
        <f>C134/C95</f>
        <v>0.0566699054740836</v>
      </c>
      <c r="D142" s="20">
        <f>D134/D95</f>
        <v>0.00758759009133315</v>
      </c>
      <c r="E142" s="20">
        <f>E134/E95</f>
        <v>0.00174572242206215</v>
      </c>
      <c r="F142" s="20">
        <f>F134/F95</f>
        <v>0.0879658654108898</v>
      </c>
      <c r="I142" s="1">
        <v>10</v>
      </c>
      <c r="J142" s="20">
        <f>J134/J94</f>
        <v>0.118997479885052</v>
      </c>
      <c r="K142" s="20">
        <f>K134/K94</f>
        <v>0.0492987279916654</v>
      </c>
      <c r="L142" s="20">
        <f t="shared" ref="L142:T142" si="147">L134/L94</f>
        <v>0.000751023736973966</v>
      </c>
      <c r="M142" s="20">
        <f t="shared" si="147"/>
        <v>0.0382177448497054</v>
      </c>
      <c r="N142" s="1">
        <f>SUM(J142:M146)/COUNT(J142:M146)</f>
        <v>0.0639062153222949</v>
      </c>
      <c r="P142" s="1">
        <v>10</v>
      </c>
      <c r="Q142" s="20">
        <f t="shared" si="147"/>
        <v>0.0175631277466324</v>
      </c>
      <c r="R142" s="20">
        <f t="shared" si="147"/>
        <v>0.00405757886409775</v>
      </c>
      <c r="S142" s="20">
        <f t="shared" si="147"/>
        <v>0.015403377514534</v>
      </c>
      <c r="T142" s="20">
        <f t="shared" si="147"/>
        <v>0.0248214875456147</v>
      </c>
      <c r="U142" s="1">
        <f>SUM(Q142:T146)/COUNT(Q142:T146)</f>
        <v>0.0347877415841838</v>
      </c>
      <c r="W142" s="1">
        <v>10</v>
      </c>
      <c r="X142" s="20">
        <f t="shared" ref="X142:AA142" si="148">X134/X94</f>
        <v>0.0324601763188577</v>
      </c>
      <c r="Y142" s="20">
        <f t="shared" si="148"/>
        <v>0.103069682559532</v>
      </c>
      <c r="Z142" s="20">
        <f t="shared" si="148"/>
        <v>0.0991180798355993</v>
      </c>
      <c r="AA142" s="20">
        <f t="shared" si="148"/>
        <v>0.0759716900947904</v>
      </c>
      <c r="AB142" s="1">
        <f>SUM(X142:AA146)/COUNT(X142:AA146)</f>
        <v>0.0765915537810585</v>
      </c>
    </row>
    <row r="143" spans="2:28">
      <c r="B143" s="1">
        <v>50</v>
      </c>
      <c r="C143" s="20">
        <f>C135/C96</f>
        <v>0.0773820056402988</v>
      </c>
      <c r="D143" s="20">
        <f>D135/D96</f>
        <v>0.0602085085487575</v>
      </c>
      <c r="E143" s="20">
        <f>E135/E96</f>
        <v>0.049253718804463</v>
      </c>
      <c r="F143" s="20">
        <f>F135/F96</f>
        <v>0.0170155275236804</v>
      </c>
      <c r="I143" s="1">
        <v>25</v>
      </c>
      <c r="J143" s="20">
        <f>J135/J95</f>
        <v>0.161014935345447</v>
      </c>
      <c r="K143" s="20">
        <f>K135/K95</f>
        <v>0.0220936180239489</v>
      </c>
      <c r="L143" s="20">
        <f t="shared" ref="L143:T143" si="149">L135/L95</f>
        <v>0.00449879218580361</v>
      </c>
      <c r="M143" s="20">
        <f t="shared" si="149"/>
        <v>0.00289211551615446</v>
      </c>
      <c r="P143" s="1">
        <v>25</v>
      </c>
      <c r="Q143" s="20">
        <f t="shared" si="149"/>
        <v>0.0802782123101995</v>
      </c>
      <c r="R143" s="20">
        <f t="shared" si="149"/>
        <v>0.026839920774427</v>
      </c>
      <c r="S143" s="20">
        <f t="shared" si="149"/>
        <v>0.0188055222324094</v>
      </c>
      <c r="T143" s="20">
        <f t="shared" si="149"/>
        <v>0.00931517266321999</v>
      </c>
      <c r="W143" s="1">
        <v>25</v>
      </c>
      <c r="X143" s="20">
        <f t="shared" ref="X143:AA143" si="150">X135/X95</f>
        <v>0.163637218353117</v>
      </c>
      <c r="Y143" s="20">
        <f t="shared" si="150"/>
        <v>0.0151228041486542</v>
      </c>
      <c r="Z143" s="20">
        <f t="shared" si="150"/>
        <v>0.0156462092917577</v>
      </c>
      <c r="AA143" s="20">
        <f t="shared" si="150"/>
        <v>0.0476984220691117</v>
      </c>
      <c r="AB143" s="1"/>
    </row>
    <row r="144" spans="2:28">
      <c r="B144" s="1">
        <v>75</v>
      </c>
      <c r="C144" s="20">
        <f>C136/C97</f>
        <v>0.143216609717635</v>
      </c>
      <c r="D144" s="20">
        <f>D136/D97</f>
        <v>0.0437559179172928</v>
      </c>
      <c r="E144" s="20">
        <f>E136/E97</f>
        <v>0.0250751667181994</v>
      </c>
      <c r="F144" s="20">
        <f>F136/F97</f>
        <v>0.0260465361896508</v>
      </c>
      <c r="I144" s="1">
        <v>50</v>
      </c>
      <c r="J144" s="20">
        <f>J136/J96</f>
        <v>0.187705624792574</v>
      </c>
      <c r="K144" s="20">
        <f>K136/K96</f>
        <v>0.075291338282081</v>
      </c>
      <c r="L144" s="20">
        <f t="shared" ref="L144:T144" si="151">L136/L96</f>
        <v>0.0456938862622901</v>
      </c>
      <c r="M144" s="20">
        <f t="shared" si="151"/>
        <v>0.0592518130920959</v>
      </c>
      <c r="P144" s="1">
        <v>50</v>
      </c>
      <c r="Q144" s="20">
        <f t="shared" si="151"/>
        <v>0.0300585566221914</v>
      </c>
      <c r="R144" s="20">
        <f t="shared" si="151"/>
        <v>0.0686615657346167</v>
      </c>
      <c r="S144" s="20">
        <f t="shared" si="151"/>
        <v>0.0665475810781612</v>
      </c>
      <c r="T144" s="20">
        <f t="shared" si="151"/>
        <v>0.0506967485629691</v>
      </c>
      <c r="W144" s="1">
        <v>50</v>
      </c>
      <c r="X144" s="20">
        <f t="shared" ref="X144:AA144" si="152">X136/X96</f>
        <v>0.22380048901859</v>
      </c>
      <c r="Y144" s="20">
        <f t="shared" si="152"/>
        <v>0.0182519359013763</v>
      </c>
      <c r="Z144" s="20">
        <f t="shared" si="152"/>
        <v>0.0271489771041261</v>
      </c>
      <c r="AA144" s="20">
        <f t="shared" si="152"/>
        <v>0.0184805906769573</v>
      </c>
      <c r="AB144" s="1"/>
    </row>
    <row r="145" spans="2:28">
      <c r="B145" s="1">
        <v>100</v>
      </c>
      <c r="C145" s="20">
        <f>C137/C98</f>
        <v>0.205624682774833</v>
      </c>
      <c r="D145" s="20">
        <f>D137/D98</f>
        <v>0.0228293256700865</v>
      </c>
      <c r="E145" s="20">
        <f>E137/E98</f>
        <v>0.0273796547904876</v>
      </c>
      <c r="F145" s="20">
        <f>F137/F98</f>
        <v>0.0215484240429343</v>
      </c>
      <c r="I145" s="1">
        <v>75</v>
      </c>
      <c r="J145" s="20">
        <f>J137/J97</f>
        <v>0.139664008114399</v>
      </c>
      <c r="K145" s="20">
        <f>K137/K97</f>
        <v>0.00237259304062798</v>
      </c>
      <c r="L145" s="20">
        <f t="shared" ref="L145:T145" si="153">L137/L97</f>
        <v>0.0236148871449962</v>
      </c>
      <c r="M145" s="20">
        <f t="shared" si="153"/>
        <v>0.0286176000322969</v>
      </c>
      <c r="P145" s="1">
        <v>75</v>
      </c>
      <c r="Q145" s="20">
        <f t="shared" si="153"/>
        <v>0.00629606900246849</v>
      </c>
      <c r="R145" s="20">
        <f t="shared" si="153"/>
        <v>0.0417143591892302</v>
      </c>
      <c r="S145" s="20">
        <f t="shared" si="153"/>
        <v>0.0731995550125059</v>
      </c>
      <c r="T145" s="20">
        <f t="shared" si="153"/>
        <v>0.0224634384339751</v>
      </c>
      <c r="W145" s="1">
        <v>75</v>
      </c>
      <c r="X145" s="20">
        <f t="shared" ref="X145:AA145" si="154">X137/X97</f>
        <v>0.229690846488783</v>
      </c>
      <c r="Y145" s="20">
        <f t="shared" si="154"/>
        <v>0.0807370414335613</v>
      </c>
      <c r="Z145" s="20">
        <f t="shared" si="154"/>
        <v>0.0625019114700449</v>
      </c>
      <c r="AA145" s="20">
        <f t="shared" si="154"/>
        <v>0.0236343230824104</v>
      </c>
      <c r="AB145" s="1"/>
    </row>
    <row r="146" spans="9:28">
      <c r="I146" s="1">
        <v>100</v>
      </c>
      <c r="J146" s="20">
        <f>J138/J98</f>
        <v>0.225748070606183</v>
      </c>
      <c r="K146" s="20">
        <f>K138/K98</f>
        <v>0.0807267437771705</v>
      </c>
      <c r="L146" s="20">
        <f t="shared" ref="L146:T146" si="155">L138/L98</f>
        <v>0.0022635857436332</v>
      </c>
      <c r="M146" s="20">
        <f t="shared" si="155"/>
        <v>0.00940971802279814</v>
      </c>
      <c r="P146" s="1">
        <v>100</v>
      </c>
      <c r="Q146" s="20">
        <f t="shared" si="155"/>
        <v>0.0880055820489485</v>
      </c>
      <c r="R146" s="20">
        <f t="shared" si="155"/>
        <v>0.0178111660784399</v>
      </c>
      <c r="S146" s="20">
        <f t="shared" si="155"/>
        <v>0.025978541793721</v>
      </c>
      <c r="T146" s="20">
        <f t="shared" si="155"/>
        <v>0.00723726847531268</v>
      </c>
      <c r="W146" s="1">
        <v>100</v>
      </c>
      <c r="X146" s="20">
        <f t="shared" ref="X146:AA146" si="156">X138/X98</f>
        <v>0.139862528107444</v>
      </c>
      <c r="Y146" s="20">
        <f t="shared" si="156"/>
        <v>0.11302846591178</v>
      </c>
      <c r="Z146" s="20">
        <f t="shared" si="156"/>
        <v>0.0260237072388973</v>
      </c>
      <c r="AA146" s="20">
        <f t="shared" si="156"/>
        <v>0.0159459765157816</v>
      </c>
      <c r="AB146" s="1"/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act_time</vt:lpstr>
      <vt:lpstr>测试server消失现象</vt:lpstr>
      <vt:lpstr>直接运行latency</vt:lpstr>
      <vt:lpstr>6.19igniter对比</vt:lpstr>
      <vt:lpstr>实际执行时间重测</vt:lpstr>
      <vt:lpstr>6.22单模型测试(较大结果)</vt:lpstr>
      <vt:lpstr>6.27较小结果测试</vt:lpstr>
      <vt:lpstr>两模型</vt:lpstr>
      <vt:lpstr>三模型&amp;四模型</vt:lpstr>
      <vt:lpstr>new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73998</dc:creator>
  <cp:lastModifiedBy>WPS_1591298422</cp:lastModifiedBy>
  <dcterms:created xsi:type="dcterms:W3CDTF">2022-05-25T07:16:00Z</dcterms:created>
  <dcterms:modified xsi:type="dcterms:W3CDTF">2023-02-24T08:50:20Z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910B72F23A3F420EA4F449D56EB1EF24</vt:lpwstr>
  </property>
  <property fmtid="{D5CDD505-2E9C-101B-9397-08002B2CF9AE}" pid="3" name="KSOProductBuildVer">
    <vt:lpwstr>2052-11.1.0.13703</vt:lpwstr>
  </property>
</Properties>
</file>