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8990" activeTab="1"/>
  </bookViews>
  <sheets>
    <sheet name="Sheet1" sheetId="1" r:id="rId1"/>
    <sheet name="datebase" sheetId="2" r:id="rId2"/>
    <sheet name="work" sheetId="3" r:id="rId3"/>
  </sheets>
  <definedNames>
    <definedName name="星球名称">datebase!$B$3:$B$14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<sst xmlns="http://schemas.openxmlformats.org/spreadsheetml/2006/main" count="91" uniqueCount="63">
  <si>
    <t>90后</t>
  </si>
  <si>
    <t>20世纪</t>
  </si>
  <si>
    <t>00后</t>
  </si>
  <si>
    <t>21世纪</t>
  </si>
  <si>
    <t>10后</t>
  </si>
  <si>
    <t>20后</t>
  </si>
  <si>
    <t>30后</t>
  </si>
  <si>
    <t>40后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</si>
  <si>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</si>
  <si>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</si>
  <si>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</si>
  <si>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</si>
  <si>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</si>
  <si>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</si>
  <si>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</si>
  <si>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</si>
  <si>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</si>
  <si>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</si>
  <si>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</si>
  <si>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</si>
  <si>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</si>
  <si>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</si>
  <si>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</si>
  <si>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</si>
  <si>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</si>
  <si>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Q</t>
  </si>
  <si>
    <t>S</t>
  </si>
  <si>
    <t>T</t>
  </si>
  <si>
    <t>U</t>
  </si>
  <si>
    <t>V</t>
  </si>
  <si>
    <t>W</t>
  </si>
  <si>
    <t>X</t>
  </si>
  <si>
    <t>Y</t>
  </si>
  <si>
    <t>Z</t>
  </si>
  <si>
    <t>星球名称</t>
  </si>
  <si>
    <t>澳大利亚</t>
  </si>
  <si>
    <t>水星轨道居住地</t>
  </si>
  <si>
    <t>外汇库存</t>
  </si>
  <si>
    <t>矿物储量</t>
  </si>
  <si>
    <t>食物储量</t>
  </si>
  <si>
    <t>贸易顺逆</t>
  </si>
  <si>
    <t>合金储量</t>
  </si>
  <si>
    <t>人口</t>
  </si>
  <si>
    <t>犯罪率</t>
  </si>
  <si>
    <t>饥荒星球</t>
  </si>
  <si>
    <t>地球</t>
  </si>
  <si>
    <t>火星</t>
  </si>
  <si>
    <t>月球</t>
  </si>
  <si>
    <t>食物储量/人口&lt;100会被评为饥饿星球</t>
  </si>
  <si>
    <t>金星</t>
  </si>
  <si>
    <t>金星轨道居住地</t>
  </si>
  <si>
    <t>木星轨道居住地</t>
  </si>
  <si>
    <t>土星轨道居住地</t>
  </si>
  <si>
    <t>天王星轨道居住地</t>
  </si>
  <si>
    <t>海王星轨道居住地</t>
  </si>
  <si>
    <t>求和项:外汇库存</t>
  </si>
  <si>
    <t>求和项:贸易顺逆</t>
  </si>
  <si>
    <t>求和项:矿物储量</t>
  </si>
  <si>
    <t>求和项:食物储量</t>
  </si>
  <si>
    <t>求和项:人口</t>
  </si>
  <si>
    <t>求和项:合金储量</t>
  </si>
  <si>
    <t>求和项:犯罪率</t>
  </si>
  <si>
    <t>总计</t>
  </si>
</sst>
</file>

<file path=xl/styles.xml><?xml version="1.0" encoding="utf-8"?>
<styleSheet xmlns="http://schemas.openxmlformats.org/spreadsheetml/2006/main">
  <numFmts count="8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h:mm\ AM/PM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7" fontId="0" fillId="0" borderId="0" xfId="0" applyNumberFormat="1">
      <alignment vertical="center"/>
    </xf>
    <xf numFmtId="10" fontId="0" fillId="0" borderId="0" xfId="11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10" fontId="0" fillId="0" borderId="0" xfId="11" applyNumberFormat="1" applyBorder="1">
      <alignment vertical="center"/>
    </xf>
    <xf numFmtId="10" fontId="0" fillId="0" borderId="0" xfId="11" applyNumberFormat="1" applyFont="1" applyFill="1" applyBorder="1" applyAlignment="1" applyProtection="1">
      <alignment vertical="center"/>
    </xf>
    <xf numFmtId="9" fontId="0" fillId="0" borderId="0" xfId="11" applyNumberFormat="1">
      <alignment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1" fillId="0" borderId="0" xfId="10">
      <alignment vertical="center"/>
    </xf>
    <xf numFmtId="0" fontId="0" fillId="0" borderId="1" xfId="0" applyBorder="1">
      <alignment vertical="center"/>
    </xf>
    <xf numFmtId="0" fontId="0" fillId="0" borderId="0" xfId="11" applyNumberFormat="1">
      <alignment vertical="center"/>
    </xf>
    <xf numFmtId="0" fontId="0" fillId="0" borderId="1" xfId="0" applyBorder="1" applyAlignment="1">
      <alignment vertical="center"/>
    </xf>
    <xf numFmtId="31" fontId="0" fillId="0" borderId="0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Fill="1" applyBorder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89.7597916667" refreshedBy="Lenovo" recordCount="11">
  <cacheSource type="worksheet">
    <worksheetSource ref="B3:J14" sheet="datebase"/>
  </cacheSource>
  <cacheFields count="9">
    <cacheField name="星球名称" numFmtId="0">
      <sharedItems count="11">
        <s v="地球"/>
        <s v="火星"/>
        <s v="月球"/>
        <s v="水星轨道居住地"/>
        <s v="金星"/>
        <s v="金星轨道居住地"/>
        <s v="木星轨道居住地"/>
        <s v="土星轨道居住地"/>
        <s v="天王星轨道居住地"/>
        <s v="海王星轨道居住地"/>
        <s v="澳大利亚"/>
      </sharedItems>
    </cacheField>
    <cacheField name="外汇库存" numFmtId="0">
      <sharedItems containsSemiMixedTypes="0" containsString="0" containsNumber="1" containsInteger="1" minValue="0" maxValue="44277" count="11">
        <n v="44277"/>
        <n v="38513"/>
        <n v="25499"/>
        <n v="24268"/>
        <n v="41117"/>
        <n v="12308"/>
        <n v="14203"/>
        <n v="13570"/>
        <n v="7503"/>
        <n v="3749"/>
        <n v="1348"/>
      </sharedItems>
    </cacheField>
    <cacheField name="矿物储量" numFmtId="0">
      <sharedItems containsSemiMixedTypes="0" containsString="0" containsNumber="1" containsInteger="1" minValue="0" maxValue="84651" count="11">
        <n v="84651"/>
        <n v="43247"/>
        <n v="19873"/>
        <n v="3517"/>
        <n v="24763"/>
        <n v="4387"/>
        <n v="3572"/>
        <n v="2788"/>
        <n v="6505"/>
        <n v="4570"/>
        <n v="2507"/>
      </sharedItems>
    </cacheField>
    <cacheField name="食物储量" numFmtId="177">
      <sharedItems containsSemiMixedTypes="0" containsString="0" containsNumber="1" containsInteger="1" minValue="0" maxValue="124857" count="11">
        <n v="124857"/>
        <n v="86230"/>
        <n v="108452"/>
        <n v="47366"/>
        <n v="94520"/>
        <n v="54239"/>
        <n v="56074"/>
        <n v="56718"/>
        <n v="55023"/>
        <n v="48501"/>
        <n v="120"/>
      </sharedItems>
    </cacheField>
    <cacheField name="贸易顺逆" numFmtId="0">
      <sharedItems containsSemiMixedTypes="0" containsString="0" containsNumber="1" containsInteger="1" minValue="-32000" maxValue="38785" count="11">
        <n v="38785"/>
        <n v="-32000"/>
        <n v="-27888"/>
        <n v="4689"/>
        <n v="12300"/>
        <n v="700"/>
        <n v="423"/>
        <n v="-358"/>
        <n v="452"/>
        <n v="7583"/>
        <n v="-4686"/>
      </sharedItems>
    </cacheField>
    <cacheField name="合金储量" numFmtId="0">
      <sharedItems containsSemiMixedTypes="0" containsString="0" containsNumber="1" containsInteger="1" minValue="0" maxValue="347000" count="11">
        <n v="347000"/>
        <n v="165535"/>
        <n v="249886"/>
        <n v="60"/>
        <n v="175331"/>
        <n v="129"/>
        <n v="85"/>
        <n v="96"/>
        <n v="472"/>
        <n v="386"/>
        <n v="4"/>
      </sharedItems>
    </cacheField>
    <cacheField name="人口" numFmtId="0">
      <sharedItems containsSemiMixedTypes="0" containsString="0" containsNumber="1" minValue="0" maxValue="728.24" count="11">
        <n v="728.24"/>
        <n v="388.81"/>
        <n v="423.69"/>
        <n v="34.17"/>
        <n v="688.14"/>
        <n v="38.86"/>
        <n v="39.24"/>
        <n v="37.73"/>
        <n v="36.45"/>
        <n v="42.38"/>
        <n v="11.14"/>
      </sharedItems>
    </cacheField>
    <cacheField name="犯罪率" numFmtId="10">
      <sharedItems containsSemiMixedTypes="0" containsString="0" containsNumber="1" minValue="0" maxValue="0.5017" count="9">
        <n v="0.0005"/>
        <n v="0.0004"/>
        <n v="0.00034"/>
        <n v="0.0008"/>
        <n v="0.0007"/>
        <n v="0.0003"/>
        <n v="0.0009"/>
        <n v="0.0011"/>
        <n v="0.5017"/>
      </sharedItems>
    </cacheField>
    <cacheField name="饥荒星球" numFmtId="0">
      <sharedItems count="2">
        <b v="0"/>
        <b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</r>
  <r>
    <x v="2"/>
    <x v="2"/>
    <x v="2"/>
    <x v="2"/>
    <x v="2"/>
    <x v="2"/>
    <x v="2"/>
    <x v="2"/>
    <x v="0"/>
  </r>
  <r>
    <x v="3"/>
    <x v="3"/>
    <x v="3"/>
    <x v="3"/>
    <x v="3"/>
    <x v="3"/>
    <x v="3"/>
    <x v="3"/>
    <x v="0"/>
  </r>
  <r>
    <x v="4"/>
    <x v="4"/>
    <x v="4"/>
    <x v="4"/>
    <x v="4"/>
    <x v="4"/>
    <x v="4"/>
    <x v="4"/>
    <x v="0"/>
  </r>
  <r>
    <x v="5"/>
    <x v="5"/>
    <x v="5"/>
    <x v="5"/>
    <x v="5"/>
    <x v="5"/>
    <x v="5"/>
    <x v="4"/>
    <x v="0"/>
  </r>
  <r>
    <x v="6"/>
    <x v="6"/>
    <x v="6"/>
    <x v="6"/>
    <x v="6"/>
    <x v="6"/>
    <x v="6"/>
    <x v="5"/>
    <x v="0"/>
  </r>
  <r>
    <x v="7"/>
    <x v="7"/>
    <x v="7"/>
    <x v="7"/>
    <x v="7"/>
    <x v="7"/>
    <x v="7"/>
    <x v="1"/>
    <x v="0"/>
  </r>
  <r>
    <x v="8"/>
    <x v="8"/>
    <x v="8"/>
    <x v="8"/>
    <x v="8"/>
    <x v="8"/>
    <x v="8"/>
    <x v="6"/>
    <x v="0"/>
  </r>
  <r>
    <x v="9"/>
    <x v="9"/>
    <x v="9"/>
    <x v="9"/>
    <x v="9"/>
    <x v="9"/>
    <x v="9"/>
    <x v="7"/>
    <x v="0"/>
  </r>
  <r>
    <x v="10"/>
    <x v="10"/>
    <x v="10"/>
    <x v="10"/>
    <x v="10"/>
    <x v="10"/>
    <x v="10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I17" firstHeaderRow="0" firstDataRow="1" firstDataCol="2"/>
  <pivotFields count="9">
    <pivotField axis="axisRow" compact="0" showAll="0">
      <items count="12">
        <item x="10"/>
        <item x="0"/>
        <item x="9"/>
        <item x="1"/>
        <item x="4"/>
        <item x="5"/>
        <item x="6"/>
        <item x="3"/>
        <item x="8"/>
        <item x="7"/>
        <item x="2"/>
        <item t="default"/>
      </items>
    </pivotField>
    <pivotField dataField="1" compact="0" showAll="0">
      <items count="12">
        <item x="10"/>
        <item x="9"/>
        <item x="8"/>
        <item x="5"/>
        <item x="7"/>
        <item x="6"/>
        <item x="3"/>
        <item x="2"/>
        <item x="1"/>
        <item x="4"/>
        <item x="0"/>
        <item t="default"/>
      </items>
    </pivotField>
    <pivotField dataField="1" compact="0" showAll="0">
      <items count="12">
        <item x="10"/>
        <item x="7"/>
        <item x="3"/>
        <item x="6"/>
        <item x="5"/>
        <item x="9"/>
        <item x="8"/>
        <item x="2"/>
        <item x="4"/>
        <item x="1"/>
        <item x="0"/>
        <item t="default"/>
      </items>
    </pivotField>
    <pivotField dataField="1" compact="0" numFmtId="177" showAll="0">
      <items count="12">
        <item x="10"/>
        <item x="3"/>
        <item x="9"/>
        <item x="5"/>
        <item x="8"/>
        <item x="6"/>
        <item x="7"/>
        <item x="1"/>
        <item x="4"/>
        <item x="2"/>
        <item x="0"/>
        <item t="default"/>
      </items>
    </pivotField>
    <pivotField dataField="1" compact="0" showAll="0">
      <items count="12">
        <item x="1"/>
        <item x="2"/>
        <item x="10"/>
        <item x="7"/>
        <item x="6"/>
        <item x="8"/>
        <item x="5"/>
        <item x="3"/>
        <item x="9"/>
        <item x="4"/>
        <item x="0"/>
        <item t="default"/>
      </items>
    </pivotField>
    <pivotField dataField="1" compact="0" showAll="0">
      <items count="12">
        <item x="10"/>
        <item x="3"/>
        <item x="6"/>
        <item x="7"/>
        <item x="5"/>
        <item x="9"/>
        <item x="8"/>
        <item x="1"/>
        <item x="4"/>
        <item x="2"/>
        <item x="0"/>
        <item t="default"/>
      </items>
    </pivotField>
    <pivotField dataField="1" compact="0" showAll="0">
      <items count="12">
        <item x="10"/>
        <item x="3"/>
        <item x="8"/>
        <item x="7"/>
        <item x="5"/>
        <item x="6"/>
        <item x="9"/>
        <item x="1"/>
        <item x="2"/>
        <item x="4"/>
        <item x="0"/>
        <item t="default"/>
      </items>
    </pivotField>
    <pivotField dataField="1" compact="0" numFmtId="10" showAll="0">
      <items count="10">
        <item x="5"/>
        <item x="2"/>
        <item x="1"/>
        <item x="0"/>
        <item x="4"/>
        <item x="3"/>
        <item x="6"/>
        <item x="7"/>
        <item x="8"/>
        <item t="default"/>
      </items>
    </pivotField>
    <pivotField axis="axisRow" compact="0" showAll="0">
      <items count="3">
        <item x="0"/>
        <item x="1"/>
        <item t="default"/>
      </items>
    </pivotField>
  </pivotFields>
  <rowFields count="2">
    <field x="8"/>
    <field x="0"/>
  </rowFields>
  <rowItems count="1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外汇库存" fld="1" baseField="0" baseItem="0"/>
    <dataField name="求和项:贸易顺逆" fld="4" baseField="0" baseItem="0"/>
    <dataField name="求和项:矿物储量" fld="2" baseField="0" baseItem="0"/>
    <dataField name="求和项:食物储量" fld="3" baseField="0" baseItem="0"/>
    <dataField name="求和项:人口" fld="6" baseField="0" baseItem="0"/>
    <dataField name="求和项:合金储量" fld="5" baseField="0" baseItem="0"/>
    <dataField name="求和项:犯罪率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zoomScale="87" zoomScaleNormal="87" workbookViewId="0">
      <selection activeCell="C18" sqref="C18"/>
    </sheetView>
  </sheetViews>
  <sheetFormatPr defaultColWidth="9.22935779816514" defaultRowHeight="14.5"/>
  <cols>
    <col min="1" max="1" width="18.7155963302752"/>
    <col min="2" max="2" width="14.2201834862385"/>
    <col min="3" max="3" width="18.7155963302752"/>
    <col min="4" max="4" width="27.1559633027523"/>
    <col min="5" max="5" width="19.8807339449541"/>
    <col min="6" max="6" width="13.6605504587156"/>
    <col min="7" max="7" width="31.1009174311927"/>
    <col min="8" max="8" width="27.7155963302752"/>
    <col min="9" max="9" width="46.2660550458716"/>
    <col min="10" max="10" width="9.44036697247706"/>
    <col min="11" max="11" width="7.55045871559633" customWidth="1"/>
    <col min="12" max="12" width="14.2201834862385"/>
    <col min="13" max="13" width="38.3853211009174"/>
    <col min="14" max="14" width="17.2201834862385"/>
    <col min="16" max="16" width="22.6605504587156"/>
    <col min="17" max="17" width="18.7155963302752"/>
    <col min="18" max="18" width="17.605504587156"/>
    <col min="19" max="19" width="39.5504587155963"/>
    <col min="20" max="20" width="17.605504587156"/>
    <col min="21" max="21" width="31.1009174311927"/>
    <col min="22" max="22" width="23.2201834862385"/>
    <col min="23" max="23" width="25.4954128440367"/>
    <col min="24" max="24" width="9.90825688073394" customWidth="1"/>
    <col min="25" max="25" width="20.9908256880734"/>
  </cols>
  <sheetData>
    <row r="1" spans="1:19">
      <c r="A1">
        <v>1996</v>
      </c>
      <c r="B1" t="s">
        <v>0</v>
      </c>
      <c r="C1" t="s">
        <v>1</v>
      </c>
      <c r="D1">
        <v>4</v>
      </c>
      <c r="E1" s="13">
        <v>0.04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4">
      <c r="A2">
        <v>2003</v>
      </c>
      <c r="B2" t="s">
        <v>2</v>
      </c>
      <c r="C2" t="s">
        <v>3</v>
      </c>
      <c r="D2">
        <v>9</v>
      </c>
      <c r="E2" s="13">
        <v>0.09</v>
      </c>
      <c r="G2" s="14"/>
      <c r="H2" s="14"/>
      <c r="I2" s="14"/>
      <c r="J2" s="20">
        <v>4</v>
      </c>
      <c r="K2" s="20">
        <v>2</v>
      </c>
      <c r="L2" s="20">
        <v>8</v>
      </c>
      <c r="M2" s="14"/>
      <c r="N2" s="14"/>
      <c r="O2" s="14"/>
      <c r="P2" s="21">
        <v>37289</v>
      </c>
      <c r="Q2" s="4"/>
      <c r="R2" s="4"/>
      <c r="S2" s="4"/>
      <c r="U2" s="2"/>
      <c r="W2" s="21">
        <v>37288</v>
      </c>
      <c r="X2">
        <v>200</v>
      </c>
    </row>
    <row r="3" spans="1:24">
      <c r="A3">
        <v>2008</v>
      </c>
      <c r="B3" t="s">
        <v>2</v>
      </c>
      <c r="C3" t="s">
        <v>3</v>
      </c>
      <c r="D3">
        <v>10</v>
      </c>
      <c r="E3" s="13">
        <v>0.1</v>
      </c>
      <c r="G3" s="4"/>
      <c r="H3" s="4"/>
      <c r="I3" s="5"/>
      <c r="J3" s="22">
        <v>3</v>
      </c>
      <c r="K3" s="18">
        <v>5</v>
      </c>
      <c r="L3" s="18">
        <v>7</v>
      </c>
      <c r="M3" s="4"/>
      <c r="N3" s="11"/>
      <c r="O3" s="4"/>
      <c r="P3" s="21">
        <v>37749</v>
      </c>
      <c r="Q3" s="6"/>
      <c r="R3" s="4"/>
      <c r="S3" s="4"/>
      <c r="U3" s="2"/>
      <c r="W3" s="21">
        <v>37317</v>
      </c>
      <c r="X3">
        <v>300</v>
      </c>
    </row>
    <row r="4" spans="1:24">
      <c r="A4">
        <v>2012</v>
      </c>
      <c r="B4" t="s">
        <v>4</v>
      </c>
      <c r="C4" t="s">
        <v>3</v>
      </c>
      <c r="D4">
        <v>1</v>
      </c>
      <c r="E4" s="13">
        <v>0.01</v>
      </c>
      <c r="G4" s="4"/>
      <c r="H4" s="4"/>
      <c r="I4" s="4"/>
      <c r="J4" s="23">
        <v>9</v>
      </c>
      <c r="K4" s="24">
        <v>1</v>
      </c>
      <c r="L4" s="18">
        <v>6</v>
      </c>
      <c r="M4" s="9"/>
      <c r="N4" s="11"/>
      <c r="O4" s="4"/>
      <c r="P4" s="21">
        <v>38565</v>
      </c>
      <c r="Q4" s="6"/>
      <c r="R4" s="4"/>
      <c r="S4" s="4"/>
      <c r="U4" s="2"/>
      <c r="W4" s="21">
        <v>37349</v>
      </c>
      <c r="X4">
        <v>-800</v>
      </c>
    </row>
    <row r="5" spans="1:24">
      <c r="A5">
        <v>2017</v>
      </c>
      <c r="B5" t="s">
        <v>4</v>
      </c>
      <c r="C5" t="s">
        <v>3</v>
      </c>
      <c r="D5">
        <v>5</v>
      </c>
      <c r="E5" s="13">
        <v>0.05</v>
      </c>
      <c r="G5" s="4"/>
      <c r="H5" s="4"/>
      <c r="I5" s="4"/>
      <c r="J5" s="6"/>
      <c r="K5" s="4"/>
      <c r="L5" s="4"/>
      <c r="M5" s="4"/>
      <c r="N5" s="11"/>
      <c r="O5" s="4"/>
      <c r="P5" s="21">
        <v>39270</v>
      </c>
      <c r="Q5" s="6"/>
      <c r="R5" s="4"/>
      <c r="S5" s="4"/>
      <c r="W5" s="21">
        <v>37380</v>
      </c>
      <c r="X5">
        <v>500</v>
      </c>
    </row>
    <row r="6" spans="1:24">
      <c r="A6">
        <v>2023</v>
      </c>
      <c r="B6" t="s">
        <v>5</v>
      </c>
      <c r="C6" t="s">
        <v>3</v>
      </c>
      <c r="D6">
        <v>8</v>
      </c>
      <c r="E6" s="13">
        <v>0.08</v>
      </c>
      <c r="G6" s="4"/>
      <c r="H6" s="4"/>
      <c r="I6" s="4"/>
      <c r="J6" s="6"/>
      <c r="K6" s="4"/>
      <c r="L6" s="4"/>
      <c r="M6" s="4"/>
      <c r="N6" s="12"/>
      <c r="O6" s="4"/>
      <c r="P6" s="21">
        <v>40065</v>
      </c>
      <c r="Q6" s="6"/>
      <c r="R6" s="4"/>
      <c r="S6" s="4"/>
      <c r="W6" s="21">
        <v>37412</v>
      </c>
      <c r="X6">
        <v>-200</v>
      </c>
    </row>
    <row r="7" spans="1:23">
      <c r="A7">
        <v>2029</v>
      </c>
      <c r="B7" t="s">
        <v>5</v>
      </c>
      <c r="C7" t="s">
        <v>3</v>
      </c>
      <c r="D7">
        <v>7</v>
      </c>
      <c r="E7" s="13">
        <v>0.07</v>
      </c>
      <c r="G7" s="5"/>
      <c r="H7" s="4"/>
      <c r="I7" s="4"/>
      <c r="J7" s="6"/>
      <c r="K7" s="4"/>
      <c r="L7" s="4"/>
      <c r="M7" s="4"/>
      <c r="N7" s="11"/>
      <c r="O7" s="4"/>
      <c r="P7" s="4"/>
      <c r="Q7" s="4"/>
      <c r="R7" s="4"/>
      <c r="S7" s="4"/>
      <c r="U7" s="2"/>
      <c r="W7" s="21"/>
    </row>
    <row r="8" spans="1:23">
      <c r="A8">
        <v>2033</v>
      </c>
      <c r="B8" t="s">
        <v>6</v>
      </c>
      <c r="C8" t="s">
        <v>3</v>
      </c>
      <c r="D8">
        <v>2</v>
      </c>
      <c r="E8" s="13">
        <v>0.02</v>
      </c>
      <c r="G8" s="4"/>
      <c r="H8" s="4"/>
      <c r="I8" s="4"/>
      <c r="J8" s="6"/>
      <c r="K8" s="4"/>
      <c r="L8" s="4"/>
      <c r="M8" s="4"/>
      <c r="N8" s="11"/>
      <c r="O8" s="4"/>
      <c r="P8" s="4"/>
      <c r="Q8" s="4"/>
      <c r="R8" s="4"/>
      <c r="S8" s="4"/>
      <c r="U8" s="2"/>
      <c r="W8" s="21"/>
    </row>
    <row r="9" spans="1:23">
      <c r="A9">
        <v>2038</v>
      </c>
      <c r="B9" t="s">
        <v>6</v>
      </c>
      <c r="C9" t="s">
        <v>3</v>
      </c>
      <c r="D9">
        <v>12</v>
      </c>
      <c r="E9" s="13">
        <v>0.12</v>
      </c>
      <c r="G9" s="10"/>
      <c r="H9" s="4"/>
      <c r="I9" s="4"/>
      <c r="J9" s="6"/>
      <c r="K9" s="4"/>
      <c r="L9" s="4"/>
      <c r="M9" s="4"/>
      <c r="N9" s="11"/>
      <c r="O9" s="4"/>
      <c r="P9" s="4"/>
      <c r="Q9" s="4"/>
      <c r="R9" s="4"/>
      <c r="S9" s="4"/>
      <c r="U9" s="2"/>
      <c r="W9" s="21"/>
    </row>
    <row r="10" spans="1:19">
      <c r="A10">
        <v>2041</v>
      </c>
      <c r="B10" t="s">
        <v>7</v>
      </c>
      <c r="C10" t="s">
        <v>3</v>
      </c>
      <c r="D10">
        <v>5</v>
      </c>
      <c r="E10" s="13">
        <v>0.05</v>
      </c>
      <c r="G10" s="10"/>
      <c r="H10" s="4"/>
      <c r="I10" s="4"/>
      <c r="J10" s="6"/>
      <c r="K10" s="4"/>
      <c r="L10" s="4"/>
      <c r="M10" s="4"/>
      <c r="N10" s="11"/>
      <c r="O10" s="4"/>
      <c r="P10" s="4"/>
      <c r="Q10" s="4"/>
      <c r="R10" s="4"/>
      <c r="S10" s="4"/>
    </row>
    <row r="11" spans="7:19">
      <c r="G11" s="10"/>
      <c r="H11" s="4"/>
      <c r="I11" s="4"/>
      <c r="J11" s="6"/>
      <c r="K11" s="4"/>
      <c r="L11" s="4"/>
      <c r="M11" s="4"/>
      <c r="N11" s="11"/>
      <c r="O11" s="4"/>
      <c r="P11" s="4"/>
      <c r="Q11" s="4"/>
      <c r="R11" s="4"/>
      <c r="S11" s="4"/>
    </row>
    <row r="12" spans="1:26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 t="s">
        <v>19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25</v>
      </c>
      <c r="S12" t="s">
        <v>26</v>
      </c>
      <c r="T12" t="s">
        <v>27</v>
      </c>
      <c r="U12" t="s">
        <v>28</v>
      </c>
      <c r="V12" t="s">
        <v>29</v>
      </c>
      <c r="W12" t="s">
        <v>30</v>
      </c>
      <c r="X12" t="s">
        <v>31</v>
      </c>
      <c r="Y12" t="s">
        <v>32</v>
      </c>
      <c r="Z12" t="s">
        <v>33</v>
      </c>
    </row>
    <row r="13" spans="1:26">
      <c r="A13" t="str">
        <f>ADDRESS(datebase!M15,datebase!N15,1)</f>
        <v>$K$12</v>
      </c>
      <c r="B13">
        <f>BIN2DEC(1010000111)</f>
        <v>-377</v>
      </c>
      <c r="C13" t="str">
        <f>COMPLEX(2,2)</f>
        <v>2+2i</v>
      </c>
      <c r="D13">
        <f>DEVSQ(A4:A6)</f>
        <v>60.6666666666667</v>
      </c>
      <c r="E13">
        <f>EXPONDIST(2008,0.36,TRUE)</f>
        <v>1</v>
      </c>
      <c r="F13">
        <f>FDIST(24,22,21)</f>
        <v>2.36026591069563e-10</v>
      </c>
      <c r="G13">
        <f>GAMMALN(6)</f>
        <v>4.78749174278205</v>
      </c>
      <c r="H13">
        <f>HARMEAN(A1:A7)</f>
        <v>2012.51565991374</v>
      </c>
      <c r="I13">
        <f>INTERCEPT(D1:D10,E1:E10)</f>
        <v>0</v>
      </c>
      <c r="K13">
        <f>KURT(8.5,7.9,8.3,7.4,9.8)</f>
        <v>1.67673194123906</v>
      </c>
      <c r="L13">
        <f>LCM(2,3,6,9)</f>
        <v>18</v>
      </c>
      <c r="M13">
        <f>MINUTE("4:44:44")</f>
        <v>44</v>
      </c>
      <c r="N13">
        <f>NETWORKDAYS(E17,E18,8)</f>
        <v>109</v>
      </c>
      <c r="O13">
        <f>ODD(5)</f>
        <v>5</v>
      </c>
      <c r="P13">
        <f>PI()</f>
        <v>3.14159265358979</v>
      </c>
      <c r="Q13" t="str">
        <f>REPLACE(L19,2,2,25)</f>
        <v>32540.9783693503</v>
      </c>
      <c r="R13">
        <f>QUOTIENT(8,4)</f>
        <v>2</v>
      </c>
      <c r="S13" s="16">
        <f>SLN(7000,4000,12)</f>
        <v>250</v>
      </c>
      <c r="T13" s="27">
        <f>TIME(10,10,10)</f>
        <v>0.423726851851852</v>
      </c>
      <c r="U13" t="str">
        <f>UPPER(P22)</f>
        <v>FALSE</v>
      </c>
      <c r="V13">
        <f>VALUE("2022年8月6日")</f>
        <v>44779</v>
      </c>
      <c r="W13">
        <f>WEEKDAY(,2)</f>
        <v>6</v>
      </c>
      <c r="X13">
        <f>XIRR(X2:X6,W2:W6)</f>
        <v>-1.11022302462516e-15</v>
      </c>
      <c r="Y13">
        <f>YEAR(2000)</f>
        <v>1905</v>
      </c>
      <c r="Z13">
        <f>ZTEST(D4:D9,8)</f>
        <v>0.903869175242336</v>
      </c>
    </row>
    <row r="14" spans="1:25">
      <c r="A14">
        <f>ABS(-8)</f>
        <v>8</v>
      </c>
      <c r="B14" t="str">
        <f>BIN2HEX(10111001,8)</f>
        <v>000000B9</v>
      </c>
      <c r="C14">
        <f>CHIINV(0.5,55)</f>
        <v>54.3347890514014</v>
      </c>
      <c r="D14" t="str">
        <f>DEC2BIN(213)</f>
        <v>11010101</v>
      </c>
      <c r="E14">
        <f>ERFC(22)</f>
        <v>1.62190586093334e-212</v>
      </c>
      <c r="F14">
        <f>FINV(0.25,11,12)</f>
        <v>1.49459316010606</v>
      </c>
      <c r="G14">
        <f>_xlfn.GAMMALN.PRECISE(5)</f>
        <v>3.17805383034795</v>
      </c>
      <c r="H14">
        <f>HYPGEOMDIST(5,10,20,50)</f>
        <v>0.215085007184925</v>
      </c>
      <c r="I14" s="18" t="str">
        <f>IMLOG10(24)</f>
        <v>1.38021124171161</v>
      </c>
      <c r="L14">
        <f>LN(8)</f>
        <v>2.07944154167984</v>
      </c>
      <c r="M14">
        <f>MONTH("2000/8/8")</f>
        <v>8</v>
      </c>
      <c r="N14" s="25">
        <f ca="1">NOW()</f>
        <v>44794.8274421296</v>
      </c>
      <c r="O14" t="str">
        <f>OCT2BIN(333)</f>
        <v>11011011</v>
      </c>
      <c r="P14" s="26">
        <f>PMT(3%,1,400,200)</f>
        <v>-611.999999999999</v>
      </c>
      <c r="Q14" t="str">
        <f>REPLACEB(L19,2,2,23)</f>
        <v>32340.9783693503</v>
      </c>
      <c r="R14">
        <f>QUARTILE(A1:A10,2)</f>
        <v>2020</v>
      </c>
      <c r="S14" s="16">
        <f>SYD(6000,5000,12,1)</f>
        <v>153.846153846154</v>
      </c>
      <c r="T14">
        <f>TIMEVALUE("15:55:10")</f>
        <v>0.663310185185185</v>
      </c>
      <c r="U14">
        <f>_xlfn.UNIQUE(A1:A10,TRUE)</f>
        <v>1996</v>
      </c>
      <c r="V14">
        <f>VAR(2,8)</f>
        <v>18</v>
      </c>
      <c r="W14">
        <f>WEEKNUM(D23,2)</f>
        <v>6</v>
      </c>
      <c r="X14">
        <f>XNPV(3,X2:X6,W2:W6)</f>
        <v>61.8201824821097</v>
      </c>
      <c r="Y14">
        <f>YIELD(2002,2008,3%,100,90,2,1)</f>
        <v>-5.91751304742455</v>
      </c>
    </row>
    <row r="15" spans="1:25">
      <c r="A15">
        <f>ACOS(0)</f>
        <v>1.5707963267949</v>
      </c>
      <c r="B15" t="str">
        <f>BIN2OCT(101111010,8)</f>
        <v>00000572</v>
      </c>
      <c r="C15">
        <f>_xlfn.CHISQ.DIST(8,88,TRUE)</f>
        <v>0</v>
      </c>
      <c r="D15" t="str">
        <f>DEC2OCT(24,2)</f>
        <v>30</v>
      </c>
      <c r="E15">
        <f>EVEN(8)</f>
        <v>8</v>
      </c>
      <c r="F15">
        <f>FISHER(0.33)</f>
        <v>0.342828254415394</v>
      </c>
      <c r="G15">
        <f>GCD(8,6,9)</f>
        <v>1</v>
      </c>
      <c r="H15">
        <f>HEX2DEC(12334)</f>
        <v>74548</v>
      </c>
      <c r="I15" s="18" t="str">
        <f>IMLOG2(24)</f>
        <v>4.58496250072116</v>
      </c>
      <c r="L15" t="str">
        <f>LEFT(B6,1)</f>
        <v>2</v>
      </c>
      <c r="M15">
        <f>MROUND(8,9)</f>
        <v>9</v>
      </c>
      <c r="N15" s="26">
        <f>NPER(3%,180,5600,800,1)</f>
        <v>-26.5137537592186</v>
      </c>
      <c r="O15">
        <f>OCT2DEC(24455)</f>
        <v>10541</v>
      </c>
      <c r="P15" s="26">
        <f>PRICE(P3,P5,3%,2%,100,2)</f>
        <v>103.97454518589</v>
      </c>
      <c r="Q15" t="str">
        <f>REPT(Q29,1)</f>
        <v>1</v>
      </c>
      <c r="S15">
        <f>SECOND("20:20:20")</f>
        <v>20</v>
      </c>
      <c r="T15" s="15">
        <f ca="1">TODAY()</f>
        <v>44794</v>
      </c>
      <c r="U15">
        <f>_xlfn.UNIQUE(datebase!C4:C14,TRUE,TRUE)</f>
        <v>44277</v>
      </c>
      <c r="V15">
        <f>_xlfn.VAR.P(2,8)</f>
        <v>9</v>
      </c>
      <c r="W15" s="15">
        <f>WORKDAY(D23,70,1)</f>
        <v>36656</v>
      </c>
      <c r="Y15">
        <f>YEARFRAC(2008,2012)</f>
        <v>0.0111111111111111</v>
      </c>
    </row>
    <row r="16" spans="1:23">
      <c r="A16">
        <f>ACOSH(2)</f>
        <v>1.31695789692482</v>
      </c>
      <c r="B16">
        <f>BETADIST(D1,D2,D3,D4,D5)</f>
        <v>0.99457822079421</v>
      </c>
      <c r="C16">
        <f>CHITEST(A1:A5,D1:D5)</f>
        <v>0</v>
      </c>
      <c r="D16">
        <f>DELTA(2,2)</f>
        <v>1</v>
      </c>
      <c r="E16">
        <f>EXP(2.78)</f>
        <v>16.1190209480275</v>
      </c>
      <c r="F16">
        <f>FISHERINV(0.33)</f>
        <v>0.318520776902771</v>
      </c>
      <c r="G16">
        <f>GEOMEAN(A1:A9)</f>
        <v>2017.62216234386</v>
      </c>
      <c r="H16" t="str">
        <f>HEX2OCT(456123)</f>
        <v>21260443</v>
      </c>
      <c r="I16" s="18" t="str">
        <f>IMEXP(55)</f>
        <v>7.69478526514202E+23</v>
      </c>
      <c r="L16" t="str">
        <f>LEFTB(B10,2)</f>
        <v>40</v>
      </c>
      <c r="M16">
        <f>MULTINOMIAL(8,4)</f>
        <v>495</v>
      </c>
      <c r="N16" s="26">
        <f>NPV(23,6,7,8)</f>
        <v>0.262731481481482</v>
      </c>
      <c r="O16" t="str">
        <f>OCT2HEX(25)</f>
        <v>15</v>
      </c>
      <c r="P16">
        <f>POWER(2,2)</f>
        <v>4</v>
      </c>
      <c r="Q16" t="str">
        <f>RIGHT(I28,2)</f>
        <v>SE</v>
      </c>
      <c r="S16">
        <f>SEARCH(9,P26,2)</f>
        <v>3</v>
      </c>
      <c r="T16" s="28" t="str">
        <f>T(S18)</f>
        <v>21世纪</v>
      </c>
      <c r="V16">
        <f>_xlfn.VAR.S(2,9)</f>
        <v>24.5</v>
      </c>
      <c r="W16">
        <f>WEIBULL(4,2,3,TRUE)</f>
        <v>0.830986684593934</v>
      </c>
    </row>
    <row r="17" spans="1:22">
      <c r="A17">
        <f>ASIN(0.35)</f>
        <v>0.35757110364551</v>
      </c>
      <c r="B17">
        <f>_xlfn.BINOM.INV(20,0.02,0.8)</f>
        <v>1</v>
      </c>
      <c r="C17">
        <f>CONFIDENCE(7%,3,9)</f>
        <v>1.8119106729526</v>
      </c>
      <c r="D17" t="str">
        <f>DEC2HEX(25,5)</f>
        <v>00019</v>
      </c>
      <c r="E17" s="15">
        <f>EDATE(D23,2)</f>
        <v>36618</v>
      </c>
      <c r="F17">
        <f>FORECAST(3,D1:D5,A1:A5)</f>
        <v>164.427701674277</v>
      </c>
      <c r="G17">
        <f>GAMMAINV(34%,2,4)</f>
        <v>4.82909390812293</v>
      </c>
      <c r="H17" t="str">
        <f>HEX2BIN(40)</f>
        <v>1000000</v>
      </c>
      <c r="I17" s="18" t="str">
        <f>IMSIN(2.33)</f>
        <v>0.72538438746682</v>
      </c>
      <c r="L17">
        <f>LEN(B7)</f>
        <v>3</v>
      </c>
      <c r="M17" t="str">
        <f>MID(C7,2,2)</f>
        <v>1世</v>
      </c>
      <c r="N17">
        <f>NETWORKDAYS.INTL(E17,E18)</f>
        <v>109</v>
      </c>
      <c r="O17" t="b">
        <f>OR(A28,N29)</f>
        <v>1</v>
      </c>
      <c r="P17">
        <f>PRODUCT(5,6)</f>
        <v>30</v>
      </c>
      <c r="Q17" t="str">
        <f>RIGHTB(L20,2)</f>
        <v>se</v>
      </c>
      <c r="S17">
        <f>SEARCHB(9,A18,1)</f>
        <v>4</v>
      </c>
      <c r="T17" t="str">
        <f>TEXT("为","文本")</f>
        <v>为</v>
      </c>
      <c r="V17">
        <f>VARA(2,9)</f>
        <v>24.5</v>
      </c>
    </row>
    <row r="18" spans="1:22">
      <c r="A18">
        <f>ASINH(4)</f>
        <v>2.0947125472611</v>
      </c>
      <c r="B18">
        <f>BINOMDIST(2,100,0.5,0)</f>
        <v>3.90486148084402e-27</v>
      </c>
      <c r="C18">
        <f>CORREL(A1:A5,D1:D5)</f>
        <v>-0.173324667316613</v>
      </c>
      <c r="D18" s="16">
        <f>DB(3000,1000,3,3,12)</f>
        <v>442.309329</v>
      </c>
      <c r="E18" s="15">
        <f>EOMONTH(E17,4)</f>
        <v>36769</v>
      </c>
      <c r="F18" s="16">
        <f>FV(2%,2,8000,39000)</f>
        <v>-56735.6</v>
      </c>
      <c r="G18">
        <f>GESTEP(5,5)</f>
        <v>1</v>
      </c>
      <c r="H18" s="17" t="str">
        <f>HYPERLINK("www.baidu.com","百度")</f>
        <v>百度</v>
      </c>
      <c r="I18">
        <f>IMABS(3)</f>
        <v>3</v>
      </c>
      <c r="L18">
        <f>LENB(C7)</f>
        <v>6</v>
      </c>
      <c r="M18" t="str">
        <f>MIDB(C4,2,2)</f>
        <v>1 </v>
      </c>
      <c r="N18">
        <f>N(S25)</f>
        <v>2.506628274631</v>
      </c>
      <c r="P18" s="26">
        <f>PRICEMAT(P3,P4,P2,2%,3%)</f>
        <v>97.7504543206019</v>
      </c>
      <c r="Q18" t="str">
        <f>ROMAN(P17)</f>
        <v>XXX</v>
      </c>
      <c r="S18" t="str">
        <f>SUBSTITUTE(C31,,S17,2)</f>
        <v>21世纪</v>
      </c>
      <c r="T18" t="str">
        <f>_xlfn.TEXTJOIN("/",TRUE,12,323,43)</f>
        <v>12/323/43</v>
      </c>
      <c r="V18">
        <f>VARP(2,9)</f>
        <v>12.25</v>
      </c>
    </row>
    <row r="19" spans="1:22">
      <c r="A19">
        <f>ATAN(4)</f>
        <v>1.32581766366803</v>
      </c>
      <c r="B19" s="18">
        <f>_xlfn.BITLSHIFT(555,1)</f>
        <v>1110</v>
      </c>
      <c r="C19">
        <f>COUNT(A1:A10)</f>
        <v>10</v>
      </c>
      <c r="D19" s="16">
        <f>DDB(2000,1000,3,2,1)</f>
        <v>333.333333333334</v>
      </c>
      <c r="E19" t="str">
        <f>_xlfn.ENCODEURL("haha")</f>
        <v>haha</v>
      </c>
      <c r="F19">
        <f>FACT(23)</f>
        <v>2.5852016738885e+22</v>
      </c>
      <c r="G19">
        <f>GAMMADIST(2,7,5,TRUE)</f>
        <v>2.29306912067579e-7</v>
      </c>
      <c r="H19">
        <f>HOUR("4:44:44")</f>
        <v>4</v>
      </c>
      <c r="I19">
        <f>IMAGINARY(2)</f>
        <v>0</v>
      </c>
      <c r="L19">
        <f>LOGINV(0.23,11.1,0.8)</f>
        <v>36640.9783693503</v>
      </c>
      <c r="M19">
        <f>MIN(1,2)</f>
        <v>1</v>
      </c>
      <c r="N19" t="e">
        <f>NA()</f>
        <v>#N/A</v>
      </c>
      <c r="P19" s="16">
        <f>PV(4%,1,19,0)</f>
        <v>-18.2692307692308</v>
      </c>
      <c r="Q19" s="29">
        <f>RATE(12,-900,8000,1200,0)</f>
        <v>0.0327067544686642</v>
      </c>
      <c r="S19">
        <f>_xlfn.SEQUENCE(5,5,1,1)</f>
        <v>1</v>
      </c>
      <c r="T19" t="str">
        <f>TRIM(P4)</f>
        <v>38565</v>
      </c>
      <c r="V19">
        <f>VARPA(2,8)</f>
        <v>9</v>
      </c>
    </row>
    <row r="20" spans="1:22">
      <c r="A20">
        <f>ATAN2(2,2)</f>
        <v>0.785398163397448</v>
      </c>
      <c r="B20" s="18">
        <f>_xlfn.BITOR(5,5)</f>
        <v>5</v>
      </c>
      <c r="C20">
        <f>COUNTA(D1:D5)</f>
        <v>5</v>
      </c>
      <c r="D20">
        <f>DISC(2002,2008,1,100)</f>
        <v>59.4</v>
      </c>
      <c r="E20" t="b">
        <f>EXACT(C7,B6)</f>
        <v>0</v>
      </c>
      <c r="F20">
        <f>FACTDOUBLE(4)</f>
        <v>8</v>
      </c>
      <c r="G20">
        <f>GROWTH(D1:D10,E1:E10)</f>
        <v>3.17612615731488</v>
      </c>
      <c r="H20">
        <f>HLOOKUP(datebase!D3,datebase!$B$3:$J$14,2,FALSE)</f>
        <v>84651</v>
      </c>
      <c r="I20" t="str">
        <f>IMCONJUGATE(25)</f>
        <v>25</v>
      </c>
      <c r="L20" t="str">
        <f>LOWER(E20)</f>
        <v>false</v>
      </c>
      <c r="M20">
        <f>MINA(1,2)</f>
        <v>1</v>
      </c>
      <c r="N20">
        <f>_xlfn.NORM.DIST(5,3,0.1,TRUE)</f>
        <v>1</v>
      </c>
      <c r="P20">
        <f>POISSON(21,2,TRUE)</f>
        <v>0.999999999999999</v>
      </c>
      <c r="Q20">
        <f>RANK(2017,A1:A10,0)</f>
        <v>6</v>
      </c>
      <c r="S20">
        <f>SERIESSUM(5,2,2,2)</f>
        <v>50</v>
      </c>
      <c r="T20">
        <f>TAN(0)</f>
        <v>0</v>
      </c>
      <c r="V20" s="16">
        <f>VDB(7000,5000,12,1,10)</f>
        <v>833.333333333335</v>
      </c>
    </row>
    <row r="21" spans="1:22">
      <c r="A21">
        <f>ATANH(0.5)</f>
        <v>0.549306144334055</v>
      </c>
      <c r="B21" s="18">
        <f>_xlfn.BITRSHIFT(6666,2)</f>
        <v>1666</v>
      </c>
      <c r="C21">
        <f>COVAR(A1:A5,D1:D5)</f>
        <v>-4.16</v>
      </c>
      <c r="D21">
        <f>DOLLARDE(0.8,16)</f>
        <v>5</v>
      </c>
      <c r="E21">
        <f>ERROR.TYPE(#REF!/#REF!)</f>
        <v>4</v>
      </c>
      <c r="F21">
        <f>FLOOR(5,2)</f>
        <v>4</v>
      </c>
      <c r="G21" s="19">
        <f ca="1">GETPIVOTDATA("外汇库存",work!$B$3,work!B3,work!B5)</f>
        <v>44277</v>
      </c>
      <c r="H21">
        <f>HLOOKUP(datebase!C3,datebase!$B$3:$J$14,2,FALSE)</f>
        <v>44277</v>
      </c>
      <c r="I21" t="str">
        <f>IMDIV(47,5)</f>
        <v>9.4</v>
      </c>
      <c r="L21">
        <f>LARGE(D3:D7,5)</f>
        <v>1</v>
      </c>
      <c r="M21">
        <f>MAX(1,2)</f>
        <v>2</v>
      </c>
      <c r="N21">
        <f>_xlfn.NORM.S.DIST(10,TRUE)</f>
        <v>1</v>
      </c>
      <c r="P21">
        <f>PEARSON(J2:J4,L2:L4)</f>
        <v>-0.777713771047819</v>
      </c>
      <c r="Q21">
        <f>_xlfn.RANK.AVG(2012,A1:A10)</f>
        <v>7</v>
      </c>
      <c r="S21">
        <f>SIGN(7)</f>
        <v>1</v>
      </c>
      <c r="T21">
        <f>TANH(1)</f>
        <v>0.761594155955765</v>
      </c>
      <c r="V21">
        <f>VLOOKUP(datebase!B4,datebase!B4:J14,6,FALSE)</f>
        <v>347000</v>
      </c>
    </row>
    <row r="22" spans="1:20">
      <c r="A22">
        <f>AVEDEV(A1,A2)</f>
        <v>3.5</v>
      </c>
      <c r="B22" s="18">
        <f>_xlfn.BITXOR(7,7)</f>
        <v>0</v>
      </c>
      <c r="C22">
        <f>_xlfn.COVARIANCE.P(A1:A5,D1:D5)</f>
        <v>-4.16</v>
      </c>
      <c r="D22">
        <f>DOLLARFR(0.33,33)</f>
        <v>0.1089</v>
      </c>
      <c r="F22">
        <f>FTEST(A4:A10,D4:D10)</f>
        <v>0.0207791908281211</v>
      </c>
      <c r="H22" t="str">
        <f>HLOOKUP(datebase!B3,datebase!$B$3:$J$14,2,FALSE)</f>
        <v>地球</v>
      </c>
      <c r="I22" t="str">
        <f>IMPRODUCT(2,8,5,6)</f>
        <v>480</v>
      </c>
      <c r="L22">
        <f>LOGNORMDIST(5,6,1)</f>
        <v>5.65290133589002e-6</v>
      </c>
      <c r="M22">
        <f>MAXA(1,2)</f>
        <v>2</v>
      </c>
      <c r="N22">
        <f>NORMSDIST(22)</f>
        <v>1</v>
      </c>
      <c r="P22" t="str">
        <f>PROPER(L20)</f>
        <v>False</v>
      </c>
      <c r="Q22">
        <f>_xlfn.RANK.EQ(2008,A1:A10)</f>
        <v>8</v>
      </c>
      <c r="S22">
        <f>SIN(80)</f>
        <v>-0.993888653923375</v>
      </c>
      <c r="T22">
        <f>TRUNC(4,3)</f>
        <v>4</v>
      </c>
    </row>
    <row r="23" spans="1:20">
      <c r="A23">
        <f>AVERAGE(A1:A2)</f>
        <v>1999.5</v>
      </c>
      <c r="C23">
        <f>_xlfn.COVARIANCE.S(A1:A5,D1:D5)</f>
        <v>-5.2</v>
      </c>
      <c r="D23" s="15">
        <f>DATE(2000,2,2)</f>
        <v>36558</v>
      </c>
      <c r="F23">
        <f>FIND(2,C9,1)</f>
        <v>1</v>
      </c>
      <c r="H23" t="str">
        <f>HLOOKUP(datebase!B3,datebase!$B$3:$J$14,3,FALSE)</f>
        <v>火星</v>
      </c>
      <c r="I23">
        <f>IMREAL(5)</f>
        <v>5</v>
      </c>
      <c r="L23">
        <f>LINEST(D1:D10,E1:E10)</f>
        <v>100</v>
      </c>
      <c r="M23">
        <f>MEDIAN(A9:A11)</f>
        <v>2039.5</v>
      </c>
      <c r="N23">
        <f>NORMSINV(0.22)</f>
        <v>-0.772193214188685</v>
      </c>
      <c r="P23">
        <f>PERCENTILE(2,2%)</f>
        <v>2</v>
      </c>
      <c r="Q23">
        <f>RSQ(A1:A10,D1:D10)</f>
        <v>0.00747196108480676</v>
      </c>
      <c r="S23">
        <f>SINH(40)</f>
        <v>1.1769263341851e+17</v>
      </c>
      <c r="T23">
        <f>TYPE(1)</f>
        <v>1</v>
      </c>
    </row>
    <row r="24" spans="1:20">
      <c r="A24">
        <f>AVERAGEA(A1:A2)</f>
        <v>1999.5</v>
      </c>
      <c r="C24">
        <f>CRITBINOM(50,0.05,0.2)</f>
        <v>1</v>
      </c>
      <c r="D24">
        <f>DATEDIF(2000/2/2,2020/2/2,"D")</f>
        <v>5</v>
      </c>
      <c r="F24">
        <f>FINDB(1,B4,1)</f>
        <v>1</v>
      </c>
      <c r="H24">
        <f>HLOOKUP(datebase!E3,datebase!$B$3:$J$14,2,FALSE)</f>
        <v>124857</v>
      </c>
      <c r="I24" t="str">
        <f>IMSUB(48,1)</f>
        <v>47</v>
      </c>
      <c r="L24">
        <f>LOGEST(D1:D10,E1:E10)</f>
        <v>938541806.858122</v>
      </c>
      <c r="M24">
        <f>MODE(D1:D10)</f>
        <v>5</v>
      </c>
      <c r="N24">
        <f>_xlfn.NORM.S.INV(0.33)</f>
        <v>-0.439913165673234</v>
      </c>
      <c r="P24">
        <f>PERCENTRANK(A1:A10,2003,1)</f>
        <v>0.1</v>
      </c>
      <c r="Q24">
        <f>RADIANS(60)</f>
        <v>1.0471975511966</v>
      </c>
      <c r="S24">
        <f>SQRT(42)</f>
        <v>6.48074069840786</v>
      </c>
      <c r="T24">
        <f>TDIST(2,3,2)</f>
        <v>0.139325968558843</v>
      </c>
    </row>
    <row r="25" spans="1:20">
      <c r="A25">
        <f>AVERAGEIF(A1:A6,"&gt;2010")</f>
        <v>2017.33333333333</v>
      </c>
      <c r="C25">
        <f>COUPNCD(A4,A5,2,2)</f>
        <v>2017</v>
      </c>
      <c r="D25">
        <f>DATEVALUE("2002/2/2")</f>
        <v>37289</v>
      </c>
      <c r="F25" t="str">
        <f>FIXED(2.32,1)</f>
        <v>2.3</v>
      </c>
      <c r="H25">
        <f>HLOOKUP(datebase!F3,datebase!$B$3:$J$14,2,FALSE)</f>
        <v>38785</v>
      </c>
      <c r="I25" t="str">
        <f>IMSUM(1,2,3,4,5)</f>
        <v>15</v>
      </c>
      <c r="M25">
        <f>_xlfn.MAXIFS(A1:A10,B1:B10,"00后")</f>
        <v>2008</v>
      </c>
      <c r="N25">
        <f>NORMINV(0.33,33,2)</f>
        <v>32.1201736686535</v>
      </c>
      <c r="P25">
        <f>PERMUT(10,8)</f>
        <v>1814400</v>
      </c>
      <c r="Q25">
        <f ca="1">RAND()</f>
        <v>0.214651382758013</v>
      </c>
      <c r="S25">
        <f>SQRTPI(2)</f>
        <v>2.506628274631</v>
      </c>
      <c r="T25">
        <f>TINV(0.3,2)</f>
        <v>1.38620656016734</v>
      </c>
    </row>
    <row r="26" spans="1:20">
      <c r="A26">
        <f>AVERAGEIFS(A1:A10,B1:B10,"30后")</f>
        <v>2035.5</v>
      </c>
      <c r="C26">
        <f>COUPNUM(2002,2005,2)</f>
        <v>1</v>
      </c>
      <c r="D26">
        <f>DAY(2022/2/22)</f>
        <v>14</v>
      </c>
      <c r="F26">
        <f>FREQUENCY(A2:A10,1)</f>
        <v>0</v>
      </c>
      <c r="H26">
        <f>HLOOKUP(datebase!G3,datebase!$B$3:$J$14,2,FALSE)</f>
        <v>347000</v>
      </c>
      <c r="I26" t="b">
        <f>ISBLANK(1)</f>
        <v>0</v>
      </c>
      <c r="M26">
        <f>_xlfn.MINIFS(A1:A10,B1:B10,"10后")</f>
        <v>2012</v>
      </c>
      <c r="N26">
        <f>NEGBINOMDIST(80,1,0.05)</f>
        <v>0.000825768719250682</v>
      </c>
      <c r="P26">
        <f>POISSON(2,1,TRUE)</f>
        <v>0.919698602928606</v>
      </c>
      <c r="Q26">
        <f ca="1">RANDBETWEEN(1,2)</f>
        <v>1</v>
      </c>
      <c r="S26">
        <f>SUBTOTAL(1,A1:A10)</f>
        <v>2020</v>
      </c>
      <c r="T26">
        <f>TRIMMEAN(5,50%)</f>
        <v>5</v>
      </c>
    </row>
    <row r="27" spans="1:20">
      <c r="A27" t="str">
        <f>ASC(B9)</f>
        <v>30后</v>
      </c>
      <c r="C27">
        <f>COUPPCD(2002,2005,2)</f>
        <v>1823</v>
      </c>
      <c r="D27">
        <f>DAYS360(D23,D26,TRUE)</f>
        <v>-36018</v>
      </c>
      <c r="F27">
        <f>_xlfn._xlws.FILTER(A1:A10,D1:D10)</f>
        <v>1996</v>
      </c>
      <c r="H27">
        <f>HLOOKUP(datebase!H3,datebase!$B$3:$J$14,2,FALSE)</f>
        <v>728.24</v>
      </c>
      <c r="I27" t="b">
        <f>ISERR(12)</f>
        <v>0</v>
      </c>
      <c r="M27">
        <f>MDETERM(8)</f>
        <v>8</v>
      </c>
      <c r="N27">
        <f>NORMDIST(6,5.9,0.8,TRUE)</f>
        <v>0.549738224830113</v>
      </c>
      <c r="Q27">
        <f>ROUND(2,8)</f>
        <v>2</v>
      </c>
      <c r="S27">
        <f>SUMIFS(A1:A10,C1:C10,"21世纪")</f>
        <v>18204</v>
      </c>
      <c r="T27">
        <f>TTEST(A2:A5,D2:D5,1,1)</f>
        <v>1.29352503154735e-8</v>
      </c>
    </row>
    <row r="28" spans="1:20">
      <c r="A28" t="b">
        <f>AND(S44)</f>
        <v>0</v>
      </c>
      <c r="C28">
        <f>CUMIPMT(2%,12,1000,1,2,1)</f>
        <v>-18.1458902622951</v>
      </c>
      <c r="D28">
        <f>_xlfn.DAYS(E18,E17)</f>
        <v>151</v>
      </c>
      <c r="H28">
        <f>HLOOKUP(datebase!I3,datebase!$B$3:$J$14,2,FALSE)</f>
        <v>0.0005</v>
      </c>
      <c r="I28" t="b">
        <f>ISERROR(S34)</f>
        <v>0</v>
      </c>
      <c r="M28">
        <f>MINVERSE(8)</f>
        <v>0.125</v>
      </c>
      <c r="N28">
        <f>_xlfn.NORM.INV(0.33,3,1)</f>
        <v>2.56008683432677</v>
      </c>
      <c r="Q28">
        <f>ROUNDDOWN(7,1)</f>
        <v>7</v>
      </c>
      <c r="S28">
        <f>SUMSQ(D4:D7)</f>
        <v>139</v>
      </c>
      <c r="T28">
        <f>TRANSPOSE(7)</f>
        <v>7</v>
      </c>
    </row>
    <row r="29" spans="3:20">
      <c r="C29">
        <f>CUMPRINC(2%,12,5000,1,1,1)</f>
        <v>-463.527434426233</v>
      </c>
      <c r="D29" t="str">
        <f>USDOLLAR(2,3)</f>
        <v>$2.000</v>
      </c>
      <c r="I29" t="b">
        <f>_xlfn.ISFORMULA(S22:S25)</f>
        <v>1</v>
      </c>
      <c r="M29">
        <f>MMULT(J2:L4,K2:L4)</f>
        <v>26</v>
      </c>
      <c r="N29" s="2" t="b">
        <f>NOT(A28)</f>
        <v>1</v>
      </c>
      <c r="Q29">
        <f>ROUNDUP(1,5)</f>
        <v>1</v>
      </c>
      <c r="S29">
        <f>SKEW(2,3,2,8,4)</f>
        <v>1.67121441013585</v>
      </c>
      <c r="T29">
        <f>TREND(J2:J4,K2:K4,L2:L4)</f>
        <v>-1.23076923076923</v>
      </c>
    </row>
    <row r="30" spans="3:19">
      <c r="C30" t="str">
        <f>_xlfn.CONCAT(datebase!B4:B5)</f>
        <v>地球火星</v>
      </c>
      <c r="D30">
        <f>DEGREES(1)</f>
        <v>57.2957795130823</v>
      </c>
      <c r="I30" t="b">
        <f>ISLOGICAL(25)</f>
        <v>0</v>
      </c>
      <c r="M30">
        <f>MATCH(datebase!B4,datebase!B4:B14,0)</f>
        <v>1</v>
      </c>
      <c r="Q30">
        <f>ROW(datebase!B9)</f>
        <v>9</v>
      </c>
      <c r="S30">
        <f>SLOPE(A1:A10,D1:D10)</f>
        <v>0.374665477252453</v>
      </c>
    </row>
    <row r="31" spans="3:19">
      <c r="C31" t="str">
        <f>CLEAN(C7)</f>
        <v>21世纪</v>
      </c>
      <c r="D31">
        <f>DAVERAGE(datebase!B3:J14,datebase!D3,datebase!B3:J14)</f>
        <v>18216.3636363636</v>
      </c>
      <c r="I31" t="b">
        <f>ISNA(S23:S24)</f>
        <v>0</v>
      </c>
      <c r="Q31">
        <f>ROWS(datebase!B9:C12)</f>
        <v>4</v>
      </c>
      <c r="S31">
        <f>SMALL(A1:A10,2)</f>
        <v>2003</v>
      </c>
    </row>
    <row r="32" spans="3:19">
      <c r="C32" t="str">
        <f>CONCATENATE(C9)</f>
        <v>21世纪</v>
      </c>
      <c r="D32">
        <f>DCOUNT(datebase!B3:J14,datebase!J3,datebase!B3:J14)</f>
        <v>0</v>
      </c>
      <c r="I32" t="b">
        <f>ISNONTEXT(21)</f>
        <v>1</v>
      </c>
      <c r="S32">
        <f>STANDARDIZE(2,2,0.5)</f>
        <v>0</v>
      </c>
    </row>
    <row r="33" spans="3:19">
      <c r="C33">
        <f ca="1">CELL("color")</f>
        <v>0</v>
      </c>
      <c r="D33">
        <f>DCOUNTA(datebase!B3:J14,datebase!B3,datebase!B3:J14)</f>
        <v>11</v>
      </c>
      <c r="I33" t="b">
        <f>ISNUMBER(S28)</f>
        <v>1</v>
      </c>
      <c r="S33">
        <f>STDEV(5,8,8,9)</f>
        <v>1.73205080756888</v>
      </c>
    </row>
    <row r="34" spans="3:19">
      <c r="C34">
        <f>CEILING(55,2)</f>
        <v>56</v>
      </c>
      <c r="D34">
        <f>DGET(datebase!B3:J14,datebase!I3,C45:C46)</f>
        <v>0.5017</v>
      </c>
      <c r="I34" t="b">
        <f>ISREF(12)</f>
        <v>0</v>
      </c>
      <c r="S34">
        <f>_xlfn.STDEV.S(2,4,10,5,7)</f>
        <v>3.04959013639538</v>
      </c>
    </row>
    <row r="35" spans="3:19">
      <c r="C35">
        <f>COMBIN(5,3)</f>
        <v>10</v>
      </c>
      <c r="D35">
        <f>DMAX(datebase!B3:E14,datebase!D3,datebase!B3:B14)</f>
        <v>84651</v>
      </c>
      <c r="I35" t="b">
        <f>ISTEXT(C9)</f>
        <v>1</v>
      </c>
      <c r="S35">
        <f>STDEVA(2,4,6,7,9)</f>
        <v>2.70185121722126</v>
      </c>
    </row>
    <row r="36" spans="3:19">
      <c r="C36">
        <f>COS(0)</f>
        <v>1</v>
      </c>
      <c r="D36">
        <f>DMIN(datebase!B3:E14,datebase!E3,datebase!B3:B14)</f>
        <v>120</v>
      </c>
      <c r="I36">
        <f>INT(2.586)</f>
        <v>2</v>
      </c>
      <c r="S36">
        <f>STDEVP(2,3,5,7,11)</f>
        <v>3.2</v>
      </c>
    </row>
    <row r="37" spans="3:19">
      <c r="C37">
        <f>COSH(4)</f>
        <v>27.3082328360165</v>
      </c>
      <c r="D37">
        <f>DPRODUCT(datebase!B2:J14,3,C45:C46)</f>
        <v>0</v>
      </c>
      <c r="I37" t="b">
        <f>ISEVEN(25)</f>
        <v>0</v>
      </c>
      <c r="S37">
        <f>STDEVPA(12,21)</f>
        <v>4.5</v>
      </c>
    </row>
    <row r="38" spans="3:19">
      <c r="C38">
        <f>COUNTBLANK(A1:E10)</f>
        <v>0</v>
      </c>
      <c r="D38">
        <f>DSTDEV(datebase!B3:J14,datebase!D3,datebase!B3:B14)</f>
        <v>25525.8189340625</v>
      </c>
      <c r="I38" t="b">
        <f>ISODD(8)</f>
        <v>0</v>
      </c>
      <c r="S38">
        <f>STEYX(D1:D4,A1:A4)</f>
        <v>5.15520922335868</v>
      </c>
    </row>
    <row r="39" spans="3:19">
      <c r="C39">
        <f>COUNTIF(A1:A10,"&gt;2020")</f>
        <v>5</v>
      </c>
      <c r="D39">
        <f>DSTDEVP(datebase!B3:J14,datebase!E3,datebase!B3:B14)</f>
        <v>32922.3484922922</v>
      </c>
      <c r="I39" t="str">
        <f>_xlfn.IFS(SUM(datebase!F4:F14)=0,"贸易顺逆无误")</f>
        <v>贸易顺逆无误</v>
      </c>
      <c r="S39">
        <f>SUMPRODUCT(J2:J4,K2:K4)</f>
        <v>32</v>
      </c>
    </row>
    <row r="40" spans="3:19">
      <c r="C40">
        <f>COUNTIFS(A1:A3,"&gt;2000")</f>
        <v>2</v>
      </c>
      <c r="D40">
        <f>DSUM(datebase!B3:J14,datebase!H3,datebase!B3:B14)</f>
        <v>2468.85</v>
      </c>
      <c r="I40" s="1" t="b">
        <f>IFERROR(S44=0,"贸易正确")</f>
        <v>1</v>
      </c>
      <c r="S40">
        <f>SUMX2MY2(K2:L3,J2:K3)</f>
        <v>88</v>
      </c>
    </row>
    <row r="41" spans="3:19">
      <c r="C41">
        <f>CONVERT(20,"g","kg")</f>
        <v>0.02</v>
      </c>
      <c r="D41">
        <f>DVAR(datebase!B3:J14,datebase!C3,datebase!B3:B14)</f>
        <v>232509904.218182</v>
      </c>
      <c r="I41" t="str">
        <f>IFERROR(VLOOKUP(datebase!B3,datebase!B4:J14,1,FALSE),"???")</f>
        <v>???</v>
      </c>
      <c r="S41">
        <f>SUMX2PY2(J2:K3,K3:L4)</f>
        <v>165</v>
      </c>
    </row>
    <row r="42" spans="4:19">
      <c r="D42">
        <f>DVARP(datebase!B3:J14,datebase!G3,datebase!B3:B14)</f>
        <v>14621954029.7851</v>
      </c>
      <c r="I42" t="str">
        <f>_xlfn.IFNA(VLOOKUP(datebase!B3,datebase!B4:J14,1,FALSE),"???")</f>
        <v>???</v>
      </c>
      <c r="S42">
        <f>SUMXMY2(J2:J4,J2:L2)</f>
        <v>2</v>
      </c>
    </row>
    <row r="43" spans="9:19">
      <c r="I43" t="str">
        <f>IFERROR(datebase!B14/datebase!C14,"?")</f>
        <v>?</v>
      </c>
      <c r="S43">
        <f>_xlfn._xlws.SORT(D1:D10,{2,2},-1,TRUE)</f>
        <v>4</v>
      </c>
    </row>
    <row r="44" spans="9:19">
      <c r="I44" t="str">
        <f>_xlfn.IFNA(_xlfn.SWITCH(F24,1,"Mon",2,"Tue",3,"Wed",4,"Thu",5,"Fri",6,"Sat",7,"Sun"),"???")</f>
        <v>Mon</v>
      </c>
      <c r="S44" s="1">
        <f>SUM(datebase!F4:F14)</f>
        <v>0</v>
      </c>
    </row>
    <row r="45" spans="3:19">
      <c r="C45" s="18" t="s">
        <v>34</v>
      </c>
      <c r="I45">
        <f>INDEX(datebase!B3:J14,3,3)</f>
        <v>43247</v>
      </c>
      <c r="S45">
        <f ca="1">SUM(OFFSET(datebase!E8,2,2,2,2))</f>
        <v>257.97</v>
      </c>
    </row>
    <row r="46" spans="3:19">
      <c r="C46" s="18" t="s">
        <v>35</v>
      </c>
      <c r="I46" t="str">
        <f ca="1">INDIRECT("B6")</f>
        <v>20后</v>
      </c>
      <c r="S46" t="str">
        <f>_xlfn.SWITCH(Q31,1,"Mon",2,"Tue",3,"Wed",4,"Thu",5,"Fri",6,"Sat",7,"Sun")</f>
        <v>Thu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1"/>
  <sheetViews>
    <sheetView tabSelected="1" workbookViewId="0">
      <selection activeCell="B5" sqref="B5"/>
    </sheetView>
  </sheetViews>
  <sheetFormatPr defaultColWidth="8.88073394495413" defaultRowHeight="14.5"/>
  <cols>
    <col min="2" max="2" width="19.4220183486239" customWidth="1"/>
    <col min="3" max="3" width="9.77064220183486" customWidth="1"/>
    <col min="4" max="4" width="9.20183486238532" customWidth="1"/>
    <col min="5" max="5" width="12.3211009174312" customWidth="1"/>
    <col min="6" max="6" width="14.4220183486239" style="1" customWidth="1"/>
    <col min="7" max="7" width="12.5412844036697" customWidth="1"/>
    <col min="8" max="8" width="15.6605504587156" customWidth="1"/>
    <col min="9" max="9" width="8.87155963302752" customWidth="1"/>
    <col min="10" max="10" width="10.3119266055046" style="2" customWidth="1"/>
  </cols>
  <sheetData>
    <row r="2" spans="2:10">
      <c r="B2" s="3" t="s">
        <v>36</v>
      </c>
      <c r="C2" s="3"/>
      <c r="D2" s="3"/>
      <c r="E2" s="3"/>
      <c r="F2" s="3"/>
      <c r="G2" s="3"/>
      <c r="H2" s="3"/>
      <c r="I2" s="3"/>
      <c r="J2" s="3"/>
    </row>
    <row r="3" spans="2:10">
      <c r="B3" s="4" t="s">
        <v>34</v>
      </c>
      <c r="C3" s="4" t="s">
        <v>37</v>
      </c>
      <c r="D3" s="5" t="s">
        <v>38</v>
      </c>
      <c r="E3" s="6" t="s">
        <v>39</v>
      </c>
      <c r="F3" s="4" t="s">
        <v>40</v>
      </c>
      <c r="G3" s="4" t="s">
        <v>41</v>
      </c>
      <c r="H3" s="4" t="s">
        <v>42</v>
      </c>
      <c r="I3" s="11" t="s">
        <v>43</v>
      </c>
      <c r="J3" s="4" t="s">
        <v>44</v>
      </c>
    </row>
    <row r="4" spans="2:10">
      <c r="B4" s="4" t="s">
        <v>45</v>
      </c>
      <c r="C4" s="4">
        <v>44277</v>
      </c>
      <c r="D4" s="4">
        <v>84651</v>
      </c>
      <c r="E4" s="7">
        <v>124857</v>
      </c>
      <c r="F4" s="8">
        <v>38785</v>
      </c>
      <c r="G4" s="4">
        <v>347000</v>
      </c>
      <c r="H4" s="9">
        <v>728.24</v>
      </c>
      <c r="I4" s="11">
        <v>0.0005</v>
      </c>
      <c r="J4" s="4" t="b">
        <f>E4/H4&lt;100</f>
        <v>0</v>
      </c>
    </row>
    <row r="5" spans="2:10">
      <c r="B5" s="4" t="s">
        <v>46</v>
      </c>
      <c r="C5" s="4">
        <v>38513</v>
      </c>
      <c r="D5" s="4">
        <v>43247</v>
      </c>
      <c r="E5" s="6">
        <v>86230</v>
      </c>
      <c r="F5" s="4">
        <v>-32000</v>
      </c>
      <c r="G5" s="4">
        <v>165535</v>
      </c>
      <c r="H5" s="4">
        <v>388.81</v>
      </c>
      <c r="I5" s="11">
        <v>0.0004</v>
      </c>
      <c r="J5" s="4" t="b">
        <f t="shared" ref="J5:J14" si="0">E5/H5&lt;100</f>
        <v>0</v>
      </c>
    </row>
    <row r="6" spans="2:12">
      <c r="B6" s="4" t="s">
        <v>47</v>
      </c>
      <c r="C6" s="4">
        <v>25499</v>
      </c>
      <c r="D6" s="4">
        <v>19873</v>
      </c>
      <c r="E6" s="6">
        <v>108452</v>
      </c>
      <c r="F6" s="4">
        <v>-27888</v>
      </c>
      <c r="G6" s="4">
        <v>249886</v>
      </c>
      <c r="H6" s="4">
        <v>423.69</v>
      </c>
      <c r="I6" s="12">
        <v>0.00034</v>
      </c>
      <c r="J6" s="4" t="b">
        <f t="shared" si="0"/>
        <v>0</v>
      </c>
      <c r="L6" t="s">
        <v>48</v>
      </c>
    </row>
    <row r="7" spans="2:10">
      <c r="B7" s="5" t="s">
        <v>36</v>
      </c>
      <c r="C7" s="4">
        <v>24268</v>
      </c>
      <c r="D7" s="4">
        <v>3517</v>
      </c>
      <c r="E7" s="6">
        <v>47366</v>
      </c>
      <c r="F7" s="4">
        <v>4689</v>
      </c>
      <c r="G7" s="4">
        <v>60</v>
      </c>
      <c r="H7" s="4">
        <v>34.17</v>
      </c>
      <c r="I7" s="11">
        <v>0.0008</v>
      </c>
      <c r="J7" s="4" t="b">
        <f t="shared" si="0"/>
        <v>0</v>
      </c>
    </row>
    <row r="8" spans="2:10">
      <c r="B8" s="4" t="s">
        <v>49</v>
      </c>
      <c r="C8" s="4">
        <v>41117</v>
      </c>
      <c r="D8" s="4">
        <v>24763</v>
      </c>
      <c r="E8" s="6">
        <v>94520</v>
      </c>
      <c r="F8" s="4">
        <v>12300</v>
      </c>
      <c r="G8" s="4">
        <v>175331</v>
      </c>
      <c r="H8" s="4">
        <v>688.14</v>
      </c>
      <c r="I8" s="11">
        <v>0.0007</v>
      </c>
      <c r="J8" s="4" t="b">
        <f t="shared" si="0"/>
        <v>0</v>
      </c>
    </row>
    <row r="9" spans="2:10">
      <c r="B9" s="10" t="s">
        <v>50</v>
      </c>
      <c r="C9" s="4">
        <v>12308</v>
      </c>
      <c r="D9" s="4">
        <v>4387</v>
      </c>
      <c r="E9" s="6">
        <v>54239</v>
      </c>
      <c r="F9" s="4">
        <v>700</v>
      </c>
      <c r="G9" s="4">
        <v>129</v>
      </c>
      <c r="H9" s="4">
        <v>38.86</v>
      </c>
      <c r="I9" s="11">
        <v>0.0007</v>
      </c>
      <c r="J9" s="4" t="b">
        <f t="shared" si="0"/>
        <v>0</v>
      </c>
    </row>
    <row r="10" spans="2:10">
      <c r="B10" s="10" t="s">
        <v>51</v>
      </c>
      <c r="C10" s="4">
        <v>14203</v>
      </c>
      <c r="D10" s="4">
        <v>3572</v>
      </c>
      <c r="E10" s="6">
        <v>56074</v>
      </c>
      <c r="F10" s="4">
        <v>423</v>
      </c>
      <c r="G10" s="4">
        <v>85</v>
      </c>
      <c r="H10" s="4">
        <v>39.24</v>
      </c>
      <c r="I10" s="11">
        <v>0.0003</v>
      </c>
      <c r="J10" s="4" t="b">
        <f t="shared" si="0"/>
        <v>0</v>
      </c>
    </row>
    <row r="11" spans="2:10">
      <c r="B11" s="10" t="s">
        <v>52</v>
      </c>
      <c r="C11" s="4">
        <v>13570</v>
      </c>
      <c r="D11" s="4">
        <v>2788</v>
      </c>
      <c r="E11" s="6">
        <v>56718</v>
      </c>
      <c r="F11" s="4">
        <v>-358</v>
      </c>
      <c r="G11" s="4">
        <v>96</v>
      </c>
      <c r="H11" s="4">
        <v>37.73</v>
      </c>
      <c r="I11" s="11">
        <v>0.0004</v>
      </c>
      <c r="J11" s="4" t="b">
        <f t="shared" si="0"/>
        <v>0</v>
      </c>
    </row>
    <row r="12" spans="2:10">
      <c r="B12" s="10" t="s">
        <v>53</v>
      </c>
      <c r="C12" s="4">
        <v>7503</v>
      </c>
      <c r="D12" s="4">
        <v>6505</v>
      </c>
      <c r="E12" s="6">
        <v>55023</v>
      </c>
      <c r="F12" s="4">
        <v>452</v>
      </c>
      <c r="G12" s="4">
        <v>472</v>
      </c>
      <c r="H12" s="4">
        <v>36.45</v>
      </c>
      <c r="I12" s="11">
        <v>0.0009</v>
      </c>
      <c r="J12" s="4" t="b">
        <f t="shared" si="0"/>
        <v>0</v>
      </c>
    </row>
    <row r="13" spans="2:10">
      <c r="B13" s="10" t="s">
        <v>54</v>
      </c>
      <c r="C13" s="4">
        <v>3749</v>
      </c>
      <c r="D13" s="4">
        <v>4570</v>
      </c>
      <c r="E13" s="6">
        <v>48501</v>
      </c>
      <c r="F13" s="4">
        <v>7583</v>
      </c>
      <c r="G13" s="4">
        <v>386</v>
      </c>
      <c r="H13" s="4">
        <v>42.38</v>
      </c>
      <c r="I13" s="11">
        <v>0.0011</v>
      </c>
      <c r="J13" s="4" t="b">
        <f t="shared" si="0"/>
        <v>0</v>
      </c>
    </row>
    <row r="14" spans="2:10">
      <c r="B14" s="4" t="s">
        <v>35</v>
      </c>
      <c r="C14" s="4">
        <v>1348</v>
      </c>
      <c r="D14" s="4">
        <v>2507</v>
      </c>
      <c r="E14" s="6">
        <v>120</v>
      </c>
      <c r="F14" s="4">
        <v>-4686</v>
      </c>
      <c r="G14" s="4">
        <v>4</v>
      </c>
      <c r="H14" s="4">
        <v>11.14</v>
      </c>
      <c r="I14" s="11">
        <v>0.5017</v>
      </c>
      <c r="J14" s="4" t="b">
        <f t="shared" si="0"/>
        <v>1</v>
      </c>
    </row>
    <row r="15" spans="13:14">
      <c r="M15">
        <v>12</v>
      </c>
      <c r="N15">
        <v>11</v>
      </c>
    </row>
    <row r="16" spans="6:10">
      <c r="F16"/>
      <c r="J16"/>
    </row>
    <row r="17" spans="6:10">
      <c r="F17"/>
      <c r="J17"/>
    </row>
    <row r="18" spans="6:10">
      <c r="F18"/>
      <c r="J18"/>
    </row>
    <row r="19" spans="6:10">
      <c r="F19"/>
      <c r="J19"/>
    </row>
    <row r="20" spans="6:10">
      <c r="F20"/>
      <c r="J20"/>
    </row>
    <row r="21" spans="6:10">
      <c r="F21"/>
      <c r="J21"/>
    </row>
    <row r="22" spans="6:10">
      <c r="F22"/>
      <c r="J22"/>
    </row>
    <row r="23" spans="6:10">
      <c r="F23"/>
      <c r="J23"/>
    </row>
    <row r="24" spans="6:10">
      <c r="F24"/>
      <c r="J24"/>
    </row>
    <row r="25" spans="6:10">
      <c r="F25"/>
      <c r="J25"/>
    </row>
    <row r="26" spans="6:10">
      <c r="F26"/>
      <c r="J26"/>
    </row>
    <row r="27" spans="6:10">
      <c r="F27"/>
      <c r="J27"/>
    </row>
    <row r="28" spans="6:10">
      <c r="F28"/>
      <c r="J28"/>
    </row>
    <row r="29" spans="6:10">
      <c r="F29"/>
      <c r="J29"/>
    </row>
    <row r="30" spans="6:10">
      <c r="F30"/>
      <c r="J30"/>
    </row>
    <row r="31" spans="6:10">
      <c r="F31"/>
      <c r="J31"/>
    </row>
  </sheetData>
  <mergeCells count="1">
    <mergeCell ref="B2:J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7"/>
  <sheetViews>
    <sheetView workbookViewId="0">
      <selection activeCell="A3" sqref="A3"/>
    </sheetView>
  </sheetViews>
  <sheetFormatPr defaultColWidth="8.88073394495413" defaultRowHeight="14.5"/>
  <cols>
    <col min="1" max="1" width="12.1009174311927"/>
    <col min="2" max="2" width="18.3302752293578"/>
    <col min="3" max="9" width="17.2201834862385"/>
  </cols>
  <sheetData>
    <row r="3" spans="1:9">
      <c r="A3" t="s">
        <v>44</v>
      </c>
      <c r="B3" t="s">
        <v>34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</row>
    <row r="4" spans="1:9">
      <c r="A4" t="b">
        <v>0</v>
      </c>
      <c r="C4">
        <v>225007</v>
      </c>
      <c r="D4">
        <v>4686</v>
      </c>
      <c r="E4">
        <v>197873</v>
      </c>
      <c r="F4">
        <v>731980</v>
      </c>
      <c r="G4">
        <v>2457.71</v>
      </c>
      <c r="H4">
        <v>938980</v>
      </c>
      <c r="I4">
        <v>0.00614</v>
      </c>
    </row>
    <row r="5" spans="2:9">
      <c r="B5" t="s">
        <v>45</v>
      </c>
      <c r="C5">
        <v>44277</v>
      </c>
      <c r="D5">
        <v>38785</v>
      </c>
      <c r="E5">
        <v>84651</v>
      </c>
      <c r="F5">
        <v>124857</v>
      </c>
      <c r="G5">
        <v>728.24</v>
      </c>
      <c r="H5">
        <v>347000</v>
      </c>
      <c r="I5">
        <v>0.0005</v>
      </c>
    </row>
    <row r="6" spans="2:9">
      <c r="B6" t="s">
        <v>54</v>
      </c>
      <c r="C6">
        <v>3749</v>
      </c>
      <c r="D6">
        <v>7583</v>
      </c>
      <c r="E6">
        <v>4570</v>
      </c>
      <c r="F6">
        <v>48501</v>
      </c>
      <c r="G6">
        <v>42.38</v>
      </c>
      <c r="H6">
        <v>386</v>
      </c>
      <c r="I6">
        <v>0.0011</v>
      </c>
    </row>
    <row r="7" spans="2:9">
      <c r="B7" t="s">
        <v>46</v>
      </c>
      <c r="C7">
        <v>38513</v>
      </c>
      <c r="D7">
        <v>-32000</v>
      </c>
      <c r="E7">
        <v>43247</v>
      </c>
      <c r="F7">
        <v>86230</v>
      </c>
      <c r="G7">
        <v>388.81</v>
      </c>
      <c r="H7">
        <v>165535</v>
      </c>
      <c r="I7">
        <v>0.0004</v>
      </c>
    </row>
    <row r="8" spans="2:9">
      <c r="B8" t="s">
        <v>49</v>
      </c>
      <c r="C8">
        <v>41117</v>
      </c>
      <c r="D8">
        <v>12300</v>
      </c>
      <c r="E8">
        <v>24763</v>
      </c>
      <c r="F8">
        <v>94520</v>
      </c>
      <c r="G8">
        <v>688.14</v>
      </c>
      <c r="H8">
        <v>175331</v>
      </c>
      <c r="I8">
        <v>0.0007</v>
      </c>
    </row>
    <row r="9" spans="2:9">
      <c r="B9" t="s">
        <v>50</v>
      </c>
      <c r="C9">
        <v>12308</v>
      </c>
      <c r="D9">
        <v>700</v>
      </c>
      <c r="E9">
        <v>4387</v>
      </c>
      <c r="F9">
        <v>54239</v>
      </c>
      <c r="G9">
        <v>38.86</v>
      </c>
      <c r="H9">
        <v>129</v>
      </c>
      <c r="I9">
        <v>0.0007</v>
      </c>
    </row>
    <row r="10" spans="2:9">
      <c r="B10" t="s">
        <v>51</v>
      </c>
      <c r="C10">
        <v>14203</v>
      </c>
      <c r="D10">
        <v>423</v>
      </c>
      <c r="E10">
        <v>3572</v>
      </c>
      <c r="F10">
        <v>56074</v>
      </c>
      <c r="G10">
        <v>39.24</v>
      </c>
      <c r="H10">
        <v>85</v>
      </c>
      <c r="I10">
        <v>0.0003</v>
      </c>
    </row>
    <row r="11" spans="2:9">
      <c r="B11" t="s">
        <v>36</v>
      </c>
      <c r="C11">
        <v>24268</v>
      </c>
      <c r="D11">
        <v>4689</v>
      </c>
      <c r="E11">
        <v>3517</v>
      </c>
      <c r="F11">
        <v>47366</v>
      </c>
      <c r="G11">
        <v>34.17</v>
      </c>
      <c r="H11">
        <v>60</v>
      </c>
      <c r="I11">
        <v>0.0008</v>
      </c>
    </row>
    <row r="12" spans="2:9">
      <c r="B12" t="s">
        <v>53</v>
      </c>
      <c r="C12">
        <v>7503</v>
      </c>
      <c r="D12">
        <v>452</v>
      </c>
      <c r="E12">
        <v>6505</v>
      </c>
      <c r="F12">
        <v>55023</v>
      </c>
      <c r="G12">
        <v>36.45</v>
      </c>
      <c r="H12">
        <v>472</v>
      </c>
      <c r="I12">
        <v>0.0009</v>
      </c>
    </row>
    <row r="13" spans="2:9">
      <c r="B13" t="s">
        <v>52</v>
      </c>
      <c r="C13">
        <v>13570</v>
      </c>
      <c r="D13">
        <v>-358</v>
      </c>
      <c r="E13">
        <v>2788</v>
      </c>
      <c r="F13">
        <v>56718</v>
      </c>
      <c r="G13">
        <v>37.73</v>
      </c>
      <c r="H13">
        <v>96</v>
      </c>
      <c r="I13">
        <v>0.0004</v>
      </c>
    </row>
    <row r="14" spans="2:9">
      <c r="B14" t="s">
        <v>47</v>
      </c>
      <c r="C14">
        <v>25499</v>
      </c>
      <c r="D14">
        <v>-27888</v>
      </c>
      <c r="E14">
        <v>19873</v>
      </c>
      <c r="F14">
        <v>108452</v>
      </c>
      <c r="G14">
        <v>423.69</v>
      </c>
      <c r="H14">
        <v>249886</v>
      </c>
      <c r="I14">
        <v>0.00034</v>
      </c>
    </row>
    <row r="15" spans="1:9">
      <c r="A15" t="b">
        <v>1</v>
      </c>
      <c r="C15">
        <v>1348</v>
      </c>
      <c r="D15">
        <v>-4686</v>
      </c>
      <c r="E15">
        <v>2507</v>
      </c>
      <c r="F15">
        <v>120</v>
      </c>
      <c r="G15">
        <v>11.14</v>
      </c>
      <c r="H15">
        <v>4</v>
      </c>
      <c r="I15">
        <v>0.5017</v>
      </c>
    </row>
    <row r="16" spans="2:9">
      <c r="B16" t="s">
        <v>35</v>
      </c>
      <c r="C16">
        <v>1348</v>
      </c>
      <c r="D16">
        <v>-4686</v>
      </c>
      <c r="E16">
        <v>2507</v>
      </c>
      <c r="F16">
        <v>120</v>
      </c>
      <c r="G16">
        <v>11.14</v>
      </c>
      <c r="H16">
        <v>4</v>
      </c>
      <c r="I16">
        <v>0.5017</v>
      </c>
    </row>
    <row r="17" spans="1:9">
      <c r="A17" t="s">
        <v>62</v>
      </c>
      <c r="C17">
        <v>226355</v>
      </c>
      <c r="D17">
        <v>0</v>
      </c>
      <c r="E17">
        <v>200380</v>
      </c>
      <c r="F17">
        <v>732100</v>
      </c>
      <c r="G17">
        <v>2468.85</v>
      </c>
      <c r="H17">
        <v>938984</v>
      </c>
      <c r="I17">
        <v>0.50784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datebase</vt:lpstr>
      <vt:lpstr>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jeremyhe</dc:creator>
  <cp:lastModifiedBy>Lenovo</cp:lastModifiedBy>
  <dcterms:created xsi:type="dcterms:W3CDTF">2022-07-18T11:45:00Z</dcterms:created>
  <dcterms:modified xsi:type="dcterms:W3CDTF">2022-08-21T11:51:43Z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62E5D2B9E6CE421887B3239F4965B77F</vt:lpwstr>
  </property>
  <property fmtid="{D5CDD505-2E9C-101B-9397-08002B2CF9AE}" pid="3" name="KSOProductBuildVer">
    <vt:lpwstr>2052-11.1.0.12302</vt:lpwstr>
  </property>
</Properties>
</file>