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filterPrivacy="1" defaultThemeVersion="124226"/>
  <xr:revisionPtr revIDLastSave="0" documentId="8_{CD844098-8ECC-4C11-8DAE-E6EF529963F4}" xr6:coauthVersionLast="45" xr6:coauthVersionMax="45" xr10:uidLastSave="{00000000-0000-0000-0000-000000000000}"/>
  <bookViews>
    <workbookView xWindow="-98" yWindow="503" windowWidth="22695" windowHeight="14595" activeTab="2" xr2:uid="{00000000-000D-0000-FFFF-FFFF00000000}"/>
  </bookViews>
  <sheets>
    <sheet name="Summary" sheetId="1" r:id="rId1"/>
    <sheet name="PnL" sheetId="3" r:id="rId2"/>
    <sheet name="OperatingMetrics" sheetId="14" r:id="rId3"/>
    <sheet name="BS" sheetId="4" r:id="rId4"/>
    <sheet name="CF" sheetId="2" r:id="rId5"/>
    <sheet name="NOTES" sheetId="6" r:id="rId6"/>
    <sheet name="CHECK LIST" sheetId="5" r:id="rId7"/>
    <sheet name="BAND CHART" sheetId="10" r:id="rId8"/>
    <sheet name="GMV+Users" sheetId="13"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s>
  <definedNames>
    <definedName name="\b">'[1]teo model'!#REF!</definedName>
    <definedName name="\c">'[1]teo model'!#REF!</definedName>
    <definedName name="\d">'[1]teo model'!#REF!</definedName>
    <definedName name="\h">'[1]teo model'!#REF!</definedName>
    <definedName name="\l">'[1]teo model'!#REF!</definedName>
    <definedName name="\m">'[1]teo model'!#REF!</definedName>
    <definedName name="\s">#REF!</definedName>
    <definedName name="\u">'[1]teo model'!#REF!</definedName>
    <definedName name="\z">'[1]teo model'!#REF!</definedName>
    <definedName name="___ass2">#REF!</definedName>
    <definedName name="__ass2">#REF!</definedName>
    <definedName name="__FDS_HYPERLINK_TOGGLE_STATE__" hidden="1">"ON"</definedName>
    <definedName name="__FDS_UNIQUE_RANGE_ID_GENERATOR_COUNTER" hidden="1">1</definedName>
    <definedName name="_1__FDSAUDITLINK__" localSheetId="8"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__FDSAUDITLINK__" localSheetId="2"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__FDSAUDITLINK__"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__FDSAUDITLINK__" localSheetId="8" hidden="1">{"fdsup://directions/FAT%20Viewer?VAR:PED=LTM&amp;VAR:PERIOD=FIXED&amp;VAR:V=10.394928&amp;VAR:PCT=Y&amp;VAR:AUDIT_ID=00000117&amp;VAR:DATE=20090731&amp;action=UPDATE&amp;creator=factset&amp;DOC_NAME=FAT:FMA_audit_SUMMARY.fat&amp;DISPLAY_STRING=Display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__FDSAUDITLINK__" localSheetId="2" hidden="1">{"fdsup://directions/FAT%20Viewer?VAR:PED=LTM&amp;VAR:PERIOD=FIXED&amp;VAR:V=10.394928&amp;VAR:PCT=Y&amp;VAR:AUDIT_ID=00000117&amp;VAR:DATE=20090731&amp;action=UPDATE&amp;creator=factset&amp;DOC_NAME=FAT:FMA_audit_SUMMARY.fat&amp;DISPLAY_STRING=Display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__FDSAUDITLINK__" hidden="1">{"fdsup://directions/FAT%20Viewer?VAR:PED=LTM&amp;VAR:PERIOD=FIXED&amp;VAR:V=10.394928&amp;VAR:PCT=Y&amp;VAR:AUDIT_ID=00000117&amp;VAR:DATE=20090731&amp;action=UPDATE&amp;creator=factset&amp;DOC_NAME=FAT:FMA_audit_SUMMARY.fat&amp;DISPLAY_STRING=Display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0__FDSAUDITLINK__" localSheetId="8" hidden="1">{"fdsup://directions/FAT%20Viewer?VAR:PED=LTM&amp;VAR:PERIOD=FIXED&amp;VAR:V=9.698249&amp;VAR:PCT=Y&amp;VAR:AUDIT_ID=00000117&amp;VAR:DATE=20020131&amp;action=UPDATE&amp;creator=factset&amp;DOC_NAME=FAT:FMA_audit_SUMMARY.fat&amp;DISPLAY_STRING=Display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0__FDSAUDITLINK__" localSheetId="2" hidden="1">{"fdsup://directions/FAT%20Viewer?VAR:PED=LTM&amp;VAR:PERIOD=FIXED&amp;VAR:V=9.698249&amp;VAR:PCT=Y&amp;VAR:AUDIT_ID=00000117&amp;VAR:DATE=20020131&amp;action=UPDATE&amp;creator=factset&amp;DOC_NAME=FAT:FMA_audit_SUMMARY.fat&amp;DISPLAY_STRING=Display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0__FDSAUDITLINK__" hidden="1">{"fdsup://directions/FAT%20Viewer?VAR:PED=LTM&amp;VAR:PERIOD=FIXED&amp;VAR:V=9.698249&amp;VAR:PCT=Y&amp;VAR:AUDIT_ID=00000117&amp;VAR:DATE=20020131&amp;action=UPDATE&amp;creator=factset&amp;DOC_NAME=FAT:FMA_audit_SUMMARY.fat&amp;DISPLAY_STRING=Display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1__FDSAUDITLINK__" localSheetId="8" hidden="1">{"fdsup://directions/FAT%20Viewer?VAR:PED=LTM&amp;VAR:PERIOD=FIXED&amp;VAR:V=9.783866&amp;VAR:PCT=Y&amp;VAR:AUDIT_ID=00000117&amp;VAR:DATE=20011231&amp;action=UPDATE&amp;creator=factset&amp;DOC_NAME=FAT:FMA_audit_SUMMARY.fat&amp;DISPLAY_STRING=Display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1__FDSAUDITLINK__" localSheetId="2" hidden="1">{"fdsup://directions/FAT%20Viewer?VAR:PED=LTM&amp;VAR:PERIOD=FIXED&amp;VAR:V=9.783866&amp;VAR:PCT=Y&amp;VAR:AUDIT_ID=00000117&amp;VAR:DATE=20011231&amp;action=UPDATE&amp;creator=factset&amp;DOC_NAME=FAT:FMA_audit_SUMMARY.fat&amp;DISPLAY_STRING=Display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1__FDSAUDITLINK__" hidden="1">{"fdsup://directions/FAT%20Viewer?VAR:PED=LTM&amp;VAR:PERIOD=FIXED&amp;VAR:V=9.783866&amp;VAR:PCT=Y&amp;VAR:AUDIT_ID=00000117&amp;VAR:DATE=20011231&amp;action=UPDATE&amp;creator=factset&amp;DOC_NAME=FAT:FMA_audit_SUMMARY.fat&amp;DISPLAY_STRING=Display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2__FDSAUDITLINK__" localSheetId="8" hidden="1">{"fdsup://directions/FAT%20Viewer?VAR:PED=LTM&amp;VAR:PERIOD=FIXED&amp;VAR:V=10.038153&amp;VAR:PCT=Y&amp;VAR:AUDIT_ID=00000117&amp;VAR:DATE=20011130&amp;action=UPDATE&amp;creator=factset&amp;DOC_NAME=FAT:FMA_audit_SUMMARY.fat&amp;DISPLAY_STRING=Display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2__FDSAUDITLINK__" localSheetId="2" hidden="1">{"fdsup://directions/FAT%20Viewer?VAR:PED=LTM&amp;VAR:PERIOD=FIXED&amp;VAR:V=10.038153&amp;VAR:PCT=Y&amp;VAR:AUDIT_ID=00000117&amp;VAR:DATE=20011130&amp;action=UPDATE&amp;creator=factset&amp;DOC_NAME=FAT:FMA_audit_SUMMARY.fat&amp;DISPLAY_STRING=Display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2__FDSAUDITLINK__" hidden="1">{"fdsup://directions/FAT%20Viewer?VAR:PED=LTM&amp;VAR:PERIOD=FIXED&amp;VAR:V=10.038153&amp;VAR:PCT=Y&amp;VAR:AUDIT_ID=00000117&amp;VAR:DATE=20011130&amp;action=UPDATE&amp;creator=factset&amp;DOC_NAME=FAT:FMA_audit_SUMMARY.fat&amp;DISPLAY_STRING=Display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3__FDSAUDITLINK__" localSheetId="8" hidden="1">{"fdsup://directions/FAT%20Viewer?VAR:PED=LTM&amp;VAR:PERIOD=FIXED&amp;VAR:V=12.472499&amp;VAR:PCT=Y&amp;VAR:AUDIT_ID=00000117&amp;VAR:DATE=20011031&amp;action=UPDATE&amp;creator=factset&amp;DOC_NAME=FAT:FMA_audit_SUMMARY.fat&amp;DISPLAY_STRING=Display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3__FDSAUDITLINK__" localSheetId="2" hidden="1">{"fdsup://directions/FAT%20Viewer?VAR:PED=LTM&amp;VAR:PERIOD=FIXED&amp;VAR:V=12.472499&amp;VAR:PCT=Y&amp;VAR:AUDIT_ID=00000117&amp;VAR:DATE=20011031&amp;action=UPDATE&amp;creator=factset&amp;DOC_NAME=FAT:FMA_audit_SUMMARY.fat&amp;DISPLAY_STRING=Display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3__FDSAUDITLINK__" hidden="1">{"fdsup://directions/FAT%20Viewer?VAR:PED=LTM&amp;VAR:PERIOD=FIXED&amp;VAR:V=12.472499&amp;VAR:PCT=Y&amp;VAR:AUDIT_ID=00000117&amp;VAR:DATE=20011031&amp;action=UPDATE&amp;creator=factset&amp;DOC_NAME=FAT:FMA_audit_SUMMARY.fat&amp;DISPLAY_STRING=Display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4__FDSAUDITLINK__" localSheetId="8" hidden="1">{"fdsup://directions/FAT%20Viewer?VAR:PED=LTM&amp;VAR:PERIOD=FIXED&amp;VAR:V=12.431097&amp;VAR:PCT=Y&amp;VAR:AUDIT_ID=00000117&amp;VAR:DATE=20010928&amp;action=UPDATE&amp;creator=factset&amp;DOC_NAME=FAT:FMA_audit_SUMMARY.fat&amp;DISPLAY_STRING=Display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4__FDSAUDITLINK__" localSheetId="2" hidden="1">{"fdsup://directions/FAT%20Viewer?VAR:PED=LTM&amp;VAR:PERIOD=FIXED&amp;VAR:V=12.431097&amp;VAR:PCT=Y&amp;VAR:AUDIT_ID=00000117&amp;VAR:DATE=20010928&amp;action=UPDATE&amp;creator=factset&amp;DOC_NAME=FAT:FMA_audit_SUMMARY.fat&amp;DISPLAY_STRING=Display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4__FDSAUDITLINK__" hidden="1">{"fdsup://directions/FAT%20Viewer?VAR:PED=LTM&amp;VAR:PERIOD=FIXED&amp;VAR:V=12.431097&amp;VAR:PCT=Y&amp;VAR:AUDIT_ID=00000117&amp;VAR:DATE=20010928&amp;action=UPDATE&amp;creator=factset&amp;DOC_NAME=FAT:FMA_audit_SUMMARY.fat&amp;DISPLAY_STRING=Display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5__FDSAUDITLINK__" localSheetId="8" hidden="1">{"fdsup://directions/FAT%20Viewer?VAR:PED=LTM&amp;VAR:PERIOD=FIXED&amp;VAR:V=12.490390&amp;VAR:PCT=Y&amp;VAR:AUDIT_ID=00000117&amp;VAR:DATE=20010831&amp;action=UPDATE&amp;creator=factset&amp;DOC_NAME=FAT:FMA_audit_SUMMARY.fat&amp;DISPLAY_STRING=Display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5__FDSAUDITLINK__" localSheetId="2" hidden="1">{"fdsup://directions/FAT%20Viewer?VAR:PED=LTM&amp;VAR:PERIOD=FIXED&amp;VAR:V=12.490390&amp;VAR:PCT=Y&amp;VAR:AUDIT_ID=00000117&amp;VAR:DATE=20010831&amp;action=UPDATE&amp;creator=factset&amp;DOC_NAME=FAT:FMA_audit_SUMMARY.fat&amp;DISPLAY_STRING=Display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5__FDSAUDITLINK__" hidden="1">{"fdsup://directions/FAT%20Viewer?VAR:PED=LTM&amp;VAR:PERIOD=FIXED&amp;VAR:V=12.490390&amp;VAR:PCT=Y&amp;VAR:AUDIT_ID=00000117&amp;VAR:DATE=20010831&amp;action=UPDATE&amp;creator=factset&amp;DOC_NAME=FAT:FMA_audit_SUMMARY.fat&amp;DISPLAY_STRING=Display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6__FDSAUDITLINK__" localSheetId="8" hidden="1">{"fdsup://directions/FAT%20Viewer?VAR:PED=LTM&amp;VAR:PERIOD=FIXED&amp;VAR:V=14.515507&amp;VAR:PCT=Y&amp;VAR:AUDIT_ID=00000117&amp;VAR:DATE=20010731&amp;action=UPDATE&amp;creator=factset&amp;DOC_NAME=FAT:FMA_audit_SUMMARY.fat&amp;DISPLAY_STRING=Display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6__FDSAUDITLINK__" localSheetId="2" hidden="1">{"fdsup://directions/FAT%20Viewer?VAR:PED=LTM&amp;VAR:PERIOD=FIXED&amp;VAR:V=14.515507&amp;VAR:PCT=Y&amp;VAR:AUDIT_ID=00000117&amp;VAR:DATE=20010731&amp;action=UPDATE&amp;creator=factset&amp;DOC_NAME=FAT:FMA_audit_SUMMARY.fat&amp;DISPLAY_STRING=Display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6__FDSAUDITLINK__" hidden="1">{"fdsup://directions/FAT%20Viewer?VAR:PED=LTM&amp;VAR:PERIOD=FIXED&amp;VAR:V=14.515507&amp;VAR:PCT=Y&amp;VAR:AUDIT_ID=00000117&amp;VAR:DATE=20010731&amp;action=UPDATE&amp;creator=factset&amp;DOC_NAME=FAT:FMA_audit_SUMMARY.fat&amp;DISPLAY_STRING=Display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7__FDSAUDITLINK__" localSheetId="8" hidden="1">{"fdsup://directions/FAT%20Viewer?VAR:PED=LTM&amp;VAR:PERIOD=FIXED&amp;VAR:V=14.817412&amp;VAR:PCT=Y&amp;VAR:AUDIT_ID=00000117&amp;VAR:DATE=20010629&amp;action=UPDATE&amp;creator=factset&amp;DOC_NAME=FAT:FMA_audit_SUMMARY.fat&amp;DISPLAY_STRING=Display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7__FDSAUDITLINK__" localSheetId="2" hidden="1">{"fdsup://directions/FAT%20Viewer?VAR:PED=LTM&amp;VAR:PERIOD=FIXED&amp;VAR:V=14.817412&amp;VAR:PCT=Y&amp;VAR:AUDIT_ID=00000117&amp;VAR:DATE=20010629&amp;action=UPDATE&amp;creator=factset&amp;DOC_NAME=FAT:FMA_audit_SUMMARY.fat&amp;DISPLAY_STRING=Display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7__FDSAUDITLINK__" hidden="1">{"fdsup://directions/FAT%20Viewer?VAR:PED=LTM&amp;VAR:PERIOD=FIXED&amp;VAR:V=14.817412&amp;VAR:PCT=Y&amp;VAR:AUDIT_ID=00000117&amp;VAR:DATE=20010629&amp;action=UPDATE&amp;creator=factset&amp;DOC_NAME=FAT:FMA_audit_SUMMARY.fat&amp;DISPLAY_STRING=Display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8__FDSAUDITLINK__" localSheetId="8" hidden="1">{"fdsup://directions/FAT%20Viewer?VAR:PED=LTM&amp;VAR:PERIOD=FIXED&amp;VAR:V=15.038557&amp;VAR:PCT=Y&amp;VAR:AUDIT_ID=00000117&amp;VAR:DATE=20010531&amp;action=UPDATE&amp;creator=factset&amp;DOC_NAME=FAT:FMA_audit_SUMMARY.fat&amp;DISPLAY_STRING=Display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8__FDSAUDITLINK__" localSheetId="2" hidden="1">{"fdsup://directions/FAT%20Viewer?VAR:PED=LTM&amp;VAR:PERIOD=FIXED&amp;VAR:V=15.038557&amp;VAR:PCT=Y&amp;VAR:AUDIT_ID=00000117&amp;VAR:DATE=20010531&amp;action=UPDATE&amp;creator=factset&amp;DOC_NAME=FAT:FMA_audit_SUMMARY.fat&amp;DISPLAY_STRING=Display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8__FDSAUDITLINK__" hidden="1">{"fdsup://directions/FAT%20Viewer?VAR:PED=LTM&amp;VAR:PERIOD=FIXED&amp;VAR:V=15.038557&amp;VAR:PCT=Y&amp;VAR:AUDIT_ID=00000117&amp;VAR:DATE=20010531&amp;action=UPDATE&amp;creator=factset&amp;DOC_NAME=FAT:FMA_audit_SUMMARY.fat&amp;DISPLAY_STRING=Display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9__FDSAUDITLINK__" localSheetId="8" hidden="1">{"fdsup://directions/FAT%20Viewer?VAR:PED=LTM&amp;VAR:PERIOD=FIXED&amp;VAR:V=17.078829&amp;VAR:PCT=Y&amp;VAR:AUDIT_ID=00000117&amp;VAR:DATE=20010430&amp;action=UPDATE&amp;creator=factset&amp;DOC_NAME=FAT:FMA_audit_SUMMARY.fat&amp;DISPLAY_STRING=Display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9__FDSAUDITLINK__" localSheetId="2" hidden="1">{"fdsup://directions/FAT%20Viewer?VAR:PED=LTM&amp;VAR:PERIOD=FIXED&amp;VAR:V=17.078829&amp;VAR:PCT=Y&amp;VAR:AUDIT_ID=00000117&amp;VAR:DATE=20010430&amp;action=UPDATE&amp;creator=factset&amp;DOC_NAME=FAT:FMA_audit_SUMMARY.fat&amp;DISPLAY_STRING=Display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09__FDSAUDITLINK__" hidden="1">{"fdsup://directions/FAT%20Viewer?VAR:PED=LTM&amp;VAR:PERIOD=FIXED&amp;VAR:V=17.078829&amp;VAR:PCT=Y&amp;VAR:AUDIT_ID=00000117&amp;VAR:DATE=20010430&amp;action=UPDATE&amp;creator=factset&amp;DOC_NAME=FAT:FMA_audit_SUMMARY.fat&amp;DISPLAY_STRING=Display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__FDSAUDITLINK__" localSheetId="8" hidden="1">{"fdsup://directions/FAT%20Viewer?VAR:PED=LTM&amp;VAR:PERIOD=FIXED&amp;VAR:V=10.467942&amp;VAR:PCT=Y&amp;VAR:AUDIT_ID=00000117&amp;VAR:DATE=20090630&amp;action=UPDATE&amp;creator=factset&amp;DOC_NAME=FAT:FMA_audit_SUMMARY.fat&amp;DISPLAY_STRING=Display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__FDSAUDITLINK__" localSheetId="2" hidden="1">{"fdsup://directions/FAT%20Viewer?VAR:PED=LTM&amp;VAR:PERIOD=FIXED&amp;VAR:V=10.467942&amp;VAR:PCT=Y&amp;VAR:AUDIT_ID=00000117&amp;VAR:DATE=20090630&amp;action=UPDATE&amp;creator=factset&amp;DOC_NAME=FAT:FMA_audit_SUMMARY.fat&amp;DISPLAY_STRING=Display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__FDSAUDITLINK__" hidden="1">{"fdsup://directions/FAT%20Viewer?VAR:PED=LTM&amp;VAR:PERIOD=FIXED&amp;VAR:V=10.467942&amp;VAR:PCT=Y&amp;VAR:AUDIT_ID=00000117&amp;VAR:DATE=20090630&amp;action=UPDATE&amp;creator=factset&amp;DOC_NAME=FAT:FMA_audit_SUMMARY.fat&amp;DISPLAY_STRING=Display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0__FDSAUDITLINK__" localSheetId="8" hidden="1">{"fdsup://directions/FAT%20Viewer?VAR:PED=LTM&amp;VAR:PERIOD=FIXED&amp;VAR:V=17.140788&amp;VAR:PCT=Y&amp;VAR:AUDIT_ID=00000117&amp;VAR:DATE=20010330&amp;action=UPDATE&amp;creator=factset&amp;DOC_NAME=FAT:FMA_audit_SUMMARY.fat&amp;DISPLAY_STRING=Display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0__FDSAUDITLINK__" localSheetId="2" hidden="1">{"fdsup://directions/FAT%20Viewer?VAR:PED=LTM&amp;VAR:PERIOD=FIXED&amp;VAR:V=17.140788&amp;VAR:PCT=Y&amp;VAR:AUDIT_ID=00000117&amp;VAR:DATE=20010330&amp;action=UPDATE&amp;creator=factset&amp;DOC_NAME=FAT:FMA_audit_SUMMARY.fat&amp;DISPLAY_STRING=Display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0__FDSAUDITLINK__" hidden="1">{"fdsup://directions/FAT%20Viewer?VAR:PED=LTM&amp;VAR:PERIOD=FIXED&amp;VAR:V=17.140788&amp;VAR:PCT=Y&amp;VAR:AUDIT_ID=00000117&amp;VAR:DATE=20010330&amp;action=UPDATE&amp;creator=factset&amp;DOC_NAME=FAT:FMA_audit_SUMMARY.fat&amp;DISPLAY_STRING=Display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1__FDSAUDITLINK__" localSheetId="8" hidden="1">{"fdsup://directions/FAT%20Viewer?VAR:PED=LTM&amp;VAR:PERIOD=FIXED&amp;VAR:V=17.223252&amp;VAR:PCT=Y&amp;VAR:AUDIT_ID=00000117&amp;VAR:DATE=20010228&amp;action=UPDATE&amp;creator=factset&amp;DOC_NAME=FAT:FMA_audit_SUMMARY.fat&amp;DISPLAY_STRING=Display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1__FDSAUDITLINK__" localSheetId="2" hidden="1">{"fdsup://directions/FAT%20Viewer?VAR:PED=LTM&amp;VAR:PERIOD=FIXED&amp;VAR:V=17.223252&amp;VAR:PCT=Y&amp;VAR:AUDIT_ID=00000117&amp;VAR:DATE=20010228&amp;action=UPDATE&amp;creator=factset&amp;DOC_NAME=FAT:FMA_audit_SUMMARY.fat&amp;DISPLAY_STRING=Display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1__FDSAUDITLINK__" hidden="1">{"fdsup://directions/FAT%20Viewer?VAR:PED=LTM&amp;VAR:PERIOD=FIXED&amp;VAR:V=17.223252&amp;VAR:PCT=Y&amp;VAR:AUDIT_ID=00000117&amp;VAR:DATE=20010228&amp;action=UPDATE&amp;creator=factset&amp;DOC_NAME=FAT:FMA_audit_SUMMARY.fat&amp;DISPLAY_STRING=Display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2__FDSAUDITLINK__" localSheetId="8" hidden="1">{"fdsup://directions/FAT%20Viewer?VAR:PED=LTM&amp;VAR:PERIOD=FIXED&amp;VAR:V=17.819081&amp;VAR:PCT=Y&amp;VAR:AUDIT_ID=00000117&amp;VAR:DATE=20010131&amp;action=UPDATE&amp;creator=factset&amp;DOC_NAME=FAT:FMA_audit_SUMMARY.fat&amp;DISPLAY_STRING=Display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2__FDSAUDITLINK__" localSheetId="2" hidden="1">{"fdsup://directions/FAT%20Viewer?VAR:PED=LTM&amp;VAR:PERIOD=FIXED&amp;VAR:V=17.819081&amp;VAR:PCT=Y&amp;VAR:AUDIT_ID=00000117&amp;VAR:DATE=20010131&amp;action=UPDATE&amp;creator=factset&amp;DOC_NAME=FAT:FMA_audit_SUMMARY.fat&amp;DISPLAY_STRING=Display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2__FDSAUDITLINK__" hidden="1">{"fdsup://directions/FAT%20Viewer?VAR:PED=LTM&amp;VAR:PERIOD=FIXED&amp;VAR:V=17.819081&amp;VAR:PCT=Y&amp;VAR:AUDIT_ID=00000117&amp;VAR:DATE=20010131&amp;action=UPDATE&amp;creator=factset&amp;DOC_NAME=FAT:FMA_audit_SUMMARY.fat&amp;DISPLAY_STRING=Display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3__FDSAUDITLINK__" localSheetId="8" hidden="1">{"fdsup://directions/FAT%20Viewer?VAR:PED=LTM&amp;VAR:PERIOD=FIXED&amp;VAR:V=17.846502&amp;VAR:PCT=Y&amp;VAR:AUDIT_ID=00000117&amp;VAR:DATE=20001229&amp;action=UPDATE&amp;creator=factset&amp;DOC_NAME=FAT:FMA_audit_SUMMARY.fat&amp;DISPLAY_STRING=Display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3__FDSAUDITLINK__" localSheetId="2" hidden="1">{"fdsup://directions/FAT%20Viewer?VAR:PED=LTM&amp;VAR:PERIOD=FIXED&amp;VAR:V=17.846502&amp;VAR:PCT=Y&amp;VAR:AUDIT_ID=00000117&amp;VAR:DATE=20001229&amp;action=UPDATE&amp;creator=factset&amp;DOC_NAME=FAT:FMA_audit_SUMMARY.fat&amp;DISPLAY_STRING=Display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3__FDSAUDITLINK__" hidden="1">{"fdsup://directions/FAT%20Viewer?VAR:PED=LTM&amp;VAR:PERIOD=FIXED&amp;VAR:V=17.846502&amp;VAR:PCT=Y&amp;VAR:AUDIT_ID=00000117&amp;VAR:DATE=20001229&amp;action=UPDATE&amp;creator=factset&amp;DOC_NAME=FAT:FMA_audit_SUMMARY.fat&amp;DISPLAY_STRING=Display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4__FDSAUDITLINK__" localSheetId="8" hidden="1">{"fdsup://directions/FAT%20Viewer?VAR:PED=LTM&amp;VAR:PERIOD=FIXED&amp;VAR:V=17.795523&amp;VAR:PCT=Y&amp;VAR:AUDIT_ID=00000117&amp;VAR:DATE=20001130&amp;action=UPDATE&amp;creator=factset&amp;DOC_NAME=FAT:FMA_audit_SUMMARY.fat&amp;DISPLAY_STRING=Display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4__FDSAUDITLINK__" localSheetId="2" hidden="1">{"fdsup://directions/FAT%20Viewer?VAR:PED=LTM&amp;VAR:PERIOD=FIXED&amp;VAR:V=17.795523&amp;VAR:PCT=Y&amp;VAR:AUDIT_ID=00000117&amp;VAR:DATE=20001130&amp;action=UPDATE&amp;creator=factset&amp;DOC_NAME=FAT:FMA_audit_SUMMARY.fat&amp;DISPLAY_STRING=Display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4__FDSAUDITLINK__" hidden="1">{"fdsup://directions/FAT%20Viewer?VAR:PED=LTM&amp;VAR:PERIOD=FIXED&amp;VAR:V=17.795523&amp;VAR:PCT=Y&amp;VAR:AUDIT_ID=00000117&amp;VAR:DATE=20001130&amp;action=UPDATE&amp;creator=factset&amp;DOC_NAME=FAT:FMA_audit_SUMMARY.fat&amp;DISPLAY_STRING=Display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5__FDSAUDITLINK__" localSheetId="8" hidden="1">{"fdsup://directions/FAT%20Viewer?VAR:PED=LTM&amp;VAR:PERIOD=FIXED&amp;VAR:V=17.313531&amp;VAR:PCT=Y&amp;VAR:AUDIT_ID=00000117&amp;VAR:DATE=20001031&amp;action=UPDATE&amp;creator=factset&amp;DOC_NAME=FAT:FMA_audit_SUMMARY.fat&amp;DISPLAY_STRING=Display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5__FDSAUDITLINK__" localSheetId="2" hidden="1">{"fdsup://directions/FAT%20Viewer?VAR:PED=LTM&amp;VAR:PERIOD=FIXED&amp;VAR:V=17.313531&amp;VAR:PCT=Y&amp;VAR:AUDIT_ID=00000117&amp;VAR:DATE=20001031&amp;action=UPDATE&amp;creator=factset&amp;DOC_NAME=FAT:FMA_audit_SUMMARY.fat&amp;DISPLAY_STRING=Display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5__FDSAUDITLINK__" hidden="1">{"fdsup://directions/FAT%20Viewer?VAR:PED=LTM&amp;VAR:PERIOD=FIXED&amp;VAR:V=17.313531&amp;VAR:PCT=Y&amp;VAR:AUDIT_ID=00000117&amp;VAR:DATE=20001031&amp;action=UPDATE&amp;creator=factset&amp;DOC_NAME=FAT:FMA_audit_SUMMARY.fat&amp;DISPLAY_STRING=Display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6__FDSAUDITLINK__" localSheetId="8" hidden="1">{"fdsup://directions/FAT%20Viewer?VAR:PED=LTM&amp;VAR:PERIOD=FIXED&amp;VAR:V=17.315078&amp;VAR:PCT=Y&amp;VAR:AUDIT_ID=00000117&amp;VAR:DATE=20000929&amp;action=UPDATE&amp;creator=factset&amp;DOC_NAME=FAT:FMA_audit_SUMMARY.fat&amp;DISPLAY_STRING=Display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6__FDSAUDITLINK__" localSheetId="2" hidden="1">{"fdsup://directions/FAT%20Viewer?VAR:PED=LTM&amp;VAR:PERIOD=FIXED&amp;VAR:V=17.315078&amp;VAR:PCT=Y&amp;VAR:AUDIT_ID=00000117&amp;VAR:DATE=20000929&amp;action=UPDATE&amp;creator=factset&amp;DOC_NAME=FAT:FMA_audit_SUMMARY.fat&amp;DISPLAY_STRING=Display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6__FDSAUDITLINK__" hidden="1">{"fdsup://directions/FAT%20Viewer?VAR:PED=LTM&amp;VAR:PERIOD=FIXED&amp;VAR:V=17.315078&amp;VAR:PCT=Y&amp;VAR:AUDIT_ID=00000117&amp;VAR:DATE=20000929&amp;action=UPDATE&amp;creator=factset&amp;DOC_NAME=FAT:FMA_audit_SUMMARY.fat&amp;DISPLAY_STRING=Display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7__FDSAUDITLINK__" localSheetId="8" hidden="1">{"fdsup://directions/FAT%20Viewer?VAR:PED=LTM&amp;VAR:PERIOD=FIXED&amp;VAR:V=17.311893&amp;VAR:PCT=Y&amp;VAR:AUDIT_ID=00000117&amp;VAR:DATE=20000831&amp;action=UPDATE&amp;creator=factset&amp;DOC_NAME=FAT:FMA_audit_SUMMARY.fat&amp;DISPLAY_STRING=Display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7__FDSAUDITLINK__" localSheetId="2" hidden="1">{"fdsup://directions/FAT%20Viewer?VAR:PED=LTM&amp;VAR:PERIOD=FIXED&amp;VAR:V=17.311893&amp;VAR:PCT=Y&amp;VAR:AUDIT_ID=00000117&amp;VAR:DATE=20000831&amp;action=UPDATE&amp;creator=factset&amp;DOC_NAME=FAT:FMA_audit_SUMMARY.fat&amp;DISPLAY_STRING=Display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7__FDSAUDITLINK__" hidden="1">{"fdsup://directions/FAT%20Viewer?VAR:PED=LTM&amp;VAR:PERIOD=FIXED&amp;VAR:V=17.311893&amp;VAR:PCT=Y&amp;VAR:AUDIT_ID=00000117&amp;VAR:DATE=20000831&amp;action=UPDATE&amp;creator=factset&amp;DOC_NAME=FAT:FMA_audit_SUMMARY.fat&amp;DISPLAY_STRING=Display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8__FDSAUDITLINK__" localSheetId="8" hidden="1">{"fdsup://directions/FAT%20Viewer?VAR:PED=LTM&amp;VAR:PERIOD=FIXED&amp;VAR:V=17.985334&amp;VAR:PCT=Y&amp;VAR:AUDIT_ID=00000117&amp;VAR:DATE=20000731&amp;action=UPDATE&amp;creator=factset&amp;DOC_NAME=FAT:FMA_audit_SUMMARY.fat&amp;DISPLAY_STRING=Display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8__FDSAUDITLINK__" localSheetId="2" hidden="1">{"fdsup://directions/FAT%20Viewer?VAR:PED=LTM&amp;VAR:PERIOD=FIXED&amp;VAR:V=17.985334&amp;VAR:PCT=Y&amp;VAR:AUDIT_ID=00000117&amp;VAR:DATE=20000731&amp;action=UPDATE&amp;creator=factset&amp;DOC_NAME=FAT:FMA_audit_SUMMARY.fat&amp;DISPLAY_STRING=Display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8__FDSAUDITLINK__" hidden="1">{"fdsup://directions/FAT%20Viewer?VAR:PED=LTM&amp;VAR:PERIOD=FIXED&amp;VAR:V=17.985334&amp;VAR:PCT=Y&amp;VAR:AUDIT_ID=00000117&amp;VAR:DATE=20000731&amp;action=UPDATE&amp;creator=factset&amp;DOC_NAME=FAT:FMA_audit_SUMMARY.fat&amp;DISPLAY_STRING=Display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9__FDSAUDITLINK__" localSheetId="8" hidden="1">{"fdsup://directions/FAT%20Viewer?VAR:PED=LTM&amp;VAR:PERIOD=FIXED&amp;VAR:V=18.043879&amp;VAR:PCT=Y&amp;VAR:AUDIT_ID=00000117&amp;VAR:DATE=20000630&amp;action=UPDATE&amp;creator=factset&amp;DOC_NAME=FAT:FMA_audit_SUMMARY.fat&amp;DISPLAY_STRING=Display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9__FDSAUDITLINK__" localSheetId="2" hidden="1">{"fdsup://directions/FAT%20Viewer?VAR:PED=LTM&amp;VAR:PERIOD=FIXED&amp;VAR:V=18.043879&amp;VAR:PCT=Y&amp;VAR:AUDIT_ID=00000117&amp;VAR:DATE=20000630&amp;action=UPDATE&amp;creator=factset&amp;DOC_NAME=FAT:FMA_audit_SUMMARY.fat&amp;DISPLAY_STRING=Display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19__FDSAUDITLINK__" hidden="1">{"fdsup://directions/FAT%20Viewer?VAR:PED=LTM&amp;VAR:PERIOD=FIXED&amp;VAR:V=18.043879&amp;VAR:PCT=Y&amp;VAR:AUDIT_ID=00000117&amp;VAR:DATE=20000630&amp;action=UPDATE&amp;creator=factset&amp;DOC_NAME=FAT:FMA_audit_SUMMARY.fat&amp;DISPLAY_STRING=Display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_._0Gross_inc_gro">[2]NOPAT_VDF!#REF!</definedName>
    <definedName name="_12__FDSAUDITLINK__" localSheetId="8" hidden="1">{"fdsup://directions/FAT%20Viewer?VAR:PED=LTM&amp;VAR:PERIOD=FIXED&amp;VAR:V=10.171890&amp;VAR:PCT=Y&amp;VAR:AUDIT_ID=00000117&amp;VAR:DATE=20090529&amp;action=UPDATE&amp;creator=factset&amp;DOC_NAME=FAT:FMA_audit_SUMMARY.fat&amp;DISPLAY_STRING=Display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__FDSAUDITLINK__" localSheetId="2" hidden="1">{"fdsup://directions/FAT%20Viewer?VAR:PED=LTM&amp;VAR:PERIOD=FIXED&amp;VAR:V=10.171890&amp;VAR:PCT=Y&amp;VAR:AUDIT_ID=00000117&amp;VAR:DATE=20090529&amp;action=UPDATE&amp;creator=factset&amp;DOC_NAME=FAT:FMA_audit_SUMMARY.fat&amp;DISPLAY_STRING=Display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__FDSAUDITLINK__" hidden="1">{"fdsup://directions/FAT%20Viewer?VAR:PED=LTM&amp;VAR:PERIOD=FIXED&amp;VAR:V=10.171890&amp;VAR:PCT=Y&amp;VAR:AUDIT_ID=00000117&amp;VAR:DATE=20090529&amp;action=UPDATE&amp;creator=factset&amp;DOC_NAME=FAT:FMA_audit_SUMMARY.fat&amp;DISPLAY_STRING=Display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0__FDSAUDITLINK__" localSheetId="8" hidden="1">{"fdsup://directions/FAT%20Viewer?VAR:PED=LTM&amp;VAR:PERIOD=FIXED&amp;VAR:V=18.113732&amp;VAR:PCT=Y&amp;VAR:AUDIT_ID=00000117&amp;VAR:DATE=20000531&amp;action=UPDATE&amp;creator=factset&amp;DOC_NAME=FAT:FMA_audit_SUMMARY.fat&amp;DISPLAY_STRING=Display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0__FDSAUDITLINK__" localSheetId="2" hidden="1">{"fdsup://directions/FAT%20Viewer?VAR:PED=LTM&amp;VAR:PERIOD=FIXED&amp;VAR:V=18.113732&amp;VAR:PCT=Y&amp;VAR:AUDIT_ID=00000117&amp;VAR:DATE=20000531&amp;action=UPDATE&amp;creator=factset&amp;DOC_NAME=FAT:FMA_audit_SUMMARY.fat&amp;DISPLAY_STRING=Display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0__FDSAUDITLINK__" hidden="1">{"fdsup://directions/FAT%20Viewer?VAR:PED=LTM&amp;VAR:PERIOD=FIXED&amp;VAR:V=18.113732&amp;VAR:PCT=Y&amp;VAR:AUDIT_ID=00000117&amp;VAR:DATE=20000531&amp;action=UPDATE&amp;creator=factset&amp;DOC_NAME=FAT:FMA_audit_SUMMARY.fat&amp;DISPLAY_STRING=Display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1__FDSAUDITLINK__" localSheetId="8" hidden="1">{"fdsup://directions/FAT%20Viewer?VAR:PED=LTM&amp;VAR:PERIOD=FIXED&amp;VAR:V=18.148817&amp;VAR:PCT=Y&amp;VAR:AUDIT_ID=00000117&amp;VAR:DATE=20000428&amp;action=UPDATE&amp;creator=factset&amp;DOC_NAME=FAT:FMA_audit_SUMMARY.fat&amp;DISPLAY_STRING=Display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1__FDSAUDITLINK__" localSheetId="2" hidden="1">{"fdsup://directions/FAT%20Viewer?VAR:PED=LTM&amp;VAR:PERIOD=FIXED&amp;VAR:V=18.148817&amp;VAR:PCT=Y&amp;VAR:AUDIT_ID=00000117&amp;VAR:DATE=20000428&amp;action=UPDATE&amp;creator=factset&amp;DOC_NAME=FAT:FMA_audit_SUMMARY.fat&amp;DISPLAY_STRING=Display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1__FDSAUDITLINK__" hidden="1">{"fdsup://directions/FAT%20Viewer?VAR:PED=LTM&amp;VAR:PERIOD=FIXED&amp;VAR:V=18.148817&amp;VAR:PCT=Y&amp;VAR:AUDIT_ID=00000117&amp;VAR:DATE=20000428&amp;action=UPDATE&amp;creator=factset&amp;DOC_NAME=FAT:FMA_audit_SUMMARY.fat&amp;DISPLAY_STRING=Display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2__FDSAUDITLINK__" localSheetId="8" hidden="1">{"fdsup://directions/FAT%20Viewer?VAR:PED=LTM&amp;VAR:PERIOD=FIXED&amp;VAR:V=18.151948&amp;VAR:PCT=Y&amp;VAR:AUDIT_ID=00000117&amp;VAR:DATE=20000331&amp;action=UPDATE&amp;creator=factset&amp;DOC_NAME=FAT:FMA_audit_SUMMARY.fat&amp;DISPLAY_STRING=Display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2__FDSAUDITLINK__" localSheetId="2" hidden="1">{"fdsup://directions/FAT%20Viewer?VAR:PED=LTM&amp;VAR:PERIOD=FIXED&amp;VAR:V=18.151948&amp;VAR:PCT=Y&amp;VAR:AUDIT_ID=00000117&amp;VAR:DATE=20000331&amp;action=UPDATE&amp;creator=factset&amp;DOC_NAME=FAT:FMA_audit_SUMMARY.fat&amp;DISPLAY_STRING=Display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2__FDSAUDITLINK__" hidden="1">{"fdsup://directions/FAT%20Viewer?VAR:PED=LTM&amp;VAR:PERIOD=FIXED&amp;VAR:V=18.151948&amp;VAR:PCT=Y&amp;VAR:AUDIT_ID=00000117&amp;VAR:DATE=20000331&amp;action=UPDATE&amp;creator=factset&amp;DOC_NAME=FAT:FMA_audit_SUMMARY.fat&amp;DISPLAY_STRING=Display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3__FDSAUDITLINK__" localSheetId="8" hidden="1">{"fdsup://directions/FAT%20Viewer?VAR:PED=LTM&amp;VAR:PERIOD=FIXED&amp;VAR:V=18.135408&amp;VAR:PCT=Y&amp;VAR:AUDIT_ID=00000117&amp;VAR:DATE=20000229&amp;action=UPDATE&amp;creator=factset&amp;DOC_NAME=FAT:FMA_audit_SUMMARY.fat&amp;DISPLAY_STRING=Display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3__FDSAUDITLINK__" localSheetId="2" hidden="1">{"fdsup://directions/FAT%20Viewer?VAR:PED=LTM&amp;VAR:PERIOD=FIXED&amp;VAR:V=18.135408&amp;VAR:PCT=Y&amp;VAR:AUDIT_ID=00000117&amp;VAR:DATE=20000229&amp;action=UPDATE&amp;creator=factset&amp;DOC_NAME=FAT:FMA_audit_SUMMARY.fat&amp;DISPLAY_STRING=Display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3__FDSAUDITLINK__" hidden="1">{"fdsup://directions/FAT%20Viewer?VAR:PED=LTM&amp;VAR:PERIOD=FIXED&amp;VAR:V=18.135408&amp;VAR:PCT=Y&amp;VAR:AUDIT_ID=00000117&amp;VAR:DATE=20000229&amp;action=UPDATE&amp;creator=factset&amp;DOC_NAME=FAT:FMA_audit_SUMMARY.fat&amp;DISPLAY_STRING=Display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4__FDSAUDITLINK__" localSheetId="8" hidden="1">{"fdsup://directions/FAT%20Viewer?VAR:PED=LTM&amp;VAR:PERIOD=FIXED&amp;VAR:V=17.549425&amp;VAR:PCT=Y&amp;VAR:AUDIT_ID=00000117&amp;VAR:DATE=20000131&amp;action=UPDATE&amp;creator=factset&amp;DOC_NAME=FAT:FMA_audit_SUMMARY.fat&amp;DISPLAY_STRING=Display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4__FDSAUDITLINK__" localSheetId="2" hidden="1">{"fdsup://directions/FAT%20Viewer?VAR:PED=LTM&amp;VAR:PERIOD=FIXED&amp;VAR:V=17.549425&amp;VAR:PCT=Y&amp;VAR:AUDIT_ID=00000117&amp;VAR:DATE=20000131&amp;action=UPDATE&amp;creator=factset&amp;DOC_NAME=FAT:FMA_audit_SUMMARY.fat&amp;DISPLAY_STRING=Display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4__FDSAUDITLINK__" hidden="1">{"fdsup://directions/FAT%20Viewer?VAR:PED=LTM&amp;VAR:PERIOD=FIXED&amp;VAR:V=17.549425&amp;VAR:PCT=Y&amp;VAR:AUDIT_ID=00000117&amp;VAR:DATE=20000131&amp;action=UPDATE&amp;creator=factset&amp;DOC_NAME=FAT:FMA_audit_SUMMARY.fat&amp;DISPLAY_STRING=Display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5__FDSAUDITLINK__" localSheetId="8" hidden="1">{"fdsup://directions/FAT%20Viewer?VAR:PED=LTM&amp;VAR:PERIOD=FIXED&amp;VAR:V=17.472250&amp;VAR:PCT=Y&amp;VAR:AUDIT_ID=00000117&amp;VAR:DATE=19991231&amp;action=UPDATE&amp;creator=factset&amp;DOC_NAME=FAT:FMA_audit_SUMMARY.fat&amp;DISPLAY_STRING=Display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5__FDSAUDITLINK__" localSheetId="2" hidden="1">{"fdsup://directions/FAT%20Viewer?VAR:PED=LTM&amp;VAR:PERIOD=FIXED&amp;VAR:V=17.472250&amp;VAR:PCT=Y&amp;VAR:AUDIT_ID=00000117&amp;VAR:DATE=19991231&amp;action=UPDATE&amp;creator=factset&amp;DOC_NAME=FAT:FMA_audit_SUMMARY.fat&amp;DISPLAY_STRING=Display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5__FDSAUDITLINK__" hidden="1">{"fdsup://directions/FAT%20Viewer?VAR:PED=LTM&amp;VAR:PERIOD=FIXED&amp;VAR:V=17.472250&amp;VAR:PCT=Y&amp;VAR:AUDIT_ID=00000117&amp;VAR:DATE=19991231&amp;action=UPDATE&amp;creator=factset&amp;DOC_NAME=FAT:FMA_audit_SUMMARY.fat&amp;DISPLAY_STRING=Display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6__FDSAUDITLINK__" localSheetId="8" hidden="1">{"fdsup://directions/FAT%20Viewer?VAR:PED=LTM&amp;VAR:PERIOD=FIXED&amp;VAR:V=17.412870&amp;VAR:PCT=Y&amp;VAR:AUDIT_ID=00000117&amp;VAR:DATE=19991130&amp;action=UPDATE&amp;creator=factset&amp;DOC_NAME=FAT:FMA_audit_SUMMARY.fat&amp;DISPLAY_STRING=Display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6__FDSAUDITLINK__" localSheetId="2" hidden="1">{"fdsup://directions/FAT%20Viewer?VAR:PED=LTM&amp;VAR:PERIOD=FIXED&amp;VAR:V=17.412870&amp;VAR:PCT=Y&amp;VAR:AUDIT_ID=00000117&amp;VAR:DATE=19991130&amp;action=UPDATE&amp;creator=factset&amp;DOC_NAME=FAT:FMA_audit_SUMMARY.fat&amp;DISPLAY_STRING=Display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6__FDSAUDITLINK__" hidden="1">{"fdsup://directions/FAT%20Viewer?VAR:PED=LTM&amp;VAR:PERIOD=FIXED&amp;VAR:V=17.412870&amp;VAR:PCT=Y&amp;VAR:AUDIT_ID=00000117&amp;VAR:DATE=19991130&amp;action=UPDATE&amp;creator=factset&amp;DOC_NAME=FAT:FMA_audit_SUMMARY.fat&amp;DISPLAY_STRING=Display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7__FDSAUDITLINK__" localSheetId="8" hidden="1">{"fdsup://directions/FAT%20Viewer?VAR:PED=LTM&amp;VAR:PERIOD=FIXED&amp;VAR:V=16.787584&amp;VAR:PCT=Y&amp;VAR:AUDIT_ID=00000117&amp;VAR:DATE=19991029&amp;action=UPDATE&amp;creator=factset&amp;DOC_NAME=FAT:FMA_audit_SUMMARY.fat&amp;DISPLAY_STRING=Display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7__FDSAUDITLINK__" localSheetId="2" hidden="1">{"fdsup://directions/FAT%20Viewer?VAR:PED=LTM&amp;VAR:PERIOD=FIXED&amp;VAR:V=16.787584&amp;VAR:PCT=Y&amp;VAR:AUDIT_ID=00000117&amp;VAR:DATE=19991029&amp;action=UPDATE&amp;creator=factset&amp;DOC_NAME=FAT:FMA_audit_SUMMARY.fat&amp;DISPLAY_STRING=Display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7__FDSAUDITLINK__" hidden="1">{"fdsup://directions/FAT%20Viewer?VAR:PED=LTM&amp;VAR:PERIOD=FIXED&amp;VAR:V=16.787584&amp;VAR:PCT=Y&amp;VAR:AUDIT_ID=00000117&amp;VAR:DATE=19991029&amp;action=UPDATE&amp;creator=factset&amp;DOC_NAME=FAT:FMA_audit_SUMMARY.fat&amp;DISPLAY_STRING=Display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8__FDSAUDITLINK__" localSheetId="8" hidden="1">{"fdsup://directions/FAT%20Viewer?VAR:PED=LTM&amp;VAR:PERIOD=FIXED&amp;VAR:V=16.735491&amp;VAR:PCT=Y&amp;VAR:AUDIT_ID=00000117&amp;VAR:DATE=19990930&amp;action=UPDATE&amp;creator=factset&amp;DOC_NAME=FAT:FMA_audit_SUMMARY.fat&amp;DISPLAY_STRING=Display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8__FDSAUDITLINK__" localSheetId="2" hidden="1">{"fdsup://directions/FAT%20Viewer?VAR:PED=LTM&amp;VAR:PERIOD=FIXED&amp;VAR:V=16.735491&amp;VAR:PCT=Y&amp;VAR:AUDIT_ID=00000117&amp;VAR:DATE=19990930&amp;action=UPDATE&amp;creator=factset&amp;DOC_NAME=FAT:FMA_audit_SUMMARY.fat&amp;DISPLAY_STRING=Display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8__FDSAUDITLINK__" hidden="1">{"fdsup://directions/FAT%20Viewer?VAR:PED=LTM&amp;VAR:PERIOD=FIXED&amp;VAR:V=16.735491&amp;VAR:PCT=Y&amp;VAR:AUDIT_ID=00000117&amp;VAR:DATE=19990930&amp;action=UPDATE&amp;creator=factset&amp;DOC_NAME=FAT:FMA_audit_SUMMARY.fat&amp;DISPLAY_STRING=Display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9__FDSAUDITLINK__" localSheetId="8" hidden="1">{"fdsup://directions/FAT%20Viewer?VAR:PED=LTM&amp;VAR:PERIOD=FIXED&amp;VAR:V=16.757353&amp;VAR:PCT=Y&amp;VAR:AUDIT_ID=00000117&amp;VAR:DATE=19990831&amp;action=UPDATE&amp;creator=factset&amp;DOC_NAME=FAT:FMA_audit_SUMMARY.fat&amp;DISPLAY_STRING=Display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9__FDSAUDITLINK__" localSheetId="2" hidden="1">{"fdsup://directions/FAT%20Viewer?VAR:PED=LTM&amp;VAR:PERIOD=FIXED&amp;VAR:V=16.757353&amp;VAR:PCT=Y&amp;VAR:AUDIT_ID=00000117&amp;VAR:DATE=19990831&amp;action=UPDATE&amp;creator=factset&amp;DOC_NAME=FAT:FMA_audit_SUMMARY.fat&amp;DISPLAY_STRING=Display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29__FDSAUDITLINK__" hidden="1">{"fdsup://directions/FAT%20Viewer?VAR:PED=LTM&amp;VAR:PERIOD=FIXED&amp;VAR:V=16.757353&amp;VAR:PCT=Y&amp;VAR:AUDIT_ID=00000117&amp;VAR:DATE=19990831&amp;action=UPDATE&amp;creator=factset&amp;DOC_NAME=FAT:FMA_audit_SUMMARY.fat&amp;DISPLAY_STRING=Display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__FDSAUDITLINK__" localSheetId="8" hidden="1">{"fdsup://directions/FAT%20Viewer?VAR:PED=LTM&amp;VAR:PERIOD=FIXED&amp;VAR:V=12.307794&amp;VAR:PCT=Y&amp;VAR:AUDIT_ID=00000117&amp;VAR:DATE=20090430&amp;action=UPDATE&amp;creator=factset&amp;DOC_NAME=FAT:FMA_audit_SUMMARY.fat&amp;DISPLAY_STRING=Display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__FDSAUDITLINK__" localSheetId="2" hidden="1">{"fdsup://directions/FAT%20Viewer?VAR:PED=LTM&amp;VAR:PERIOD=FIXED&amp;VAR:V=12.307794&amp;VAR:PCT=Y&amp;VAR:AUDIT_ID=00000117&amp;VAR:DATE=20090430&amp;action=UPDATE&amp;creator=factset&amp;DOC_NAME=FAT:FMA_audit_SUMMARY.fat&amp;DISPLAY_STRING=Display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__FDSAUDITLINK__" hidden="1">{"fdsup://directions/FAT%20Viewer?VAR:PED=LTM&amp;VAR:PERIOD=FIXED&amp;VAR:V=12.307794&amp;VAR:PCT=Y&amp;VAR:AUDIT_ID=00000117&amp;VAR:DATE=20090430&amp;action=UPDATE&amp;creator=factset&amp;DOC_NAME=FAT:FMA_audit_SUMMARY.fat&amp;DISPLAY_STRING=Display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0__FDSAUDITLINK__" localSheetId="8" hidden="1">{"fdsup://directions/FAT%20Viewer?VAR:PED=LTM&amp;VAR:PERIOD=FIXED&amp;VAR:V=16.209629&amp;VAR:PCT=Y&amp;VAR:AUDIT_ID=00000117&amp;VAR:DATE=19990730&amp;action=UPDATE&amp;creator=factset&amp;DOC_NAME=FAT:FMA_audit_SUMMARY.fat&amp;DISPLAY_STRING=Display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0__FDSAUDITLINK__" localSheetId="2" hidden="1">{"fdsup://directions/FAT%20Viewer?VAR:PED=LTM&amp;VAR:PERIOD=FIXED&amp;VAR:V=16.209629&amp;VAR:PCT=Y&amp;VAR:AUDIT_ID=00000117&amp;VAR:DATE=19990730&amp;action=UPDATE&amp;creator=factset&amp;DOC_NAME=FAT:FMA_audit_SUMMARY.fat&amp;DISPLAY_STRING=Display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0__FDSAUDITLINK__" hidden="1">{"fdsup://directions/FAT%20Viewer?VAR:PED=LTM&amp;VAR:PERIOD=FIXED&amp;VAR:V=16.209629&amp;VAR:PCT=Y&amp;VAR:AUDIT_ID=00000117&amp;VAR:DATE=19990730&amp;action=UPDATE&amp;creator=factset&amp;DOC_NAME=FAT:FMA_audit_SUMMARY.fat&amp;DISPLAY_STRING=Display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1__FDSAUDITLINK__" localSheetId="8" hidden="1">{"fdsup://directions/FAT%20Viewer?VAR:PED=LTM&amp;VAR:PERIOD=FIXED&amp;VAR:V=16.168356&amp;VAR:PCT=Y&amp;VAR:AUDIT_ID=00000117&amp;VAR:DATE=19990630&amp;action=UPDATE&amp;creator=factset&amp;DOC_NAME=FAT:FMA_audit_SUMMARY.fat&amp;DISPLAY_STRING=Display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1__FDSAUDITLINK__" localSheetId="2" hidden="1">{"fdsup://directions/FAT%20Viewer?VAR:PED=LTM&amp;VAR:PERIOD=FIXED&amp;VAR:V=16.168356&amp;VAR:PCT=Y&amp;VAR:AUDIT_ID=00000117&amp;VAR:DATE=19990630&amp;action=UPDATE&amp;creator=factset&amp;DOC_NAME=FAT:FMA_audit_SUMMARY.fat&amp;DISPLAY_STRING=Display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1__FDSAUDITLINK__" hidden="1">{"fdsup://directions/FAT%20Viewer?VAR:PED=LTM&amp;VAR:PERIOD=FIXED&amp;VAR:V=16.168356&amp;VAR:PCT=Y&amp;VAR:AUDIT_ID=00000117&amp;VAR:DATE=19990630&amp;action=UPDATE&amp;creator=factset&amp;DOC_NAME=FAT:FMA_audit_SUMMARY.fat&amp;DISPLAY_STRING=Display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2__FDSAUDITLINK__" localSheetId="8" hidden="1">{"fdsup://directions/FAT%20Viewer?VAR:PED=LTM&amp;VAR:PERIOD=FIXED&amp;VAR:V=16.057293&amp;VAR:PCT=Y&amp;VAR:AUDIT_ID=00000117&amp;VAR:DATE=19990531&amp;action=UPDATE&amp;creator=factset&amp;DOC_NAME=FAT:FMA_audit_SUMMARY.fat&amp;DISPLAY_STRING=Display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2__FDSAUDITLINK__" localSheetId="2" hidden="1">{"fdsup://directions/FAT%20Viewer?VAR:PED=LTM&amp;VAR:PERIOD=FIXED&amp;VAR:V=16.057293&amp;VAR:PCT=Y&amp;VAR:AUDIT_ID=00000117&amp;VAR:DATE=19990531&amp;action=UPDATE&amp;creator=factset&amp;DOC_NAME=FAT:FMA_audit_SUMMARY.fat&amp;DISPLAY_STRING=Display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2__FDSAUDITLINK__" hidden="1">{"fdsup://directions/FAT%20Viewer?VAR:PED=LTM&amp;VAR:PERIOD=FIXED&amp;VAR:V=16.057293&amp;VAR:PCT=Y&amp;VAR:AUDIT_ID=00000117&amp;VAR:DATE=19990531&amp;action=UPDATE&amp;creator=factset&amp;DOC_NAME=FAT:FMA_audit_SUMMARY.fat&amp;DISPLAY_STRING=Display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3__FDSAUDITLINK__" localSheetId="8" hidden="1">{"fdsup://directions/FAT%20Viewer?VAR:PED=LTM&amp;VAR:PERIOD=FIXED&amp;VAR:V=16.752252&amp;VAR:PCT=Y&amp;VAR:AUDIT_ID=00000117&amp;VAR:DATE=19990430&amp;action=UPDATE&amp;creator=factset&amp;DOC_NAME=FAT:FMA_audit_SUMMARY.fat&amp;DISPLAY_STRING=Display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3__FDSAUDITLINK__" localSheetId="2" hidden="1">{"fdsup://directions/FAT%20Viewer?VAR:PED=LTM&amp;VAR:PERIOD=FIXED&amp;VAR:V=16.752252&amp;VAR:PCT=Y&amp;VAR:AUDIT_ID=00000117&amp;VAR:DATE=19990430&amp;action=UPDATE&amp;creator=factset&amp;DOC_NAME=FAT:FMA_audit_SUMMARY.fat&amp;DISPLAY_STRING=Display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3__FDSAUDITLINK__" hidden="1">{"fdsup://directions/FAT%20Viewer?VAR:PED=LTM&amp;VAR:PERIOD=FIXED&amp;VAR:V=16.752252&amp;VAR:PCT=Y&amp;VAR:AUDIT_ID=00000117&amp;VAR:DATE=19990430&amp;action=UPDATE&amp;creator=factset&amp;DOC_NAME=FAT:FMA_audit_SUMMARY.fat&amp;DISPLAY_STRING=Display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4__FDSAUDITLINK__" localSheetId="8" hidden="1">{"fdsup://directions/FAT%20Viewer?VAR:PED=LTM&amp;VAR:PERIOD=FIXED&amp;VAR:V=16.766283&amp;VAR:PCT=Y&amp;VAR:AUDIT_ID=00000117&amp;VAR:DATE=19990331&amp;action=UPDATE&amp;creator=factset&amp;DOC_NAME=FAT:FMA_audit_SUMMARY.fat&amp;DISPLAY_STRING=Display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4__FDSAUDITLINK__" localSheetId="2" hidden="1">{"fdsup://directions/FAT%20Viewer?VAR:PED=LTM&amp;VAR:PERIOD=FIXED&amp;VAR:V=16.766283&amp;VAR:PCT=Y&amp;VAR:AUDIT_ID=00000117&amp;VAR:DATE=19990331&amp;action=UPDATE&amp;creator=factset&amp;DOC_NAME=FAT:FMA_audit_SUMMARY.fat&amp;DISPLAY_STRING=Display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4__FDSAUDITLINK__" hidden="1">{"fdsup://directions/FAT%20Viewer?VAR:PED=LTM&amp;VAR:PERIOD=FIXED&amp;VAR:V=16.766283&amp;VAR:PCT=Y&amp;VAR:AUDIT_ID=00000117&amp;VAR:DATE=19990331&amp;action=UPDATE&amp;creator=factset&amp;DOC_NAME=FAT:FMA_audit_SUMMARY.fat&amp;DISPLAY_STRING=Display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5__FDSAUDITLINK__" localSheetId="8" hidden="1">{"fdsup://directions/FAT%20Viewer?VAR:PED=LTM&amp;VAR:PERIOD=FIXED&amp;VAR:V=16.692796&amp;VAR:PCT=Y&amp;VAR:AUDIT_ID=00000117&amp;VAR:DATE=19990226&amp;action=UPDATE&amp;creator=factset&amp;DOC_NAME=FAT:FMA_audit_SUMMARY.fat&amp;DISPLAY_STRING=Display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5__FDSAUDITLINK__" localSheetId="2" hidden="1">{"fdsup://directions/FAT%20Viewer?VAR:PED=LTM&amp;VAR:PERIOD=FIXED&amp;VAR:V=16.692796&amp;VAR:PCT=Y&amp;VAR:AUDIT_ID=00000117&amp;VAR:DATE=19990226&amp;action=UPDATE&amp;creator=factset&amp;DOC_NAME=FAT:FMA_audit_SUMMARY.fat&amp;DISPLAY_STRING=Display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5__FDSAUDITLINK__" hidden="1">{"fdsup://directions/FAT%20Viewer?VAR:PED=LTM&amp;VAR:PERIOD=FIXED&amp;VAR:V=16.692796&amp;VAR:PCT=Y&amp;VAR:AUDIT_ID=00000117&amp;VAR:DATE=19990226&amp;action=UPDATE&amp;creator=factset&amp;DOC_NAME=FAT:FMA_audit_SUMMARY.fat&amp;DISPLAY_STRING=Display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6__FDSAUDITLINK__" localSheetId="8" hidden="1">{"fdsup://directions/FAT%20Viewer?VAR:PED=LTM&amp;VAR:PERIOD=FIXED&amp;VAR:V=17.247288&amp;VAR:PCT=Y&amp;VAR:AUDIT_ID=00000117&amp;VAR:DATE=19990129&amp;action=UPDATE&amp;creator=factset&amp;DOC_NAME=FAT:FMA_audit_SUMMARY.fat&amp;DISPLAY_STRING=Display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6__FDSAUDITLINK__" localSheetId="2" hidden="1">{"fdsup://directions/FAT%20Viewer?VAR:PED=LTM&amp;VAR:PERIOD=FIXED&amp;VAR:V=17.247288&amp;VAR:PCT=Y&amp;VAR:AUDIT_ID=00000117&amp;VAR:DATE=19990129&amp;action=UPDATE&amp;creator=factset&amp;DOC_NAME=FAT:FMA_audit_SUMMARY.fat&amp;DISPLAY_STRING=Display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6__FDSAUDITLINK__" hidden="1">{"fdsup://directions/FAT%20Viewer?VAR:PED=LTM&amp;VAR:PERIOD=FIXED&amp;VAR:V=17.247288&amp;VAR:PCT=Y&amp;VAR:AUDIT_ID=00000117&amp;VAR:DATE=19990129&amp;action=UPDATE&amp;creator=factset&amp;DOC_NAME=FAT:FMA_audit_SUMMARY.fat&amp;DISPLAY_STRING=Display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7__FDSAUDITLINK__" localSheetId="8" hidden="1">{"fdsup://directions/FAT%20Viewer?VAR:PED=LTM&amp;VAR:PERIOD=FIXED&amp;VAR:V=17.271473&amp;VAR:PCT=Y&amp;VAR:AUDIT_ID=00000117&amp;VAR:DATE=19981231&amp;action=UPDATE&amp;creator=factset&amp;DOC_NAME=FAT:FMA_audit_SUMMARY.fat&amp;DISPLAY_STRING=Display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7__FDSAUDITLINK__" localSheetId="2" hidden="1">{"fdsup://directions/FAT%20Viewer?VAR:PED=LTM&amp;VAR:PERIOD=FIXED&amp;VAR:V=17.271473&amp;VAR:PCT=Y&amp;VAR:AUDIT_ID=00000117&amp;VAR:DATE=19981231&amp;action=UPDATE&amp;creator=factset&amp;DOC_NAME=FAT:FMA_audit_SUMMARY.fat&amp;DISPLAY_STRING=Display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7__FDSAUDITLINK__" hidden="1">{"fdsup://directions/FAT%20Viewer?VAR:PED=LTM&amp;VAR:PERIOD=FIXED&amp;VAR:V=17.271473&amp;VAR:PCT=Y&amp;VAR:AUDIT_ID=00000117&amp;VAR:DATE=19981231&amp;action=UPDATE&amp;creator=factset&amp;DOC_NAME=FAT:FMA_audit_SUMMARY.fat&amp;DISPLAY_STRING=Display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3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Equity&amp;VAR:FQLFORMULA=FMA_ROE&amp;VAR:MEASURE=ROE&amp;VAR:NULL=.HTML&amp;VAR:PED=LTM&amp;VAR:PERIOD=FIXED&amp;VAR:THRESH=-|-|-|-|-|-&amp;VAR:PCT=Y&amp;VAR:V=11.762966&amp;VAR:P=1&amp;VAR:DATE=20100430"}</definedName>
    <definedName name="_13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Equity&amp;VAR:FQLFORMULA=FMA_ROE&amp;VAR:MEASURE=ROE&amp;VAR:NULL=.HTML&amp;VAR:PED=LTM&amp;VAR:PERIOD=FIXED&amp;VAR:THRESH=-|-|-|-|-|-&amp;VAR:PCT=Y&amp;VAR:V=11.762966&amp;VAR:P=1&amp;VAR:DATE=20100430"}</definedName>
    <definedName name="_13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Equity&amp;VAR:FQLFORMULA=FMA_ROE&amp;VAR:MEASURE=ROE&amp;VAR:NULL=.HTML&amp;VAR:PED=LTM&amp;VAR:PERIOD=FIXED&amp;VAR:THRESH=-|-|-|-|-|-&amp;VAR:PCT=Y&amp;VAR:V=11.762966&amp;VAR:P=1&amp;VAR:DATE=20100430"}</definedName>
    <definedName name="_13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Equity&amp;VAR:FQLFORMULA=FMA_ROE&amp;VAR:MEASURE=ROE&amp;VAR:NULL=.HTML&amp;VAR:PED=LTM&amp;VAR:PERIOD=FIXED&amp;VAR:THRESH=-|-|-|-|-|-&amp;VAR:PCT=Y&amp;VAR:V=11.722138&amp;VAR:P=1&amp;VAR:DATE=20100331"}</definedName>
    <definedName name="_13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Equity&amp;VAR:FQLFORMULA=FMA_ROE&amp;VAR:MEASURE=ROE&amp;VAR:NULL=.HTML&amp;VAR:PED=LTM&amp;VAR:PERIOD=FIXED&amp;VAR:THRESH=-|-|-|-|-|-&amp;VAR:PCT=Y&amp;VAR:V=11.722138&amp;VAR:P=1&amp;VAR:DATE=20100331"}</definedName>
    <definedName name="_13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Equity&amp;VAR:FQLFORMULA=FMA_ROE&amp;VAR:MEASURE=ROE&amp;VAR:NULL=.HTML&amp;VAR:PED=LTM&amp;VAR:PERIOD=FIXED&amp;VAR:THRESH=-|-|-|-|-|-&amp;VAR:PCT=Y&amp;VAR:V=11.722138&amp;VAR:P=1&amp;VAR:DATE=20100331"}</definedName>
    <definedName name="_14__FDSAUDITLINK__" localSheetId="8" hidden="1">{"fdsup://directions/FAT%20Viewer?VAR:PED=LTM&amp;VAR:PERIOD=FIXED&amp;VAR:V=12.329435&amp;VAR:PCT=Y&amp;VAR:AUDIT_ID=00000117&amp;VAR:DATE=20090331&amp;action=UPDATE&amp;creator=factset&amp;DOC_NAME=FAT:FMA_audit_SUMMARY.fat&amp;DISPLAY_STRING=Display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4__FDSAUDITLINK__" localSheetId="2" hidden="1">{"fdsup://directions/FAT%20Viewer?VAR:PED=LTM&amp;VAR:PERIOD=FIXED&amp;VAR:V=12.329435&amp;VAR:PCT=Y&amp;VAR:AUDIT_ID=00000117&amp;VAR:DATE=20090331&amp;action=UPDATE&amp;creator=factset&amp;DOC_NAME=FAT:FMA_audit_SUMMARY.fat&amp;DISPLAY_STRING=Display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4__FDSAUDITLINK__" hidden="1">{"fdsup://directions/FAT%20Viewer?VAR:PED=LTM&amp;VAR:PERIOD=FIXED&amp;VAR:V=12.329435&amp;VAR:PCT=Y&amp;VAR:AUDIT_ID=00000117&amp;VAR:DATE=20090331&amp;action=UPDATE&amp;creator=factset&amp;DOC_NAME=FAT:FMA_audit_SUMMARY.fat&amp;DISPLAY_STRING=Display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4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Equity&amp;VAR:FQLFORMULA=FMA_ROE&amp;VAR:MEASURE=ROE&amp;VAR:NULL=.HTML&amp;VAR:PED=LTM&amp;VAR:PERIOD=FIXED&amp;VAR:THRESH=-|-|-|-|-|-&amp;VAR:PCT=Y&amp;VAR:V=11.669013&amp;VAR:P=1&amp;VAR:DATE=20100226"}</definedName>
    <definedName name="_14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Equity&amp;VAR:FQLFORMULA=FMA_ROE&amp;VAR:MEASURE=ROE&amp;VAR:NULL=.HTML&amp;VAR:PED=LTM&amp;VAR:PERIOD=FIXED&amp;VAR:THRESH=-|-|-|-|-|-&amp;VAR:PCT=Y&amp;VAR:V=11.669013&amp;VAR:P=1&amp;VAR:DATE=20100226"}</definedName>
    <definedName name="_14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Equity&amp;VAR:FQLFORMULA=FMA_ROE&amp;VAR:MEASURE=ROE&amp;VAR:NULL=.HTML&amp;VAR:PED=LTM&amp;VAR:PERIOD=FIXED&amp;VAR:THRESH=-|-|-|-|-|-&amp;VAR:PCT=Y&amp;VAR:V=11.669013&amp;VAR:P=1&amp;VAR:DATE=20100226"}</definedName>
    <definedName name="_14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Equity&amp;VAR:FQLFORMULA=FMA_ROE&amp;VAR:MEASURE=ROE&amp;VAR:NULL=.HTML&amp;VAR:PED=LTM&amp;VAR:PERIOD=FIXED&amp;VAR:THRESH=-|-|-|-|-|-&amp;VAR:PCT=Y&amp;VAR:V=8.487493&amp;VAR:P=1&amp;VAR:DATE=20100129"}</definedName>
    <definedName name="_14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Equity&amp;VAR:FQLFORMULA=FMA_ROE&amp;VAR:MEASURE=ROE&amp;VAR:NULL=.HTML&amp;VAR:PED=LTM&amp;VAR:PERIOD=FIXED&amp;VAR:THRESH=-|-|-|-|-|-&amp;VAR:PCT=Y&amp;VAR:V=8.487493&amp;VAR:P=1&amp;VAR:DATE=20100129"}</definedName>
    <definedName name="_14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Equity&amp;VAR:FQLFORMULA=FMA_ROE&amp;VAR:MEASURE=ROE&amp;VAR:NULL=.HTML&amp;VAR:PED=LTM&amp;VAR:PERIOD=FIXED&amp;VAR:THRESH=-|-|-|-|-|-&amp;VAR:PCT=Y&amp;VAR:V=8.487493&amp;VAR:P=1&amp;VAR:DATE=20100129"}</definedName>
    <definedName name="_14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Equity&amp;VAR:FQLFORMULA=FMA_ROE&amp;VAR:MEASURE=ROE&amp;VAR:NULL=.HTML&amp;VAR:PED=LTM&amp;VAR:PERIOD=FIXED&amp;VAR:THRESH=-|-|-|-|-|-&amp;VAR:PCT=Y&amp;VAR:V=8.393671&amp;VAR:P=1&amp;VAR:DATE=20091231"}</definedName>
    <definedName name="_14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Equity&amp;VAR:FQLFORMULA=FMA_ROE&amp;VAR:MEASURE=ROE&amp;VAR:NULL=.HTML&amp;VAR:PED=LTM&amp;VAR:PERIOD=FIXED&amp;VAR:THRESH=-|-|-|-|-|-&amp;VAR:PCT=Y&amp;VAR:V=8.393671&amp;VAR:P=1&amp;VAR:DATE=20091231"}</definedName>
    <definedName name="_14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Equity&amp;VAR:FQLFORMULA=FMA_ROE&amp;VAR:MEASURE=ROE&amp;VAR:NULL=.HTML&amp;VAR:PED=LTM&amp;VAR:PERIOD=FIXED&amp;VAR:THRESH=-|-|-|-|-|-&amp;VAR:PCT=Y&amp;VAR:V=8.393671&amp;VAR:P=1&amp;VAR:DATE=20091231"}</definedName>
    <definedName name="_14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Equity&amp;VAR:FQLFORMULA=FMA_ROE&amp;VAR:MEASURE=ROE&amp;VAR:NULL=.HTML&amp;VAR:PED=LTM&amp;VAR:PERIOD=FIXED&amp;VAR:THRESH=-|-|-|-|-|-&amp;VAR:PCT=Y&amp;VAR:V=8.686432&amp;VAR:P=1&amp;VAR:DATE=20091130"}</definedName>
    <definedName name="_14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Equity&amp;VAR:FQLFORMULA=FMA_ROE&amp;VAR:MEASURE=ROE&amp;VAR:NULL=.HTML&amp;VAR:PED=LTM&amp;VAR:PERIOD=FIXED&amp;VAR:THRESH=-|-|-|-|-|-&amp;VAR:PCT=Y&amp;VAR:V=8.686432&amp;VAR:P=1&amp;VAR:DATE=20091130"}</definedName>
    <definedName name="_14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Equity&amp;VAR:FQLFORMULA=FMA_ROE&amp;VAR:MEASURE=ROE&amp;VAR:NULL=.HTML&amp;VAR:PED=LTM&amp;VAR:PERIOD=FIXED&amp;VAR:THRESH=-|-|-|-|-|-&amp;VAR:PCT=Y&amp;VAR:V=8.686432&amp;VAR:P=1&amp;VAR:DATE=20091130"}</definedName>
    <definedName name="_14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Equity&amp;VAR:FQLFORMULA=FMA_ROE&amp;VAR:MEASURE=ROE&amp;VAR:NULL=.HTML&amp;VAR:PED=LTM&amp;VAR:PERIOD=FIXED&amp;VAR:THRESH=-|-|-|-|-|-&amp;VAR:PCT=Y&amp;VAR:V=8.402373&amp;VAR:P=1&amp;VAR:DATE=20091030"}</definedName>
    <definedName name="_14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Equity&amp;VAR:FQLFORMULA=FMA_ROE&amp;VAR:MEASURE=ROE&amp;VAR:NULL=.HTML&amp;VAR:PED=LTM&amp;VAR:PERIOD=FIXED&amp;VAR:THRESH=-|-|-|-|-|-&amp;VAR:PCT=Y&amp;VAR:V=8.402373&amp;VAR:P=1&amp;VAR:DATE=20091030"}</definedName>
    <definedName name="_14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Equity&amp;VAR:FQLFORMULA=FMA_ROE&amp;VAR:MEASURE=ROE&amp;VAR:NULL=.HTML&amp;VAR:PED=LTM&amp;VAR:PERIOD=FIXED&amp;VAR:THRESH=-|-|-|-|-|-&amp;VAR:PCT=Y&amp;VAR:V=8.402373&amp;VAR:P=1&amp;VAR:DATE=20091030"}</definedName>
    <definedName name="_14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Equity&amp;VAR:FQLFORMULA=FMA_ROE&amp;VAR:MEASURE=ROE&amp;VAR:NULL=.HTML&amp;VAR:PED=LTM&amp;VAR:PERIOD=FIXED&amp;VAR:THRESH=-|-|-|-|-|-&amp;VAR:PCT=Y&amp;VAR:V=8.460222&amp;VAR:P=1&amp;VAR:DATE=20090930"}</definedName>
    <definedName name="_14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Equity&amp;VAR:FQLFORMULA=FMA_ROE&amp;VAR:MEASURE=ROE&amp;VAR:NULL=.HTML&amp;VAR:PED=LTM&amp;VAR:PERIOD=FIXED&amp;VAR:THRESH=-|-|-|-|-|-&amp;VAR:PCT=Y&amp;VAR:V=8.460222&amp;VAR:P=1&amp;VAR:DATE=20090930"}</definedName>
    <definedName name="_14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Equity&amp;VAR:FQLFORMULA=FMA_ROE&amp;VAR:MEASURE=ROE&amp;VAR:NULL=.HTML&amp;VAR:PED=LTM&amp;VAR:PERIOD=FIXED&amp;VAR:THRESH=-|-|-|-|-|-&amp;VAR:PCT=Y&amp;VAR:V=8.460222&amp;VAR:P=1&amp;VAR:DATE=20090930"}</definedName>
    <definedName name="_14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Equity&amp;VAR:FQLFORMULA=FMA_ROE&amp;VAR:MEASURE=ROE&amp;VAR:NULL=.HTML&amp;VAR:PED=LTM&amp;VAR:PERIOD=FIXED&amp;VAR:THRESH=-|-|-|-|-|-&amp;VAR:PCT=Y&amp;VAR:V=8.675938&amp;VAR:P=1&amp;VAR:DATE=20090831"}</definedName>
    <definedName name="_14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Equity&amp;VAR:FQLFORMULA=FMA_ROE&amp;VAR:MEASURE=ROE&amp;VAR:NULL=.HTML&amp;VAR:PED=LTM&amp;VAR:PERIOD=FIXED&amp;VAR:THRESH=-|-|-|-|-|-&amp;VAR:PCT=Y&amp;VAR:V=8.675938&amp;VAR:P=1&amp;VAR:DATE=20090831"}</definedName>
    <definedName name="_14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Equity&amp;VAR:FQLFORMULA=FMA_ROE&amp;VAR:MEASURE=ROE&amp;VAR:NULL=.HTML&amp;VAR:PED=LTM&amp;VAR:PERIOD=FIXED&amp;VAR:THRESH=-|-|-|-|-|-&amp;VAR:PCT=Y&amp;VAR:V=8.675938&amp;VAR:P=1&amp;VAR:DATE=20090831"}</definedName>
    <definedName name="_14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Equity&amp;VAR:FQLFORMULA=FMA_ROE&amp;VAR:MEASURE=ROE&amp;VAR:NULL=.HTML&amp;VAR:PED=LTM&amp;VAR:PERIOD=FIXED&amp;VAR:THRESH=-|-|-|-|-|-&amp;VAR:PCT=Y&amp;VAR:V=9.831541&amp;VAR:P=1&amp;VAR:DATE=20090731"}</definedName>
    <definedName name="_14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Equity&amp;VAR:FQLFORMULA=FMA_ROE&amp;VAR:MEASURE=ROE&amp;VAR:NULL=.HTML&amp;VAR:PED=LTM&amp;VAR:PERIOD=FIXED&amp;VAR:THRESH=-|-|-|-|-|-&amp;VAR:PCT=Y&amp;VAR:V=9.831541&amp;VAR:P=1&amp;VAR:DATE=20090731"}</definedName>
    <definedName name="_14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Equity&amp;VAR:FQLFORMULA=FMA_ROE&amp;VAR:MEASURE=ROE&amp;VAR:NULL=.HTML&amp;VAR:PED=LTM&amp;VAR:PERIOD=FIXED&amp;VAR:THRESH=-|-|-|-|-|-&amp;VAR:PCT=Y&amp;VAR:V=9.831541&amp;VAR:P=1&amp;VAR:DATE=20090731"}</definedName>
    <definedName name="_14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Equity&amp;VAR:FQLFORMULA=FMA_ROE&amp;VAR:MEASURE=ROE&amp;VAR:NULL=.HTML&amp;VAR:PED=LTM&amp;VAR:PERIOD=FIXED&amp;VAR:THRESH=-|-|-|-|-|-&amp;VAR:PCT=Y&amp;VAR:V=9.900327&amp;VAR:P=1&amp;VAR:DATE=20090630"}</definedName>
    <definedName name="_14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Equity&amp;VAR:FQLFORMULA=FMA_ROE&amp;VAR:MEASURE=ROE&amp;VAR:NULL=.HTML&amp;VAR:PED=LTM&amp;VAR:PERIOD=FIXED&amp;VAR:THRESH=-|-|-|-|-|-&amp;VAR:PCT=Y&amp;VAR:V=9.900327&amp;VAR:P=1&amp;VAR:DATE=20090630"}</definedName>
    <definedName name="_14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Equity&amp;VAR:FQLFORMULA=FMA_ROE&amp;VAR:MEASURE=ROE&amp;VAR:NULL=.HTML&amp;VAR:PED=LTM&amp;VAR:PERIOD=FIXED&amp;VAR:THRESH=-|-|-|-|-|-&amp;VAR:PCT=Y&amp;VAR:V=9.900327&amp;VAR:P=1&amp;VAR:DATE=20090630"}</definedName>
    <definedName name="_14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Equity&amp;VAR:FQLFORMULA=FMA_ROE&amp;VAR:MEASURE=ROE&amp;VAR:NULL=.HTML&amp;VAR:PED=LTM&amp;VAR:PERIOD=FIXED&amp;VAR:THRESH=-|-|-|-|-|-&amp;VAR:PCT=Y&amp;VAR:V=9.590304&amp;VAR:P=1&amp;VAR:DATE=20090529"}</definedName>
    <definedName name="_14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Equity&amp;VAR:FQLFORMULA=FMA_ROE&amp;VAR:MEASURE=ROE&amp;VAR:NULL=.HTML&amp;VAR:PED=LTM&amp;VAR:PERIOD=FIXED&amp;VAR:THRESH=-|-|-|-|-|-&amp;VAR:PCT=Y&amp;VAR:V=9.590304&amp;VAR:P=1&amp;VAR:DATE=20090529"}</definedName>
    <definedName name="_14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Equity&amp;VAR:FQLFORMULA=FMA_ROE&amp;VAR:MEASURE=ROE&amp;VAR:NULL=.HTML&amp;VAR:PED=LTM&amp;VAR:PERIOD=FIXED&amp;VAR:THRESH=-|-|-|-|-|-&amp;VAR:PCT=Y&amp;VAR:V=9.590304&amp;VAR:P=1&amp;VAR:DATE=20090529"}</definedName>
    <definedName name="_15__FDSAUDITLINK__" localSheetId="8" hidden="1">{"fdsup://directions/FAT%20Viewer?VAR:PED=LTM&amp;VAR:PERIOD=FIXED&amp;VAR:V=12.411445&amp;VAR:PCT=Y&amp;VAR:AUDIT_ID=00000117&amp;VAR:DATE=20090227&amp;action=UPDATE&amp;creator=factset&amp;DOC_NAME=FAT:FMA_audit_SUMMARY.fat&amp;DISPLAY_STRING=Display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5__FDSAUDITLINK__" localSheetId="2" hidden="1">{"fdsup://directions/FAT%20Viewer?VAR:PED=LTM&amp;VAR:PERIOD=FIXED&amp;VAR:V=12.411445&amp;VAR:PCT=Y&amp;VAR:AUDIT_ID=00000117&amp;VAR:DATE=20090227&amp;action=UPDATE&amp;creator=factset&amp;DOC_NAME=FAT:FMA_audit_SUMMARY.fat&amp;DISPLAY_STRING=Display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5__FDSAUDITLINK__" hidden="1">{"fdsup://directions/FAT%20Viewer?VAR:PED=LTM&amp;VAR:PERIOD=FIXED&amp;VAR:V=12.411445&amp;VAR:PCT=Y&amp;VAR:AUDIT_ID=00000117&amp;VAR:DATE=20090227&amp;action=UPDATE&amp;creator=factset&amp;DOC_NAME=FAT:FMA_audit_SUMMARY.fat&amp;DISPLAY_STRING=Display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5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Equity&amp;VAR:FQLFORMULA=FMA_ROE&amp;VAR:MEASURE=ROE&amp;VAR:NULL=.HTML&amp;VAR:PED=LTM&amp;VAR:PERIOD=FIXED&amp;VAR:THRESH=-|-|-|-|-|-&amp;VAR:PCT=Y&amp;VAR:V=11.698240&amp;VAR:P=1&amp;VAR:DATE=20090430"}</definedName>
    <definedName name="_15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Equity&amp;VAR:FQLFORMULA=FMA_ROE&amp;VAR:MEASURE=ROE&amp;VAR:NULL=.HTML&amp;VAR:PED=LTM&amp;VAR:PERIOD=FIXED&amp;VAR:THRESH=-|-|-|-|-|-&amp;VAR:PCT=Y&amp;VAR:V=11.698240&amp;VAR:P=1&amp;VAR:DATE=20090430"}</definedName>
    <definedName name="_15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Equity&amp;VAR:FQLFORMULA=FMA_ROE&amp;VAR:MEASURE=ROE&amp;VAR:NULL=.HTML&amp;VAR:PED=LTM&amp;VAR:PERIOD=FIXED&amp;VAR:THRESH=-|-|-|-|-|-&amp;VAR:PCT=Y&amp;VAR:V=11.698240&amp;VAR:P=1&amp;VAR:DATE=20090430"}</definedName>
    <definedName name="_15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Equity&amp;VAR:FQLFORMULA=FMA_ROE&amp;VAR:MEASURE=ROE&amp;VAR:NULL=.HTML&amp;VAR:PED=LTM&amp;VAR:PERIOD=FIXED&amp;VAR:THRESH=-|-|-|-|-|-&amp;VAR:PCT=Y&amp;VAR:V=11.718265&amp;VAR:P=1&amp;VAR:DATE=20090331"}</definedName>
    <definedName name="_15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Equity&amp;VAR:FQLFORMULA=FMA_ROE&amp;VAR:MEASURE=ROE&amp;VAR:NULL=.HTML&amp;VAR:PED=LTM&amp;VAR:PERIOD=FIXED&amp;VAR:THRESH=-|-|-|-|-|-&amp;VAR:PCT=Y&amp;VAR:V=11.718265&amp;VAR:P=1&amp;VAR:DATE=20090331"}</definedName>
    <definedName name="_15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Equity&amp;VAR:FQLFORMULA=FMA_ROE&amp;VAR:MEASURE=ROE&amp;VAR:NULL=.HTML&amp;VAR:PED=LTM&amp;VAR:PERIOD=FIXED&amp;VAR:THRESH=-|-|-|-|-|-&amp;VAR:PCT=Y&amp;VAR:V=11.718265&amp;VAR:P=1&amp;VAR:DATE=20090331"}</definedName>
    <definedName name="_15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Equity&amp;VAR:FQLFORMULA=FMA_ROE&amp;VAR:MEASURE=ROE&amp;VAR:NULL=.HTML&amp;VAR:PED=LTM&amp;VAR:PERIOD=FIXED&amp;VAR:THRESH=-|-|-|-|-|-&amp;VAR:PCT=Y&amp;VAR:V=11.802463&amp;VAR:P=1&amp;VAR:DATE=20090227"}</definedName>
    <definedName name="_15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Equity&amp;VAR:FQLFORMULA=FMA_ROE&amp;VAR:MEASURE=ROE&amp;VAR:NULL=.HTML&amp;VAR:PED=LTM&amp;VAR:PERIOD=FIXED&amp;VAR:THRESH=-|-|-|-|-|-&amp;VAR:PCT=Y&amp;VAR:V=11.802463&amp;VAR:P=1&amp;VAR:DATE=20090227"}</definedName>
    <definedName name="_15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Equity&amp;VAR:FQLFORMULA=FMA_ROE&amp;VAR:MEASURE=ROE&amp;VAR:NULL=.HTML&amp;VAR:PED=LTM&amp;VAR:PERIOD=FIXED&amp;VAR:THRESH=-|-|-|-|-|-&amp;VAR:PCT=Y&amp;VAR:V=11.802463&amp;VAR:P=1&amp;VAR:DATE=20090227"}</definedName>
    <definedName name="_15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Equity&amp;VAR:FQLFORMULA=FMA_ROE&amp;VAR:MEASURE=ROE&amp;VAR:NULL=.HTML&amp;VAR:PED=LTM&amp;VAR:PERIOD=FIXED&amp;VAR:THRESH=-|-|-|-|-|-&amp;VAR:PCT=Y&amp;VAR:V=13.721366&amp;VAR:P=1&amp;VAR:DATE=20090130"}</definedName>
    <definedName name="_15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Equity&amp;VAR:FQLFORMULA=FMA_ROE&amp;VAR:MEASURE=ROE&amp;VAR:NULL=.HTML&amp;VAR:PED=LTM&amp;VAR:PERIOD=FIXED&amp;VAR:THRESH=-|-|-|-|-|-&amp;VAR:PCT=Y&amp;VAR:V=13.721366&amp;VAR:P=1&amp;VAR:DATE=20090130"}</definedName>
    <definedName name="_15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Equity&amp;VAR:FQLFORMULA=FMA_ROE&amp;VAR:MEASURE=ROE&amp;VAR:NULL=.HTML&amp;VAR:PED=LTM&amp;VAR:PERIOD=FIXED&amp;VAR:THRESH=-|-|-|-|-|-&amp;VAR:PCT=Y&amp;VAR:V=13.721366&amp;VAR:P=1&amp;VAR:DATE=20090130"}</definedName>
    <definedName name="_15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Equity&amp;VAR:FQLFORMULA=FMA_ROE&amp;VAR:MEASURE=ROE&amp;VAR:NULL=.HTML&amp;VAR:PED=LTM&amp;VAR:PERIOD=FIXED&amp;VAR:THRESH=-|-|-|-|-|-&amp;VAR:PCT=Y&amp;VAR:V=13.033469&amp;VAR:P=1&amp;VAR:DATE=20081231"}</definedName>
    <definedName name="_15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Equity&amp;VAR:FQLFORMULA=FMA_ROE&amp;VAR:MEASURE=ROE&amp;VAR:NULL=.HTML&amp;VAR:PED=LTM&amp;VAR:PERIOD=FIXED&amp;VAR:THRESH=-|-|-|-|-|-&amp;VAR:PCT=Y&amp;VAR:V=13.033469&amp;VAR:P=1&amp;VAR:DATE=20081231"}</definedName>
    <definedName name="_15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Equity&amp;VAR:FQLFORMULA=FMA_ROE&amp;VAR:MEASURE=ROE&amp;VAR:NULL=.HTML&amp;VAR:PED=LTM&amp;VAR:PERIOD=FIXED&amp;VAR:THRESH=-|-|-|-|-|-&amp;VAR:PCT=Y&amp;VAR:V=13.033469&amp;VAR:P=1&amp;VAR:DATE=20081231"}</definedName>
    <definedName name="_15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Equity&amp;VAR:FQLFORMULA=FMA_ROE&amp;VAR:MEASURE=ROE&amp;VAR:NULL=.HTML&amp;VAR:PED=LTM&amp;VAR:PERIOD=FIXED&amp;VAR:THRESH=-|-|-|-|-|-&amp;VAR:PCT=Y&amp;VAR:V=13.118599&amp;VAR:P=1&amp;VAR:DATE=20081128"}</definedName>
    <definedName name="_15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Equity&amp;VAR:FQLFORMULA=FMA_ROE&amp;VAR:MEASURE=ROE&amp;VAR:NULL=.HTML&amp;VAR:PED=LTM&amp;VAR:PERIOD=FIXED&amp;VAR:THRESH=-|-|-|-|-|-&amp;VAR:PCT=Y&amp;VAR:V=13.118599&amp;VAR:P=1&amp;VAR:DATE=20081128"}</definedName>
    <definedName name="_15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Equity&amp;VAR:FQLFORMULA=FMA_ROE&amp;VAR:MEASURE=ROE&amp;VAR:NULL=.HTML&amp;VAR:PED=LTM&amp;VAR:PERIOD=FIXED&amp;VAR:THRESH=-|-|-|-|-|-&amp;VAR:PCT=Y&amp;VAR:V=13.118599&amp;VAR:P=1&amp;VAR:DATE=20081128"}</definedName>
    <definedName name="_15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Equity&amp;VAR:FQLFORMULA=FMA_ROE&amp;VAR:MEASURE=ROE&amp;VAR:NULL=.HTML&amp;VAR:PED=LTM&amp;VAR:PERIOD=FIXED&amp;VAR:THRESH=-|-|-|-|-|-&amp;VAR:PCT=Y&amp;VAR:V=12.897286&amp;VAR:P=1&amp;VAR:DATE=20081031"}</definedName>
    <definedName name="_15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Equity&amp;VAR:FQLFORMULA=FMA_ROE&amp;VAR:MEASURE=ROE&amp;VAR:NULL=.HTML&amp;VAR:PED=LTM&amp;VAR:PERIOD=FIXED&amp;VAR:THRESH=-|-|-|-|-|-&amp;VAR:PCT=Y&amp;VAR:V=12.897286&amp;VAR:P=1&amp;VAR:DATE=20081031"}</definedName>
    <definedName name="_15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Equity&amp;VAR:FQLFORMULA=FMA_ROE&amp;VAR:MEASURE=ROE&amp;VAR:NULL=.HTML&amp;VAR:PED=LTM&amp;VAR:PERIOD=FIXED&amp;VAR:THRESH=-|-|-|-|-|-&amp;VAR:PCT=Y&amp;VAR:V=12.897286&amp;VAR:P=1&amp;VAR:DATE=20081031"}</definedName>
    <definedName name="_15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Equity&amp;VAR:FQLFORMULA=FMA_ROE&amp;VAR:MEASURE=ROE&amp;VAR:NULL=.HTML&amp;VAR:PED=LTM&amp;VAR:PERIOD=FIXED&amp;VAR:THRESH=-|-|-|-|-|-&amp;VAR:PCT=Y&amp;VAR:V=13.058599&amp;VAR:P=1&amp;VAR:DATE=20080930"}</definedName>
    <definedName name="_15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Equity&amp;VAR:FQLFORMULA=FMA_ROE&amp;VAR:MEASURE=ROE&amp;VAR:NULL=.HTML&amp;VAR:PED=LTM&amp;VAR:PERIOD=FIXED&amp;VAR:THRESH=-|-|-|-|-|-&amp;VAR:PCT=Y&amp;VAR:V=13.058599&amp;VAR:P=1&amp;VAR:DATE=20080930"}</definedName>
    <definedName name="_15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Equity&amp;VAR:FQLFORMULA=FMA_ROE&amp;VAR:MEASURE=ROE&amp;VAR:NULL=.HTML&amp;VAR:PED=LTM&amp;VAR:PERIOD=FIXED&amp;VAR:THRESH=-|-|-|-|-|-&amp;VAR:PCT=Y&amp;VAR:V=13.058599&amp;VAR:P=1&amp;VAR:DATE=20080930"}</definedName>
    <definedName name="_15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Equity&amp;VAR:FQLFORMULA=FMA_ROE&amp;VAR:MEASURE=ROE&amp;VAR:NULL=.HTML&amp;VAR:PED=LTM&amp;VAR:PERIOD=FIXED&amp;VAR:THRESH=-|-|-|-|-|-&amp;VAR:PCT=Y&amp;VAR:V=12.447618&amp;VAR:P=1&amp;VAR:DATE=20080829"}</definedName>
    <definedName name="_15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Equity&amp;VAR:FQLFORMULA=FMA_ROE&amp;VAR:MEASURE=ROE&amp;VAR:NULL=.HTML&amp;VAR:PED=LTM&amp;VAR:PERIOD=FIXED&amp;VAR:THRESH=-|-|-|-|-|-&amp;VAR:PCT=Y&amp;VAR:V=12.447618&amp;VAR:P=1&amp;VAR:DATE=20080829"}</definedName>
    <definedName name="_15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Equity&amp;VAR:FQLFORMULA=FMA_ROE&amp;VAR:MEASURE=ROE&amp;VAR:NULL=.HTML&amp;VAR:PED=LTM&amp;VAR:PERIOD=FIXED&amp;VAR:THRESH=-|-|-|-|-|-&amp;VAR:PCT=Y&amp;VAR:V=12.447618&amp;VAR:P=1&amp;VAR:DATE=20080829"}</definedName>
    <definedName name="_15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Equity&amp;VAR:FQLFORMULA=FMA_ROE&amp;VAR:MEASURE=ROE&amp;VAR:NULL=.HTML&amp;VAR:PED=LTM&amp;VAR:PERIOD=FIXED&amp;VAR:THRESH=-|-|-|-|-|-&amp;VAR:PCT=Y&amp;VAR:V=13.827284&amp;VAR:P=1&amp;VAR:DATE=20080731"}</definedName>
    <definedName name="_15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Equity&amp;VAR:FQLFORMULA=FMA_ROE&amp;VAR:MEASURE=ROE&amp;VAR:NULL=.HTML&amp;VAR:PED=LTM&amp;VAR:PERIOD=FIXED&amp;VAR:THRESH=-|-|-|-|-|-&amp;VAR:PCT=Y&amp;VAR:V=13.827284&amp;VAR:P=1&amp;VAR:DATE=20080731"}</definedName>
    <definedName name="_15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Equity&amp;VAR:FQLFORMULA=FMA_ROE&amp;VAR:MEASURE=ROE&amp;VAR:NULL=.HTML&amp;VAR:PED=LTM&amp;VAR:PERIOD=FIXED&amp;VAR:THRESH=-|-|-|-|-|-&amp;VAR:PCT=Y&amp;VAR:V=13.827284&amp;VAR:P=1&amp;VAR:DATE=20080731"}</definedName>
    <definedName name="_16_._0Restructuring_char">'[2]Invested capital_VDF'!#REF!</definedName>
    <definedName name="_16__FDSAUDITLINK__" localSheetId="8" hidden="1">{"fdsup://directions/FAT%20Viewer?VAR:PED=LTM&amp;VAR:PERIOD=FIXED&amp;VAR:V=14.021774&amp;VAR:PCT=Y&amp;VAR:AUDIT_ID=00000117&amp;VAR:DATE=20090130&amp;action=UPDATE&amp;creator=factset&amp;DOC_NAME=FAT:FMA_audit_SUMMARY.fat&amp;DISPLAY_STRING=Display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6__FDSAUDITLINK__" localSheetId="2" hidden="1">{"fdsup://directions/FAT%20Viewer?VAR:PED=LTM&amp;VAR:PERIOD=FIXED&amp;VAR:V=14.021774&amp;VAR:PCT=Y&amp;VAR:AUDIT_ID=00000117&amp;VAR:DATE=20090130&amp;action=UPDATE&amp;creator=factset&amp;DOC_NAME=FAT:FMA_audit_SUMMARY.fat&amp;DISPLAY_STRING=Display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6__FDSAUDITLINK__" hidden="1">{"fdsup://directions/FAT%20Viewer?VAR:PED=LTM&amp;VAR:PERIOD=FIXED&amp;VAR:V=14.021774&amp;VAR:PCT=Y&amp;VAR:AUDIT_ID=00000117&amp;VAR:DATE=20090130&amp;action=UPDATE&amp;creator=factset&amp;DOC_NAME=FAT:FMA_audit_SUMMARY.fat&amp;DISPLAY_STRING=Display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6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Equity&amp;VAR:FQLFORMULA=FMA_ROE&amp;VAR:MEASURE=ROE&amp;VAR:NULL=.HTML&amp;VAR:PED=LTM&amp;VAR:PERIOD=FIXED&amp;VAR:THRESH=-|-|-|-|-|-&amp;VAR:PCT=Y&amp;VAR:V=13.984017&amp;VAR:P=1&amp;VAR:DATE=20080630"}</definedName>
    <definedName name="_16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Equity&amp;VAR:FQLFORMULA=FMA_ROE&amp;VAR:MEASURE=ROE&amp;VAR:NULL=.HTML&amp;VAR:PED=LTM&amp;VAR:PERIOD=FIXED&amp;VAR:THRESH=-|-|-|-|-|-&amp;VAR:PCT=Y&amp;VAR:V=13.984017&amp;VAR:P=1&amp;VAR:DATE=20080630"}</definedName>
    <definedName name="_16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Equity&amp;VAR:FQLFORMULA=FMA_ROE&amp;VAR:MEASURE=ROE&amp;VAR:NULL=.HTML&amp;VAR:PED=LTM&amp;VAR:PERIOD=FIXED&amp;VAR:THRESH=-|-|-|-|-|-&amp;VAR:PCT=Y&amp;VAR:V=13.984017&amp;VAR:P=1&amp;VAR:DATE=20080630"}</definedName>
    <definedName name="_16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Equity&amp;VAR:FQLFORMULA=FMA_ROE&amp;VAR:MEASURE=ROE&amp;VAR:NULL=.HTML&amp;VAR:PED=LTM&amp;VAR:PERIOD=FIXED&amp;VAR:THRESH=-|-|-|-|-|-&amp;VAR:PCT=Y&amp;VAR:V=13.670739&amp;VAR:P=1&amp;VAR:DATE=20080530"}</definedName>
    <definedName name="_16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Equity&amp;VAR:FQLFORMULA=FMA_ROE&amp;VAR:MEASURE=ROE&amp;VAR:NULL=.HTML&amp;VAR:PED=LTM&amp;VAR:PERIOD=FIXED&amp;VAR:THRESH=-|-|-|-|-|-&amp;VAR:PCT=Y&amp;VAR:V=13.670739&amp;VAR:P=1&amp;VAR:DATE=20080530"}</definedName>
    <definedName name="_16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Equity&amp;VAR:FQLFORMULA=FMA_ROE&amp;VAR:MEASURE=ROE&amp;VAR:NULL=.HTML&amp;VAR:PED=LTM&amp;VAR:PERIOD=FIXED&amp;VAR:THRESH=-|-|-|-|-|-&amp;VAR:PCT=Y&amp;VAR:V=13.670739&amp;VAR:P=1&amp;VAR:DATE=20080530"}</definedName>
    <definedName name="_16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Equity&amp;VAR:FQLFORMULA=FMA_ROE&amp;VAR:MEASURE=ROE&amp;VAR:NULL=.HTML&amp;VAR:PED=LTM&amp;VAR:PERIOD=FIXED&amp;VAR:THRESH=-|-|-|-|-|-&amp;VAR:PCT=Y&amp;VAR:V=13.363044&amp;VAR:P=1&amp;VAR:DATE=20080430"}</definedName>
    <definedName name="_16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Equity&amp;VAR:FQLFORMULA=FMA_ROE&amp;VAR:MEASURE=ROE&amp;VAR:NULL=.HTML&amp;VAR:PED=LTM&amp;VAR:PERIOD=FIXED&amp;VAR:THRESH=-|-|-|-|-|-&amp;VAR:PCT=Y&amp;VAR:V=13.363044&amp;VAR:P=1&amp;VAR:DATE=20080430"}</definedName>
    <definedName name="_16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Equity&amp;VAR:FQLFORMULA=FMA_ROE&amp;VAR:MEASURE=ROE&amp;VAR:NULL=.HTML&amp;VAR:PED=LTM&amp;VAR:PERIOD=FIXED&amp;VAR:THRESH=-|-|-|-|-|-&amp;VAR:PCT=Y&amp;VAR:V=13.363044&amp;VAR:P=1&amp;VAR:DATE=20080430"}</definedName>
    <definedName name="_16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Equity&amp;VAR:FQLFORMULA=FMA_ROE&amp;VAR:MEASURE=ROE&amp;VAR:NULL=.HTML&amp;VAR:PED=LTM&amp;VAR:PERIOD=FIXED&amp;VAR:THRESH=-|-|-|-|-|-&amp;VAR:PCT=Y&amp;VAR:V=13.434152&amp;VAR:P=1&amp;VAR:DATE=20080331"}</definedName>
    <definedName name="_16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Equity&amp;VAR:FQLFORMULA=FMA_ROE&amp;VAR:MEASURE=ROE&amp;VAR:NULL=.HTML&amp;VAR:PED=LTM&amp;VAR:PERIOD=FIXED&amp;VAR:THRESH=-|-|-|-|-|-&amp;VAR:PCT=Y&amp;VAR:V=13.434152&amp;VAR:P=1&amp;VAR:DATE=20080331"}</definedName>
    <definedName name="_16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Equity&amp;VAR:FQLFORMULA=FMA_ROE&amp;VAR:MEASURE=ROE&amp;VAR:NULL=.HTML&amp;VAR:PED=LTM&amp;VAR:PERIOD=FIXED&amp;VAR:THRESH=-|-|-|-|-|-&amp;VAR:PCT=Y&amp;VAR:V=13.434152&amp;VAR:P=1&amp;VAR:DATE=20080331"}</definedName>
    <definedName name="_16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Equity&amp;VAR:FQLFORMULA=FMA_ROE&amp;VAR:MEASURE=ROE&amp;VAR:NULL=.HTML&amp;VAR:PED=LTM&amp;VAR:PERIOD=FIXED&amp;VAR:THRESH=-|-|-|-|-|-&amp;VAR:PCT=Y&amp;VAR:V=13.613938&amp;VAR:P=1&amp;VAR:DATE=20080229"}</definedName>
    <definedName name="_16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Equity&amp;VAR:FQLFORMULA=FMA_ROE&amp;VAR:MEASURE=ROE&amp;VAR:NULL=.HTML&amp;VAR:PED=LTM&amp;VAR:PERIOD=FIXED&amp;VAR:THRESH=-|-|-|-|-|-&amp;VAR:PCT=Y&amp;VAR:V=13.613938&amp;VAR:P=1&amp;VAR:DATE=20080229"}</definedName>
    <definedName name="_16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Equity&amp;VAR:FQLFORMULA=FMA_ROE&amp;VAR:MEASURE=ROE&amp;VAR:NULL=.HTML&amp;VAR:PED=LTM&amp;VAR:PERIOD=FIXED&amp;VAR:THRESH=-|-|-|-|-|-&amp;VAR:PCT=Y&amp;VAR:V=13.613938&amp;VAR:P=1&amp;VAR:DATE=20080229"}</definedName>
    <definedName name="_16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Equity&amp;VAR:FQLFORMULA=FMA_ROE&amp;VAR:MEASURE=ROE&amp;VAR:NULL=.HTML&amp;VAR:PED=LTM&amp;VAR:PERIOD=FIXED&amp;VAR:THRESH=-|-|-|-|-|-&amp;VAR:PCT=Y&amp;VAR:V=15.630959&amp;VAR:P=1&amp;VAR:DATE=20080131"}</definedName>
    <definedName name="_16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Equity&amp;VAR:FQLFORMULA=FMA_ROE&amp;VAR:MEASURE=ROE&amp;VAR:NULL=.HTML&amp;VAR:PED=LTM&amp;VAR:PERIOD=FIXED&amp;VAR:THRESH=-|-|-|-|-|-&amp;VAR:PCT=Y&amp;VAR:V=15.630959&amp;VAR:P=1&amp;VAR:DATE=20080131"}</definedName>
    <definedName name="_16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Equity&amp;VAR:FQLFORMULA=FMA_ROE&amp;VAR:MEASURE=ROE&amp;VAR:NULL=.HTML&amp;VAR:PED=LTM&amp;VAR:PERIOD=FIXED&amp;VAR:THRESH=-|-|-|-|-|-&amp;VAR:PCT=Y&amp;VAR:V=15.630959&amp;VAR:P=1&amp;VAR:DATE=20080131"}</definedName>
    <definedName name="_16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Equity&amp;VAR:FQLFORMULA=FMA_ROE&amp;VAR:MEASURE=ROE&amp;VAR:NULL=.HTML&amp;VAR:PED=LTM&amp;VAR:PERIOD=FIXED&amp;VAR:THRESH=-|-|-|-|-|-&amp;VAR:PCT=Y&amp;VAR:V=15.817758&amp;VAR:P=1&amp;VAR:DATE=20071231"}</definedName>
    <definedName name="_16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Equity&amp;VAR:FQLFORMULA=FMA_ROE&amp;VAR:MEASURE=ROE&amp;VAR:NULL=.HTML&amp;VAR:PED=LTM&amp;VAR:PERIOD=FIXED&amp;VAR:THRESH=-|-|-|-|-|-&amp;VAR:PCT=Y&amp;VAR:V=15.817758&amp;VAR:P=1&amp;VAR:DATE=20071231"}</definedName>
    <definedName name="_16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Equity&amp;VAR:FQLFORMULA=FMA_ROE&amp;VAR:MEASURE=ROE&amp;VAR:NULL=.HTML&amp;VAR:PED=LTM&amp;VAR:PERIOD=FIXED&amp;VAR:THRESH=-|-|-|-|-|-&amp;VAR:PCT=Y&amp;VAR:V=15.817758&amp;VAR:P=1&amp;VAR:DATE=20071231"}</definedName>
    <definedName name="_16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Equity&amp;VAR:FQLFORMULA=FMA_ROE&amp;VAR:MEASURE=ROE&amp;VAR:NULL=.HTML&amp;VAR:PED=LTM&amp;VAR:PERIOD=FIXED&amp;VAR:THRESH=-|-|-|-|-|-&amp;VAR:PCT=Y&amp;VAR:V=15.820871&amp;VAR:P=1&amp;VAR:DATE=20071130"}</definedName>
    <definedName name="_16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Equity&amp;VAR:FQLFORMULA=FMA_ROE&amp;VAR:MEASURE=ROE&amp;VAR:NULL=.HTML&amp;VAR:PED=LTM&amp;VAR:PERIOD=FIXED&amp;VAR:THRESH=-|-|-|-|-|-&amp;VAR:PCT=Y&amp;VAR:V=15.820871&amp;VAR:P=1&amp;VAR:DATE=20071130"}</definedName>
    <definedName name="_16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Equity&amp;VAR:FQLFORMULA=FMA_ROE&amp;VAR:MEASURE=ROE&amp;VAR:NULL=.HTML&amp;VAR:PED=LTM&amp;VAR:PERIOD=FIXED&amp;VAR:THRESH=-|-|-|-|-|-&amp;VAR:PCT=Y&amp;VAR:V=15.820871&amp;VAR:P=1&amp;VAR:DATE=20071130"}</definedName>
    <definedName name="_16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Equity&amp;VAR:FQLFORMULA=FMA_ROE&amp;VAR:MEASURE=ROE&amp;VAR:NULL=.HTML&amp;VAR:PED=LTM&amp;VAR:PERIOD=FIXED&amp;VAR:THRESH=-|-|-|-|-|-&amp;VAR:PCT=Y&amp;VAR:V=16.998701&amp;VAR:P=1&amp;VAR:DATE=20071031"}</definedName>
    <definedName name="_16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Equity&amp;VAR:FQLFORMULA=FMA_ROE&amp;VAR:MEASURE=ROE&amp;VAR:NULL=.HTML&amp;VAR:PED=LTM&amp;VAR:PERIOD=FIXED&amp;VAR:THRESH=-|-|-|-|-|-&amp;VAR:PCT=Y&amp;VAR:V=16.998701&amp;VAR:P=1&amp;VAR:DATE=20071031"}</definedName>
    <definedName name="_16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Equity&amp;VAR:FQLFORMULA=FMA_ROE&amp;VAR:MEASURE=ROE&amp;VAR:NULL=.HTML&amp;VAR:PED=LTM&amp;VAR:PERIOD=FIXED&amp;VAR:THRESH=-|-|-|-|-|-&amp;VAR:PCT=Y&amp;VAR:V=16.998701&amp;VAR:P=1&amp;VAR:DATE=20071031"}</definedName>
    <definedName name="_16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Equity&amp;VAR:FQLFORMULA=FMA_ROE&amp;VAR:MEASURE=ROE&amp;VAR:NULL=.HTML&amp;VAR:PED=LTM&amp;VAR:PERIOD=FIXED&amp;VAR:THRESH=-|-|-|-|-|-&amp;VAR:PCT=Y&amp;VAR:V=16.974273&amp;VAR:P=1&amp;VAR:DATE=20070928"}</definedName>
    <definedName name="_16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Equity&amp;VAR:FQLFORMULA=FMA_ROE&amp;VAR:MEASURE=ROE&amp;VAR:NULL=.HTML&amp;VAR:PED=LTM&amp;VAR:PERIOD=FIXED&amp;VAR:THRESH=-|-|-|-|-|-&amp;VAR:PCT=Y&amp;VAR:V=16.974273&amp;VAR:P=1&amp;VAR:DATE=20070928"}</definedName>
    <definedName name="_16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Equity&amp;VAR:FQLFORMULA=FMA_ROE&amp;VAR:MEASURE=ROE&amp;VAR:NULL=.HTML&amp;VAR:PED=LTM&amp;VAR:PERIOD=FIXED&amp;VAR:THRESH=-|-|-|-|-|-&amp;VAR:PCT=Y&amp;VAR:V=16.974273&amp;VAR:P=1&amp;VAR:DATE=20070928"}</definedName>
    <definedName name="_17__FDSAUDITLINK__" localSheetId="8" hidden="1">{"fdsup://directions/FAT%20Viewer?VAR:PED=LTM&amp;VAR:PERIOD=FIXED&amp;VAR:V=13.331147&amp;VAR:PCT=Y&amp;VAR:AUDIT_ID=00000117&amp;VAR:DATE=20081231&amp;action=UPDATE&amp;creator=factset&amp;DOC_NAME=FAT:FMA_audit_SUMMARY.fat&amp;DISPLAY_STRING=Display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7__FDSAUDITLINK__" localSheetId="2" hidden="1">{"fdsup://directions/FAT%20Viewer?VAR:PED=LTM&amp;VAR:PERIOD=FIXED&amp;VAR:V=13.331147&amp;VAR:PCT=Y&amp;VAR:AUDIT_ID=00000117&amp;VAR:DATE=20081231&amp;action=UPDATE&amp;creator=factset&amp;DOC_NAME=FAT:FMA_audit_SUMMARY.fat&amp;DISPLAY_STRING=Display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7__FDSAUDITLINK__" hidden="1">{"fdsup://directions/FAT%20Viewer?VAR:PED=LTM&amp;VAR:PERIOD=FIXED&amp;VAR:V=13.331147&amp;VAR:PCT=Y&amp;VAR:AUDIT_ID=00000117&amp;VAR:DATE=20081231&amp;action=UPDATE&amp;creator=factset&amp;DOC_NAME=FAT:FMA_audit_SUMMARY.fat&amp;DISPLAY_STRING=Display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7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Equity&amp;VAR:FQLFORMULA=FMA_ROE&amp;VAR:MEASURE=ROE&amp;VAR:NULL=.HTML&amp;VAR:PED=LTM&amp;VAR:PERIOD=FIXED&amp;VAR:THRESH=-|-|-|-|-|-&amp;VAR:PCT=Y&amp;VAR:V=16.979385&amp;VAR:P=1&amp;VAR:DATE=20070831"}</definedName>
    <definedName name="_17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Equity&amp;VAR:FQLFORMULA=FMA_ROE&amp;VAR:MEASURE=ROE&amp;VAR:NULL=.HTML&amp;VAR:PED=LTM&amp;VAR:PERIOD=FIXED&amp;VAR:THRESH=-|-|-|-|-|-&amp;VAR:PCT=Y&amp;VAR:V=16.979385&amp;VAR:P=1&amp;VAR:DATE=20070831"}</definedName>
    <definedName name="_17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Equity&amp;VAR:FQLFORMULA=FMA_ROE&amp;VAR:MEASURE=ROE&amp;VAR:NULL=.HTML&amp;VAR:PED=LTM&amp;VAR:PERIOD=FIXED&amp;VAR:THRESH=-|-|-|-|-|-&amp;VAR:PCT=Y&amp;VAR:V=16.979385&amp;VAR:P=1&amp;VAR:DATE=20070831"}</definedName>
    <definedName name="_17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Equity&amp;VAR:FQLFORMULA=FMA_ROE&amp;VAR:MEASURE=ROE&amp;VAR:NULL=.HTML&amp;VAR:PED=LTM&amp;VAR:PERIOD=FIXED&amp;VAR:THRESH=-|-|-|-|-|-&amp;VAR:PCT=Y&amp;VAR:V=16.918845&amp;VAR:P=1&amp;VAR:DATE=20070731"}</definedName>
    <definedName name="_17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Equity&amp;VAR:FQLFORMULA=FMA_ROE&amp;VAR:MEASURE=ROE&amp;VAR:NULL=.HTML&amp;VAR:PED=LTM&amp;VAR:PERIOD=FIXED&amp;VAR:THRESH=-|-|-|-|-|-&amp;VAR:PCT=Y&amp;VAR:V=16.918845&amp;VAR:P=1&amp;VAR:DATE=20070731"}</definedName>
    <definedName name="_17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Equity&amp;VAR:FQLFORMULA=FMA_ROE&amp;VAR:MEASURE=ROE&amp;VAR:NULL=.HTML&amp;VAR:PED=LTM&amp;VAR:PERIOD=FIXED&amp;VAR:THRESH=-|-|-|-|-|-&amp;VAR:PCT=Y&amp;VAR:V=16.918845&amp;VAR:P=1&amp;VAR:DATE=20070731"}</definedName>
    <definedName name="_17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Equity&amp;VAR:FQLFORMULA=FMA_ROE&amp;VAR:MEASURE=ROE&amp;VAR:NULL=.HTML&amp;VAR:PED=LTM&amp;VAR:PERIOD=FIXED&amp;VAR:THRESH=-|-|-|-|-|-&amp;VAR:PCT=Y&amp;VAR:V=16.933916&amp;VAR:P=1&amp;VAR:DATE=20070629"}</definedName>
    <definedName name="_17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Equity&amp;VAR:FQLFORMULA=FMA_ROE&amp;VAR:MEASURE=ROE&amp;VAR:NULL=.HTML&amp;VAR:PED=LTM&amp;VAR:PERIOD=FIXED&amp;VAR:THRESH=-|-|-|-|-|-&amp;VAR:PCT=Y&amp;VAR:V=16.933916&amp;VAR:P=1&amp;VAR:DATE=20070629"}</definedName>
    <definedName name="_17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Equity&amp;VAR:FQLFORMULA=FMA_ROE&amp;VAR:MEASURE=ROE&amp;VAR:NULL=.HTML&amp;VAR:PED=LTM&amp;VAR:PERIOD=FIXED&amp;VAR:THRESH=-|-|-|-|-|-&amp;VAR:PCT=Y&amp;VAR:V=16.933916&amp;VAR:P=1&amp;VAR:DATE=20070629"}</definedName>
    <definedName name="_17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Equity&amp;VAR:FQLFORMULA=FMA_ROE&amp;VAR:MEASURE=ROE&amp;VAR:NULL=.HTML&amp;VAR:PED=LTM&amp;VAR:PERIOD=FIXED&amp;VAR:THRESH=-|-|-|-|-|-&amp;VAR:PCT=Y&amp;VAR:V=16.912256&amp;VAR:P=1&amp;VAR:DATE=20070531"}</definedName>
    <definedName name="_17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Equity&amp;VAR:FQLFORMULA=FMA_ROE&amp;VAR:MEASURE=ROE&amp;VAR:NULL=.HTML&amp;VAR:PED=LTM&amp;VAR:PERIOD=FIXED&amp;VAR:THRESH=-|-|-|-|-|-&amp;VAR:PCT=Y&amp;VAR:V=16.912256&amp;VAR:P=1&amp;VAR:DATE=20070531"}</definedName>
    <definedName name="_17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Equity&amp;VAR:FQLFORMULA=FMA_ROE&amp;VAR:MEASURE=ROE&amp;VAR:NULL=.HTML&amp;VAR:PED=LTM&amp;VAR:PERIOD=FIXED&amp;VAR:THRESH=-|-|-|-|-|-&amp;VAR:PCT=Y&amp;VAR:V=16.912256&amp;VAR:P=1&amp;VAR:DATE=20070531"}</definedName>
    <definedName name="_17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Equity&amp;VAR:FQLFORMULA=FMA_ROE&amp;VAR:MEASURE=ROE&amp;VAR:NULL=.HTML&amp;VAR:PED=LTM&amp;VAR:PERIOD=FIXED&amp;VAR:THRESH=-|-|-|-|-|-&amp;VAR:PCT=Y&amp;VAR:V=17.259031&amp;VAR:P=1&amp;VAR:DATE=20070430"}</definedName>
    <definedName name="_17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Equity&amp;VAR:FQLFORMULA=FMA_ROE&amp;VAR:MEASURE=ROE&amp;VAR:NULL=.HTML&amp;VAR:PED=LTM&amp;VAR:PERIOD=FIXED&amp;VAR:THRESH=-|-|-|-|-|-&amp;VAR:PCT=Y&amp;VAR:V=17.259031&amp;VAR:P=1&amp;VAR:DATE=20070430"}</definedName>
    <definedName name="_17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Equity&amp;VAR:FQLFORMULA=FMA_ROE&amp;VAR:MEASURE=ROE&amp;VAR:NULL=.HTML&amp;VAR:PED=LTM&amp;VAR:PERIOD=FIXED&amp;VAR:THRESH=-|-|-|-|-|-&amp;VAR:PCT=Y&amp;VAR:V=17.259031&amp;VAR:P=1&amp;VAR:DATE=20070430"}</definedName>
    <definedName name="_17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Equity&amp;VAR:FQLFORMULA=FMA_ROE&amp;VAR:MEASURE=ROE&amp;VAR:NULL=.HTML&amp;VAR:PED=LTM&amp;VAR:PERIOD=FIXED&amp;VAR:THRESH=-|-|-|-|-|-&amp;VAR:PCT=Y&amp;VAR:V=17.267356&amp;VAR:P=1&amp;VAR:DATE=20070330"}</definedName>
    <definedName name="_17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Equity&amp;VAR:FQLFORMULA=FMA_ROE&amp;VAR:MEASURE=ROE&amp;VAR:NULL=.HTML&amp;VAR:PED=LTM&amp;VAR:PERIOD=FIXED&amp;VAR:THRESH=-|-|-|-|-|-&amp;VAR:PCT=Y&amp;VAR:V=17.267356&amp;VAR:P=1&amp;VAR:DATE=20070330"}</definedName>
    <definedName name="_17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Equity&amp;VAR:FQLFORMULA=FMA_ROE&amp;VAR:MEASURE=ROE&amp;VAR:NULL=.HTML&amp;VAR:PED=LTM&amp;VAR:PERIOD=FIXED&amp;VAR:THRESH=-|-|-|-|-|-&amp;VAR:PCT=Y&amp;VAR:V=17.267356&amp;VAR:P=1&amp;VAR:DATE=20070330"}</definedName>
    <definedName name="_17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Equity&amp;VAR:FQLFORMULA=FMA_ROE&amp;VAR:MEASURE=ROE&amp;VAR:NULL=.HTML&amp;VAR:PED=LTM&amp;VAR:PERIOD=FIXED&amp;VAR:THRESH=-|-|-|-|-|-&amp;VAR:PCT=Y&amp;VAR:V=17.290516&amp;VAR:P=1&amp;VAR:DATE=20070228"}</definedName>
    <definedName name="_17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Equity&amp;VAR:FQLFORMULA=FMA_ROE&amp;VAR:MEASURE=ROE&amp;VAR:NULL=.HTML&amp;VAR:PED=LTM&amp;VAR:PERIOD=FIXED&amp;VAR:THRESH=-|-|-|-|-|-&amp;VAR:PCT=Y&amp;VAR:V=17.290516&amp;VAR:P=1&amp;VAR:DATE=20070228"}</definedName>
    <definedName name="_17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Equity&amp;VAR:FQLFORMULA=FMA_ROE&amp;VAR:MEASURE=ROE&amp;VAR:NULL=.HTML&amp;VAR:PED=LTM&amp;VAR:PERIOD=FIXED&amp;VAR:THRESH=-|-|-|-|-|-&amp;VAR:PCT=Y&amp;VAR:V=17.290516&amp;VAR:P=1&amp;VAR:DATE=20070228"}</definedName>
    <definedName name="_17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Equity&amp;VAR:FQLFORMULA=FMA_ROE&amp;VAR:MEASURE=ROE&amp;VAR:NULL=.HTML&amp;VAR:PED=LTM&amp;VAR:PERIOD=FIXED&amp;VAR:THRESH=-|-|-|-|-|-&amp;VAR:PCT=Y&amp;VAR:V=16.633726&amp;VAR:P=1&amp;VAR:DATE=20070131"}</definedName>
    <definedName name="_17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Equity&amp;VAR:FQLFORMULA=FMA_ROE&amp;VAR:MEASURE=ROE&amp;VAR:NULL=.HTML&amp;VAR:PED=LTM&amp;VAR:PERIOD=FIXED&amp;VAR:THRESH=-|-|-|-|-|-&amp;VAR:PCT=Y&amp;VAR:V=16.633726&amp;VAR:P=1&amp;VAR:DATE=20070131"}</definedName>
    <definedName name="_17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Equity&amp;VAR:FQLFORMULA=FMA_ROE&amp;VAR:MEASURE=ROE&amp;VAR:NULL=.HTML&amp;VAR:PED=LTM&amp;VAR:PERIOD=FIXED&amp;VAR:THRESH=-|-|-|-|-|-&amp;VAR:PCT=Y&amp;VAR:V=16.633726&amp;VAR:P=1&amp;VAR:DATE=20070131"}</definedName>
    <definedName name="_17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Equity&amp;VAR:FQLFORMULA=FMA_ROE&amp;VAR:MEASURE=ROE&amp;VAR:NULL=.HTML&amp;VAR:PED=LTM&amp;VAR:PERIOD=FIXED&amp;VAR:THRESH=-|-|-|-|-|-&amp;VAR:PCT=Y&amp;VAR:V=16.650900&amp;VAR:P=1&amp;VAR:DATE=20061229"}</definedName>
    <definedName name="_17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Equity&amp;VAR:FQLFORMULA=FMA_ROE&amp;VAR:MEASURE=ROE&amp;VAR:NULL=.HTML&amp;VAR:PED=LTM&amp;VAR:PERIOD=FIXED&amp;VAR:THRESH=-|-|-|-|-|-&amp;VAR:PCT=Y&amp;VAR:V=16.650900&amp;VAR:P=1&amp;VAR:DATE=20061229"}</definedName>
    <definedName name="_17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Equity&amp;VAR:FQLFORMULA=FMA_ROE&amp;VAR:MEASURE=ROE&amp;VAR:NULL=.HTML&amp;VAR:PED=LTM&amp;VAR:PERIOD=FIXED&amp;VAR:THRESH=-|-|-|-|-|-&amp;VAR:PCT=Y&amp;VAR:V=16.650900&amp;VAR:P=1&amp;VAR:DATE=20061229"}</definedName>
    <definedName name="_17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Equity&amp;VAR:FQLFORMULA=FMA_ROE&amp;VAR:MEASURE=ROE&amp;VAR:NULL=.HTML&amp;VAR:PED=LTM&amp;VAR:PERIOD=FIXED&amp;VAR:THRESH=-|-|-|-|-|-&amp;VAR:PCT=Y&amp;VAR:V=16.662461&amp;VAR:P=1&amp;VAR:DATE=20061130"}</definedName>
    <definedName name="_17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Equity&amp;VAR:FQLFORMULA=FMA_ROE&amp;VAR:MEASURE=ROE&amp;VAR:NULL=.HTML&amp;VAR:PED=LTM&amp;VAR:PERIOD=FIXED&amp;VAR:THRESH=-|-|-|-|-|-&amp;VAR:PCT=Y&amp;VAR:V=16.662461&amp;VAR:P=1&amp;VAR:DATE=20061130"}</definedName>
    <definedName name="_17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Equity&amp;VAR:FQLFORMULA=FMA_ROE&amp;VAR:MEASURE=ROE&amp;VAR:NULL=.HTML&amp;VAR:PED=LTM&amp;VAR:PERIOD=FIXED&amp;VAR:THRESH=-|-|-|-|-|-&amp;VAR:PCT=Y&amp;VAR:V=16.662461&amp;VAR:P=1&amp;VAR:DATE=20061130"}</definedName>
    <definedName name="_18__FDSAUDITLINK__" localSheetId="8" hidden="1">{"fdsup://directions/FAT%20Viewer?VAR:PED=LTM&amp;VAR:PERIOD=FIXED&amp;VAR:V=13.414812&amp;VAR:PCT=Y&amp;VAR:AUDIT_ID=00000117&amp;VAR:DATE=20081128&amp;action=UPDATE&amp;creator=factset&amp;DOC_NAME=FAT:FMA_audit_SUMMARY.fat&amp;DISPLAY_STRING=Display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8__FDSAUDITLINK__" localSheetId="2" hidden="1">{"fdsup://directions/FAT%20Viewer?VAR:PED=LTM&amp;VAR:PERIOD=FIXED&amp;VAR:V=13.414812&amp;VAR:PCT=Y&amp;VAR:AUDIT_ID=00000117&amp;VAR:DATE=20081128&amp;action=UPDATE&amp;creator=factset&amp;DOC_NAME=FAT:FMA_audit_SUMMARY.fat&amp;DISPLAY_STRING=Display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8__FDSAUDITLINK__" hidden="1">{"fdsup://directions/FAT%20Viewer?VAR:PED=LTM&amp;VAR:PERIOD=FIXED&amp;VAR:V=13.414812&amp;VAR:PCT=Y&amp;VAR:AUDIT_ID=00000117&amp;VAR:DATE=20081128&amp;action=UPDATE&amp;creator=factset&amp;DOC_NAME=FAT:FMA_audit_SUMMARY.fat&amp;DISPLAY_STRING=Display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8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Equity&amp;VAR:FQLFORMULA=FMA_ROE&amp;VAR:MEASURE=ROE&amp;VAR:NULL=.HTML&amp;VAR:PED=LTM&amp;VAR:PERIOD=FIXED&amp;VAR:THRESH=-|-|-|-|-|-&amp;VAR:PCT=Y&amp;VAR:V=16.689001&amp;VAR:P=1&amp;VAR:DATE=20061031"}</definedName>
    <definedName name="_18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Equity&amp;VAR:FQLFORMULA=FMA_ROE&amp;VAR:MEASURE=ROE&amp;VAR:NULL=.HTML&amp;VAR:PED=LTM&amp;VAR:PERIOD=FIXED&amp;VAR:THRESH=-|-|-|-|-|-&amp;VAR:PCT=Y&amp;VAR:V=16.689001&amp;VAR:P=1&amp;VAR:DATE=20061031"}</definedName>
    <definedName name="_18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Equity&amp;VAR:FQLFORMULA=FMA_ROE&amp;VAR:MEASURE=ROE&amp;VAR:NULL=.HTML&amp;VAR:PED=LTM&amp;VAR:PERIOD=FIXED&amp;VAR:THRESH=-|-|-|-|-|-&amp;VAR:PCT=Y&amp;VAR:V=16.689001&amp;VAR:P=1&amp;VAR:DATE=20061031"}</definedName>
    <definedName name="_18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Equity&amp;VAR:FQLFORMULA=FMA_ROE&amp;VAR:MEASURE=ROE&amp;VAR:NULL=.HTML&amp;VAR:PED=LTM&amp;VAR:PERIOD=FIXED&amp;VAR:THRESH=-|-|-|-|-|-&amp;VAR:PCT=Y&amp;VAR:V=16.691808&amp;VAR:P=1&amp;VAR:DATE=20060929"}</definedName>
    <definedName name="_18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Equity&amp;VAR:FQLFORMULA=FMA_ROE&amp;VAR:MEASURE=ROE&amp;VAR:NULL=.HTML&amp;VAR:PED=LTM&amp;VAR:PERIOD=FIXED&amp;VAR:THRESH=-|-|-|-|-|-&amp;VAR:PCT=Y&amp;VAR:V=16.691808&amp;VAR:P=1&amp;VAR:DATE=20060929"}</definedName>
    <definedName name="_18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Equity&amp;VAR:FQLFORMULA=FMA_ROE&amp;VAR:MEASURE=ROE&amp;VAR:NULL=.HTML&amp;VAR:PED=LTM&amp;VAR:PERIOD=FIXED&amp;VAR:THRESH=-|-|-|-|-|-&amp;VAR:PCT=Y&amp;VAR:V=16.691808&amp;VAR:P=1&amp;VAR:DATE=20060929"}</definedName>
    <definedName name="_18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Equity&amp;VAR:FQLFORMULA=FMA_ROE&amp;VAR:MEASURE=ROE&amp;VAR:NULL=.HTML&amp;VAR:PED=LTM&amp;VAR:PERIOD=FIXED&amp;VAR:THRESH=-|-|-|-|-|-&amp;VAR:PCT=Y&amp;VAR:V=16.667768&amp;VAR:P=1&amp;VAR:DATE=20060831"}</definedName>
    <definedName name="_18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Equity&amp;VAR:FQLFORMULA=FMA_ROE&amp;VAR:MEASURE=ROE&amp;VAR:NULL=.HTML&amp;VAR:PED=LTM&amp;VAR:PERIOD=FIXED&amp;VAR:THRESH=-|-|-|-|-|-&amp;VAR:PCT=Y&amp;VAR:V=16.667768&amp;VAR:P=1&amp;VAR:DATE=20060831"}</definedName>
    <definedName name="_18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Equity&amp;VAR:FQLFORMULA=FMA_ROE&amp;VAR:MEASURE=ROE&amp;VAR:NULL=.HTML&amp;VAR:PED=LTM&amp;VAR:PERIOD=FIXED&amp;VAR:THRESH=-|-|-|-|-|-&amp;VAR:PCT=Y&amp;VAR:V=16.667768&amp;VAR:P=1&amp;VAR:DATE=20060831"}</definedName>
    <definedName name="_18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Equity&amp;VAR:FQLFORMULA=FMA_ROE&amp;VAR:MEASURE=ROE&amp;VAR:NULL=.HTML&amp;VAR:PED=LTM&amp;VAR:PERIOD=FIXED&amp;VAR:THRESH=-|-|-|-|-|-&amp;VAR:PCT=Y&amp;VAR:V=16.918022&amp;VAR:P=1&amp;VAR:DATE=20060731"}</definedName>
    <definedName name="_18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Equity&amp;VAR:FQLFORMULA=FMA_ROE&amp;VAR:MEASURE=ROE&amp;VAR:NULL=.HTML&amp;VAR:PED=LTM&amp;VAR:PERIOD=FIXED&amp;VAR:THRESH=-|-|-|-|-|-&amp;VAR:PCT=Y&amp;VAR:V=16.918022&amp;VAR:P=1&amp;VAR:DATE=20060731"}</definedName>
    <definedName name="_18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Equity&amp;VAR:FQLFORMULA=FMA_ROE&amp;VAR:MEASURE=ROE&amp;VAR:NULL=.HTML&amp;VAR:PED=LTM&amp;VAR:PERIOD=FIXED&amp;VAR:THRESH=-|-|-|-|-|-&amp;VAR:PCT=Y&amp;VAR:V=16.918022&amp;VAR:P=1&amp;VAR:DATE=20060731"}</definedName>
    <definedName name="_18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Equity&amp;VAR:FQLFORMULA=FMA_ROE&amp;VAR:MEASURE=ROE&amp;VAR:NULL=.HTML&amp;VAR:PED=LTM&amp;VAR:PERIOD=FIXED&amp;VAR:THRESH=-|-|-|-|-|-&amp;VAR:PCT=Y&amp;VAR:V=16.863860&amp;VAR:P=1&amp;VAR:DATE=20060630"}</definedName>
    <definedName name="_18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Equity&amp;VAR:FQLFORMULA=FMA_ROE&amp;VAR:MEASURE=ROE&amp;VAR:NULL=.HTML&amp;VAR:PED=LTM&amp;VAR:PERIOD=FIXED&amp;VAR:THRESH=-|-|-|-|-|-&amp;VAR:PCT=Y&amp;VAR:V=16.863860&amp;VAR:P=1&amp;VAR:DATE=20060630"}</definedName>
    <definedName name="_18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Equity&amp;VAR:FQLFORMULA=FMA_ROE&amp;VAR:MEASURE=ROE&amp;VAR:NULL=.HTML&amp;VAR:PED=LTM&amp;VAR:PERIOD=FIXED&amp;VAR:THRESH=-|-|-|-|-|-&amp;VAR:PCT=Y&amp;VAR:V=16.863860&amp;VAR:P=1&amp;VAR:DATE=20060630"}</definedName>
    <definedName name="_18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Equity&amp;VAR:FQLFORMULA=FMA_ROE&amp;VAR:MEASURE=ROE&amp;VAR:NULL=.HTML&amp;VAR:PED=LTM&amp;VAR:PERIOD=FIXED&amp;VAR:THRESH=-|-|-|-|-|-&amp;VAR:PCT=Y&amp;VAR:V=16.857500&amp;VAR:P=1&amp;VAR:DATE=20060531"}</definedName>
    <definedName name="_18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Equity&amp;VAR:FQLFORMULA=FMA_ROE&amp;VAR:MEASURE=ROE&amp;VAR:NULL=.HTML&amp;VAR:PED=LTM&amp;VAR:PERIOD=FIXED&amp;VAR:THRESH=-|-|-|-|-|-&amp;VAR:PCT=Y&amp;VAR:V=16.857500&amp;VAR:P=1&amp;VAR:DATE=20060531"}</definedName>
    <definedName name="_18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Equity&amp;VAR:FQLFORMULA=FMA_ROE&amp;VAR:MEASURE=ROE&amp;VAR:NULL=.HTML&amp;VAR:PED=LTM&amp;VAR:PERIOD=FIXED&amp;VAR:THRESH=-|-|-|-|-|-&amp;VAR:PCT=Y&amp;VAR:V=16.857500&amp;VAR:P=1&amp;VAR:DATE=20060531"}</definedName>
    <definedName name="_18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Equity&amp;VAR:FQLFORMULA=FMA_ROE&amp;VAR:MEASURE=ROE&amp;VAR:NULL=.HTML&amp;VAR:PED=LTM&amp;VAR:PERIOD=FIXED&amp;VAR:THRESH=-|-|-|-|-|-&amp;VAR:PCT=Y&amp;VAR:V=16.798180&amp;VAR:P=1&amp;VAR:DATE=20060428"}</definedName>
    <definedName name="_18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Equity&amp;VAR:FQLFORMULA=FMA_ROE&amp;VAR:MEASURE=ROE&amp;VAR:NULL=.HTML&amp;VAR:PED=LTM&amp;VAR:PERIOD=FIXED&amp;VAR:THRESH=-|-|-|-|-|-&amp;VAR:PCT=Y&amp;VAR:V=16.798180&amp;VAR:P=1&amp;VAR:DATE=20060428"}</definedName>
    <definedName name="_18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Equity&amp;VAR:FQLFORMULA=FMA_ROE&amp;VAR:MEASURE=ROE&amp;VAR:NULL=.HTML&amp;VAR:PED=LTM&amp;VAR:PERIOD=FIXED&amp;VAR:THRESH=-|-|-|-|-|-&amp;VAR:PCT=Y&amp;VAR:V=16.798180&amp;VAR:P=1&amp;VAR:DATE=20060428"}</definedName>
    <definedName name="_18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Equity&amp;VAR:FQLFORMULA=FMA_ROE&amp;VAR:MEASURE=ROE&amp;VAR:NULL=.HTML&amp;VAR:PED=LTM&amp;VAR:PERIOD=FIXED&amp;VAR:THRESH=-|-|-|-|-|-&amp;VAR:PCT=Y&amp;VAR:V=16.801839&amp;VAR:P=1&amp;VAR:DATE=20060331"}</definedName>
    <definedName name="_18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Equity&amp;VAR:FQLFORMULA=FMA_ROE&amp;VAR:MEASURE=ROE&amp;VAR:NULL=.HTML&amp;VAR:PED=LTM&amp;VAR:PERIOD=FIXED&amp;VAR:THRESH=-|-|-|-|-|-&amp;VAR:PCT=Y&amp;VAR:V=16.801839&amp;VAR:P=1&amp;VAR:DATE=20060331"}</definedName>
    <definedName name="_18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Equity&amp;VAR:FQLFORMULA=FMA_ROE&amp;VAR:MEASURE=ROE&amp;VAR:NULL=.HTML&amp;VAR:PED=LTM&amp;VAR:PERIOD=FIXED&amp;VAR:THRESH=-|-|-|-|-|-&amp;VAR:PCT=Y&amp;VAR:V=16.801839&amp;VAR:P=1&amp;VAR:DATE=20060331"}</definedName>
    <definedName name="_18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Equity&amp;VAR:FQLFORMULA=FMA_ROE&amp;VAR:MEASURE=ROE&amp;VAR:NULL=.HTML&amp;VAR:PED=LTM&amp;VAR:PERIOD=FIXED&amp;VAR:THRESH=-|-|-|-|-|-&amp;VAR:PCT=Y&amp;VAR:V=16.744023&amp;VAR:P=1&amp;VAR:DATE=20060228"}</definedName>
    <definedName name="_18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Equity&amp;VAR:FQLFORMULA=FMA_ROE&amp;VAR:MEASURE=ROE&amp;VAR:NULL=.HTML&amp;VAR:PED=LTM&amp;VAR:PERIOD=FIXED&amp;VAR:THRESH=-|-|-|-|-|-&amp;VAR:PCT=Y&amp;VAR:V=16.744023&amp;VAR:P=1&amp;VAR:DATE=20060228"}</definedName>
    <definedName name="_18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Equity&amp;VAR:FQLFORMULA=FMA_ROE&amp;VAR:MEASURE=ROE&amp;VAR:NULL=.HTML&amp;VAR:PED=LTM&amp;VAR:PERIOD=FIXED&amp;VAR:THRESH=-|-|-|-|-|-&amp;VAR:PCT=Y&amp;VAR:V=16.744023&amp;VAR:P=1&amp;VAR:DATE=20060228"}</definedName>
    <definedName name="_18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Equity&amp;VAR:FQLFORMULA=FMA_ROE&amp;VAR:MEASURE=ROE&amp;VAR:NULL=.HTML&amp;VAR:PED=LTM&amp;VAR:PERIOD=FIXED&amp;VAR:THRESH=-|-|-|-|-|-&amp;VAR:PCT=Y&amp;VAR:V=16.914075&amp;VAR:P=1&amp;VAR:DATE=20060131"}</definedName>
    <definedName name="_18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Equity&amp;VAR:FQLFORMULA=FMA_ROE&amp;VAR:MEASURE=ROE&amp;VAR:NULL=.HTML&amp;VAR:PED=LTM&amp;VAR:PERIOD=FIXED&amp;VAR:THRESH=-|-|-|-|-|-&amp;VAR:PCT=Y&amp;VAR:V=16.914075&amp;VAR:P=1&amp;VAR:DATE=20060131"}</definedName>
    <definedName name="_18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Equity&amp;VAR:FQLFORMULA=FMA_ROE&amp;VAR:MEASURE=ROE&amp;VAR:NULL=.HTML&amp;VAR:PED=LTM&amp;VAR:PERIOD=FIXED&amp;VAR:THRESH=-|-|-|-|-|-&amp;VAR:PCT=Y&amp;VAR:V=16.914075&amp;VAR:P=1&amp;VAR:DATE=20060131"}</definedName>
    <definedName name="_19__FDSAUDITLINK__" localSheetId="8" hidden="1">{"fdsup://directions/FAT%20Viewer?VAR:PED=LTM&amp;VAR:PERIOD=FIXED&amp;VAR:V=13.175984&amp;VAR:PCT=Y&amp;VAR:AUDIT_ID=00000117&amp;VAR:DATE=20081031&amp;action=UPDATE&amp;creator=factset&amp;DOC_NAME=FAT:FMA_audit_SUMMARY.fat&amp;DISPLAY_STRING=Display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9__FDSAUDITLINK__" localSheetId="2" hidden="1">{"fdsup://directions/FAT%20Viewer?VAR:PED=LTM&amp;VAR:PERIOD=FIXED&amp;VAR:V=13.175984&amp;VAR:PCT=Y&amp;VAR:AUDIT_ID=00000117&amp;VAR:DATE=20081031&amp;action=UPDATE&amp;creator=factset&amp;DOC_NAME=FAT:FMA_audit_SUMMARY.fat&amp;DISPLAY_STRING=Display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9__FDSAUDITLINK__" hidden="1">{"fdsup://directions/FAT%20Viewer?VAR:PED=LTM&amp;VAR:PERIOD=FIXED&amp;VAR:V=13.175984&amp;VAR:PCT=Y&amp;VAR:AUDIT_ID=00000117&amp;VAR:DATE=20081031&amp;action=UPDATE&amp;creator=factset&amp;DOC_NAME=FAT:FMA_audit_SUMMARY.fat&amp;DISPLAY_STRING=Display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19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Equity&amp;VAR:FQLFORMULA=FMA_ROE&amp;VAR:MEASURE=ROE&amp;VAR:NULL=.HTML&amp;VAR:PED=LTM&amp;VAR:PERIOD=FIXED&amp;VAR:THRESH=-|-|-|-|-|-&amp;VAR:PCT=Y&amp;VAR:V=16.879670&amp;VAR:P=1&amp;VAR:DATE=20051230"}</definedName>
    <definedName name="_19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Equity&amp;VAR:FQLFORMULA=FMA_ROE&amp;VAR:MEASURE=ROE&amp;VAR:NULL=.HTML&amp;VAR:PED=LTM&amp;VAR:PERIOD=FIXED&amp;VAR:THRESH=-|-|-|-|-|-&amp;VAR:PCT=Y&amp;VAR:V=16.879670&amp;VAR:P=1&amp;VAR:DATE=20051230"}</definedName>
    <definedName name="_19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Equity&amp;VAR:FQLFORMULA=FMA_ROE&amp;VAR:MEASURE=ROE&amp;VAR:NULL=.HTML&amp;VAR:PED=LTM&amp;VAR:PERIOD=FIXED&amp;VAR:THRESH=-|-|-|-|-|-&amp;VAR:PCT=Y&amp;VAR:V=16.879670&amp;VAR:P=1&amp;VAR:DATE=20051230"}</definedName>
    <definedName name="_19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Equity&amp;VAR:FQLFORMULA=FMA_ROE&amp;VAR:MEASURE=ROE&amp;VAR:NULL=.HTML&amp;VAR:PED=LTM&amp;VAR:PERIOD=FIXED&amp;VAR:THRESH=-|-|-|-|-|-&amp;VAR:PCT=Y&amp;VAR:V=16.876454&amp;VAR:P=1&amp;VAR:DATE=20051130"}</definedName>
    <definedName name="_19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Equity&amp;VAR:FQLFORMULA=FMA_ROE&amp;VAR:MEASURE=ROE&amp;VAR:NULL=.HTML&amp;VAR:PED=LTM&amp;VAR:PERIOD=FIXED&amp;VAR:THRESH=-|-|-|-|-|-&amp;VAR:PCT=Y&amp;VAR:V=16.876454&amp;VAR:P=1&amp;VAR:DATE=20051130"}</definedName>
    <definedName name="_19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Equity&amp;VAR:FQLFORMULA=FMA_ROE&amp;VAR:MEASURE=ROE&amp;VAR:NULL=.HTML&amp;VAR:PED=LTM&amp;VAR:PERIOD=FIXED&amp;VAR:THRESH=-|-|-|-|-|-&amp;VAR:PCT=Y&amp;VAR:V=16.876454&amp;VAR:P=1&amp;VAR:DATE=20051130"}</definedName>
    <definedName name="_19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Equity&amp;VAR:FQLFORMULA=FMA_ROE&amp;VAR:MEASURE=ROE&amp;VAR:NULL=.HTML&amp;VAR:PED=LTM&amp;VAR:PERIOD=FIXED&amp;VAR:THRESH=-|-|-|-|-|-&amp;VAR:PCT=Y&amp;VAR:V=16.691886&amp;VAR:P=1&amp;VAR:DATE=20051031"}</definedName>
    <definedName name="_19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Equity&amp;VAR:FQLFORMULA=FMA_ROE&amp;VAR:MEASURE=ROE&amp;VAR:NULL=.HTML&amp;VAR:PED=LTM&amp;VAR:PERIOD=FIXED&amp;VAR:THRESH=-|-|-|-|-|-&amp;VAR:PCT=Y&amp;VAR:V=16.691886&amp;VAR:P=1&amp;VAR:DATE=20051031"}</definedName>
    <definedName name="_19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Equity&amp;VAR:FQLFORMULA=FMA_ROE&amp;VAR:MEASURE=ROE&amp;VAR:NULL=.HTML&amp;VAR:PED=LTM&amp;VAR:PERIOD=FIXED&amp;VAR:THRESH=-|-|-|-|-|-&amp;VAR:PCT=Y&amp;VAR:V=16.691886&amp;VAR:P=1&amp;VAR:DATE=20051031"}</definedName>
    <definedName name="_19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Equity&amp;VAR:FQLFORMULA=FMA_ROE&amp;VAR:MEASURE=ROE&amp;VAR:NULL=.HTML&amp;VAR:PED=LTM&amp;VAR:PERIOD=FIXED&amp;VAR:THRESH=-|-|-|-|-|-&amp;VAR:PCT=Y&amp;VAR:V=16.527957&amp;VAR:P=1&amp;VAR:DATE=20050930"}</definedName>
    <definedName name="_19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Equity&amp;VAR:FQLFORMULA=FMA_ROE&amp;VAR:MEASURE=ROE&amp;VAR:NULL=.HTML&amp;VAR:PED=LTM&amp;VAR:PERIOD=FIXED&amp;VAR:THRESH=-|-|-|-|-|-&amp;VAR:PCT=Y&amp;VAR:V=16.527957&amp;VAR:P=1&amp;VAR:DATE=20050930"}</definedName>
    <definedName name="_19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Equity&amp;VAR:FQLFORMULA=FMA_ROE&amp;VAR:MEASURE=ROE&amp;VAR:NULL=.HTML&amp;VAR:PED=LTM&amp;VAR:PERIOD=FIXED&amp;VAR:THRESH=-|-|-|-|-|-&amp;VAR:PCT=Y&amp;VAR:V=16.527957&amp;VAR:P=1&amp;VAR:DATE=20050930"}</definedName>
    <definedName name="_19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Equity&amp;VAR:FQLFORMULA=FMA_ROE&amp;VAR:MEASURE=ROE&amp;VAR:NULL=.HTML&amp;VAR:PED=LTM&amp;VAR:PERIOD=FIXED&amp;VAR:THRESH=-|-|-|-|-|-&amp;VAR:PCT=Y&amp;VAR:V=16.541679&amp;VAR:P=1&amp;VAR:DATE=20050831"}</definedName>
    <definedName name="_19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Equity&amp;VAR:FQLFORMULA=FMA_ROE&amp;VAR:MEASURE=ROE&amp;VAR:NULL=.HTML&amp;VAR:PED=LTM&amp;VAR:PERIOD=FIXED&amp;VAR:THRESH=-|-|-|-|-|-&amp;VAR:PCT=Y&amp;VAR:V=16.541679&amp;VAR:P=1&amp;VAR:DATE=20050831"}</definedName>
    <definedName name="_19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Equity&amp;VAR:FQLFORMULA=FMA_ROE&amp;VAR:MEASURE=ROE&amp;VAR:NULL=.HTML&amp;VAR:PED=LTM&amp;VAR:PERIOD=FIXED&amp;VAR:THRESH=-|-|-|-|-|-&amp;VAR:PCT=Y&amp;VAR:V=16.541679&amp;VAR:P=1&amp;VAR:DATE=20050831"}</definedName>
    <definedName name="_19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Equity&amp;VAR:FQLFORMULA=FMA_ROE&amp;VAR:MEASURE=ROE&amp;VAR:NULL=.HTML&amp;VAR:PED=LTM&amp;VAR:PERIOD=FIXED&amp;VAR:THRESH=-|-|-|-|-|-&amp;VAR:PCT=Y&amp;VAR:V=15.787460&amp;VAR:P=1&amp;VAR:DATE=20050729"}</definedName>
    <definedName name="_19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Equity&amp;VAR:FQLFORMULA=FMA_ROE&amp;VAR:MEASURE=ROE&amp;VAR:NULL=.HTML&amp;VAR:PED=LTM&amp;VAR:PERIOD=FIXED&amp;VAR:THRESH=-|-|-|-|-|-&amp;VAR:PCT=Y&amp;VAR:V=15.787460&amp;VAR:P=1&amp;VAR:DATE=20050729"}</definedName>
    <definedName name="_19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Equity&amp;VAR:FQLFORMULA=FMA_ROE&amp;VAR:MEASURE=ROE&amp;VAR:NULL=.HTML&amp;VAR:PED=LTM&amp;VAR:PERIOD=FIXED&amp;VAR:THRESH=-|-|-|-|-|-&amp;VAR:PCT=Y&amp;VAR:V=15.787460&amp;VAR:P=1&amp;VAR:DATE=20050729"}</definedName>
    <definedName name="_19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Equity&amp;VAR:FQLFORMULA=FMA_ROE&amp;VAR:MEASURE=ROE&amp;VAR:NULL=.HTML&amp;VAR:PED=LTM&amp;VAR:PERIOD=FIXED&amp;VAR:THRESH=-|-|-|-|-|-&amp;VAR:PCT=Y&amp;VAR:V=15.769967&amp;VAR:P=1&amp;VAR:DATE=20050630"}</definedName>
    <definedName name="_19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Equity&amp;VAR:FQLFORMULA=FMA_ROE&amp;VAR:MEASURE=ROE&amp;VAR:NULL=.HTML&amp;VAR:PED=LTM&amp;VAR:PERIOD=FIXED&amp;VAR:THRESH=-|-|-|-|-|-&amp;VAR:PCT=Y&amp;VAR:V=15.769967&amp;VAR:P=1&amp;VAR:DATE=20050630"}</definedName>
    <definedName name="_19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Equity&amp;VAR:FQLFORMULA=FMA_ROE&amp;VAR:MEASURE=ROE&amp;VAR:NULL=.HTML&amp;VAR:PED=LTM&amp;VAR:PERIOD=FIXED&amp;VAR:THRESH=-|-|-|-|-|-&amp;VAR:PCT=Y&amp;VAR:V=15.769967&amp;VAR:P=1&amp;VAR:DATE=20050630"}</definedName>
    <definedName name="_19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Equity&amp;VAR:FQLFORMULA=FMA_ROE&amp;VAR:MEASURE=ROE&amp;VAR:NULL=.HTML&amp;VAR:PED=LTM&amp;VAR:PERIOD=FIXED&amp;VAR:THRESH=-|-|-|-|-|-&amp;VAR:PCT=Y&amp;VAR:V=15.748078&amp;VAR:P=1&amp;VAR:DATE=20050531"}</definedName>
    <definedName name="_19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Equity&amp;VAR:FQLFORMULA=FMA_ROE&amp;VAR:MEASURE=ROE&amp;VAR:NULL=.HTML&amp;VAR:PED=LTM&amp;VAR:PERIOD=FIXED&amp;VAR:THRESH=-|-|-|-|-|-&amp;VAR:PCT=Y&amp;VAR:V=15.748078&amp;VAR:P=1&amp;VAR:DATE=20050531"}</definedName>
    <definedName name="_19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Equity&amp;VAR:FQLFORMULA=FMA_ROE&amp;VAR:MEASURE=ROE&amp;VAR:NULL=.HTML&amp;VAR:PED=LTM&amp;VAR:PERIOD=FIXED&amp;VAR:THRESH=-|-|-|-|-|-&amp;VAR:PCT=Y&amp;VAR:V=15.748078&amp;VAR:P=1&amp;VAR:DATE=20050531"}</definedName>
    <definedName name="_19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Equity&amp;VAR:FQLFORMULA=FMA_ROE&amp;VAR:MEASURE=ROE&amp;VAR:NULL=.HTML&amp;VAR:PED=LTM&amp;VAR:PERIOD=FIXED&amp;VAR:THRESH=-|-|-|-|-|-&amp;VAR:PCT=Y&amp;VAR:V=15.847456&amp;VAR:P=1&amp;VAR:DATE=20050429"}</definedName>
    <definedName name="_19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Equity&amp;VAR:FQLFORMULA=FMA_ROE&amp;VAR:MEASURE=ROE&amp;VAR:NULL=.HTML&amp;VAR:PED=LTM&amp;VAR:PERIOD=FIXED&amp;VAR:THRESH=-|-|-|-|-|-&amp;VAR:PCT=Y&amp;VAR:V=15.847456&amp;VAR:P=1&amp;VAR:DATE=20050429"}</definedName>
    <definedName name="_19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Equity&amp;VAR:FQLFORMULA=FMA_ROE&amp;VAR:MEASURE=ROE&amp;VAR:NULL=.HTML&amp;VAR:PED=LTM&amp;VAR:PERIOD=FIXED&amp;VAR:THRESH=-|-|-|-|-|-&amp;VAR:PCT=Y&amp;VAR:V=15.847456&amp;VAR:P=1&amp;VAR:DATE=20050429"}</definedName>
    <definedName name="_19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Equity&amp;VAR:FQLFORMULA=FMA_ROE&amp;VAR:MEASURE=ROE&amp;VAR:NULL=.HTML&amp;VAR:PED=LTM&amp;VAR:PERIOD=FIXED&amp;VAR:THRESH=-|-|-|-|-|-&amp;VAR:PCT=Y&amp;VAR:V=15.843074&amp;VAR:P=1&amp;VAR:DATE=20050331"}</definedName>
    <definedName name="_19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Equity&amp;VAR:FQLFORMULA=FMA_ROE&amp;VAR:MEASURE=ROE&amp;VAR:NULL=.HTML&amp;VAR:PED=LTM&amp;VAR:PERIOD=FIXED&amp;VAR:THRESH=-|-|-|-|-|-&amp;VAR:PCT=Y&amp;VAR:V=15.843074&amp;VAR:P=1&amp;VAR:DATE=20050331"}</definedName>
    <definedName name="_19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Equity&amp;VAR:FQLFORMULA=FMA_ROE&amp;VAR:MEASURE=ROE&amp;VAR:NULL=.HTML&amp;VAR:PED=LTM&amp;VAR:PERIOD=FIXED&amp;VAR:THRESH=-|-|-|-|-|-&amp;VAR:PCT=Y&amp;VAR:V=15.843074&amp;VAR:P=1&amp;VAR:DATE=20050331"}</definedName>
    <definedName name="_2__FDSAUDITLINK__" localSheetId="8" hidden="1">{"fdsup://directions/FAT%20Viewer?VAR:PED=LTM&amp;VAR:PERIOD=FIXED&amp;VAR:V=11.854430&amp;VAR:PCT=Y&amp;VAR:AUDIT_ID=00000117&amp;VAR:DATE=20100331&amp;action=UPDATE&amp;creator=factset&amp;DOC_NAME=FAT:FMA_audit_SUMMARY.fat&amp;DISPLAY_STRING=Display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__FDSAUDITLINK__" localSheetId="2" hidden="1">{"fdsup://directions/FAT%20Viewer?VAR:PED=LTM&amp;VAR:PERIOD=FIXED&amp;VAR:V=11.854430&amp;VAR:PCT=Y&amp;VAR:AUDIT_ID=00000117&amp;VAR:DATE=20100331&amp;action=UPDATE&amp;creator=factset&amp;DOC_NAME=FAT:FMA_audit_SUMMARY.fat&amp;DISPLAY_STRING=Display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__FDSAUDITLINK__" hidden="1">{"fdsup://directions/FAT%20Viewer?VAR:PED=LTM&amp;VAR:PERIOD=FIXED&amp;VAR:V=11.854430&amp;VAR:PCT=Y&amp;VAR:AUDIT_ID=00000117&amp;VAR:DATE=20100331&amp;action=UPDATE&amp;creator=factset&amp;DOC_NAME=FAT:FMA_audit_SUMMARY.fat&amp;DISPLAY_STRING=Display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0_._0SGA_gro">[2]NOPAT_VDF!#REF!</definedName>
    <definedName name="_20__FDSAUDITLINK__" localSheetId="8" hidden="1">{"fdsup://directions/FAT%20Viewer?VAR:PED=LTM&amp;VAR:PERIOD=FIXED&amp;VAR:V=13.342847&amp;VAR:PCT=Y&amp;VAR:AUDIT_ID=00000117&amp;VAR:DATE=20080930&amp;action=UPDATE&amp;creator=factset&amp;DOC_NAME=FAT:FMA_audit_SUMMARY.fat&amp;DISPLAY_STRING=Display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0__FDSAUDITLINK__" localSheetId="2" hidden="1">{"fdsup://directions/FAT%20Viewer?VAR:PED=LTM&amp;VAR:PERIOD=FIXED&amp;VAR:V=13.342847&amp;VAR:PCT=Y&amp;VAR:AUDIT_ID=00000117&amp;VAR:DATE=20080930&amp;action=UPDATE&amp;creator=factset&amp;DOC_NAME=FAT:FMA_audit_SUMMARY.fat&amp;DISPLAY_STRING=Display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0__FDSAUDITLINK__" hidden="1">{"fdsup://directions/FAT%20Viewer?VAR:PED=LTM&amp;VAR:PERIOD=FIXED&amp;VAR:V=13.342847&amp;VAR:PCT=Y&amp;VAR:AUDIT_ID=00000117&amp;VAR:DATE=20080930&amp;action=UPDATE&amp;creator=factset&amp;DOC_NAME=FAT:FMA_audit_SUMMARY.fat&amp;DISPLAY_STRING=Display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0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Equity&amp;VAR:FQLFORMULA=FMA_ROE&amp;VAR:MEASURE=ROE&amp;VAR:NULL=.HTML&amp;VAR:PED=LTM&amp;VAR:PERIOD=FIXED&amp;VAR:THRESH=-|-|-|-|-|-&amp;VAR:PCT=Y&amp;VAR:V=15.876181&amp;VAR:P=1&amp;VAR:DATE=20050228"}</definedName>
    <definedName name="_20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Equity&amp;VAR:FQLFORMULA=FMA_ROE&amp;VAR:MEASURE=ROE&amp;VAR:NULL=.HTML&amp;VAR:PED=LTM&amp;VAR:PERIOD=FIXED&amp;VAR:THRESH=-|-|-|-|-|-&amp;VAR:PCT=Y&amp;VAR:V=15.876181&amp;VAR:P=1&amp;VAR:DATE=20050228"}</definedName>
    <definedName name="_20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Equity&amp;VAR:FQLFORMULA=FMA_ROE&amp;VAR:MEASURE=ROE&amp;VAR:NULL=.HTML&amp;VAR:PED=LTM&amp;VAR:PERIOD=FIXED&amp;VAR:THRESH=-|-|-|-|-|-&amp;VAR:PCT=Y&amp;VAR:V=15.876181&amp;VAR:P=1&amp;VAR:DATE=20050228"}</definedName>
    <definedName name="_20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Equity&amp;VAR:FQLFORMULA=FMA_ROE&amp;VAR:MEASURE=ROE&amp;VAR:NULL=.HTML&amp;VAR:PED=LTM&amp;VAR:PERIOD=FIXED&amp;VAR:THRESH=-|-|-|-|-|-&amp;VAR:PCT=Y&amp;VAR:V=15.390034&amp;VAR:P=1&amp;VAR:DATE=20050131"}</definedName>
    <definedName name="_20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Equity&amp;VAR:FQLFORMULA=FMA_ROE&amp;VAR:MEASURE=ROE&amp;VAR:NULL=.HTML&amp;VAR:PED=LTM&amp;VAR:PERIOD=FIXED&amp;VAR:THRESH=-|-|-|-|-|-&amp;VAR:PCT=Y&amp;VAR:V=15.390034&amp;VAR:P=1&amp;VAR:DATE=20050131"}</definedName>
    <definedName name="_20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Equity&amp;VAR:FQLFORMULA=FMA_ROE&amp;VAR:MEASURE=ROE&amp;VAR:NULL=.HTML&amp;VAR:PED=LTM&amp;VAR:PERIOD=FIXED&amp;VAR:THRESH=-|-|-|-|-|-&amp;VAR:PCT=Y&amp;VAR:V=15.390034&amp;VAR:P=1&amp;VAR:DATE=20050131"}</definedName>
    <definedName name="_20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Equity&amp;VAR:FQLFORMULA=FMA_ROE&amp;VAR:MEASURE=ROE&amp;VAR:NULL=.HTML&amp;VAR:PED=LTM&amp;VAR:PERIOD=FIXED&amp;VAR:THRESH=-|-|-|-|-|-&amp;VAR:PCT=Y&amp;VAR:V=15.394577&amp;VAR:P=1&amp;VAR:DATE=20041231"}</definedName>
    <definedName name="_20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Equity&amp;VAR:FQLFORMULA=FMA_ROE&amp;VAR:MEASURE=ROE&amp;VAR:NULL=.HTML&amp;VAR:PED=LTM&amp;VAR:PERIOD=FIXED&amp;VAR:THRESH=-|-|-|-|-|-&amp;VAR:PCT=Y&amp;VAR:V=15.394577&amp;VAR:P=1&amp;VAR:DATE=20041231"}</definedName>
    <definedName name="_20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Equity&amp;VAR:FQLFORMULA=FMA_ROE&amp;VAR:MEASURE=ROE&amp;VAR:NULL=.HTML&amp;VAR:PED=LTM&amp;VAR:PERIOD=FIXED&amp;VAR:THRESH=-|-|-|-|-|-&amp;VAR:PCT=Y&amp;VAR:V=15.394577&amp;VAR:P=1&amp;VAR:DATE=20041231"}</definedName>
    <definedName name="_20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Equity&amp;VAR:FQLFORMULA=FMA_ROE&amp;VAR:MEASURE=ROE&amp;VAR:NULL=.HTML&amp;VAR:PED=LTM&amp;VAR:PERIOD=FIXED&amp;VAR:THRESH=-|-|-|-|-|-&amp;VAR:PCT=Y&amp;VAR:V=15.424695&amp;VAR:P=1&amp;VAR:DATE=20041130"}</definedName>
    <definedName name="_20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Equity&amp;VAR:FQLFORMULA=FMA_ROE&amp;VAR:MEASURE=ROE&amp;VAR:NULL=.HTML&amp;VAR:PED=LTM&amp;VAR:PERIOD=FIXED&amp;VAR:THRESH=-|-|-|-|-|-&amp;VAR:PCT=Y&amp;VAR:V=15.424695&amp;VAR:P=1&amp;VAR:DATE=20041130"}</definedName>
    <definedName name="_20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Equity&amp;VAR:FQLFORMULA=FMA_ROE&amp;VAR:MEASURE=ROE&amp;VAR:NULL=.HTML&amp;VAR:PED=LTM&amp;VAR:PERIOD=FIXED&amp;VAR:THRESH=-|-|-|-|-|-&amp;VAR:PCT=Y&amp;VAR:V=15.424695&amp;VAR:P=1&amp;VAR:DATE=20041130"}</definedName>
    <definedName name="_20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Equity&amp;VAR:FQLFORMULA=FMA_ROE&amp;VAR:MEASURE=ROE&amp;VAR:NULL=.HTML&amp;VAR:PED=LTM&amp;VAR:PERIOD=FIXED&amp;VAR:THRESH=-|-|-|-|-|-&amp;VAR:PCT=Y&amp;VAR:V=15.377739&amp;VAR:P=1&amp;VAR:DATE=20041029"}</definedName>
    <definedName name="_20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Equity&amp;VAR:FQLFORMULA=FMA_ROE&amp;VAR:MEASURE=ROE&amp;VAR:NULL=.HTML&amp;VAR:PED=LTM&amp;VAR:PERIOD=FIXED&amp;VAR:THRESH=-|-|-|-|-|-&amp;VAR:PCT=Y&amp;VAR:V=15.377739&amp;VAR:P=1&amp;VAR:DATE=20041029"}</definedName>
    <definedName name="_20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Equity&amp;VAR:FQLFORMULA=FMA_ROE&amp;VAR:MEASURE=ROE&amp;VAR:NULL=.HTML&amp;VAR:PED=LTM&amp;VAR:PERIOD=FIXED&amp;VAR:THRESH=-|-|-|-|-|-&amp;VAR:PCT=Y&amp;VAR:V=15.377739&amp;VAR:P=1&amp;VAR:DATE=20041029"}</definedName>
    <definedName name="_20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Equity&amp;VAR:FQLFORMULA=FMA_ROE&amp;VAR:MEASURE=ROE&amp;VAR:NULL=.HTML&amp;VAR:PED=LTM&amp;VAR:PERIOD=FIXED&amp;VAR:THRESH=-|-|-|-|-|-&amp;VAR:PCT=Y&amp;VAR:V=15.254686&amp;VAR:P=1&amp;VAR:DATE=20040930"}</definedName>
    <definedName name="_20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Equity&amp;VAR:FQLFORMULA=FMA_ROE&amp;VAR:MEASURE=ROE&amp;VAR:NULL=.HTML&amp;VAR:PED=LTM&amp;VAR:PERIOD=FIXED&amp;VAR:THRESH=-|-|-|-|-|-&amp;VAR:PCT=Y&amp;VAR:V=15.254686&amp;VAR:P=1&amp;VAR:DATE=20040930"}</definedName>
    <definedName name="_20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Equity&amp;VAR:FQLFORMULA=FMA_ROE&amp;VAR:MEASURE=ROE&amp;VAR:NULL=.HTML&amp;VAR:PED=LTM&amp;VAR:PERIOD=FIXED&amp;VAR:THRESH=-|-|-|-|-|-&amp;VAR:PCT=Y&amp;VAR:V=15.254686&amp;VAR:P=1&amp;VAR:DATE=20040930"}</definedName>
    <definedName name="_20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Equity&amp;VAR:FQLFORMULA=FMA_ROE&amp;VAR:MEASURE=ROE&amp;VAR:NULL=.HTML&amp;VAR:PED=LTM&amp;VAR:PERIOD=FIXED&amp;VAR:THRESH=-|-|-|-|-|-&amp;VAR:PCT=Y&amp;VAR:V=15.170527&amp;VAR:P=1&amp;VAR:DATE=20040831"}</definedName>
    <definedName name="_20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Equity&amp;VAR:FQLFORMULA=FMA_ROE&amp;VAR:MEASURE=ROE&amp;VAR:NULL=.HTML&amp;VAR:PED=LTM&amp;VAR:PERIOD=FIXED&amp;VAR:THRESH=-|-|-|-|-|-&amp;VAR:PCT=Y&amp;VAR:V=15.170527&amp;VAR:P=1&amp;VAR:DATE=20040831"}</definedName>
    <definedName name="_20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Equity&amp;VAR:FQLFORMULA=FMA_ROE&amp;VAR:MEASURE=ROE&amp;VAR:NULL=.HTML&amp;VAR:PED=LTM&amp;VAR:PERIOD=FIXED&amp;VAR:THRESH=-|-|-|-|-|-&amp;VAR:PCT=Y&amp;VAR:V=15.170527&amp;VAR:P=1&amp;VAR:DATE=20040831"}</definedName>
    <definedName name="_20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Equity&amp;VAR:FQLFORMULA=FMA_ROE&amp;VAR:MEASURE=ROE&amp;VAR:NULL=.HTML&amp;VAR:PED=LTM&amp;VAR:PERIOD=FIXED&amp;VAR:THRESH=-|-|-|-|-|-&amp;VAR:PCT=Y&amp;VAR:V=14.969450&amp;VAR:P=1&amp;VAR:DATE=20040730"}</definedName>
    <definedName name="_20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Equity&amp;VAR:FQLFORMULA=FMA_ROE&amp;VAR:MEASURE=ROE&amp;VAR:NULL=.HTML&amp;VAR:PED=LTM&amp;VAR:PERIOD=FIXED&amp;VAR:THRESH=-|-|-|-|-|-&amp;VAR:PCT=Y&amp;VAR:V=14.969450&amp;VAR:P=1&amp;VAR:DATE=20040730"}</definedName>
    <definedName name="_20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Equity&amp;VAR:FQLFORMULA=FMA_ROE&amp;VAR:MEASURE=ROE&amp;VAR:NULL=.HTML&amp;VAR:PED=LTM&amp;VAR:PERIOD=FIXED&amp;VAR:THRESH=-|-|-|-|-|-&amp;VAR:PCT=Y&amp;VAR:V=14.969450&amp;VAR:P=1&amp;VAR:DATE=20040730"}</definedName>
    <definedName name="_20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Equity&amp;VAR:FQLFORMULA=FMA_ROE&amp;VAR:MEASURE=ROE&amp;VAR:NULL=.HTML&amp;VAR:PED=LTM&amp;VAR:PERIOD=FIXED&amp;VAR:THRESH=-|-|-|-|-|-&amp;VAR:PCT=Y&amp;VAR:V=14.848572&amp;VAR:P=1&amp;VAR:DATE=20040630"}</definedName>
    <definedName name="_20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Equity&amp;VAR:FQLFORMULA=FMA_ROE&amp;VAR:MEASURE=ROE&amp;VAR:NULL=.HTML&amp;VAR:PED=LTM&amp;VAR:PERIOD=FIXED&amp;VAR:THRESH=-|-|-|-|-|-&amp;VAR:PCT=Y&amp;VAR:V=14.848572&amp;VAR:P=1&amp;VAR:DATE=20040630"}</definedName>
    <definedName name="_20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Equity&amp;VAR:FQLFORMULA=FMA_ROE&amp;VAR:MEASURE=ROE&amp;VAR:NULL=.HTML&amp;VAR:PED=LTM&amp;VAR:PERIOD=FIXED&amp;VAR:THRESH=-|-|-|-|-|-&amp;VAR:PCT=Y&amp;VAR:V=14.848572&amp;VAR:P=1&amp;VAR:DATE=20040630"}</definedName>
    <definedName name="_20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Equity&amp;VAR:FQLFORMULA=FMA_ROE&amp;VAR:MEASURE=ROE&amp;VAR:NULL=.HTML&amp;VAR:PED=LTM&amp;VAR:PERIOD=FIXED&amp;VAR:THRESH=-|-|-|-|-|-&amp;VAR:PCT=Y&amp;VAR:V=14.800475&amp;VAR:P=1&amp;VAR:DATE=20040531"}</definedName>
    <definedName name="_20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Equity&amp;VAR:FQLFORMULA=FMA_ROE&amp;VAR:MEASURE=ROE&amp;VAR:NULL=.HTML&amp;VAR:PED=LTM&amp;VAR:PERIOD=FIXED&amp;VAR:THRESH=-|-|-|-|-|-&amp;VAR:PCT=Y&amp;VAR:V=14.800475&amp;VAR:P=1&amp;VAR:DATE=20040531"}</definedName>
    <definedName name="_20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Equity&amp;VAR:FQLFORMULA=FMA_ROE&amp;VAR:MEASURE=ROE&amp;VAR:NULL=.HTML&amp;VAR:PED=LTM&amp;VAR:PERIOD=FIXED&amp;VAR:THRESH=-|-|-|-|-|-&amp;VAR:PCT=Y&amp;VAR:V=14.800475&amp;VAR:P=1&amp;VAR:DATE=20040531"}</definedName>
    <definedName name="_21__FDSAUDITLINK__" localSheetId="8" hidden="1">{"fdsup://directions/FAT%20Viewer?VAR:PED=LTM&amp;VAR:PERIOD=FIXED&amp;VAR:V=12.720948&amp;VAR:PCT=Y&amp;VAR:AUDIT_ID=00000117&amp;VAR:DATE=20080829&amp;action=UPDATE&amp;creator=factset&amp;DOC_NAME=FAT:FMA_audit_SUMMARY.fat&amp;DISPLAY_STRING=Display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1__FDSAUDITLINK__" localSheetId="2" hidden="1">{"fdsup://directions/FAT%20Viewer?VAR:PED=LTM&amp;VAR:PERIOD=FIXED&amp;VAR:V=12.720948&amp;VAR:PCT=Y&amp;VAR:AUDIT_ID=00000117&amp;VAR:DATE=20080829&amp;action=UPDATE&amp;creator=factset&amp;DOC_NAME=FAT:FMA_audit_SUMMARY.fat&amp;DISPLAY_STRING=Display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1__FDSAUDITLINK__" hidden="1">{"fdsup://directions/FAT%20Viewer?VAR:PED=LTM&amp;VAR:PERIOD=FIXED&amp;VAR:V=12.720948&amp;VAR:PCT=Y&amp;VAR:AUDIT_ID=00000117&amp;VAR:DATE=20080829&amp;action=UPDATE&amp;creator=factset&amp;DOC_NAME=FAT:FMA_audit_SUMMARY.fat&amp;DISPLAY_STRING=Display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1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Equity&amp;VAR:FQLFORMULA=FMA_ROE&amp;VAR:MEASURE=ROE&amp;VAR:NULL=.HTML&amp;VAR:PED=LTM&amp;VAR:PERIOD=FIXED&amp;VAR:THRESH=-|-|-|-|-|-&amp;VAR:PCT=Y&amp;VAR:V=15.383219&amp;VAR:P=1&amp;VAR:DATE=20040430"}</definedName>
    <definedName name="_21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Equity&amp;VAR:FQLFORMULA=FMA_ROE&amp;VAR:MEASURE=ROE&amp;VAR:NULL=.HTML&amp;VAR:PED=LTM&amp;VAR:PERIOD=FIXED&amp;VAR:THRESH=-|-|-|-|-|-&amp;VAR:PCT=Y&amp;VAR:V=15.383219&amp;VAR:P=1&amp;VAR:DATE=20040430"}</definedName>
    <definedName name="_21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Equity&amp;VAR:FQLFORMULA=FMA_ROE&amp;VAR:MEASURE=ROE&amp;VAR:NULL=.HTML&amp;VAR:PED=LTM&amp;VAR:PERIOD=FIXED&amp;VAR:THRESH=-|-|-|-|-|-&amp;VAR:PCT=Y&amp;VAR:V=15.383219&amp;VAR:P=1&amp;VAR:DATE=20040430"}</definedName>
    <definedName name="_21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Equity&amp;VAR:FQLFORMULA=FMA_ROE&amp;VAR:MEASURE=ROE&amp;VAR:NULL=.HTML&amp;VAR:PED=LTM&amp;VAR:PERIOD=FIXED&amp;VAR:THRESH=-|-|-|-|-|-&amp;VAR:PCT=Y&amp;VAR:V=15.335340&amp;VAR:P=1&amp;VAR:DATE=20040331"}</definedName>
    <definedName name="_21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Equity&amp;VAR:FQLFORMULA=FMA_ROE&amp;VAR:MEASURE=ROE&amp;VAR:NULL=.HTML&amp;VAR:PED=LTM&amp;VAR:PERIOD=FIXED&amp;VAR:THRESH=-|-|-|-|-|-&amp;VAR:PCT=Y&amp;VAR:V=15.335340&amp;VAR:P=1&amp;VAR:DATE=20040331"}</definedName>
    <definedName name="_21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Equity&amp;VAR:FQLFORMULA=FMA_ROE&amp;VAR:MEASURE=ROE&amp;VAR:NULL=.HTML&amp;VAR:PED=LTM&amp;VAR:PERIOD=FIXED&amp;VAR:THRESH=-|-|-|-|-|-&amp;VAR:PCT=Y&amp;VAR:V=15.335340&amp;VAR:P=1&amp;VAR:DATE=20040331"}</definedName>
    <definedName name="_21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Equity&amp;VAR:FQLFORMULA=FMA_ROE&amp;VAR:MEASURE=ROE&amp;VAR:NULL=.HTML&amp;VAR:PED=LTM&amp;VAR:PERIOD=FIXED&amp;VAR:THRESH=-|-|-|-|-|-&amp;VAR:PCT=Y&amp;VAR:V=15.349756&amp;VAR:P=1&amp;VAR:DATE=20040227"}</definedName>
    <definedName name="_21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Equity&amp;VAR:FQLFORMULA=FMA_ROE&amp;VAR:MEASURE=ROE&amp;VAR:NULL=.HTML&amp;VAR:PED=LTM&amp;VAR:PERIOD=FIXED&amp;VAR:THRESH=-|-|-|-|-|-&amp;VAR:PCT=Y&amp;VAR:V=15.349756&amp;VAR:P=1&amp;VAR:DATE=20040227"}</definedName>
    <definedName name="_21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Equity&amp;VAR:FQLFORMULA=FMA_ROE&amp;VAR:MEASURE=ROE&amp;VAR:NULL=.HTML&amp;VAR:PED=LTM&amp;VAR:PERIOD=FIXED&amp;VAR:THRESH=-|-|-|-|-|-&amp;VAR:PCT=Y&amp;VAR:V=15.349756&amp;VAR:P=1&amp;VAR:DATE=20040227"}</definedName>
    <definedName name="_21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Equity&amp;VAR:FQLFORMULA=FMA_ROE&amp;VAR:MEASURE=ROE&amp;VAR:NULL=.HTML&amp;VAR:PED=LTM&amp;VAR:PERIOD=FIXED&amp;VAR:THRESH=-|-|-|-|-|-&amp;VAR:PCT=Y&amp;VAR:V=14.730568&amp;VAR:P=1&amp;VAR:DATE=20040130"}</definedName>
    <definedName name="_21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Equity&amp;VAR:FQLFORMULA=FMA_ROE&amp;VAR:MEASURE=ROE&amp;VAR:NULL=.HTML&amp;VAR:PED=LTM&amp;VAR:PERIOD=FIXED&amp;VAR:THRESH=-|-|-|-|-|-&amp;VAR:PCT=Y&amp;VAR:V=14.730568&amp;VAR:P=1&amp;VAR:DATE=20040130"}</definedName>
    <definedName name="_21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Equity&amp;VAR:FQLFORMULA=FMA_ROE&amp;VAR:MEASURE=ROE&amp;VAR:NULL=.HTML&amp;VAR:PED=LTM&amp;VAR:PERIOD=FIXED&amp;VAR:THRESH=-|-|-|-|-|-&amp;VAR:PCT=Y&amp;VAR:V=14.730568&amp;VAR:P=1&amp;VAR:DATE=20040130"}</definedName>
    <definedName name="_21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Equity&amp;VAR:FQLFORMULA=FMA_ROE&amp;VAR:MEASURE=ROE&amp;VAR:NULL=.HTML&amp;VAR:PED=LTM&amp;VAR:PERIOD=FIXED&amp;VAR:THRESH=-|-|-|-|-|-&amp;VAR:PCT=Y&amp;VAR:V=14.718904&amp;VAR:P=1&amp;VAR:DATE=20031231"}</definedName>
    <definedName name="_21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Equity&amp;VAR:FQLFORMULA=FMA_ROE&amp;VAR:MEASURE=ROE&amp;VAR:NULL=.HTML&amp;VAR:PED=LTM&amp;VAR:PERIOD=FIXED&amp;VAR:THRESH=-|-|-|-|-|-&amp;VAR:PCT=Y&amp;VAR:V=14.718904&amp;VAR:P=1&amp;VAR:DATE=20031231"}</definedName>
    <definedName name="_21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Equity&amp;VAR:FQLFORMULA=FMA_ROE&amp;VAR:MEASURE=ROE&amp;VAR:NULL=.HTML&amp;VAR:PED=LTM&amp;VAR:PERIOD=FIXED&amp;VAR:THRESH=-|-|-|-|-|-&amp;VAR:PCT=Y&amp;VAR:V=14.718904&amp;VAR:P=1&amp;VAR:DATE=20031231"}</definedName>
    <definedName name="_21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Equity&amp;VAR:FQLFORMULA=FMA_ROE&amp;VAR:MEASURE=ROE&amp;VAR:NULL=.HTML&amp;VAR:PED=LTM&amp;VAR:PERIOD=FIXED&amp;VAR:THRESH=-|-|-|-|-|-&amp;VAR:PCT=Y&amp;VAR:V=14.585346&amp;VAR:P=1&amp;VAR:DATE=20031128"}</definedName>
    <definedName name="_21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Equity&amp;VAR:FQLFORMULA=FMA_ROE&amp;VAR:MEASURE=ROE&amp;VAR:NULL=.HTML&amp;VAR:PED=LTM&amp;VAR:PERIOD=FIXED&amp;VAR:THRESH=-|-|-|-|-|-&amp;VAR:PCT=Y&amp;VAR:V=14.585346&amp;VAR:P=1&amp;VAR:DATE=20031128"}</definedName>
    <definedName name="_21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Equity&amp;VAR:FQLFORMULA=FMA_ROE&amp;VAR:MEASURE=ROE&amp;VAR:NULL=.HTML&amp;VAR:PED=LTM&amp;VAR:PERIOD=FIXED&amp;VAR:THRESH=-|-|-|-|-|-&amp;VAR:PCT=Y&amp;VAR:V=14.585346&amp;VAR:P=1&amp;VAR:DATE=20031128"}</definedName>
    <definedName name="_21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Equity&amp;VAR:FQLFORMULA=FMA_ROE&amp;VAR:MEASURE=ROE&amp;VAR:NULL=.HTML&amp;VAR:PED=LTM&amp;VAR:PERIOD=FIXED&amp;VAR:THRESH=-|-|-|-|-|-&amp;VAR:PCT=Y&amp;VAR:V=13.908043&amp;VAR:P=1&amp;VAR:DATE=20031031"}</definedName>
    <definedName name="_21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Equity&amp;VAR:FQLFORMULA=FMA_ROE&amp;VAR:MEASURE=ROE&amp;VAR:NULL=.HTML&amp;VAR:PED=LTM&amp;VAR:PERIOD=FIXED&amp;VAR:THRESH=-|-|-|-|-|-&amp;VAR:PCT=Y&amp;VAR:V=13.908043&amp;VAR:P=1&amp;VAR:DATE=20031031"}</definedName>
    <definedName name="_21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Equity&amp;VAR:FQLFORMULA=FMA_ROE&amp;VAR:MEASURE=ROE&amp;VAR:NULL=.HTML&amp;VAR:PED=LTM&amp;VAR:PERIOD=FIXED&amp;VAR:THRESH=-|-|-|-|-|-&amp;VAR:PCT=Y&amp;VAR:V=13.908043&amp;VAR:P=1&amp;VAR:DATE=20031031"}</definedName>
    <definedName name="_21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Equity&amp;VAR:FQLFORMULA=FMA_ROE&amp;VAR:MEASURE=ROE&amp;VAR:NULL=.HTML&amp;VAR:PED=LTM&amp;VAR:PERIOD=FIXED&amp;VAR:THRESH=-|-|-|-|-|-&amp;VAR:PCT=Y&amp;VAR:V=13.877560&amp;VAR:P=1&amp;VAR:DATE=20030930"}</definedName>
    <definedName name="_21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Equity&amp;VAR:FQLFORMULA=FMA_ROE&amp;VAR:MEASURE=ROE&amp;VAR:NULL=.HTML&amp;VAR:PED=LTM&amp;VAR:PERIOD=FIXED&amp;VAR:THRESH=-|-|-|-|-|-&amp;VAR:PCT=Y&amp;VAR:V=13.877560&amp;VAR:P=1&amp;VAR:DATE=20030930"}</definedName>
    <definedName name="_21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Equity&amp;VAR:FQLFORMULA=FMA_ROE&amp;VAR:MEASURE=ROE&amp;VAR:NULL=.HTML&amp;VAR:PED=LTM&amp;VAR:PERIOD=FIXED&amp;VAR:THRESH=-|-|-|-|-|-&amp;VAR:PCT=Y&amp;VAR:V=13.877560&amp;VAR:P=1&amp;VAR:DATE=20030930"}</definedName>
    <definedName name="_21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Equity&amp;VAR:FQLFORMULA=FMA_ROE&amp;VAR:MEASURE=ROE&amp;VAR:NULL=.HTML&amp;VAR:PED=LTM&amp;VAR:PERIOD=FIXED&amp;VAR:THRESH=-|-|-|-|-|-&amp;VAR:PCT=Y&amp;VAR:V=13.856191&amp;VAR:P=1&amp;VAR:DATE=20030829"}</definedName>
    <definedName name="_21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Equity&amp;VAR:FQLFORMULA=FMA_ROE&amp;VAR:MEASURE=ROE&amp;VAR:NULL=.HTML&amp;VAR:PED=LTM&amp;VAR:PERIOD=FIXED&amp;VAR:THRESH=-|-|-|-|-|-&amp;VAR:PCT=Y&amp;VAR:V=13.856191&amp;VAR:P=1&amp;VAR:DATE=20030829"}</definedName>
    <definedName name="_21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Equity&amp;VAR:FQLFORMULA=FMA_ROE&amp;VAR:MEASURE=ROE&amp;VAR:NULL=.HTML&amp;VAR:PED=LTM&amp;VAR:PERIOD=FIXED&amp;VAR:THRESH=-|-|-|-|-|-&amp;VAR:PCT=Y&amp;VAR:V=13.856191&amp;VAR:P=1&amp;VAR:DATE=20030829"}</definedName>
    <definedName name="_21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Equity&amp;VAR:FQLFORMULA=FMA_ROE&amp;VAR:MEASURE=ROE&amp;VAR:NULL=.HTML&amp;VAR:PED=LTM&amp;VAR:PERIOD=FIXED&amp;VAR:THRESH=-|-|-|-|-|-&amp;VAR:PCT=Y&amp;VAR:V=13.440329&amp;VAR:P=1&amp;VAR:DATE=20030731"}</definedName>
    <definedName name="_21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Equity&amp;VAR:FQLFORMULA=FMA_ROE&amp;VAR:MEASURE=ROE&amp;VAR:NULL=.HTML&amp;VAR:PED=LTM&amp;VAR:PERIOD=FIXED&amp;VAR:THRESH=-|-|-|-|-|-&amp;VAR:PCT=Y&amp;VAR:V=13.440329&amp;VAR:P=1&amp;VAR:DATE=20030731"}</definedName>
    <definedName name="_21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Equity&amp;VAR:FQLFORMULA=FMA_ROE&amp;VAR:MEASURE=ROE&amp;VAR:NULL=.HTML&amp;VAR:PED=LTM&amp;VAR:PERIOD=FIXED&amp;VAR:THRESH=-|-|-|-|-|-&amp;VAR:PCT=Y&amp;VAR:V=13.440329&amp;VAR:P=1&amp;VAR:DATE=20030731"}</definedName>
    <definedName name="_22__FDSAUDITLINK__" localSheetId="8" hidden="1">{"fdsup://directions/FAT%20Viewer?VAR:PED=LTM&amp;VAR:PERIOD=FIXED&amp;VAR:V=14.128935&amp;VAR:PCT=Y&amp;VAR:AUDIT_ID=00000117&amp;VAR:DATE=20080731&amp;action=UPDATE&amp;creator=factset&amp;DOC_NAME=FAT:FMA_audit_SUMMARY.fat&amp;DISPLAY_STRING=Display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2__FDSAUDITLINK__" localSheetId="2" hidden="1">{"fdsup://directions/FAT%20Viewer?VAR:PED=LTM&amp;VAR:PERIOD=FIXED&amp;VAR:V=14.128935&amp;VAR:PCT=Y&amp;VAR:AUDIT_ID=00000117&amp;VAR:DATE=20080731&amp;action=UPDATE&amp;creator=factset&amp;DOC_NAME=FAT:FMA_audit_SUMMARY.fat&amp;DISPLAY_STRING=Display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2__FDSAUDITLINK__" hidden="1">{"fdsup://directions/FAT%20Viewer?VAR:PED=LTM&amp;VAR:PERIOD=FIXED&amp;VAR:V=14.128935&amp;VAR:PCT=Y&amp;VAR:AUDIT_ID=00000117&amp;VAR:DATE=20080731&amp;action=UPDATE&amp;creator=factset&amp;DOC_NAME=FAT:FMA_audit_SUMMARY.fat&amp;DISPLAY_STRING=Display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2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Equity&amp;VAR:FQLFORMULA=FMA_ROE&amp;VAR:MEASURE=ROE&amp;VAR:NULL=.HTML&amp;VAR:PED=LTM&amp;VAR:PERIOD=FIXED&amp;VAR:THRESH=-|-|-|-|-|-&amp;VAR:PCT=Y&amp;VAR:V=13.479730&amp;VAR:P=1&amp;VAR:DATE=20030630"}</definedName>
    <definedName name="_22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Equity&amp;VAR:FQLFORMULA=FMA_ROE&amp;VAR:MEASURE=ROE&amp;VAR:NULL=.HTML&amp;VAR:PED=LTM&amp;VAR:PERIOD=FIXED&amp;VAR:THRESH=-|-|-|-|-|-&amp;VAR:PCT=Y&amp;VAR:V=13.479730&amp;VAR:P=1&amp;VAR:DATE=20030630"}</definedName>
    <definedName name="_22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Equity&amp;VAR:FQLFORMULA=FMA_ROE&amp;VAR:MEASURE=ROE&amp;VAR:NULL=.HTML&amp;VAR:PED=LTM&amp;VAR:PERIOD=FIXED&amp;VAR:THRESH=-|-|-|-|-|-&amp;VAR:PCT=Y&amp;VAR:V=13.479730&amp;VAR:P=1&amp;VAR:DATE=20030630"}</definedName>
    <definedName name="_22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Equity&amp;VAR:FQLFORMULA=FMA_ROE&amp;VAR:MEASURE=ROE&amp;VAR:NULL=.HTML&amp;VAR:PED=LTM&amp;VAR:PERIOD=FIXED&amp;VAR:THRESH=-|-|-|-|-|-&amp;VAR:PCT=Y&amp;VAR:V=13.468264&amp;VAR:P=1&amp;VAR:DATE=20030530"}</definedName>
    <definedName name="_22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Equity&amp;VAR:FQLFORMULA=FMA_ROE&amp;VAR:MEASURE=ROE&amp;VAR:NULL=.HTML&amp;VAR:PED=LTM&amp;VAR:PERIOD=FIXED&amp;VAR:THRESH=-|-|-|-|-|-&amp;VAR:PCT=Y&amp;VAR:V=13.468264&amp;VAR:P=1&amp;VAR:DATE=20030530"}</definedName>
    <definedName name="_22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Equity&amp;VAR:FQLFORMULA=FMA_ROE&amp;VAR:MEASURE=ROE&amp;VAR:NULL=.HTML&amp;VAR:PED=LTM&amp;VAR:PERIOD=FIXED&amp;VAR:THRESH=-|-|-|-|-|-&amp;VAR:PCT=Y&amp;VAR:V=13.468264&amp;VAR:P=1&amp;VAR:DATE=20030530"}</definedName>
    <definedName name="_22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Equity&amp;VAR:FQLFORMULA=FMA_ROE&amp;VAR:MEASURE=ROE&amp;VAR:NULL=.HTML&amp;VAR:PED=LTM&amp;VAR:PERIOD=FIXED&amp;VAR:THRESH=-|-|-|-|-|-&amp;VAR:PCT=Y&amp;VAR:V=13.536398&amp;VAR:P=1&amp;VAR:DATE=20030430"}</definedName>
    <definedName name="_22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Equity&amp;VAR:FQLFORMULA=FMA_ROE&amp;VAR:MEASURE=ROE&amp;VAR:NULL=.HTML&amp;VAR:PED=LTM&amp;VAR:PERIOD=FIXED&amp;VAR:THRESH=-|-|-|-|-|-&amp;VAR:PCT=Y&amp;VAR:V=13.536398&amp;VAR:P=1&amp;VAR:DATE=20030430"}</definedName>
    <definedName name="_22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Equity&amp;VAR:FQLFORMULA=FMA_ROE&amp;VAR:MEASURE=ROE&amp;VAR:NULL=.HTML&amp;VAR:PED=LTM&amp;VAR:PERIOD=FIXED&amp;VAR:THRESH=-|-|-|-|-|-&amp;VAR:PCT=Y&amp;VAR:V=13.536398&amp;VAR:P=1&amp;VAR:DATE=20030430"}</definedName>
    <definedName name="_22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Equity&amp;VAR:FQLFORMULA=FMA_ROE&amp;VAR:MEASURE=ROE&amp;VAR:NULL=.HTML&amp;VAR:PED=LTM&amp;VAR:PERIOD=FIXED&amp;VAR:THRESH=-|-|-|-|-|-&amp;VAR:PCT=Y&amp;VAR:V=13.507727&amp;VAR:P=1&amp;VAR:DATE=20030331"}</definedName>
    <definedName name="_22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Equity&amp;VAR:FQLFORMULA=FMA_ROE&amp;VAR:MEASURE=ROE&amp;VAR:NULL=.HTML&amp;VAR:PED=LTM&amp;VAR:PERIOD=FIXED&amp;VAR:THRESH=-|-|-|-|-|-&amp;VAR:PCT=Y&amp;VAR:V=13.507727&amp;VAR:P=1&amp;VAR:DATE=20030331"}</definedName>
    <definedName name="_22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Equity&amp;VAR:FQLFORMULA=FMA_ROE&amp;VAR:MEASURE=ROE&amp;VAR:NULL=.HTML&amp;VAR:PED=LTM&amp;VAR:PERIOD=FIXED&amp;VAR:THRESH=-|-|-|-|-|-&amp;VAR:PCT=Y&amp;VAR:V=13.507727&amp;VAR:P=1&amp;VAR:DATE=20030331"}</definedName>
    <definedName name="_22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Equity&amp;VAR:FQLFORMULA=FMA_ROE&amp;VAR:MEASURE=ROE&amp;VAR:NULL=.HTML&amp;VAR:PED=LTM&amp;VAR:PERIOD=FIXED&amp;VAR:THRESH=-|-|-|-|-|-&amp;VAR:PCT=Y&amp;VAR:V=13.478861&amp;VAR:P=1&amp;VAR:DATE=20030228"}</definedName>
    <definedName name="_22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Equity&amp;VAR:FQLFORMULA=FMA_ROE&amp;VAR:MEASURE=ROE&amp;VAR:NULL=.HTML&amp;VAR:PED=LTM&amp;VAR:PERIOD=FIXED&amp;VAR:THRESH=-|-|-|-|-|-&amp;VAR:PCT=Y&amp;VAR:V=13.478861&amp;VAR:P=1&amp;VAR:DATE=20030228"}</definedName>
    <definedName name="_22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Equity&amp;VAR:FQLFORMULA=FMA_ROE&amp;VAR:MEASURE=ROE&amp;VAR:NULL=.HTML&amp;VAR:PED=LTM&amp;VAR:PERIOD=FIXED&amp;VAR:THRESH=-|-|-|-|-|-&amp;VAR:PCT=Y&amp;VAR:V=13.478861&amp;VAR:P=1&amp;VAR:DATE=20030228"}</definedName>
    <definedName name="_22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Equity&amp;VAR:FQLFORMULA=FMA_ROE&amp;VAR:MEASURE=ROE&amp;VAR:NULL=.HTML&amp;VAR:PED=LTM&amp;VAR:PERIOD=FIXED&amp;VAR:THRESH=-|-|-|-|-|-&amp;VAR:PCT=Y&amp;VAR:V=11.448824&amp;VAR:P=1&amp;VAR:DATE=20030131"}</definedName>
    <definedName name="_22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Equity&amp;VAR:FQLFORMULA=FMA_ROE&amp;VAR:MEASURE=ROE&amp;VAR:NULL=.HTML&amp;VAR:PED=LTM&amp;VAR:PERIOD=FIXED&amp;VAR:THRESH=-|-|-|-|-|-&amp;VAR:PCT=Y&amp;VAR:V=11.448824&amp;VAR:P=1&amp;VAR:DATE=20030131"}</definedName>
    <definedName name="_22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Equity&amp;VAR:FQLFORMULA=FMA_ROE&amp;VAR:MEASURE=ROE&amp;VAR:NULL=.HTML&amp;VAR:PED=LTM&amp;VAR:PERIOD=FIXED&amp;VAR:THRESH=-|-|-|-|-|-&amp;VAR:PCT=Y&amp;VAR:V=11.448824&amp;VAR:P=1&amp;VAR:DATE=20030131"}</definedName>
    <definedName name="_22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Equity&amp;VAR:FQLFORMULA=FMA_ROE&amp;VAR:MEASURE=ROE&amp;VAR:NULL=.HTML&amp;VAR:PED=LTM&amp;VAR:PERIOD=FIXED&amp;VAR:THRESH=-|-|-|-|-|-&amp;VAR:PCT=Y&amp;VAR:V=11.446424&amp;VAR:P=1&amp;VAR:DATE=20021231"}</definedName>
    <definedName name="_22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Equity&amp;VAR:FQLFORMULA=FMA_ROE&amp;VAR:MEASURE=ROE&amp;VAR:NULL=.HTML&amp;VAR:PED=LTM&amp;VAR:PERIOD=FIXED&amp;VAR:THRESH=-|-|-|-|-|-&amp;VAR:PCT=Y&amp;VAR:V=11.446424&amp;VAR:P=1&amp;VAR:DATE=20021231"}</definedName>
    <definedName name="_22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Equity&amp;VAR:FQLFORMULA=FMA_ROE&amp;VAR:MEASURE=ROE&amp;VAR:NULL=.HTML&amp;VAR:PED=LTM&amp;VAR:PERIOD=FIXED&amp;VAR:THRESH=-|-|-|-|-|-&amp;VAR:PCT=Y&amp;VAR:V=11.446424&amp;VAR:P=1&amp;VAR:DATE=20021231"}</definedName>
    <definedName name="_22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Equity&amp;VAR:FQLFORMULA=FMA_ROE&amp;VAR:MEASURE=ROE&amp;VAR:NULL=.HTML&amp;VAR:PED=LTM&amp;VAR:PERIOD=FIXED&amp;VAR:THRESH=-|-|-|-|-|-&amp;VAR:PCT=Y&amp;VAR:V=11.351811&amp;VAR:P=1&amp;VAR:DATE=20021129"}</definedName>
    <definedName name="_22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Equity&amp;VAR:FQLFORMULA=FMA_ROE&amp;VAR:MEASURE=ROE&amp;VAR:NULL=.HTML&amp;VAR:PED=LTM&amp;VAR:PERIOD=FIXED&amp;VAR:THRESH=-|-|-|-|-|-&amp;VAR:PCT=Y&amp;VAR:V=11.351811&amp;VAR:P=1&amp;VAR:DATE=20021129"}</definedName>
    <definedName name="_22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Equity&amp;VAR:FQLFORMULA=FMA_ROE&amp;VAR:MEASURE=ROE&amp;VAR:NULL=.HTML&amp;VAR:PED=LTM&amp;VAR:PERIOD=FIXED&amp;VAR:THRESH=-|-|-|-|-|-&amp;VAR:PCT=Y&amp;VAR:V=11.351811&amp;VAR:P=1&amp;VAR:DATE=20021129"}</definedName>
    <definedName name="_22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Equity&amp;VAR:FQLFORMULA=FMA_ROE&amp;VAR:MEASURE=ROE&amp;VAR:NULL=.HTML&amp;VAR:PED=LTM&amp;VAR:PERIOD=FIXED&amp;VAR:THRESH=-|-|-|-|-|-&amp;VAR:PCT=Y&amp;VAR:V=11.121153&amp;VAR:P=1&amp;VAR:DATE=20021031"}</definedName>
    <definedName name="_22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Equity&amp;VAR:FQLFORMULA=FMA_ROE&amp;VAR:MEASURE=ROE&amp;VAR:NULL=.HTML&amp;VAR:PED=LTM&amp;VAR:PERIOD=FIXED&amp;VAR:THRESH=-|-|-|-|-|-&amp;VAR:PCT=Y&amp;VAR:V=11.121153&amp;VAR:P=1&amp;VAR:DATE=20021031"}</definedName>
    <definedName name="_22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Equity&amp;VAR:FQLFORMULA=FMA_ROE&amp;VAR:MEASURE=ROE&amp;VAR:NULL=.HTML&amp;VAR:PED=LTM&amp;VAR:PERIOD=FIXED&amp;VAR:THRESH=-|-|-|-|-|-&amp;VAR:PCT=Y&amp;VAR:V=11.121153&amp;VAR:P=1&amp;VAR:DATE=20021031"}</definedName>
    <definedName name="_22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Equity&amp;VAR:FQLFORMULA=FMA_ROE&amp;VAR:MEASURE=ROE&amp;VAR:NULL=.HTML&amp;VAR:PED=LTM&amp;VAR:PERIOD=FIXED&amp;VAR:THRESH=-|-|-|-|-|-&amp;VAR:PCT=Y&amp;VAR:V=11.118872&amp;VAR:P=1&amp;VAR:DATE=20020930"}</definedName>
    <definedName name="_22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Equity&amp;VAR:FQLFORMULA=FMA_ROE&amp;VAR:MEASURE=ROE&amp;VAR:NULL=.HTML&amp;VAR:PED=LTM&amp;VAR:PERIOD=FIXED&amp;VAR:THRESH=-|-|-|-|-|-&amp;VAR:PCT=Y&amp;VAR:V=11.118872&amp;VAR:P=1&amp;VAR:DATE=20020930"}</definedName>
    <definedName name="_22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Equity&amp;VAR:FQLFORMULA=FMA_ROE&amp;VAR:MEASURE=ROE&amp;VAR:NULL=.HTML&amp;VAR:PED=LTM&amp;VAR:PERIOD=FIXED&amp;VAR:THRESH=-|-|-|-|-|-&amp;VAR:PCT=Y&amp;VAR:V=11.118872&amp;VAR:P=1&amp;VAR:DATE=20020930"}</definedName>
    <definedName name="_23__FDSAUDITLINK__" localSheetId="8" hidden="1">{"fdsup://directions/FAT%20Viewer?VAR:PED=LTM&amp;VAR:PERIOD=FIXED&amp;VAR:V=14.288703&amp;VAR:PCT=Y&amp;VAR:AUDIT_ID=00000117&amp;VAR:DATE=20080630&amp;action=UPDATE&amp;creator=factset&amp;DOC_NAME=FAT:FMA_audit_SUMMARY.fat&amp;DISPLAY_STRING=Display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3__FDSAUDITLINK__" localSheetId="2" hidden="1">{"fdsup://directions/FAT%20Viewer?VAR:PED=LTM&amp;VAR:PERIOD=FIXED&amp;VAR:V=14.288703&amp;VAR:PCT=Y&amp;VAR:AUDIT_ID=00000117&amp;VAR:DATE=20080630&amp;action=UPDATE&amp;creator=factset&amp;DOC_NAME=FAT:FMA_audit_SUMMARY.fat&amp;DISPLAY_STRING=Display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3__FDSAUDITLINK__" hidden="1">{"fdsup://directions/FAT%20Viewer?VAR:PED=LTM&amp;VAR:PERIOD=FIXED&amp;VAR:V=14.288703&amp;VAR:PCT=Y&amp;VAR:AUDIT_ID=00000117&amp;VAR:DATE=20080630&amp;action=UPDATE&amp;creator=factset&amp;DOC_NAME=FAT:FMA_audit_SUMMARY.fat&amp;DISPLAY_STRING=Display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3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Equity&amp;VAR:FQLFORMULA=FMA_ROE&amp;VAR:MEASURE=ROE&amp;VAR:NULL=.HTML&amp;VAR:PED=LTM&amp;VAR:PERIOD=FIXED&amp;VAR:THRESH=-|-|-|-|-|-&amp;VAR:PCT=Y&amp;VAR:V=11.171120&amp;VAR:P=1&amp;VAR:DATE=20020830"}</definedName>
    <definedName name="_23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Equity&amp;VAR:FQLFORMULA=FMA_ROE&amp;VAR:MEASURE=ROE&amp;VAR:NULL=.HTML&amp;VAR:PED=LTM&amp;VAR:PERIOD=FIXED&amp;VAR:THRESH=-|-|-|-|-|-&amp;VAR:PCT=Y&amp;VAR:V=11.171120&amp;VAR:P=1&amp;VAR:DATE=20020830"}</definedName>
    <definedName name="_23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Equity&amp;VAR:FQLFORMULA=FMA_ROE&amp;VAR:MEASURE=ROE&amp;VAR:NULL=.HTML&amp;VAR:PED=LTM&amp;VAR:PERIOD=FIXED&amp;VAR:THRESH=-|-|-|-|-|-&amp;VAR:PCT=Y&amp;VAR:V=11.171120&amp;VAR:P=1&amp;VAR:DATE=20020830"}</definedName>
    <definedName name="_23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Equity&amp;VAR:FQLFORMULA=FMA_ROE&amp;VAR:MEASURE=ROE&amp;VAR:NULL=.HTML&amp;VAR:PED=LTM&amp;VAR:PERIOD=FIXED&amp;VAR:THRESH=-|-|-|-|-|-&amp;VAR:PCT=Y&amp;VAR:V=9.103261&amp;VAR:P=1&amp;VAR:DATE=20020731"}</definedName>
    <definedName name="_23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Equity&amp;VAR:FQLFORMULA=FMA_ROE&amp;VAR:MEASURE=ROE&amp;VAR:NULL=.HTML&amp;VAR:PED=LTM&amp;VAR:PERIOD=FIXED&amp;VAR:THRESH=-|-|-|-|-|-&amp;VAR:PCT=Y&amp;VAR:V=9.103261&amp;VAR:P=1&amp;VAR:DATE=20020731"}</definedName>
    <definedName name="_23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Equity&amp;VAR:FQLFORMULA=FMA_ROE&amp;VAR:MEASURE=ROE&amp;VAR:NULL=.HTML&amp;VAR:PED=LTM&amp;VAR:PERIOD=FIXED&amp;VAR:THRESH=-|-|-|-|-|-&amp;VAR:PCT=Y&amp;VAR:V=9.103261&amp;VAR:P=1&amp;VAR:DATE=20020731"}</definedName>
    <definedName name="_23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Equity&amp;VAR:FQLFORMULA=FMA_ROE&amp;VAR:MEASURE=ROE&amp;VAR:NULL=.HTML&amp;VAR:PED=LTM&amp;VAR:PERIOD=FIXED&amp;VAR:THRESH=-|-|-|-|-|-&amp;VAR:PCT=Y&amp;VAR:V=8.507379&amp;VAR:P=1&amp;VAR:DATE=20020628"}</definedName>
    <definedName name="_23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Equity&amp;VAR:FQLFORMULA=FMA_ROE&amp;VAR:MEASURE=ROE&amp;VAR:NULL=.HTML&amp;VAR:PED=LTM&amp;VAR:PERIOD=FIXED&amp;VAR:THRESH=-|-|-|-|-|-&amp;VAR:PCT=Y&amp;VAR:V=8.507379&amp;VAR:P=1&amp;VAR:DATE=20020628"}</definedName>
    <definedName name="_23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Equity&amp;VAR:FQLFORMULA=FMA_ROE&amp;VAR:MEASURE=ROE&amp;VAR:NULL=.HTML&amp;VAR:PED=LTM&amp;VAR:PERIOD=FIXED&amp;VAR:THRESH=-|-|-|-|-|-&amp;VAR:PCT=Y&amp;VAR:V=8.507379&amp;VAR:P=1&amp;VAR:DATE=20020628"}</definedName>
    <definedName name="_23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Equity&amp;VAR:FQLFORMULA=FMA_ROE&amp;VAR:MEASURE=ROE&amp;VAR:NULL=.HTML&amp;VAR:PED=LTM&amp;VAR:PERIOD=FIXED&amp;VAR:THRESH=-|-|-|-|-|-&amp;VAR:PCT=Y&amp;VAR:V=8.548987&amp;VAR:P=1&amp;VAR:DATE=20020531"}</definedName>
    <definedName name="_23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Equity&amp;VAR:FQLFORMULA=FMA_ROE&amp;VAR:MEASURE=ROE&amp;VAR:NULL=.HTML&amp;VAR:PED=LTM&amp;VAR:PERIOD=FIXED&amp;VAR:THRESH=-|-|-|-|-|-&amp;VAR:PCT=Y&amp;VAR:V=8.548987&amp;VAR:P=1&amp;VAR:DATE=20020531"}</definedName>
    <definedName name="_23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Equity&amp;VAR:FQLFORMULA=FMA_ROE&amp;VAR:MEASURE=ROE&amp;VAR:NULL=.HTML&amp;VAR:PED=LTM&amp;VAR:PERIOD=FIXED&amp;VAR:THRESH=-|-|-|-|-|-&amp;VAR:PCT=Y&amp;VAR:V=8.548987&amp;VAR:P=1&amp;VAR:DATE=20020531"}</definedName>
    <definedName name="_23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Equity&amp;VAR:FQLFORMULA=FMA_ROE&amp;VAR:MEASURE=ROE&amp;VAR:NULL=.HTML&amp;VAR:PED=LTM&amp;VAR:PERIOD=FIXED&amp;VAR:THRESH=-|-|-|-|-|-&amp;VAR:PCT=Y&amp;VAR:V=9.782448&amp;VAR:P=1&amp;VAR:DATE=20020430"}</definedName>
    <definedName name="_23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Equity&amp;VAR:FQLFORMULA=FMA_ROE&amp;VAR:MEASURE=ROE&amp;VAR:NULL=.HTML&amp;VAR:PED=LTM&amp;VAR:PERIOD=FIXED&amp;VAR:THRESH=-|-|-|-|-|-&amp;VAR:PCT=Y&amp;VAR:V=9.782448&amp;VAR:P=1&amp;VAR:DATE=20020430"}</definedName>
    <definedName name="_23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Equity&amp;VAR:FQLFORMULA=FMA_ROE&amp;VAR:MEASURE=ROE&amp;VAR:NULL=.HTML&amp;VAR:PED=LTM&amp;VAR:PERIOD=FIXED&amp;VAR:THRESH=-|-|-|-|-|-&amp;VAR:PCT=Y&amp;VAR:V=9.782448&amp;VAR:P=1&amp;VAR:DATE=20020430"}</definedName>
    <definedName name="_23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Equity&amp;VAR:FQLFORMULA=FMA_ROE&amp;VAR:MEASURE=ROE&amp;VAR:NULL=.HTML&amp;VAR:PED=LTM&amp;VAR:PERIOD=FIXED&amp;VAR:THRESH=-|-|-|-|-|-&amp;VAR:PCT=Y&amp;VAR:V=9.807833&amp;VAR:P=1&amp;VAR:DATE=20020329"}</definedName>
    <definedName name="_23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Equity&amp;VAR:FQLFORMULA=FMA_ROE&amp;VAR:MEASURE=ROE&amp;VAR:NULL=.HTML&amp;VAR:PED=LTM&amp;VAR:PERIOD=FIXED&amp;VAR:THRESH=-|-|-|-|-|-&amp;VAR:PCT=Y&amp;VAR:V=9.807833&amp;VAR:P=1&amp;VAR:DATE=20020329"}</definedName>
    <definedName name="_23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Equity&amp;VAR:FQLFORMULA=FMA_ROE&amp;VAR:MEASURE=ROE&amp;VAR:NULL=.HTML&amp;VAR:PED=LTM&amp;VAR:PERIOD=FIXED&amp;VAR:THRESH=-|-|-|-|-|-&amp;VAR:PCT=Y&amp;VAR:V=9.807833&amp;VAR:P=1&amp;VAR:DATE=20020329"}</definedName>
    <definedName name="_23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Equity&amp;VAR:FQLFORMULA=FMA_ROE&amp;VAR:MEASURE=ROE&amp;VAR:NULL=.HTML&amp;VAR:PED=LTM&amp;VAR:PERIOD=FIXED&amp;VAR:THRESH=-|-|-|-|-|-&amp;VAR:PCT=Y&amp;VAR:V=9.919854&amp;VAR:P=1&amp;VAR:DATE=20020228"}</definedName>
    <definedName name="_23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Equity&amp;VAR:FQLFORMULA=FMA_ROE&amp;VAR:MEASURE=ROE&amp;VAR:NULL=.HTML&amp;VAR:PED=LTM&amp;VAR:PERIOD=FIXED&amp;VAR:THRESH=-|-|-|-|-|-&amp;VAR:PCT=Y&amp;VAR:V=9.919854&amp;VAR:P=1&amp;VAR:DATE=20020228"}</definedName>
    <definedName name="_23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Equity&amp;VAR:FQLFORMULA=FMA_ROE&amp;VAR:MEASURE=ROE&amp;VAR:NULL=.HTML&amp;VAR:PED=LTM&amp;VAR:PERIOD=FIXED&amp;VAR:THRESH=-|-|-|-|-|-&amp;VAR:PCT=Y&amp;VAR:V=9.919854&amp;VAR:P=1&amp;VAR:DATE=20020228"}</definedName>
    <definedName name="_23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Equity&amp;VAR:FQLFORMULA=FMA_ROE&amp;VAR:MEASURE=ROE&amp;VAR:NULL=.HTML&amp;VAR:PED=LTM&amp;VAR:PERIOD=FIXED&amp;VAR:THRESH=-|-|-|-|-|-&amp;VAR:PCT=Y&amp;VAR:V=9.258598&amp;VAR:P=1&amp;VAR:DATE=20020131"}</definedName>
    <definedName name="_23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Equity&amp;VAR:FQLFORMULA=FMA_ROE&amp;VAR:MEASURE=ROE&amp;VAR:NULL=.HTML&amp;VAR:PED=LTM&amp;VAR:PERIOD=FIXED&amp;VAR:THRESH=-|-|-|-|-|-&amp;VAR:PCT=Y&amp;VAR:V=9.258598&amp;VAR:P=1&amp;VAR:DATE=20020131"}</definedName>
    <definedName name="_23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Equity&amp;VAR:FQLFORMULA=FMA_ROE&amp;VAR:MEASURE=ROE&amp;VAR:NULL=.HTML&amp;VAR:PED=LTM&amp;VAR:PERIOD=FIXED&amp;VAR:THRESH=-|-|-|-|-|-&amp;VAR:PCT=Y&amp;VAR:V=9.258598&amp;VAR:P=1&amp;VAR:DATE=20020131"}</definedName>
    <definedName name="_23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Equity&amp;VAR:FQLFORMULA=FMA_ROE&amp;VAR:MEASURE=ROE&amp;VAR:NULL=.HTML&amp;VAR:PED=LTM&amp;VAR:PERIOD=FIXED&amp;VAR:THRESH=-|-|-|-|-|-&amp;VAR:PCT=Y&amp;VAR:V=9.339668&amp;VAR:P=1&amp;VAR:DATE=20011231"}</definedName>
    <definedName name="_23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Equity&amp;VAR:FQLFORMULA=FMA_ROE&amp;VAR:MEASURE=ROE&amp;VAR:NULL=.HTML&amp;VAR:PED=LTM&amp;VAR:PERIOD=FIXED&amp;VAR:THRESH=-|-|-|-|-|-&amp;VAR:PCT=Y&amp;VAR:V=9.339668&amp;VAR:P=1&amp;VAR:DATE=20011231"}</definedName>
    <definedName name="_23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Equity&amp;VAR:FQLFORMULA=FMA_ROE&amp;VAR:MEASURE=ROE&amp;VAR:NULL=.HTML&amp;VAR:PED=LTM&amp;VAR:PERIOD=FIXED&amp;VAR:THRESH=-|-|-|-|-|-&amp;VAR:PCT=Y&amp;VAR:V=9.339668&amp;VAR:P=1&amp;VAR:DATE=20011231"}</definedName>
    <definedName name="_23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Equity&amp;VAR:FQLFORMULA=FMA_ROE&amp;VAR:MEASURE=ROE&amp;VAR:NULL=.HTML&amp;VAR:PED=LTM&amp;VAR:PERIOD=FIXED&amp;VAR:THRESH=-|-|-|-|-|-&amp;VAR:PCT=Y&amp;VAR:V=9.591758&amp;VAR:P=1&amp;VAR:DATE=20011130"}</definedName>
    <definedName name="_23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Equity&amp;VAR:FQLFORMULA=FMA_ROE&amp;VAR:MEASURE=ROE&amp;VAR:NULL=.HTML&amp;VAR:PED=LTM&amp;VAR:PERIOD=FIXED&amp;VAR:THRESH=-|-|-|-|-|-&amp;VAR:PCT=Y&amp;VAR:V=9.591758&amp;VAR:P=1&amp;VAR:DATE=20011130"}</definedName>
    <definedName name="_23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Equity&amp;VAR:FQLFORMULA=FMA_ROE&amp;VAR:MEASURE=ROE&amp;VAR:NULL=.HTML&amp;VAR:PED=LTM&amp;VAR:PERIOD=FIXED&amp;VAR:THRESH=-|-|-|-|-|-&amp;VAR:PCT=Y&amp;VAR:V=9.591758&amp;VAR:P=1&amp;VAR:DATE=20011130"}</definedName>
    <definedName name="_24_._0Shares_repurchase_liabil">'[2]Invested capital_VDF'!#REF!</definedName>
    <definedName name="_24__FDSAUDITLINK__" localSheetId="8" hidden="1">{"fdsup://directions/FAT%20Viewer?VAR:PED=LTM&amp;VAR:PERIOD=FIXED&amp;VAR:V=13.971458&amp;VAR:PCT=Y&amp;VAR:AUDIT_ID=00000117&amp;VAR:DATE=20080530&amp;action=UPDATE&amp;creator=factset&amp;DOC_NAME=FAT:FMA_audit_SUMMARY.fat&amp;DISPLAY_STRING=Display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4__FDSAUDITLINK__" localSheetId="2" hidden="1">{"fdsup://directions/FAT%20Viewer?VAR:PED=LTM&amp;VAR:PERIOD=FIXED&amp;VAR:V=13.971458&amp;VAR:PCT=Y&amp;VAR:AUDIT_ID=00000117&amp;VAR:DATE=20080530&amp;action=UPDATE&amp;creator=factset&amp;DOC_NAME=FAT:FMA_audit_SUMMARY.fat&amp;DISPLAY_STRING=Display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4__FDSAUDITLINK__" hidden="1">{"fdsup://directions/FAT%20Viewer?VAR:PED=LTM&amp;VAR:PERIOD=FIXED&amp;VAR:V=13.971458&amp;VAR:PCT=Y&amp;VAR:AUDIT_ID=00000117&amp;VAR:DATE=20080530&amp;action=UPDATE&amp;creator=factset&amp;DOC_NAME=FAT:FMA_audit_SUMMARY.fat&amp;DISPLAY_STRING=Display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4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Equity&amp;VAR:FQLFORMULA=FMA_ROE&amp;VAR:MEASURE=ROE&amp;VAR:NULL=.HTML&amp;VAR:PED=LTM&amp;VAR:PERIOD=FIXED&amp;VAR:THRESH=-|-|-|-|-|-&amp;VAR:PCT=Y&amp;VAR:V=12.260906&amp;VAR:P=1&amp;VAR:DATE=20011031"}</definedName>
    <definedName name="_24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Equity&amp;VAR:FQLFORMULA=FMA_ROE&amp;VAR:MEASURE=ROE&amp;VAR:NULL=.HTML&amp;VAR:PED=LTM&amp;VAR:PERIOD=FIXED&amp;VAR:THRESH=-|-|-|-|-|-&amp;VAR:PCT=Y&amp;VAR:V=12.260906&amp;VAR:P=1&amp;VAR:DATE=20011031"}</definedName>
    <definedName name="_24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Equity&amp;VAR:FQLFORMULA=FMA_ROE&amp;VAR:MEASURE=ROE&amp;VAR:NULL=.HTML&amp;VAR:PED=LTM&amp;VAR:PERIOD=FIXED&amp;VAR:THRESH=-|-|-|-|-|-&amp;VAR:PCT=Y&amp;VAR:V=12.260906&amp;VAR:P=1&amp;VAR:DATE=20011031"}</definedName>
    <definedName name="_24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Equity&amp;VAR:FQLFORMULA=FMA_ROE&amp;VAR:MEASURE=ROE&amp;VAR:NULL=.HTML&amp;VAR:PED=LTM&amp;VAR:PERIOD=FIXED&amp;VAR:THRESH=-|-|-|-|-|-&amp;VAR:PCT=Y&amp;VAR:V=12.221473&amp;VAR:P=1&amp;VAR:DATE=20010928"}</definedName>
    <definedName name="_24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Equity&amp;VAR:FQLFORMULA=FMA_ROE&amp;VAR:MEASURE=ROE&amp;VAR:NULL=.HTML&amp;VAR:PED=LTM&amp;VAR:PERIOD=FIXED&amp;VAR:THRESH=-|-|-|-|-|-&amp;VAR:PCT=Y&amp;VAR:V=12.221473&amp;VAR:P=1&amp;VAR:DATE=20010928"}</definedName>
    <definedName name="_24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Equity&amp;VAR:FQLFORMULA=FMA_ROE&amp;VAR:MEASURE=ROE&amp;VAR:NULL=.HTML&amp;VAR:PED=LTM&amp;VAR:PERIOD=FIXED&amp;VAR:THRESH=-|-|-|-|-|-&amp;VAR:PCT=Y&amp;VAR:V=12.221473&amp;VAR:P=1&amp;VAR:DATE=20010928"}</definedName>
    <definedName name="_24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Equity&amp;VAR:FQLFORMULA=FMA_ROE&amp;VAR:MEASURE=ROE&amp;VAR:NULL=.HTML&amp;VAR:PED=LTM&amp;VAR:PERIOD=FIXED&amp;VAR:THRESH=-|-|-|-|-|-&amp;VAR:PCT=Y&amp;VAR:V=12.278360&amp;VAR:P=1&amp;VAR:DATE=20010831"}</definedName>
    <definedName name="_24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Equity&amp;VAR:FQLFORMULA=FMA_ROE&amp;VAR:MEASURE=ROE&amp;VAR:NULL=.HTML&amp;VAR:PED=LTM&amp;VAR:PERIOD=FIXED&amp;VAR:THRESH=-|-|-|-|-|-&amp;VAR:PCT=Y&amp;VAR:V=12.278360&amp;VAR:P=1&amp;VAR:DATE=20010831"}</definedName>
    <definedName name="_24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Equity&amp;VAR:FQLFORMULA=FMA_ROE&amp;VAR:MEASURE=ROE&amp;VAR:NULL=.HTML&amp;VAR:PED=LTM&amp;VAR:PERIOD=FIXED&amp;VAR:THRESH=-|-|-|-|-|-&amp;VAR:PCT=Y&amp;VAR:V=12.278360&amp;VAR:P=1&amp;VAR:DATE=20010831"}</definedName>
    <definedName name="_24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Equity&amp;VAR:FQLFORMULA=FMA_ROE&amp;VAR:MEASURE=ROE&amp;VAR:NULL=.HTML&amp;VAR:PED=LTM&amp;VAR:PERIOD=FIXED&amp;VAR:THRESH=-|-|-|-|-|-&amp;VAR:PCT=Y&amp;VAR:V=14.448210&amp;VAR:P=1&amp;VAR:DATE=20010731"}</definedName>
    <definedName name="_24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Equity&amp;VAR:FQLFORMULA=FMA_ROE&amp;VAR:MEASURE=ROE&amp;VAR:NULL=.HTML&amp;VAR:PED=LTM&amp;VAR:PERIOD=FIXED&amp;VAR:THRESH=-|-|-|-|-|-&amp;VAR:PCT=Y&amp;VAR:V=14.448210&amp;VAR:P=1&amp;VAR:DATE=20010731"}</definedName>
    <definedName name="_24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Equity&amp;VAR:FQLFORMULA=FMA_ROE&amp;VAR:MEASURE=ROE&amp;VAR:NULL=.HTML&amp;VAR:PED=LTM&amp;VAR:PERIOD=FIXED&amp;VAR:THRESH=-|-|-|-|-|-&amp;VAR:PCT=Y&amp;VAR:V=14.448210&amp;VAR:P=1&amp;VAR:DATE=20010731"}</definedName>
    <definedName name="_24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Equity&amp;VAR:FQLFORMULA=FMA_ROE&amp;VAR:MEASURE=ROE&amp;VAR:NULL=.HTML&amp;VAR:PED=LTM&amp;VAR:PERIOD=FIXED&amp;VAR:THRESH=-|-|-|-|-|-&amp;VAR:PCT=Y&amp;VAR:V=14.741526&amp;VAR:P=1&amp;VAR:DATE=20010629"}</definedName>
    <definedName name="_24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Equity&amp;VAR:FQLFORMULA=FMA_ROE&amp;VAR:MEASURE=ROE&amp;VAR:NULL=.HTML&amp;VAR:PED=LTM&amp;VAR:PERIOD=FIXED&amp;VAR:THRESH=-|-|-|-|-|-&amp;VAR:PCT=Y&amp;VAR:V=14.741526&amp;VAR:P=1&amp;VAR:DATE=20010629"}</definedName>
    <definedName name="_24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Equity&amp;VAR:FQLFORMULA=FMA_ROE&amp;VAR:MEASURE=ROE&amp;VAR:NULL=.HTML&amp;VAR:PED=LTM&amp;VAR:PERIOD=FIXED&amp;VAR:THRESH=-|-|-|-|-|-&amp;VAR:PCT=Y&amp;VAR:V=14.741526&amp;VAR:P=1&amp;VAR:DATE=20010629"}</definedName>
    <definedName name="_24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Equity&amp;VAR:FQLFORMULA=FMA_ROE&amp;VAR:MEASURE=ROE&amp;VAR:NULL=.HTML&amp;VAR:PED=LTM&amp;VAR:PERIOD=FIXED&amp;VAR:THRESH=-|-|-|-|-|-&amp;VAR:PCT=Y&amp;VAR:V=14.958398&amp;VAR:P=1&amp;VAR:DATE=20010531"}</definedName>
    <definedName name="_24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Equity&amp;VAR:FQLFORMULA=FMA_ROE&amp;VAR:MEASURE=ROE&amp;VAR:NULL=.HTML&amp;VAR:PED=LTM&amp;VAR:PERIOD=FIXED&amp;VAR:THRESH=-|-|-|-|-|-&amp;VAR:PCT=Y&amp;VAR:V=14.958398&amp;VAR:P=1&amp;VAR:DATE=20010531"}</definedName>
    <definedName name="_24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Equity&amp;VAR:FQLFORMULA=FMA_ROE&amp;VAR:MEASURE=ROE&amp;VAR:NULL=.HTML&amp;VAR:PED=LTM&amp;VAR:PERIOD=FIXED&amp;VAR:THRESH=-|-|-|-|-|-&amp;VAR:PCT=Y&amp;VAR:V=14.958398&amp;VAR:P=1&amp;VAR:DATE=20010531"}</definedName>
    <definedName name="_24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Equity&amp;VAR:FQLFORMULA=FMA_ROE&amp;VAR:MEASURE=ROE&amp;VAR:NULL=.HTML&amp;VAR:PED=LTM&amp;VAR:PERIOD=FIXED&amp;VAR:THRESH=-|-|-|-|-|-&amp;VAR:PCT=Y&amp;VAR:V=17.002564&amp;VAR:P=1&amp;VAR:DATE=20010430"}</definedName>
    <definedName name="_24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Equity&amp;VAR:FQLFORMULA=FMA_ROE&amp;VAR:MEASURE=ROE&amp;VAR:NULL=.HTML&amp;VAR:PED=LTM&amp;VAR:PERIOD=FIXED&amp;VAR:THRESH=-|-|-|-|-|-&amp;VAR:PCT=Y&amp;VAR:V=17.002564&amp;VAR:P=1&amp;VAR:DATE=20010430"}</definedName>
    <definedName name="_24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Equity&amp;VAR:FQLFORMULA=FMA_ROE&amp;VAR:MEASURE=ROE&amp;VAR:NULL=.HTML&amp;VAR:PED=LTM&amp;VAR:PERIOD=FIXED&amp;VAR:THRESH=-|-|-|-|-|-&amp;VAR:PCT=Y&amp;VAR:V=17.002564&amp;VAR:P=1&amp;VAR:DATE=20010430"}</definedName>
    <definedName name="_24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Equity&amp;VAR:FQLFORMULA=FMA_ROE&amp;VAR:MEASURE=ROE&amp;VAR:NULL=.HTML&amp;VAR:PED=LTM&amp;VAR:PERIOD=FIXED&amp;VAR:THRESH=-|-|-|-|-|-&amp;VAR:PCT=Y&amp;VAR:V=17.062201&amp;VAR:P=1&amp;VAR:DATE=20010330"}</definedName>
    <definedName name="_24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Equity&amp;VAR:FQLFORMULA=FMA_ROE&amp;VAR:MEASURE=ROE&amp;VAR:NULL=.HTML&amp;VAR:PED=LTM&amp;VAR:PERIOD=FIXED&amp;VAR:THRESH=-|-|-|-|-|-&amp;VAR:PCT=Y&amp;VAR:V=17.062201&amp;VAR:P=1&amp;VAR:DATE=20010330"}</definedName>
    <definedName name="_24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Equity&amp;VAR:FQLFORMULA=FMA_ROE&amp;VAR:MEASURE=ROE&amp;VAR:NULL=.HTML&amp;VAR:PED=LTM&amp;VAR:PERIOD=FIXED&amp;VAR:THRESH=-|-|-|-|-|-&amp;VAR:PCT=Y&amp;VAR:V=17.062201&amp;VAR:P=1&amp;VAR:DATE=20010330"}</definedName>
    <definedName name="_24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Equity&amp;VAR:FQLFORMULA=FMA_ROE&amp;VAR:MEASURE=ROE&amp;VAR:NULL=.HTML&amp;VAR:PED=LTM&amp;VAR:PERIOD=FIXED&amp;VAR:THRESH=-|-|-|-|-|-&amp;VAR:PCT=Y&amp;VAR:V=17.136988&amp;VAR:P=1&amp;VAR:DATE=20010228"}</definedName>
    <definedName name="_24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Equity&amp;VAR:FQLFORMULA=FMA_ROE&amp;VAR:MEASURE=ROE&amp;VAR:NULL=.HTML&amp;VAR:PED=LTM&amp;VAR:PERIOD=FIXED&amp;VAR:THRESH=-|-|-|-|-|-&amp;VAR:PCT=Y&amp;VAR:V=17.136988&amp;VAR:P=1&amp;VAR:DATE=20010228"}</definedName>
    <definedName name="_24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Equity&amp;VAR:FQLFORMULA=FMA_ROE&amp;VAR:MEASURE=ROE&amp;VAR:NULL=.HTML&amp;VAR:PED=LTM&amp;VAR:PERIOD=FIXED&amp;VAR:THRESH=-|-|-|-|-|-&amp;VAR:PCT=Y&amp;VAR:V=17.136988&amp;VAR:P=1&amp;VAR:DATE=20010228"}</definedName>
    <definedName name="_24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Equity&amp;VAR:FQLFORMULA=FMA_ROE&amp;VAR:MEASURE=ROE&amp;VAR:NULL=.HTML&amp;VAR:PED=LTM&amp;VAR:PERIOD=FIXED&amp;VAR:THRESH=-|-|-|-|-|-&amp;VAR:PCT=Y&amp;VAR:V=17.340840&amp;VAR:P=1&amp;VAR:DATE=20010131"}</definedName>
    <definedName name="_24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Equity&amp;VAR:FQLFORMULA=FMA_ROE&amp;VAR:MEASURE=ROE&amp;VAR:NULL=.HTML&amp;VAR:PED=LTM&amp;VAR:PERIOD=FIXED&amp;VAR:THRESH=-|-|-|-|-|-&amp;VAR:PCT=Y&amp;VAR:V=17.340840&amp;VAR:P=1&amp;VAR:DATE=20010131"}</definedName>
    <definedName name="_24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Equity&amp;VAR:FQLFORMULA=FMA_ROE&amp;VAR:MEASURE=ROE&amp;VAR:NULL=.HTML&amp;VAR:PED=LTM&amp;VAR:PERIOD=FIXED&amp;VAR:THRESH=-|-|-|-|-|-&amp;VAR:PCT=Y&amp;VAR:V=17.340840&amp;VAR:P=1&amp;VAR:DATE=20010131"}</definedName>
    <definedName name="_25__FDSAUDITLINK__" localSheetId="8" hidden="1">{"fdsup://directions/FAT%20Viewer?VAR:PED=LTM&amp;VAR:PERIOD=FIXED&amp;VAR:V=14.096671&amp;VAR:PCT=Y&amp;VAR:AUDIT_ID=00000117&amp;VAR:DATE=20080430&amp;action=UPDATE&amp;creator=factset&amp;DOC_NAME=FAT:FMA_audit_SUMMARY.fat&amp;DISPLAY_STRING=Display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5__FDSAUDITLINK__" localSheetId="2" hidden="1">{"fdsup://directions/FAT%20Viewer?VAR:PED=LTM&amp;VAR:PERIOD=FIXED&amp;VAR:V=14.096671&amp;VAR:PCT=Y&amp;VAR:AUDIT_ID=00000117&amp;VAR:DATE=20080430&amp;action=UPDATE&amp;creator=factset&amp;DOC_NAME=FAT:FMA_audit_SUMMARY.fat&amp;DISPLAY_STRING=Display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5__FDSAUDITLINK__" hidden="1">{"fdsup://directions/FAT%20Viewer?VAR:PED=LTM&amp;VAR:PERIOD=FIXED&amp;VAR:V=14.096671&amp;VAR:PCT=Y&amp;VAR:AUDIT_ID=00000117&amp;VAR:DATE=20080430&amp;action=UPDATE&amp;creator=factset&amp;DOC_NAME=FAT:FMA_audit_SUMMARY.fat&amp;DISPLAY_STRING=Display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5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Equity&amp;VAR:FQLFORMULA=FMA_ROE&amp;VAR:MEASURE=ROE&amp;VAR:NULL=.HTML&amp;VAR:PED=LTM&amp;VAR:PERIOD=FIXED&amp;VAR:THRESH=-|-|-|-|-|-&amp;VAR:PCT=Y&amp;VAR:V=17.365026&amp;VAR:P=1&amp;VAR:DATE=20001229"}</definedName>
    <definedName name="_25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Equity&amp;VAR:FQLFORMULA=FMA_ROE&amp;VAR:MEASURE=ROE&amp;VAR:NULL=.HTML&amp;VAR:PED=LTM&amp;VAR:PERIOD=FIXED&amp;VAR:THRESH=-|-|-|-|-|-&amp;VAR:PCT=Y&amp;VAR:V=17.365026&amp;VAR:P=1&amp;VAR:DATE=20001229"}</definedName>
    <definedName name="_25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Equity&amp;VAR:FQLFORMULA=FMA_ROE&amp;VAR:MEASURE=ROE&amp;VAR:NULL=.HTML&amp;VAR:PED=LTM&amp;VAR:PERIOD=FIXED&amp;VAR:THRESH=-|-|-|-|-|-&amp;VAR:PCT=Y&amp;VAR:V=17.365026&amp;VAR:P=1&amp;VAR:DATE=20001229"}</definedName>
    <definedName name="_25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Equity&amp;VAR:FQLFORMULA=FMA_ROE&amp;VAR:MEASURE=ROE&amp;VAR:NULL=.HTML&amp;VAR:PED=LTM&amp;VAR:PERIOD=FIXED&amp;VAR:THRESH=-|-|-|-|-|-&amp;VAR:PCT=Y&amp;VAR:V=17.315228&amp;VAR:P=1&amp;VAR:DATE=20001130"}</definedName>
    <definedName name="_25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Equity&amp;VAR:FQLFORMULA=FMA_ROE&amp;VAR:MEASURE=ROE&amp;VAR:NULL=.HTML&amp;VAR:PED=LTM&amp;VAR:PERIOD=FIXED&amp;VAR:THRESH=-|-|-|-|-|-&amp;VAR:PCT=Y&amp;VAR:V=17.315228&amp;VAR:P=1&amp;VAR:DATE=20001130"}</definedName>
    <definedName name="_25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Equity&amp;VAR:FQLFORMULA=FMA_ROE&amp;VAR:MEASURE=ROE&amp;VAR:NULL=.HTML&amp;VAR:PED=LTM&amp;VAR:PERIOD=FIXED&amp;VAR:THRESH=-|-|-|-|-|-&amp;VAR:PCT=Y&amp;VAR:V=17.315228&amp;VAR:P=1&amp;VAR:DATE=20001130"}</definedName>
    <definedName name="_25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Equity&amp;VAR:FQLFORMULA=FMA_ROE&amp;VAR:MEASURE=ROE&amp;VAR:NULL=.HTML&amp;VAR:PED=LTM&amp;VAR:PERIOD=FIXED&amp;VAR:THRESH=-|-|-|-|-|-&amp;VAR:PCT=Y&amp;VAR:V=16.687493&amp;VAR:P=1&amp;VAR:DATE=20001031"}</definedName>
    <definedName name="_25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Equity&amp;VAR:FQLFORMULA=FMA_ROE&amp;VAR:MEASURE=ROE&amp;VAR:NULL=.HTML&amp;VAR:PED=LTM&amp;VAR:PERIOD=FIXED&amp;VAR:THRESH=-|-|-|-|-|-&amp;VAR:PCT=Y&amp;VAR:V=16.687493&amp;VAR:P=1&amp;VAR:DATE=20001031"}</definedName>
    <definedName name="_25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Equity&amp;VAR:FQLFORMULA=FMA_ROE&amp;VAR:MEASURE=ROE&amp;VAR:NULL=.HTML&amp;VAR:PED=LTM&amp;VAR:PERIOD=FIXED&amp;VAR:THRESH=-|-|-|-|-|-&amp;VAR:PCT=Y&amp;VAR:V=16.687493&amp;VAR:P=1&amp;VAR:DATE=20001031"}</definedName>
    <definedName name="_25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Equity&amp;VAR:FQLFORMULA=FMA_ROE&amp;VAR:MEASURE=ROE&amp;VAR:NULL=.HTML&amp;VAR:PED=LTM&amp;VAR:PERIOD=FIXED&amp;VAR:THRESH=-|-|-|-|-|-&amp;VAR:PCT=Y&amp;VAR:V=16.700053&amp;VAR:P=1&amp;VAR:DATE=20000929"}</definedName>
    <definedName name="_25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Equity&amp;VAR:FQLFORMULA=FMA_ROE&amp;VAR:MEASURE=ROE&amp;VAR:NULL=.HTML&amp;VAR:PED=LTM&amp;VAR:PERIOD=FIXED&amp;VAR:THRESH=-|-|-|-|-|-&amp;VAR:PCT=Y&amp;VAR:V=16.700053&amp;VAR:P=1&amp;VAR:DATE=20000929"}</definedName>
    <definedName name="_25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Equity&amp;VAR:FQLFORMULA=FMA_ROE&amp;VAR:MEASURE=ROE&amp;VAR:NULL=.HTML&amp;VAR:PED=LTM&amp;VAR:PERIOD=FIXED&amp;VAR:THRESH=-|-|-|-|-|-&amp;VAR:PCT=Y&amp;VAR:V=16.700053&amp;VAR:P=1&amp;VAR:DATE=20000929"}</definedName>
    <definedName name="_25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Equity&amp;VAR:FQLFORMULA=FMA_ROE&amp;VAR:MEASURE=ROE&amp;VAR:NULL=.HTML&amp;VAR:PED=LTM&amp;VAR:PERIOD=FIXED&amp;VAR:THRESH=-|-|-|-|-|-&amp;VAR:PCT=Y&amp;VAR:V=16.701709&amp;VAR:P=1&amp;VAR:DATE=20000831"}</definedName>
    <definedName name="_25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Equity&amp;VAR:FQLFORMULA=FMA_ROE&amp;VAR:MEASURE=ROE&amp;VAR:NULL=.HTML&amp;VAR:PED=LTM&amp;VAR:PERIOD=FIXED&amp;VAR:THRESH=-|-|-|-|-|-&amp;VAR:PCT=Y&amp;VAR:V=16.701709&amp;VAR:P=1&amp;VAR:DATE=20000831"}</definedName>
    <definedName name="_25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Equity&amp;VAR:FQLFORMULA=FMA_ROE&amp;VAR:MEASURE=ROE&amp;VAR:NULL=.HTML&amp;VAR:PED=LTM&amp;VAR:PERIOD=FIXED&amp;VAR:THRESH=-|-|-|-|-|-&amp;VAR:PCT=Y&amp;VAR:V=16.701709&amp;VAR:P=1&amp;VAR:DATE=20000831"}</definedName>
    <definedName name="_25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Equity&amp;VAR:FQLFORMULA=FMA_ROE&amp;VAR:MEASURE=ROE&amp;VAR:NULL=.HTML&amp;VAR:PED=LTM&amp;VAR:PERIOD=FIXED&amp;VAR:THRESH=-|-|-|-|-|-&amp;VAR:PCT=Y&amp;VAR:V=17.303039&amp;VAR:P=1&amp;VAR:DATE=20000731"}</definedName>
    <definedName name="_25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Equity&amp;VAR:FQLFORMULA=FMA_ROE&amp;VAR:MEASURE=ROE&amp;VAR:NULL=.HTML&amp;VAR:PED=LTM&amp;VAR:PERIOD=FIXED&amp;VAR:THRESH=-|-|-|-|-|-&amp;VAR:PCT=Y&amp;VAR:V=17.303039&amp;VAR:P=1&amp;VAR:DATE=20000731"}</definedName>
    <definedName name="_25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Equity&amp;VAR:FQLFORMULA=FMA_ROE&amp;VAR:MEASURE=ROE&amp;VAR:NULL=.HTML&amp;VAR:PED=LTM&amp;VAR:PERIOD=FIXED&amp;VAR:THRESH=-|-|-|-|-|-&amp;VAR:PCT=Y&amp;VAR:V=17.303039&amp;VAR:P=1&amp;VAR:DATE=20000731"}</definedName>
    <definedName name="_25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Equity&amp;VAR:FQLFORMULA=FMA_ROE&amp;VAR:MEASURE=ROE&amp;VAR:NULL=.HTML&amp;VAR:PED=LTM&amp;VAR:PERIOD=FIXED&amp;VAR:THRESH=-|-|-|-|-|-&amp;VAR:PCT=Y&amp;VAR:V=17.350517&amp;VAR:P=1&amp;VAR:DATE=20000630"}</definedName>
    <definedName name="_25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Equity&amp;VAR:FQLFORMULA=FMA_ROE&amp;VAR:MEASURE=ROE&amp;VAR:NULL=.HTML&amp;VAR:PED=LTM&amp;VAR:PERIOD=FIXED&amp;VAR:THRESH=-|-|-|-|-|-&amp;VAR:PCT=Y&amp;VAR:V=17.350517&amp;VAR:P=1&amp;VAR:DATE=20000630"}</definedName>
    <definedName name="_25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Equity&amp;VAR:FQLFORMULA=FMA_ROE&amp;VAR:MEASURE=ROE&amp;VAR:NULL=.HTML&amp;VAR:PED=LTM&amp;VAR:PERIOD=FIXED&amp;VAR:THRESH=-|-|-|-|-|-&amp;VAR:PCT=Y&amp;VAR:V=17.350517&amp;VAR:P=1&amp;VAR:DATE=20000630"}</definedName>
    <definedName name="_25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Equity&amp;VAR:FQLFORMULA=FMA_ROE&amp;VAR:MEASURE=ROE&amp;VAR:NULL=.HTML&amp;VAR:PED=LTM&amp;VAR:PERIOD=FIXED&amp;VAR:THRESH=-|-|-|-|-|-&amp;VAR:PCT=Y&amp;VAR:V=17.426237&amp;VAR:P=1&amp;VAR:DATE=20000531"}</definedName>
    <definedName name="_25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Equity&amp;VAR:FQLFORMULA=FMA_ROE&amp;VAR:MEASURE=ROE&amp;VAR:NULL=.HTML&amp;VAR:PED=LTM&amp;VAR:PERIOD=FIXED&amp;VAR:THRESH=-|-|-|-|-|-&amp;VAR:PCT=Y&amp;VAR:V=17.426237&amp;VAR:P=1&amp;VAR:DATE=20000531"}</definedName>
    <definedName name="_25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Equity&amp;VAR:FQLFORMULA=FMA_ROE&amp;VAR:MEASURE=ROE&amp;VAR:NULL=.HTML&amp;VAR:PED=LTM&amp;VAR:PERIOD=FIXED&amp;VAR:THRESH=-|-|-|-|-|-&amp;VAR:PCT=Y&amp;VAR:V=17.426237&amp;VAR:P=1&amp;VAR:DATE=20000531"}</definedName>
    <definedName name="_25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Equity&amp;VAR:FQLFORMULA=FMA_ROE&amp;VAR:MEASURE=ROE&amp;VAR:NULL=.HTML&amp;VAR:PED=LTM&amp;VAR:PERIOD=FIXED&amp;VAR:THRESH=-|-|-|-|-|-&amp;VAR:PCT=Y&amp;VAR:V=17.914162&amp;VAR:P=1&amp;VAR:DATE=20000428"}</definedName>
    <definedName name="_25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Equity&amp;VAR:FQLFORMULA=FMA_ROE&amp;VAR:MEASURE=ROE&amp;VAR:NULL=.HTML&amp;VAR:PED=LTM&amp;VAR:PERIOD=FIXED&amp;VAR:THRESH=-|-|-|-|-|-&amp;VAR:PCT=Y&amp;VAR:V=17.914162&amp;VAR:P=1&amp;VAR:DATE=20000428"}</definedName>
    <definedName name="_25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Equity&amp;VAR:FQLFORMULA=FMA_ROE&amp;VAR:MEASURE=ROE&amp;VAR:NULL=.HTML&amp;VAR:PED=LTM&amp;VAR:PERIOD=FIXED&amp;VAR:THRESH=-|-|-|-|-|-&amp;VAR:PCT=Y&amp;VAR:V=17.914162&amp;VAR:P=1&amp;VAR:DATE=20000428"}</definedName>
    <definedName name="_25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Equity&amp;VAR:FQLFORMULA=FMA_ROE&amp;VAR:MEASURE=ROE&amp;VAR:NULL=.HTML&amp;VAR:PED=LTM&amp;VAR:PERIOD=FIXED&amp;VAR:THRESH=-|-|-|-|-|-&amp;VAR:PCT=Y&amp;VAR:V=17.917002&amp;VAR:P=1&amp;VAR:DATE=20000331"}</definedName>
    <definedName name="_25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Equity&amp;VAR:FQLFORMULA=FMA_ROE&amp;VAR:MEASURE=ROE&amp;VAR:NULL=.HTML&amp;VAR:PED=LTM&amp;VAR:PERIOD=FIXED&amp;VAR:THRESH=-|-|-|-|-|-&amp;VAR:PCT=Y&amp;VAR:V=17.917002&amp;VAR:P=1&amp;VAR:DATE=20000331"}</definedName>
    <definedName name="_25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Equity&amp;VAR:FQLFORMULA=FMA_ROE&amp;VAR:MEASURE=ROE&amp;VAR:NULL=.HTML&amp;VAR:PED=LTM&amp;VAR:PERIOD=FIXED&amp;VAR:THRESH=-|-|-|-|-|-&amp;VAR:PCT=Y&amp;VAR:V=17.917002&amp;VAR:P=1&amp;VAR:DATE=20000331"}</definedName>
    <definedName name="_26__FDSAUDITLINK__" localSheetId="8" hidden="1">{"fdsup://directions/FAT%20Viewer?VAR:PED=LTM&amp;VAR:PERIOD=FIXED&amp;VAR:V=14.169960&amp;VAR:PCT=Y&amp;VAR:AUDIT_ID=00000117&amp;VAR:DATE=20080331&amp;action=UPDATE&amp;creator=factset&amp;DOC_NAME=FAT:FMA_audit_SUMMARY.fat&amp;DISPLAY_STRING=Display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6__FDSAUDITLINK__" localSheetId="2" hidden="1">{"fdsup://directions/FAT%20Viewer?VAR:PED=LTM&amp;VAR:PERIOD=FIXED&amp;VAR:V=14.169960&amp;VAR:PCT=Y&amp;VAR:AUDIT_ID=00000117&amp;VAR:DATE=20080331&amp;action=UPDATE&amp;creator=factset&amp;DOC_NAME=FAT:FMA_audit_SUMMARY.fat&amp;DISPLAY_STRING=Display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6__FDSAUDITLINK__" hidden="1">{"fdsup://directions/FAT%20Viewer?VAR:PED=LTM&amp;VAR:PERIOD=FIXED&amp;VAR:V=14.169960&amp;VAR:PCT=Y&amp;VAR:AUDIT_ID=00000117&amp;VAR:DATE=20080331&amp;action=UPDATE&amp;creator=factset&amp;DOC_NAME=FAT:FMA_audit_SUMMARY.fat&amp;DISPLAY_STRING=Display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6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Equity&amp;VAR:FQLFORMULA=FMA_ROE&amp;VAR:MEASURE=ROE&amp;VAR:NULL=.HTML&amp;VAR:PED=LTM&amp;VAR:PERIOD=FIXED&amp;VAR:THRESH=-|-|-|-|-|-&amp;VAR:PCT=Y&amp;VAR:V=17.900477&amp;VAR:P=1&amp;VAR:DATE=20000229"}</definedName>
    <definedName name="_26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Equity&amp;VAR:FQLFORMULA=FMA_ROE&amp;VAR:MEASURE=ROE&amp;VAR:NULL=.HTML&amp;VAR:PED=LTM&amp;VAR:PERIOD=FIXED&amp;VAR:THRESH=-|-|-|-|-|-&amp;VAR:PCT=Y&amp;VAR:V=17.900477&amp;VAR:P=1&amp;VAR:DATE=20000229"}</definedName>
    <definedName name="_26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Equity&amp;VAR:FQLFORMULA=FMA_ROE&amp;VAR:MEASURE=ROE&amp;VAR:NULL=.HTML&amp;VAR:PED=LTM&amp;VAR:PERIOD=FIXED&amp;VAR:THRESH=-|-|-|-|-|-&amp;VAR:PCT=Y&amp;VAR:V=17.900477&amp;VAR:P=1&amp;VAR:DATE=20000229"}</definedName>
    <definedName name="_26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Equity&amp;VAR:FQLFORMULA=FMA_ROE&amp;VAR:MEASURE=ROE&amp;VAR:NULL=.HTML&amp;VAR:PED=LTM&amp;VAR:PERIOD=FIXED&amp;VAR:THRESH=-|-|-|-|-|-&amp;VAR:PCT=Y&amp;VAR:V=17.558354&amp;VAR:P=1&amp;VAR:DATE=20000131"}</definedName>
    <definedName name="_26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Equity&amp;VAR:FQLFORMULA=FMA_ROE&amp;VAR:MEASURE=ROE&amp;VAR:NULL=.HTML&amp;VAR:PED=LTM&amp;VAR:PERIOD=FIXED&amp;VAR:THRESH=-|-|-|-|-|-&amp;VAR:PCT=Y&amp;VAR:V=17.558354&amp;VAR:P=1&amp;VAR:DATE=20000131"}</definedName>
    <definedName name="_26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Equity&amp;VAR:FQLFORMULA=FMA_ROE&amp;VAR:MEASURE=ROE&amp;VAR:NULL=.HTML&amp;VAR:PED=LTM&amp;VAR:PERIOD=FIXED&amp;VAR:THRESH=-|-|-|-|-|-&amp;VAR:PCT=Y&amp;VAR:V=17.558354&amp;VAR:P=1&amp;VAR:DATE=20000131"}</definedName>
    <definedName name="_26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Equity&amp;VAR:FQLFORMULA=FMA_ROE&amp;VAR:MEASURE=ROE&amp;VAR:NULL=.HTML&amp;VAR:PED=LTM&amp;VAR:PERIOD=FIXED&amp;VAR:THRESH=-|-|-|-|-|-&amp;VAR:PCT=Y&amp;VAR:V=17.475509&amp;VAR:P=1&amp;VAR:DATE=19991231"}</definedName>
    <definedName name="_26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Equity&amp;VAR:FQLFORMULA=FMA_ROE&amp;VAR:MEASURE=ROE&amp;VAR:NULL=.HTML&amp;VAR:PED=LTM&amp;VAR:PERIOD=FIXED&amp;VAR:THRESH=-|-|-|-|-|-&amp;VAR:PCT=Y&amp;VAR:V=17.475509&amp;VAR:P=1&amp;VAR:DATE=19991231"}</definedName>
    <definedName name="_26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Equity&amp;VAR:FQLFORMULA=FMA_ROE&amp;VAR:MEASURE=ROE&amp;VAR:NULL=.HTML&amp;VAR:PED=LTM&amp;VAR:PERIOD=FIXED&amp;VAR:THRESH=-|-|-|-|-|-&amp;VAR:PCT=Y&amp;VAR:V=17.475509&amp;VAR:P=1&amp;VAR:DATE=19991231"}</definedName>
    <definedName name="_26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Equity&amp;VAR:FQLFORMULA=FMA_ROE&amp;VAR:MEASURE=ROE&amp;VAR:NULL=.HTML&amp;VAR:PED=LTM&amp;VAR:PERIOD=FIXED&amp;VAR:THRESH=-|-|-|-|-|-&amp;VAR:PCT=Y&amp;VAR:V=17.414396&amp;VAR:P=1&amp;VAR:DATE=19991130"}</definedName>
    <definedName name="_26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Equity&amp;VAR:FQLFORMULA=FMA_ROE&amp;VAR:MEASURE=ROE&amp;VAR:NULL=.HTML&amp;VAR:PED=LTM&amp;VAR:PERIOD=FIXED&amp;VAR:THRESH=-|-|-|-|-|-&amp;VAR:PCT=Y&amp;VAR:V=17.414396&amp;VAR:P=1&amp;VAR:DATE=19991130"}</definedName>
    <definedName name="_26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Equity&amp;VAR:FQLFORMULA=FMA_ROE&amp;VAR:MEASURE=ROE&amp;VAR:NULL=.HTML&amp;VAR:PED=LTM&amp;VAR:PERIOD=FIXED&amp;VAR:THRESH=-|-|-|-|-|-&amp;VAR:PCT=Y&amp;VAR:V=17.414396&amp;VAR:P=1&amp;VAR:DATE=19991130"}</definedName>
    <definedName name="_26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Equity&amp;VAR:FQLFORMULA=FMA_ROE&amp;VAR:MEASURE=ROE&amp;VAR:NULL=.HTML&amp;VAR:PED=LTM&amp;VAR:PERIOD=FIXED&amp;VAR:THRESH=-|-|-|-|-|-&amp;VAR:PCT=Y&amp;VAR:V=16.683087&amp;VAR:P=1&amp;VAR:DATE=19991029"}</definedName>
    <definedName name="_26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Equity&amp;VAR:FQLFORMULA=FMA_ROE&amp;VAR:MEASURE=ROE&amp;VAR:NULL=.HTML&amp;VAR:PED=LTM&amp;VAR:PERIOD=FIXED&amp;VAR:THRESH=-|-|-|-|-|-&amp;VAR:PCT=Y&amp;VAR:V=16.683087&amp;VAR:P=1&amp;VAR:DATE=19991029"}</definedName>
    <definedName name="_26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Equity&amp;VAR:FQLFORMULA=FMA_ROE&amp;VAR:MEASURE=ROE&amp;VAR:NULL=.HTML&amp;VAR:PED=LTM&amp;VAR:PERIOD=FIXED&amp;VAR:THRESH=-|-|-|-|-|-&amp;VAR:PCT=Y&amp;VAR:V=16.683087&amp;VAR:P=1&amp;VAR:DATE=19991029"}</definedName>
    <definedName name="_265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Equity&amp;VAR:FQLFORMULA=FMA_ROE&amp;VAR:MEASURE=ROE&amp;VAR:NULL=.HTML&amp;VAR:PED=LTM&amp;VAR:PERIOD=FIXED&amp;VAR:THRESH=-|-|-|-|-|-&amp;VAR:PCT=Y&amp;VAR:V=16.632117&amp;VAR:P=1&amp;VAR:DATE=19990930"}</definedName>
    <definedName name="_265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Equity&amp;VAR:FQLFORMULA=FMA_ROE&amp;VAR:MEASURE=ROE&amp;VAR:NULL=.HTML&amp;VAR:PED=LTM&amp;VAR:PERIOD=FIXED&amp;VAR:THRESH=-|-|-|-|-|-&amp;VAR:PCT=Y&amp;VAR:V=16.632117&amp;VAR:P=1&amp;VAR:DATE=19990930"}</definedName>
    <definedName name="_265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Equity&amp;VAR:FQLFORMULA=FMA_ROE&amp;VAR:MEASURE=ROE&amp;VAR:NULL=.HTML&amp;VAR:PED=LTM&amp;VAR:PERIOD=FIXED&amp;VAR:THRESH=-|-|-|-|-|-&amp;VAR:PCT=Y&amp;VAR:V=16.632117&amp;VAR:P=1&amp;VAR:DATE=19990930"}</definedName>
    <definedName name="_266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Equity&amp;VAR:FQLFORMULA=FMA_ROE&amp;VAR:MEASURE=ROE&amp;VAR:NULL=.HTML&amp;VAR:PED=LTM&amp;VAR:PERIOD=FIXED&amp;VAR:THRESH=-|-|-|-|-|-&amp;VAR:PCT=Y&amp;VAR:V=16.660722&amp;VAR:P=1&amp;VAR:DATE=19990831"}</definedName>
    <definedName name="_266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Equity&amp;VAR:FQLFORMULA=FMA_ROE&amp;VAR:MEASURE=ROE&amp;VAR:NULL=.HTML&amp;VAR:PED=LTM&amp;VAR:PERIOD=FIXED&amp;VAR:THRESH=-|-|-|-|-|-&amp;VAR:PCT=Y&amp;VAR:V=16.660722&amp;VAR:P=1&amp;VAR:DATE=19990831"}</definedName>
    <definedName name="_266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Equity&amp;VAR:FQLFORMULA=FMA_ROE&amp;VAR:MEASURE=ROE&amp;VAR:NULL=.HTML&amp;VAR:PED=LTM&amp;VAR:PERIOD=FIXED&amp;VAR:THRESH=-|-|-|-|-|-&amp;VAR:PCT=Y&amp;VAR:V=16.660722&amp;VAR:P=1&amp;VAR:DATE=19990831"}</definedName>
    <definedName name="_267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Equity&amp;VAR:FQLFORMULA=FMA_ROE&amp;VAR:MEASURE=ROE&amp;VAR:NULL=.HTML&amp;VAR:PED=LTM&amp;VAR:PERIOD=FIXED&amp;VAR:THRESH=-|-|-|-|-|-&amp;VAR:PCT=Y&amp;VAR:V=16.118914&amp;VAR:P=1&amp;VAR:DATE=19990730"}</definedName>
    <definedName name="_267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Equity&amp;VAR:FQLFORMULA=FMA_ROE&amp;VAR:MEASURE=ROE&amp;VAR:NULL=.HTML&amp;VAR:PED=LTM&amp;VAR:PERIOD=FIXED&amp;VAR:THRESH=-|-|-|-|-|-&amp;VAR:PCT=Y&amp;VAR:V=16.118914&amp;VAR:P=1&amp;VAR:DATE=19990730"}</definedName>
    <definedName name="_267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Equity&amp;VAR:FQLFORMULA=FMA_ROE&amp;VAR:MEASURE=ROE&amp;VAR:NULL=.HTML&amp;VAR:PED=LTM&amp;VAR:PERIOD=FIXED&amp;VAR:THRESH=-|-|-|-|-|-&amp;VAR:PCT=Y&amp;VAR:V=16.118914&amp;VAR:P=1&amp;VAR:DATE=19990730"}</definedName>
    <definedName name="_268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Equity&amp;VAR:FQLFORMULA=FMA_ROE&amp;VAR:MEASURE=ROE&amp;VAR:NULL=.HTML&amp;VAR:PED=LTM&amp;VAR:PERIOD=FIXED&amp;VAR:THRESH=-|-|-|-|-|-&amp;VAR:PCT=Y&amp;VAR:V=16.078918&amp;VAR:P=1&amp;VAR:DATE=19990630"}</definedName>
    <definedName name="_268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Equity&amp;VAR:FQLFORMULA=FMA_ROE&amp;VAR:MEASURE=ROE&amp;VAR:NULL=.HTML&amp;VAR:PED=LTM&amp;VAR:PERIOD=FIXED&amp;VAR:THRESH=-|-|-|-|-|-&amp;VAR:PCT=Y&amp;VAR:V=16.078918&amp;VAR:P=1&amp;VAR:DATE=19990630"}</definedName>
    <definedName name="_268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Equity&amp;VAR:FQLFORMULA=FMA_ROE&amp;VAR:MEASURE=ROE&amp;VAR:NULL=.HTML&amp;VAR:PED=LTM&amp;VAR:PERIOD=FIXED&amp;VAR:THRESH=-|-|-|-|-|-&amp;VAR:PCT=Y&amp;VAR:V=16.078918&amp;VAR:P=1&amp;VAR:DATE=19990630"}</definedName>
    <definedName name="_269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Equity&amp;VAR:FQLFORMULA=FMA_ROE&amp;VAR:MEASURE=ROE&amp;VAR:NULL=.HTML&amp;VAR:PED=LTM&amp;VAR:PERIOD=FIXED&amp;VAR:THRESH=-|-|-|-|-|-&amp;VAR:PCT=Y&amp;VAR:V=15.973611&amp;VAR:P=1&amp;VAR:DATE=19990531"}</definedName>
    <definedName name="_269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Equity&amp;VAR:FQLFORMULA=FMA_ROE&amp;VAR:MEASURE=ROE&amp;VAR:NULL=.HTML&amp;VAR:PED=LTM&amp;VAR:PERIOD=FIXED&amp;VAR:THRESH=-|-|-|-|-|-&amp;VAR:PCT=Y&amp;VAR:V=15.973611&amp;VAR:P=1&amp;VAR:DATE=19990531"}</definedName>
    <definedName name="_269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Equity&amp;VAR:FQLFORMULA=FMA_ROE&amp;VAR:MEASURE=ROE&amp;VAR:NULL=.HTML&amp;VAR:PED=LTM&amp;VAR:PERIOD=FIXED&amp;VAR:THRESH=-|-|-|-|-|-&amp;VAR:PCT=Y&amp;VAR:V=15.973611&amp;VAR:P=1&amp;VAR:DATE=19990531"}</definedName>
    <definedName name="_27__FDSAUDITLINK__" localSheetId="8" hidden="1">{"fdsup://directions/FAT%20Viewer?VAR:PED=LTM&amp;VAR:PERIOD=FIXED&amp;VAR:V=14.353529&amp;VAR:PCT=Y&amp;VAR:AUDIT_ID=00000117&amp;VAR:DATE=20080229&amp;action=UPDATE&amp;creator=factset&amp;DOC_NAME=FAT:FMA_audit_SUMMARY.fat&amp;DISPLAY_STRING=Display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7__FDSAUDITLINK__" localSheetId="2" hidden="1">{"fdsup://directions/FAT%20Viewer?VAR:PED=LTM&amp;VAR:PERIOD=FIXED&amp;VAR:V=14.353529&amp;VAR:PCT=Y&amp;VAR:AUDIT_ID=00000117&amp;VAR:DATE=20080229&amp;action=UPDATE&amp;creator=factset&amp;DOC_NAME=FAT:FMA_audit_SUMMARY.fat&amp;DISPLAY_STRING=Display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7__FDSAUDITLINK__" hidden="1">{"fdsup://directions/FAT%20Viewer?VAR:PED=LTM&amp;VAR:PERIOD=FIXED&amp;VAR:V=14.353529&amp;VAR:PCT=Y&amp;VAR:AUDIT_ID=00000117&amp;VAR:DATE=20080229&amp;action=UPDATE&amp;creator=factset&amp;DOC_NAME=FAT:FMA_audit_SUMMARY.fat&amp;DISPLAY_STRING=Display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70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Equity&amp;VAR:FQLFORMULA=FMA_ROE&amp;VAR:MEASURE=ROE&amp;VAR:NULL=.HTML&amp;VAR:PED=LTM&amp;VAR:PERIOD=FIXED&amp;VAR:THRESH=-|-|-|-|-|-&amp;VAR:PCT=Y&amp;VAR:V=16.307698&amp;VAR:P=1&amp;VAR:DATE=19990430"}</definedName>
    <definedName name="_270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Equity&amp;VAR:FQLFORMULA=FMA_ROE&amp;VAR:MEASURE=ROE&amp;VAR:NULL=.HTML&amp;VAR:PED=LTM&amp;VAR:PERIOD=FIXED&amp;VAR:THRESH=-|-|-|-|-|-&amp;VAR:PCT=Y&amp;VAR:V=16.307698&amp;VAR:P=1&amp;VAR:DATE=19990430"}</definedName>
    <definedName name="_270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Equity&amp;VAR:FQLFORMULA=FMA_ROE&amp;VAR:MEASURE=ROE&amp;VAR:NULL=.HTML&amp;VAR:PED=LTM&amp;VAR:PERIOD=FIXED&amp;VAR:THRESH=-|-|-|-|-|-&amp;VAR:PCT=Y&amp;VAR:V=16.307698&amp;VAR:P=1&amp;VAR:DATE=19990430"}</definedName>
    <definedName name="_271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Equity&amp;VAR:FQLFORMULA=FMA_ROE&amp;VAR:MEASURE=ROE&amp;VAR:NULL=.HTML&amp;VAR:PED=LTM&amp;VAR:PERIOD=FIXED&amp;VAR:THRESH=-|-|-|-|-|-&amp;VAR:PCT=Y&amp;VAR:V=16.319406&amp;VAR:P=1&amp;VAR:DATE=19990331"}</definedName>
    <definedName name="_271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Equity&amp;VAR:FQLFORMULA=FMA_ROE&amp;VAR:MEASURE=ROE&amp;VAR:NULL=.HTML&amp;VAR:PED=LTM&amp;VAR:PERIOD=FIXED&amp;VAR:THRESH=-|-|-|-|-|-&amp;VAR:PCT=Y&amp;VAR:V=16.319406&amp;VAR:P=1&amp;VAR:DATE=19990331"}</definedName>
    <definedName name="_271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Equity&amp;VAR:FQLFORMULA=FMA_ROE&amp;VAR:MEASURE=ROE&amp;VAR:NULL=.HTML&amp;VAR:PED=LTM&amp;VAR:PERIOD=FIXED&amp;VAR:THRESH=-|-|-|-|-|-&amp;VAR:PCT=Y&amp;VAR:V=16.319406&amp;VAR:P=1&amp;VAR:DATE=19990331"}</definedName>
    <definedName name="_272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Equity&amp;VAR:FQLFORMULA=FMA_ROE&amp;VAR:MEASURE=ROE&amp;VAR:NULL=.HTML&amp;VAR:PED=LTM&amp;VAR:PERIOD=FIXED&amp;VAR:THRESH=-|-|-|-|-|-&amp;VAR:PCT=Y&amp;VAR:V=16.248922&amp;VAR:P=1&amp;VAR:DATE=19990226"}</definedName>
    <definedName name="_272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Equity&amp;VAR:FQLFORMULA=FMA_ROE&amp;VAR:MEASURE=ROE&amp;VAR:NULL=.HTML&amp;VAR:PED=LTM&amp;VAR:PERIOD=FIXED&amp;VAR:THRESH=-|-|-|-|-|-&amp;VAR:PCT=Y&amp;VAR:V=16.248922&amp;VAR:P=1&amp;VAR:DATE=19990226"}</definedName>
    <definedName name="_272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Equity&amp;VAR:FQLFORMULA=FMA_ROE&amp;VAR:MEASURE=ROE&amp;VAR:NULL=.HTML&amp;VAR:PED=LTM&amp;VAR:PERIOD=FIXED&amp;VAR:THRESH=-|-|-|-|-|-&amp;VAR:PCT=Y&amp;VAR:V=16.248922&amp;VAR:P=1&amp;VAR:DATE=19990226"}</definedName>
    <definedName name="_273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Equity&amp;VAR:FQLFORMULA=FMA_ROE&amp;VAR:MEASURE=ROE&amp;VAR:NULL=.HTML&amp;VAR:PED=LTM&amp;VAR:PERIOD=FIXED&amp;VAR:THRESH=-|-|-|-|-|-&amp;VAR:PCT=Y&amp;VAR:V=17.021319&amp;VAR:P=1&amp;VAR:DATE=19990129"}</definedName>
    <definedName name="_273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Equity&amp;VAR:FQLFORMULA=FMA_ROE&amp;VAR:MEASURE=ROE&amp;VAR:NULL=.HTML&amp;VAR:PED=LTM&amp;VAR:PERIOD=FIXED&amp;VAR:THRESH=-|-|-|-|-|-&amp;VAR:PCT=Y&amp;VAR:V=17.021319&amp;VAR:P=1&amp;VAR:DATE=19990129"}</definedName>
    <definedName name="_273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Equity&amp;VAR:FQLFORMULA=FMA_ROE&amp;VAR:MEASURE=ROE&amp;VAR:NULL=.HTML&amp;VAR:PED=LTM&amp;VAR:PERIOD=FIXED&amp;VAR:THRESH=-|-|-|-|-|-&amp;VAR:PCT=Y&amp;VAR:V=17.021319&amp;VAR:P=1&amp;VAR:DATE=19990129"}</definedName>
    <definedName name="_274__FDSAUDITLINK__" localSheetId="8"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Equity&amp;VAR:FQLFORMULA=FMA_ROE&amp;VAR:MEASURE=ROE&amp;VAR:NULL=.HTML&amp;VAR:PED=LTM&amp;VAR:PERIOD=FIXED&amp;VAR:THRESH=-|-|-|-|-|-&amp;VAR:PCT=Y&amp;VAR:V=17.049871&amp;VAR:P=1&amp;VAR:DATE=19981231"}</definedName>
    <definedName name="_274__FDSAUDITLINK__" localSheetId="2"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Equity&amp;VAR:FQLFORMULA=FMA_ROE&amp;VAR:MEASURE=ROE&amp;VAR:NULL=.HTML&amp;VAR:PED=LTM&amp;VAR:PERIOD=FIXED&amp;VAR:THRESH=-|-|-|-|-|-&amp;VAR:PCT=Y&amp;VAR:V=17.049871&amp;VAR:P=1&amp;VAR:DATE=19981231"}</definedName>
    <definedName name="_274__FDSAUDITLINK__" hidden="1">{"fdsup://directions/FAT%20Viewer?WINDOW=first_popup&amp;DYN_ARGS=TRUE&amp;START_MAXIMIZED=FALSE&amp;TITLEBAR=FactSet Market Aggregates&amp;ACTION=UPDATE&amp;CREATOR=FACTSET&amp;HEIGHT=525&amp;WIDTH=500&amp;DOC_NAME=FAT:FMA_AUDIT_SUMMARY.FAT&amp;VAR:CURRENCY=USD&amp;VAR:AUDIT_ID=00000117&amp;VAR:CALC","_MODE=PORTFOLIO&amp;VAR:CHGPERIOD=NA&amp;DISPLAY_STRING=Return on Equity&amp;VAR:FQLFORMULA=FMA_ROE&amp;VAR:MEASURE=ROE&amp;VAR:NULL=.HTML&amp;VAR:PED=LTM&amp;VAR:PERIOD=FIXED&amp;VAR:THRESH=-|-|-|-|-|-&amp;VAR:PCT=Y&amp;VAR:V=17.049871&amp;VAR:P=1&amp;VAR:DATE=19981231"}</definedName>
    <definedName name="_275__FDSAUDITLINK__" localSheetId="8" hidden="1">{"fdsup://directions/FAT%20Viewer?VAR:PED=LTM&amp;VAR:PERIOD=FIXED&amp;VAR:V=15.957744&amp;VAR:AUDIT_ID=00000117&amp;VAR:DATE=20050630&amp;action=UPDATE&amp;creator=factset&amp;DOC_NAME=FAT:FMA_audit_SUMMARY.fat&amp;DISPLAY_STRING=Display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5__FDSAUDITLINK__" localSheetId="2" hidden="1">{"fdsup://directions/FAT%20Viewer?VAR:PED=LTM&amp;VAR:PERIOD=FIXED&amp;VAR:V=15.957744&amp;VAR:AUDIT_ID=00000117&amp;VAR:DATE=20050630&amp;action=UPDATE&amp;creator=factset&amp;DOC_NAME=FAT:FMA_audit_SUMMARY.fat&amp;DISPLAY_STRING=Display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5__FDSAUDITLINK__" hidden="1">{"fdsup://directions/FAT%20Viewer?VAR:PED=LTM&amp;VAR:PERIOD=FIXED&amp;VAR:V=15.957744&amp;VAR:AUDIT_ID=00000117&amp;VAR:DATE=20050630&amp;action=UPDATE&amp;creator=factset&amp;DOC_NAME=FAT:FMA_audit_SUMMARY.fat&amp;DISPLAY_STRING=Display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6__FDSAUDITLINK__" localSheetId="8" hidden="1">{"fdsup://directions/FAT%20Viewer?VAR:PED=LTM&amp;VAR:PERIOD=FIXED&amp;VAR:V=15.935509&amp;VAR:AUDIT_ID=00000117&amp;VAR:DATE=20050531&amp;action=UPDATE&amp;creator=factset&amp;DOC_NAME=FAT:FMA_audit_SUMMARY.fat&amp;DISPLAY_STRING=Display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6__FDSAUDITLINK__" localSheetId="2" hidden="1">{"fdsup://directions/FAT%20Viewer?VAR:PED=LTM&amp;VAR:PERIOD=FIXED&amp;VAR:V=15.935509&amp;VAR:AUDIT_ID=00000117&amp;VAR:DATE=20050531&amp;action=UPDATE&amp;creator=factset&amp;DOC_NAME=FAT:FMA_audit_SUMMARY.fat&amp;DISPLAY_STRING=Display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6__FDSAUDITLINK__" hidden="1">{"fdsup://directions/FAT%20Viewer?VAR:PED=LTM&amp;VAR:PERIOD=FIXED&amp;VAR:V=15.935509&amp;VAR:AUDIT_ID=00000117&amp;VAR:DATE=20050531&amp;action=UPDATE&amp;creator=factset&amp;DOC_NAME=FAT:FMA_audit_SUMMARY.fat&amp;DISPLAY_STRING=Display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7__FDSAUDITLINK__" localSheetId="8" hidden="1">{"fdsup://directions/FAT%20Viewer?VAR:PED=LTM&amp;VAR:PERIOD=FIXED&amp;VAR:V=15.982424&amp;VAR:AUDIT_ID=00000117&amp;VAR:DATE=20050429&amp;action=UPDATE&amp;creator=factset&amp;DOC_NAME=FAT:FMA_audit_SUMMARY.fat&amp;DISPLAY_STRING=Display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7__FDSAUDITLINK__" localSheetId="2" hidden="1">{"fdsup://directions/FAT%20Viewer?VAR:PED=LTM&amp;VAR:PERIOD=FIXED&amp;VAR:V=15.982424&amp;VAR:AUDIT_ID=00000117&amp;VAR:DATE=20050429&amp;action=UPDATE&amp;creator=factset&amp;DOC_NAME=FAT:FMA_audit_SUMMARY.fat&amp;DISPLAY_STRING=Display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7__FDSAUDITLINK__" hidden="1">{"fdsup://directions/FAT%20Viewer?VAR:PED=LTM&amp;VAR:PERIOD=FIXED&amp;VAR:V=15.982424&amp;VAR:AUDIT_ID=00000117&amp;VAR:DATE=20050429&amp;action=UPDATE&amp;creator=factset&amp;DOC_NAME=FAT:FMA_audit_SUMMARY.fat&amp;DISPLAY_STRING=Display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8__FDSAUDITLINK__" localSheetId="8" hidden="1">{"fdsup://directions/FAT%20Viewer?VAR:PED=LTM&amp;VAR:PERIOD=FIXED&amp;VAR:V=15.978345&amp;VAR:AUDIT_ID=00000117&amp;VAR:DATE=20050331&amp;action=UPDATE&amp;creator=factset&amp;DOC_NAME=FAT:FMA_audit_SUMMARY.fat&amp;DISPLAY_STRING=Display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8__FDSAUDITLINK__" localSheetId="2" hidden="1">{"fdsup://directions/FAT%20Viewer?VAR:PED=LTM&amp;VAR:PERIOD=FIXED&amp;VAR:V=15.978345&amp;VAR:AUDIT_ID=00000117&amp;VAR:DATE=20050331&amp;action=UPDATE&amp;creator=factset&amp;DOC_NAME=FAT:FMA_audit_SUMMARY.fat&amp;DISPLAY_STRING=Display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8__FDSAUDITLINK__" hidden="1">{"fdsup://directions/FAT%20Viewer?VAR:PED=LTM&amp;VAR:PERIOD=FIXED&amp;VAR:V=15.978345&amp;VAR:AUDIT_ID=00000117&amp;VAR:DATE=20050331&amp;action=UPDATE&amp;creator=factset&amp;DOC_NAME=FAT:FMA_audit_SUMMARY.fat&amp;DISPLAY_STRING=Display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9__FDSAUDITLINK__" localSheetId="8" hidden="1">{"fdsup://directions/FAT%20Viewer?VAR:PED=LTM&amp;VAR:PERIOD=FIXED&amp;VAR:V=16.007842&amp;VAR:AUDIT_ID=00000117&amp;VAR:DATE=20050228&amp;action=UPDATE&amp;creator=factset&amp;DOC_NAME=FAT:FMA_audit_SUMMARY.fat&amp;DISPLAY_STRING=Display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9__FDSAUDITLINK__" localSheetId="2" hidden="1">{"fdsup://directions/FAT%20Viewer?VAR:PED=LTM&amp;VAR:PERIOD=FIXED&amp;VAR:V=16.007842&amp;VAR:AUDIT_ID=00000117&amp;VAR:DATE=20050228&amp;action=UPDATE&amp;creator=factset&amp;DOC_NAME=FAT:FMA_audit_SUMMARY.fat&amp;DISPLAY_STRING=Display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79__FDSAUDITLINK__" hidden="1">{"fdsup://directions/FAT%20Viewer?VAR:PED=LTM&amp;VAR:PERIOD=FIXED&amp;VAR:V=16.007842&amp;VAR:AUDIT_ID=00000117&amp;VAR:DATE=20050228&amp;action=UPDATE&amp;creator=factset&amp;DOC_NAME=FAT:FMA_audit_SUMMARY.fat&amp;DISPLAY_STRING=Display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__FDSAUDITLINK__" localSheetId="8" hidden="1">{"fdsup://directions/FAT%20Viewer?VAR:PED=LTM&amp;VAR:PERIOD=FIXED&amp;VAR:V=15.939981&amp;VAR:PCT=Y&amp;VAR:AUDIT_ID=00000117&amp;VAR:DATE=20080131&amp;action=UPDATE&amp;creator=factset&amp;DOC_NAME=FAT:FMA_audit_SUMMARY.fat&amp;DISPLAY_STRING=Display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8__FDSAUDITLINK__" localSheetId="2" hidden="1">{"fdsup://directions/FAT%20Viewer?VAR:PED=LTM&amp;VAR:PERIOD=FIXED&amp;VAR:V=15.939981&amp;VAR:PCT=Y&amp;VAR:AUDIT_ID=00000117&amp;VAR:DATE=20080131&amp;action=UPDATE&amp;creator=factset&amp;DOC_NAME=FAT:FMA_audit_SUMMARY.fat&amp;DISPLAY_STRING=Display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8__FDSAUDITLINK__" hidden="1">{"fdsup://directions/FAT%20Viewer?VAR:PED=LTM&amp;VAR:PERIOD=FIXED&amp;VAR:V=15.939981&amp;VAR:PCT=Y&amp;VAR:AUDIT_ID=00000117&amp;VAR:DATE=20080131&amp;action=UPDATE&amp;creator=factset&amp;DOC_NAME=FAT:FMA_audit_SUMMARY.fat&amp;DISPLAY_STRING=Display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8_0FAMERangeDJ_BALA">[3]eva!#REF!</definedName>
    <definedName name="_280__FDSAUDITLINK__" localSheetId="8" hidden="1">{"fdsup://directions/FAT%20Viewer?VAR:PED=LTM&amp;VAR:PERIOD=FIXED&amp;VAR:V=16.232008&amp;VAR:AUDIT_ID=00000117&amp;VAR:DATE=20050131&amp;action=UPDATE&amp;creator=factset&amp;DOC_NAME=FAT:FMA_audit_SUMMARY.fat&amp;DISPLAY_STRING=Display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0__FDSAUDITLINK__" localSheetId="2" hidden="1">{"fdsup://directions/FAT%20Viewer?VAR:PED=LTM&amp;VAR:PERIOD=FIXED&amp;VAR:V=16.232008&amp;VAR:AUDIT_ID=00000117&amp;VAR:DATE=20050131&amp;action=UPDATE&amp;creator=factset&amp;DOC_NAME=FAT:FMA_audit_SUMMARY.fat&amp;DISPLAY_STRING=Display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0__FDSAUDITLINK__" hidden="1">{"fdsup://directions/FAT%20Viewer?VAR:PED=LTM&amp;VAR:PERIOD=FIXED&amp;VAR:V=16.232008&amp;VAR:AUDIT_ID=00000117&amp;VAR:DATE=20050131&amp;action=UPDATE&amp;creator=factset&amp;DOC_NAME=FAT:FMA_audit_SUMMARY.fat&amp;DISPLAY_STRING=Display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1__FDSAUDITLINK__" localSheetId="8" hidden="1">{"fdsup://directions/FAT%20Viewer?VAR:PED=LTM&amp;VAR:PERIOD=FIXED&amp;VAR:V=16.238597&amp;VAR:AUDIT_ID=00000117&amp;VAR:DATE=20041231&amp;action=UPDATE&amp;creator=factset&amp;DOC_NAME=FAT:FMA_audit_SUMMARY.fat&amp;DISPLAY_STRING=Display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1__FDSAUDITLINK__" localSheetId="2" hidden="1">{"fdsup://directions/FAT%20Viewer?VAR:PED=LTM&amp;VAR:PERIOD=FIXED&amp;VAR:V=16.238597&amp;VAR:AUDIT_ID=00000117&amp;VAR:DATE=20041231&amp;action=UPDATE&amp;creator=factset&amp;DOC_NAME=FAT:FMA_audit_SUMMARY.fat&amp;DISPLAY_STRING=Display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1__FDSAUDITLINK__" hidden="1">{"fdsup://directions/FAT%20Viewer?VAR:PED=LTM&amp;VAR:PERIOD=FIXED&amp;VAR:V=16.238597&amp;VAR:AUDIT_ID=00000117&amp;VAR:DATE=20041231&amp;action=UPDATE&amp;creator=factset&amp;DOC_NAME=FAT:FMA_audit_SUMMARY.fat&amp;DISPLAY_STRING=Display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2__FDSAUDITLINK__" localSheetId="8" hidden="1">{"fdsup://directions/FAT%20Viewer?VAR:PED=LTM&amp;VAR:PERIOD=FIXED&amp;VAR:V=16.308641&amp;VAR:AUDIT_ID=00000117&amp;VAR:DATE=20041130&amp;action=UPDATE&amp;creator=factset&amp;DOC_NAME=FAT:FMA_audit_SUMMARY.fat&amp;DISPLAY_STRING=Display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2__FDSAUDITLINK__" localSheetId="2" hidden="1">{"fdsup://directions/FAT%20Viewer?VAR:PED=LTM&amp;VAR:PERIOD=FIXED&amp;VAR:V=16.308641&amp;VAR:AUDIT_ID=00000117&amp;VAR:DATE=20041130&amp;action=UPDATE&amp;creator=factset&amp;DOC_NAME=FAT:FMA_audit_SUMMARY.fat&amp;DISPLAY_STRING=Display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2__FDSAUDITLINK__" hidden="1">{"fdsup://directions/FAT%20Viewer?VAR:PED=LTM&amp;VAR:PERIOD=FIXED&amp;VAR:V=16.308641&amp;VAR:AUDIT_ID=00000117&amp;VAR:DATE=20041130&amp;action=UPDATE&amp;creator=factset&amp;DOC_NAME=FAT:FMA_audit_SUMMARY.fat&amp;DISPLAY_STRING=Display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3__FDSAUDITLINK__" localSheetId="8" hidden="1">{"fdsup://directions/FAT%20Viewer?VAR:PED=LTM&amp;VAR:PERIOD=FIXED&amp;VAR:V=16.285346&amp;VAR:AUDIT_ID=00000117&amp;VAR:DATE=20041029&amp;action=UPDATE&amp;creator=factset&amp;DOC_NAME=FAT:FMA_audit_SUMMARY.fat&amp;DISPLAY_STRING=Display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3__FDSAUDITLINK__" localSheetId="2" hidden="1">{"fdsup://directions/FAT%20Viewer?VAR:PED=LTM&amp;VAR:PERIOD=FIXED&amp;VAR:V=16.285346&amp;VAR:AUDIT_ID=00000117&amp;VAR:DATE=20041029&amp;action=UPDATE&amp;creator=factset&amp;DOC_NAME=FAT:FMA_audit_SUMMARY.fat&amp;DISPLAY_STRING=Display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3__FDSAUDITLINK__" hidden="1">{"fdsup://directions/FAT%20Viewer?VAR:PED=LTM&amp;VAR:PERIOD=FIXED&amp;VAR:V=16.285346&amp;VAR:AUDIT_ID=00000117&amp;VAR:DATE=20041029&amp;action=UPDATE&amp;creator=factset&amp;DOC_NAME=FAT:FMA_audit_SUMMARY.fat&amp;DISPLAY_STRING=Display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4__FDSAUDITLINK__" localSheetId="8" hidden="1">{"fdsup://directions/FAT%20Viewer?VAR:PED=LTM&amp;VAR:PERIOD=FIXED&amp;VAR:V=16.165335&amp;VAR:AUDIT_ID=00000117&amp;VAR:DATE=20040930&amp;action=UPDATE&amp;creator=factset&amp;DOC_NAME=FAT:FMA_audit_SUMMARY.fat&amp;DISPLAY_STRING=Display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4__FDSAUDITLINK__" localSheetId="2" hidden="1">{"fdsup://directions/FAT%20Viewer?VAR:PED=LTM&amp;VAR:PERIOD=FIXED&amp;VAR:V=16.165335&amp;VAR:AUDIT_ID=00000117&amp;VAR:DATE=20040930&amp;action=UPDATE&amp;creator=factset&amp;DOC_NAME=FAT:FMA_audit_SUMMARY.fat&amp;DISPLAY_STRING=Display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4__FDSAUDITLINK__" hidden="1">{"fdsup://directions/FAT%20Viewer?VAR:PED=LTM&amp;VAR:PERIOD=FIXED&amp;VAR:V=16.165335&amp;VAR:AUDIT_ID=00000117&amp;VAR:DATE=20040930&amp;action=UPDATE&amp;creator=factset&amp;DOC_NAME=FAT:FMA_audit_SUMMARY.fat&amp;DISPLAY_STRING=Display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5__FDSAUDITLINK__" localSheetId="8" hidden="1">{"fdsup://directions/FAT%20Viewer?VAR:PED=LTM&amp;VAR:PERIOD=FIXED&amp;VAR:V=16.083887&amp;VAR:AUDIT_ID=00000117&amp;VAR:DATE=20040831&amp;action=UPDATE&amp;creator=factset&amp;DOC_NAME=FAT:FMA_audit_SUMMARY.fat&amp;DISPLAY_STRING=Display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5__FDSAUDITLINK__" localSheetId="2" hidden="1">{"fdsup://directions/FAT%20Viewer?VAR:PED=LTM&amp;VAR:PERIOD=FIXED&amp;VAR:V=16.083887&amp;VAR:AUDIT_ID=00000117&amp;VAR:DATE=20040831&amp;action=UPDATE&amp;creator=factset&amp;DOC_NAME=FAT:FMA_audit_SUMMARY.fat&amp;DISPLAY_STRING=Display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5__FDSAUDITLINK__" hidden="1">{"fdsup://directions/FAT%20Viewer?VAR:PED=LTM&amp;VAR:PERIOD=FIXED&amp;VAR:V=16.083887&amp;VAR:AUDIT_ID=00000117&amp;VAR:DATE=20040831&amp;action=UPDATE&amp;creator=factset&amp;DOC_NAME=FAT:FMA_audit_SUMMARY.fat&amp;DISPLAY_STRING=Display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6__FDSAUDITLINK__" localSheetId="8" hidden="1">{"fdsup://directions/FAT%20Viewer?VAR:PED=LTM&amp;VAR:PERIOD=FIXED&amp;VAR:V=15.833198&amp;VAR:AUDIT_ID=00000117&amp;VAR:DATE=20040730&amp;action=UPDATE&amp;creator=factset&amp;DOC_NAME=FAT:FMA_audit_SUMMARY.fat&amp;DISPLAY_STRING=Display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6__FDSAUDITLINK__" localSheetId="2" hidden="1">{"fdsup://directions/FAT%20Viewer?VAR:PED=LTM&amp;VAR:PERIOD=FIXED&amp;VAR:V=15.833198&amp;VAR:AUDIT_ID=00000117&amp;VAR:DATE=20040730&amp;action=UPDATE&amp;creator=factset&amp;DOC_NAME=FAT:FMA_audit_SUMMARY.fat&amp;DISPLAY_STRING=Display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6__FDSAUDITLINK__" hidden="1">{"fdsup://directions/FAT%20Viewer?VAR:PED=LTM&amp;VAR:PERIOD=FIXED&amp;VAR:V=15.833198&amp;VAR:AUDIT_ID=00000117&amp;VAR:DATE=20040730&amp;action=UPDATE&amp;creator=factset&amp;DOC_NAME=FAT:FMA_audit_SUMMARY.fat&amp;DISPLAY_STRING=Display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7__FDSAUDITLINK__" localSheetId="8" hidden="1">{"fdsup://directions/FAT%20Viewer?VAR:PED=LTM&amp;VAR:PERIOD=FIXED&amp;VAR:V=15.714774&amp;VAR:AUDIT_ID=00000117&amp;VAR:DATE=20040630&amp;action=UPDATE&amp;creator=factset&amp;DOC_NAME=FAT:FMA_audit_SUMMARY.fat&amp;DISPLAY_STRING=Display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7__FDSAUDITLINK__" localSheetId="2" hidden="1">{"fdsup://directions/FAT%20Viewer?VAR:PED=LTM&amp;VAR:PERIOD=FIXED&amp;VAR:V=15.714774&amp;VAR:AUDIT_ID=00000117&amp;VAR:DATE=20040630&amp;action=UPDATE&amp;creator=factset&amp;DOC_NAME=FAT:FMA_audit_SUMMARY.fat&amp;DISPLAY_STRING=Display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7__FDSAUDITLINK__" hidden="1">{"fdsup://directions/FAT%20Viewer?VAR:PED=LTM&amp;VAR:PERIOD=FIXED&amp;VAR:V=15.714774&amp;VAR:AUDIT_ID=00000117&amp;VAR:DATE=20040630&amp;action=UPDATE&amp;creator=factset&amp;DOC_NAME=FAT:FMA_audit_SUMMARY.fat&amp;DISPLAY_STRING=Display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8__FDSAUDITLINK__" localSheetId="8" hidden="1">{"fdsup://directions/FAT%20Viewer?VAR:PED=LTM&amp;VAR:PERIOD=FIXED&amp;VAR:V=15.677164&amp;VAR:AUDIT_ID=00000117&amp;VAR:DATE=20040531&amp;action=UPDATE&amp;creator=factset&amp;DOC_NAME=FAT:FMA_audit_SUMMARY.fat&amp;DISPLAY_STRING=Display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8__FDSAUDITLINK__" localSheetId="2" hidden="1">{"fdsup://directions/FAT%20Viewer?VAR:PED=LTM&amp;VAR:PERIOD=FIXED&amp;VAR:V=15.677164&amp;VAR:AUDIT_ID=00000117&amp;VAR:DATE=20040531&amp;action=UPDATE&amp;creator=factset&amp;DOC_NAME=FAT:FMA_audit_SUMMARY.fat&amp;DISPLAY_STRING=Display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8__FDSAUDITLINK__" hidden="1">{"fdsup://directions/FAT%20Viewer?VAR:PED=LTM&amp;VAR:PERIOD=FIXED&amp;VAR:V=15.677164&amp;VAR:AUDIT_ID=00000117&amp;VAR:DATE=20040531&amp;action=UPDATE&amp;creator=factset&amp;DOC_NAME=FAT:FMA_audit_SUMMARY.fat&amp;DISPLAY_STRING=Display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9__FDSAUDITLINK__" localSheetId="8" hidden="1">{"fdsup://directions/FAT%20Viewer?VAR:PED=LTM&amp;VAR:PERIOD=FIXED&amp;VAR:V=15.617196&amp;VAR:AUDIT_ID=00000117&amp;VAR:DATE=20040430&amp;action=UPDATE&amp;creator=factset&amp;DOC_NAME=FAT:FMA_audit_SUMMARY.fat&amp;DISPLAY_STRING=Display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9__FDSAUDITLINK__" localSheetId="2" hidden="1">{"fdsup://directions/FAT%20Viewer?VAR:PED=LTM&amp;VAR:PERIOD=FIXED&amp;VAR:V=15.617196&amp;VAR:AUDIT_ID=00000117&amp;VAR:DATE=20040430&amp;action=UPDATE&amp;creator=factset&amp;DOC_NAME=FAT:FMA_audit_SUMMARY.fat&amp;DISPLAY_STRING=Display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89__FDSAUDITLINK__" hidden="1">{"fdsup://directions/FAT%20Viewer?VAR:PED=LTM&amp;VAR:PERIOD=FIXED&amp;VAR:V=15.617196&amp;VAR:AUDIT_ID=00000117&amp;VAR:DATE=20040430&amp;action=UPDATE&amp;creator=factset&amp;DOC_NAME=FAT:FMA_audit_SUMMARY.fat&amp;DISPLAY_STRING=Display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__FDSAUDITLINK__" localSheetId="8" hidden="1">{"fdsup://directions/FAT%20Viewer?VAR:PED=LTM&amp;VAR:PERIOD=FIXED&amp;VAR:V=16.128600&amp;VAR:PCT=Y&amp;VAR:AUDIT_ID=00000117&amp;VAR:DATE=20071231&amp;action=UPDATE&amp;creator=factset&amp;DOC_NAME=FAT:FMA_audit_SUMMARY.fat&amp;DISPLAY_STRING=Display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9__FDSAUDITLINK__" localSheetId="2" hidden="1">{"fdsup://directions/FAT%20Viewer?VAR:PED=LTM&amp;VAR:PERIOD=FIXED&amp;VAR:V=16.128600&amp;VAR:PCT=Y&amp;VAR:AUDIT_ID=00000117&amp;VAR:DATE=20071231&amp;action=UPDATE&amp;creator=factset&amp;DOC_NAME=FAT:FMA_audit_SUMMARY.fat&amp;DISPLAY_STRING=Display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9__FDSAUDITLINK__" hidden="1">{"fdsup://directions/FAT%20Viewer?VAR:PED=LTM&amp;VAR:PERIOD=FIXED&amp;VAR:V=16.128600&amp;VAR:PCT=Y&amp;VAR:AUDIT_ID=00000117&amp;VAR:DATE=20071231&amp;action=UPDATE&amp;creator=factset&amp;DOC_NAME=FAT:FMA_audit_SUMMARY.fat&amp;DISPLAY_STRING=Display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290__FDSAUDITLINK__" localSheetId="8" hidden="1">{"fdsup://directions/FAT%20Viewer?VAR:PED=LTM&amp;VAR:PERIOD=FIXED&amp;VAR:V=15.551713&amp;VAR:AUDIT_ID=00000117&amp;VAR:DATE=20040331&amp;action=UPDATE&amp;creator=factset&amp;DOC_NAME=FAT:FMA_audit_SUMMARY.fat&amp;DISPLAY_STRING=Display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0__FDSAUDITLINK__" localSheetId="2" hidden="1">{"fdsup://directions/FAT%20Viewer?VAR:PED=LTM&amp;VAR:PERIOD=FIXED&amp;VAR:V=15.551713&amp;VAR:AUDIT_ID=00000117&amp;VAR:DATE=20040331&amp;action=UPDATE&amp;creator=factset&amp;DOC_NAME=FAT:FMA_audit_SUMMARY.fat&amp;DISPLAY_STRING=Display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0__FDSAUDITLINK__" hidden="1">{"fdsup://directions/FAT%20Viewer?VAR:PED=LTM&amp;VAR:PERIOD=FIXED&amp;VAR:V=15.551713&amp;VAR:AUDIT_ID=00000117&amp;VAR:DATE=20040331&amp;action=UPDATE&amp;creator=factset&amp;DOC_NAME=FAT:FMA_audit_SUMMARY.fat&amp;DISPLAY_STRING=Display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1__FDSAUDITLINK__" localSheetId="8" hidden="1">{"fdsup://directions/FAT%20Viewer?VAR:PED=LTM&amp;VAR:PERIOD=FIXED&amp;VAR:V=15.566558&amp;VAR:AUDIT_ID=00000117&amp;VAR:DATE=20040227&amp;action=UPDATE&amp;creator=factset&amp;DOC_NAME=FAT:FMA_audit_SUMMARY.fat&amp;DISPLAY_STRING=Display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1__FDSAUDITLINK__" localSheetId="2" hidden="1">{"fdsup://directions/FAT%20Viewer?VAR:PED=LTM&amp;VAR:PERIOD=FIXED&amp;VAR:V=15.566558&amp;VAR:AUDIT_ID=00000117&amp;VAR:DATE=20040227&amp;action=UPDATE&amp;creator=factset&amp;DOC_NAME=FAT:FMA_audit_SUMMARY.fat&amp;DISPLAY_STRING=Display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1__FDSAUDITLINK__" hidden="1">{"fdsup://directions/FAT%20Viewer?VAR:PED=LTM&amp;VAR:PERIOD=FIXED&amp;VAR:V=15.566558&amp;VAR:AUDIT_ID=00000117&amp;VAR:DATE=20040227&amp;action=UPDATE&amp;creator=factset&amp;DOC_NAME=FAT:FMA_audit_SUMMARY.fat&amp;DISPLAY_STRING=Display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2__FDSAUDITLINK__" localSheetId="8" hidden="1">{"fdsup://directions/FAT%20Viewer?VAR:PED=LTM&amp;VAR:PERIOD=FIXED&amp;VAR:V=15.069693&amp;VAR:AUDIT_ID=00000117&amp;VAR:DATE=20040130&amp;action=UPDATE&amp;creator=factset&amp;DOC_NAME=FAT:FMA_audit_SUMMARY.fat&amp;DISPLAY_STRING=Display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2__FDSAUDITLINK__" localSheetId="2" hidden="1">{"fdsup://directions/FAT%20Viewer?VAR:PED=LTM&amp;VAR:PERIOD=FIXED&amp;VAR:V=15.069693&amp;VAR:AUDIT_ID=00000117&amp;VAR:DATE=20040130&amp;action=UPDATE&amp;creator=factset&amp;DOC_NAME=FAT:FMA_audit_SUMMARY.fat&amp;DISPLAY_STRING=Display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2__FDSAUDITLINK__" hidden="1">{"fdsup://directions/FAT%20Viewer?VAR:PED=LTM&amp;VAR:PERIOD=FIXED&amp;VAR:V=15.069693&amp;VAR:AUDIT_ID=00000117&amp;VAR:DATE=20040130&amp;action=UPDATE&amp;creator=factset&amp;DOC_NAME=FAT:FMA_audit_SUMMARY.fat&amp;DISPLAY_STRING=Display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3__FDSAUDITLINK__" localSheetId="8" hidden="1">{"fdsup://directions/FAT%20Viewer?VAR:PED=LTM&amp;VAR:PERIOD=FIXED&amp;VAR:V=15.058002&amp;VAR:AUDIT_ID=00000117&amp;VAR:DATE=20031231&amp;action=UPDATE&amp;creator=factset&amp;DOC_NAME=FAT:FMA_audit_SUMMARY.fat&amp;DISPLAY_STRING=Display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3__FDSAUDITLINK__" localSheetId="2" hidden="1">{"fdsup://directions/FAT%20Viewer?VAR:PED=LTM&amp;VAR:PERIOD=FIXED&amp;VAR:V=15.058002&amp;VAR:AUDIT_ID=00000117&amp;VAR:DATE=20031231&amp;action=UPDATE&amp;creator=factset&amp;DOC_NAME=FAT:FMA_audit_SUMMARY.fat&amp;DISPLAY_STRING=Display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3__FDSAUDITLINK__" hidden="1">{"fdsup://directions/FAT%20Viewer?VAR:PED=LTM&amp;VAR:PERIOD=FIXED&amp;VAR:V=15.058002&amp;VAR:AUDIT_ID=00000117&amp;VAR:DATE=20031231&amp;action=UPDATE&amp;creator=factset&amp;DOC_NAME=FAT:FMA_audit_SUMMARY.fat&amp;DISPLAY_STRING=Display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4__FDSAUDITLINK__" localSheetId="8" hidden="1">{"fdsup://directions/FAT%20Viewer?VAR:PED=LTM&amp;VAR:PERIOD=FIXED&amp;VAR:V=14.922808&amp;VAR:AUDIT_ID=00000117&amp;VAR:DATE=20031128&amp;action=UPDATE&amp;creator=factset&amp;DOC_NAME=FAT:FMA_audit_SUMMARY.fat&amp;DISPLAY_STRING=Display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4__FDSAUDITLINK__" localSheetId="2" hidden="1">{"fdsup://directions/FAT%20Viewer?VAR:PED=LTM&amp;VAR:PERIOD=FIXED&amp;VAR:V=14.922808&amp;VAR:AUDIT_ID=00000117&amp;VAR:DATE=20031128&amp;action=UPDATE&amp;creator=factset&amp;DOC_NAME=FAT:FMA_audit_SUMMARY.fat&amp;DISPLAY_STRING=Display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4__FDSAUDITLINK__" hidden="1">{"fdsup://directions/FAT%20Viewer?VAR:PED=LTM&amp;VAR:PERIOD=FIXED&amp;VAR:V=14.922808&amp;VAR:AUDIT_ID=00000117&amp;VAR:DATE=20031128&amp;action=UPDATE&amp;creator=factset&amp;DOC_NAME=FAT:FMA_audit_SUMMARY.fat&amp;DISPLAY_STRING=Display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5__FDSAUDITLINK__" localSheetId="8" hidden="1">{"fdsup://directions/FAT%20Viewer?VAR:PED=LTM&amp;VAR:PERIOD=FIXED&amp;VAR:V=14.278835&amp;VAR:AUDIT_ID=00000117&amp;VAR:DATE=20031031&amp;action=UPDATE&amp;creator=factset&amp;DOC_NAME=FAT:FMA_audit_SUMMARY.fat&amp;DISPLAY_STRING=Display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5__FDSAUDITLINK__" localSheetId="2" hidden="1">{"fdsup://directions/FAT%20Viewer?VAR:PED=LTM&amp;VAR:PERIOD=FIXED&amp;VAR:V=14.278835&amp;VAR:AUDIT_ID=00000117&amp;VAR:DATE=20031031&amp;action=UPDATE&amp;creator=factset&amp;DOC_NAME=FAT:FMA_audit_SUMMARY.fat&amp;DISPLAY_STRING=Display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5__FDSAUDITLINK__" hidden="1">{"fdsup://directions/FAT%20Viewer?VAR:PED=LTM&amp;VAR:PERIOD=FIXED&amp;VAR:V=14.278835&amp;VAR:AUDIT_ID=00000117&amp;VAR:DATE=20031031&amp;action=UPDATE&amp;creator=factset&amp;DOC_NAME=FAT:FMA_audit_SUMMARY.fat&amp;DISPLAY_STRING=Display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6__FDSAUDITLINK__" localSheetId="8" hidden="1">{"fdsup://directions/FAT%20Viewer?VAR:PED=LTM&amp;VAR:PERIOD=FIXED&amp;VAR:V=14.248429&amp;VAR:AUDIT_ID=00000117&amp;VAR:DATE=20030930&amp;action=UPDATE&amp;creator=factset&amp;DOC_NAME=FAT:FMA_audit_SUMMARY.fat&amp;DISPLAY_STRING=Display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6__FDSAUDITLINK__" localSheetId="2" hidden="1">{"fdsup://directions/FAT%20Viewer?VAR:PED=LTM&amp;VAR:PERIOD=FIXED&amp;VAR:V=14.248429&amp;VAR:AUDIT_ID=00000117&amp;VAR:DATE=20030930&amp;action=UPDATE&amp;creator=factset&amp;DOC_NAME=FAT:FMA_audit_SUMMARY.fat&amp;DISPLAY_STRING=Display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6__FDSAUDITLINK__" hidden="1">{"fdsup://directions/FAT%20Viewer?VAR:PED=LTM&amp;VAR:PERIOD=FIXED&amp;VAR:V=14.248429&amp;VAR:AUDIT_ID=00000117&amp;VAR:DATE=20030930&amp;action=UPDATE&amp;creator=factset&amp;DOC_NAME=FAT:FMA_audit_SUMMARY.fat&amp;DISPLAY_STRING=Display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7__FDSAUDITLINK__" localSheetId="8" hidden="1">{"fdsup://directions/FAT%20Viewer?VAR:PED=LTM&amp;VAR:PERIOD=FIXED&amp;VAR:V=14.227058&amp;VAR:AUDIT_ID=00000117&amp;VAR:DATE=20030829&amp;action=UPDATE&amp;creator=factset&amp;DOC_NAME=FAT:FMA_audit_SUMMARY.fat&amp;DISPLAY_STRING=Display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7__FDSAUDITLINK__" localSheetId="2" hidden="1">{"fdsup://directions/FAT%20Viewer?VAR:PED=LTM&amp;VAR:PERIOD=FIXED&amp;VAR:V=14.227058&amp;VAR:AUDIT_ID=00000117&amp;VAR:DATE=20030829&amp;action=UPDATE&amp;creator=factset&amp;DOC_NAME=FAT:FMA_audit_SUMMARY.fat&amp;DISPLAY_STRING=Display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7__FDSAUDITLINK__" hidden="1">{"fdsup://directions/FAT%20Viewer?VAR:PED=LTM&amp;VAR:PERIOD=FIXED&amp;VAR:V=14.227058&amp;VAR:AUDIT_ID=00000117&amp;VAR:DATE=20030829&amp;action=UPDATE&amp;creator=factset&amp;DOC_NAME=FAT:FMA_audit_SUMMARY.fat&amp;DISPLAY_STRING=Display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8__FDSAUDITLINK__" localSheetId="8" hidden="1">{"fdsup://directions/FAT%20Viewer?VAR:PED=LTM&amp;VAR:PERIOD=FIXED&amp;VAR:V=13.822657&amp;VAR:AUDIT_ID=00000117&amp;VAR:DATE=20030731&amp;action=UPDATE&amp;creator=factset&amp;DOC_NAME=FAT:FMA_audit_SUMMARY.fat&amp;DISPLAY_STRING=Display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8__FDSAUDITLINK__" localSheetId="2" hidden="1">{"fdsup://directions/FAT%20Viewer?VAR:PED=LTM&amp;VAR:PERIOD=FIXED&amp;VAR:V=13.822657&amp;VAR:AUDIT_ID=00000117&amp;VAR:DATE=20030731&amp;action=UPDATE&amp;creator=factset&amp;DOC_NAME=FAT:FMA_audit_SUMMARY.fat&amp;DISPLAY_STRING=Display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8__FDSAUDITLINK__" hidden="1">{"fdsup://directions/FAT%20Viewer?VAR:PED=LTM&amp;VAR:PERIOD=FIXED&amp;VAR:V=13.822657&amp;VAR:AUDIT_ID=00000117&amp;VAR:DATE=20030731&amp;action=UPDATE&amp;creator=factset&amp;DOC_NAME=FAT:FMA_audit_SUMMARY.fat&amp;DISPLAY_STRING=Display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9__FDSAUDITLINK__" localSheetId="8" hidden="1">{"fdsup://directions/FAT%20Viewer?VAR:PED=LTM&amp;VAR:PERIOD=FIXED&amp;VAR:V=13.862011&amp;VAR:AUDIT_ID=00000117&amp;VAR:DATE=20030630&amp;action=UPDATE&amp;creator=factset&amp;DOC_NAME=FAT:FMA_audit_SUMMARY.fat&amp;DISPLAY_STRING=Display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9__FDSAUDITLINK__" localSheetId="2" hidden="1">{"fdsup://directions/FAT%20Viewer?VAR:PED=LTM&amp;VAR:PERIOD=FIXED&amp;VAR:V=13.862011&amp;VAR:AUDIT_ID=00000117&amp;VAR:DATE=20030630&amp;action=UPDATE&amp;creator=factset&amp;DOC_NAME=FAT:FMA_audit_SUMMARY.fat&amp;DISPLAY_STRING=Display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299__FDSAUDITLINK__" hidden="1">{"fdsup://directions/FAT%20Viewer?VAR:PED=LTM&amp;VAR:PERIOD=FIXED&amp;VAR:V=13.862011&amp;VAR:AUDIT_ID=00000117&amp;VAR:DATE=20030630&amp;action=UPDATE&amp;creator=factset&amp;DOC_NAME=FAT:FMA_audit_SUMMARY.fat&amp;DISPLAY_STRING=Display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__FDSAUDITLINK__" localSheetId="8" hidden="1">{"fdsup://directions/FAT%20Viewer?VAR:PED=LTM&amp;VAR:PERIOD=FIXED&amp;VAR:V=11.802582&amp;VAR:PCT=Y&amp;VAR:AUDIT_ID=00000117&amp;VAR:DATE=20100226&amp;action=UPDATE&amp;creator=factset&amp;DOC_NAME=FAT:FMA_audit_SUMMARY.fat&amp;DISPLAY_STRING=Display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__FDSAUDITLINK__" localSheetId="2" hidden="1">{"fdsup://directions/FAT%20Viewer?VAR:PED=LTM&amp;VAR:PERIOD=FIXED&amp;VAR:V=11.802582&amp;VAR:PCT=Y&amp;VAR:AUDIT_ID=00000117&amp;VAR:DATE=20100226&amp;action=UPDATE&amp;creator=factset&amp;DOC_NAME=FAT:FMA_audit_SUMMARY.fat&amp;DISPLAY_STRING=Display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__FDSAUDITLINK__" hidden="1">{"fdsup://directions/FAT%20Viewer?VAR:PED=LTM&amp;VAR:PERIOD=FIXED&amp;VAR:V=11.802582&amp;VAR:PCT=Y&amp;VAR:AUDIT_ID=00000117&amp;VAR:DATE=20100226&amp;action=UPDATE&amp;creator=factset&amp;DOC_NAME=FAT:FMA_audit_SUMMARY.fat&amp;DISPLAY_STRING=Display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0__FDSAUDITLINK__" localSheetId="8" hidden="1">{"fdsup://directions/FAT%20Viewer?VAR:PED=LTM&amp;VAR:PERIOD=FIXED&amp;VAR:V=16.134110&amp;VAR:PCT=Y&amp;VAR:AUDIT_ID=00000117&amp;VAR:DATE=20071130&amp;action=UPDATE&amp;creator=factset&amp;DOC_NAME=FAT:FMA_audit_SUMMARY.fat&amp;DISPLAY_STRING=Display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0__FDSAUDITLINK__" localSheetId="2" hidden="1">{"fdsup://directions/FAT%20Viewer?VAR:PED=LTM&amp;VAR:PERIOD=FIXED&amp;VAR:V=16.134110&amp;VAR:PCT=Y&amp;VAR:AUDIT_ID=00000117&amp;VAR:DATE=20071130&amp;action=UPDATE&amp;creator=factset&amp;DOC_NAME=FAT:FMA_audit_SUMMARY.fat&amp;DISPLAY_STRING=Display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0__FDSAUDITLINK__" hidden="1">{"fdsup://directions/FAT%20Viewer?VAR:PED=LTM&amp;VAR:PERIOD=FIXED&amp;VAR:V=16.134110&amp;VAR:PCT=Y&amp;VAR:AUDIT_ID=00000117&amp;VAR:DATE=20071130&amp;action=UPDATE&amp;creator=factset&amp;DOC_NAME=FAT:FMA_audit_SUMMARY.fat&amp;DISPLAY_STRING=Display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00__FDSAUDITLINK__" localSheetId="8" hidden="1">{"fdsup://directions/FAT%20Viewer?VAR:PED=LTM&amp;VAR:PERIOD=FIXED&amp;VAR:V=13.849118&amp;VAR:AUDIT_ID=00000117&amp;VAR:DATE=20030530&amp;action=UPDATE&amp;creator=factset&amp;DOC_NAME=FAT:FMA_audit_SUMMARY.fat&amp;DISPLAY_STRING=Display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0__FDSAUDITLINK__" localSheetId="2" hidden="1">{"fdsup://directions/FAT%20Viewer?VAR:PED=LTM&amp;VAR:PERIOD=FIXED&amp;VAR:V=13.849118&amp;VAR:AUDIT_ID=00000117&amp;VAR:DATE=20030530&amp;action=UPDATE&amp;creator=factset&amp;DOC_NAME=FAT:FMA_audit_SUMMARY.fat&amp;DISPLAY_STRING=Display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0__FDSAUDITLINK__" hidden="1">{"fdsup://directions/FAT%20Viewer?VAR:PED=LTM&amp;VAR:PERIOD=FIXED&amp;VAR:V=13.849118&amp;VAR:AUDIT_ID=00000117&amp;VAR:DATE=20030530&amp;action=UPDATE&amp;creator=factset&amp;DOC_NAME=FAT:FMA_audit_SUMMARY.fat&amp;DISPLAY_STRING=Display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1__FDSAUDITLINK__" localSheetId="8" hidden="1">{"fdsup://directions/FAT%20Viewer?VAR:PED=LTM&amp;VAR:PERIOD=FIXED&amp;VAR:V=13.957286&amp;VAR:AUDIT_ID=00000117&amp;VAR:DATE=20030430&amp;action=UPDATE&amp;creator=factset&amp;DOC_NAME=FAT:FMA_audit_SUMMARY.fat&amp;DISPLAY_STRING=Display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1__FDSAUDITLINK__" localSheetId="2" hidden="1">{"fdsup://directions/FAT%20Viewer?VAR:PED=LTM&amp;VAR:PERIOD=FIXED&amp;VAR:V=13.957286&amp;VAR:AUDIT_ID=00000117&amp;VAR:DATE=20030430&amp;action=UPDATE&amp;creator=factset&amp;DOC_NAME=FAT:FMA_audit_SUMMARY.fat&amp;DISPLAY_STRING=Display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1__FDSAUDITLINK__" hidden="1">{"fdsup://directions/FAT%20Viewer?VAR:PED=LTM&amp;VAR:PERIOD=FIXED&amp;VAR:V=13.957286&amp;VAR:AUDIT_ID=00000117&amp;VAR:DATE=20030430&amp;action=UPDATE&amp;creator=factset&amp;DOC_NAME=FAT:FMA_audit_SUMMARY.fat&amp;DISPLAY_STRING=Display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2__FDSAUDITLINK__" localSheetId="8" hidden="1">{"fdsup://directions/FAT%20Viewer?VAR:PED=LTM&amp;VAR:PERIOD=FIXED&amp;VAR:V=13.931012&amp;VAR:AUDIT_ID=00000117&amp;VAR:DATE=20030331&amp;action=UPDATE&amp;creator=factset&amp;DOC_NAME=FAT:FMA_audit_SUMMARY.fat&amp;DISPLAY_STRING=Display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2__FDSAUDITLINK__" localSheetId="2" hidden="1">{"fdsup://directions/FAT%20Viewer?VAR:PED=LTM&amp;VAR:PERIOD=FIXED&amp;VAR:V=13.931012&amp;VAR:AUDIT_ID=00000117&amp;VAR:DATE=20030331&amp;action=UPDATE&amp;creator=factset&amp;DOC_NAME=FAT:FMA_audit_SUMMARY.fat&amp;DISPLAY_STRING=Display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2__FDSAUDITLINK__" hidden="1">{"fdsup://directions/FAT%20Viewer?VAR:PED=LTM&amp;VAR:PERIOD=FIXED&amp;VAR:V=13.931012&amp;VAR:AUDIT_ID=00000117&amp;VAR:DATE=20030331&amp;action=UPDATE&amp;creator=factset&amp;DOC_NAME=FAT:FMA_audit_SUMMARY.fat&amp;DISPLAY_STRING=Display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3__FDSAUDITLINK__" localSheetId="8" hidden="1">{"fdsup://directions/FAT%20Viewer?VAR:PED=LTM&amp;VAR:PERIOD=FIXED&amp;VAR:V=13.901098&amp;VAR:AUDIT_ID=00000117&amp;VAR:DATE=20030228&amp;action=UPDATE&amp;creator=factset&amp;DOC_NAME=FAT:FMA_audit_SUMMARY.fat&amp;DISPLAY_STRING=Display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3__FDSAUDITLINK__" localSheetId="2" hidden="1">{"fdsup://directions/FAT%20Viewer?VAR:PED=LTM&amp;VAR:PERIOD=FIXED&amp;VAR:V=13.901098&amp;VAR:AUDIT_ID=00000117&amp;VAR:DATE=20030228&amp;action=UPDATE&amp;creator=factset&amp;DOC_NAME=FAT:FMA_audit_SUMMARY.fat&amp;DISPLAY_STRING=Display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3__FDSAUDITLINK__" hidden="1">{"fdsup://directions/FAT%20Viewer?VAR:PED=LTM&amp;VAR:PERIOD=FIXED&amp;VAR:V=13.901098&amp;VAR:AUDIT_ID=00000117&amp;VAR:DATE=20030228&amp;action=UPDATE&amp;creator=factset&amp;DOC_NAME=FAT:FMA_audit_SUMMARY.fat&amp;DISPLAY_STRING=Display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4__FDSAUDITLINK__" localSheetId="8" hidden="1">{"fdsup://directions/FAT%20Viewer?VAR:PED=LTM&amp;VAR:PERIOD=FIXED&amp;VAR:V=11.523502&amp;VAR:AUDIT_ID=00000117&amp;VAR:DATE=20030131&amp;action=UPDATE&amp;creator=factset&amp;DOC_NAME=FAT:FMA_audit_SUMMARY.fat&amp;DISPLAY_STRING=Display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4__FDSAUDITLINK__" localSheetId="2" hidden="1">{"fdsup://directions/FAT%20Viewer?VAR:PED=LTM&amp;VAR:PERIOD=FIXED&amp;VAR:V=11.523502&amp;VAR:AUDIT_ID=00000117&amp;VAR:DATE=20030131&amp;action=UPDATE&amp;creator=factset&amp;DOC_NAME=FAT:FMA_audit_SUMMARY.fat&amp;DISPLAY_STRING=Display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4__FDSAUDITLINK__" hidden="1">{"fdsup://directions/FAT%20Viewer?VAR:PED=LTM&amp;VAR:PERIOD=FIXED&amp;VAR:V=11.523502&amp;VAR:AUDIT_ID=00000117&amp;VAR:DATE=20030131&amp;action=UPDATE&amp;creator=factset&amp;DOC_NAME=FAT:FMA_audit_SUMMARY.fat&amp;DISPLAY_STRING=Display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5__FDSAUDITLINK__" localSheetId="8" hidden="1">{"fdsup://directions/FAT%20Viewer?VAR:PED=LTM&amp;VAR:PERIOD=FIXED&amp;VAR:V=11.521269&amp;VAR:AUDIT_ID=00000117&amp;VAR:DATE=20021231&amp;action=UPDATE&amp;creator=factset&amp;DOC_NAME=FAT:FMA_audit_SUMMARY.fat&amp;DISPLAY_STRING=Display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5__FDSAUDITLINK__" localSheetId="2" hidden="1">{"fdsup://directions/FAT%20Viewer?VAR:PED=LTM&amp;VAR:PERIOD=FIXED&amp;VAR:V=11.521269&amp;VAR:AUDIT_ID=00000117&amp;VAR:DATE=20021231&amp;action=UPDATE&amp;creator=factset&amp;DOC_NAME=FAT:FMA_audit_SUMMARY.fat&amp;DISPLAY_STRING=Display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5__FDSAUDITLINK__" hidden="1">{"fdsup://directions/FAT%20Viewer?VAR:PED=LTM&amp;VAR:PERIOD=FIXED&amp;VAR:V=11.521269&amp;VAR:AUDIT_ID=00000117&amp;VAR:DATE=20021231&amp;action=UPDATE&amp;creator=factset&amp;DOC_NAME=FAT:FMA_audit_SUMMARY.fat&amp;DISPLAY_STRING=Display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6__FDSAUDITLINK__" localSheetId="8" hidden="1">{"fdsup://directions/FAT%20Viewer?VAR:PED=LTM&amp;VAR:PERIOD=FIXED&amp;VAR:V=11.425267&amp;VAR:AUDIT_ID=00000117&amp;VAR:DATE=20021129&amp;action=UPDATE&amp;creator=factset&amp;DOC_NAME=FAT:FMA_audit_SUMMARY.fat&amp;DISPLAY_STRING=Display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6__FDSAUDITLINK__" localSheetId="2" hidden="1">{"fdsup://directions/FAT%20Viewer?VAR:PED=LTM&amp;VAR:PERIOD=FIXED&amp;VAR:V=11.425267&amp;VAR:AUDIT_ID=00000117&amp;VAR:DATE=20021129&amp;action=UPDATE&amp;creator=factset&amp;DOC_NAME=FAT:FMA_audit_SUMMARY.fat&amp;DISPLAY_STRING=Display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6__FDSAUDITLINK__" hidden="1">{"fdsup://directions/FAT%20Viewer?VAR:PED=LTM&amp;VAR:PERIOD=FIXED&amp;VAR:V=11.425267&amp;VAR:AUDIT_ID=00000117&amp;VAR:DATE=20021129&amp;action=UPDATE&amp;creator=factset&amp;DOC_NAME=FAT:FMA_audit_SUMMARY.fat&amp;DISPLAY_STRING=Display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7__FDSAUDITLINK__" localSheetId="8" hidden="1">{"fdsup://directions/FAT%20Viewer?VAR:PED=LTM&amp;VAR:PERIOD=FIXED&amp;VAR:V=11.230830&amp;VAR:AUDIT_ID=00000117&amp;VAR:DATE=20021031&amp;action=UPDATE&amp;creator=factset&amp;DOC_NAME=FAT:FMA_audit_SUMMARY.fat&amp;DISPLAY_STRING=Display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7__FDSAUDITLINK__" localSheetId="2" hidden="1">{"fdsup://directions/FAT%20Viewer?VAR:PED=LTM&amp;VAR:PERIOD=FIXED&amp;VAR:V=11.230830&amp;VAR:AUDIT_ID=00000117&amp;VAR:DATE=20021031&amp;action=UPDATE&amp;creator=factset&amp;DOC_NAME=FAT:FMA_audit_SUMMARY.fat&amp;DISPLAY_STRING=Display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7__FDSAUDITLINK__" hidden="1">{"fdsup://directions/FAT%20Viewer?VAR:PED=LTM&amp;VAR:PERIOD=FIXED&amp;VAR:V=11.230830&amp;VAR:AUDIT_ID=00000117&amp;VAR:DATE=20021031&amp;action=UPDATE&amp;creator=factset&amp;DOC_NAME=FAT:FMA_audit_SUMMARY.fat&amp;DISPLAY_STRING=Display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8__FDSAUDITLINK__" localSheetId="8" hidden="1">{"fdsup://directions/FAT%20Viewer?VAR:PED=LTM&amp;VAR:PERIOD=FIXED&amp;VAR:V=11.230403&amp;VAR:AUDIT_ID=00000117&amp;VAR:DATE=20020930&amp;action=UPDATE&amp;creator=factset&amp;DOC_NAME=FAT:FMA_audit_SUMMARY.fat&amp;DISPLAY_STRING=Display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8__FDSAUDITLINK__" localSheetId="2" hidden="1">{"fdsup://directions/FAT%20Viewer?VAR:PED=LTM&amp;VAR:PERIOD=FIXED&amp;VAR:V=11.230403&amp;VAR:AUDIT_ID=00000117&amp;VAR:DATE=20020930&amp;action=UPDATE&amp;creator=factset&amp;DOC_NAME=FAT:FMA_audit_SUMMARY.fat&amp;DISPLAY_STRING=Display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8__FDSAUDITLINK__" hidden="1">{"fdsup://directions/FAT%20Viewer?VAR:PED=LTM&amp;VAR:PERIOD=FIXED&amp;VAR:V=11.230403&amp;VAR:AUDIT_ID=00000117&amp;VAR:DATE=20020930&amp;action=UPDATE&amp;creator=factset&amp;DOC_NAME=FAT:FMA_audit_SUMMARY.fat&amp;DISPLAY_STRING=Display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9__FDSAUDITLINK__" localSheetId="8" hidden="1">{"fdsup://directions/FAT%20Viewer?VAR:PED=LTM&amp;VAR:PERIOD=FIXED&amp;VAR:V=11.285871&amp;VAR:AUDIT_ID=00000117&amp;VAR:DATE=20020830&amp;action=UPDATE&amp;creator=factset&amp;DOC_NAME=FAT:FMA_audit_SUMMARY.fat&amp;DISPLAY_STRING=Display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9__FDSAUDITLINK__" localSheetId="2" hidden="1">{"fdsup://directions/FAT%20Viewer?VAR:PED=LTM&amp;VAR:PERIOD=FIXED&amp;VAR:V=11.285871&amp;VAR:AUDIT_ID=00000117&amp;VAR:DATE=20020830&amp;action=UPDATE&amp;creator=factset&amp;DOC_NAME=FAT:FMA_audit_SUMMARY.fat&amp;DISPLAY_STRING=Display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09__FDSAUDITLINK__" hidden="1">{"fdsup://directions/FAT%20Viewer?VAR:PED=LTM&amp;VAR:PERIOD=FIXED&amp;VAR:V=11.285871&amp;VAR:AUDIT_ID=00000117&amp;VAR:DATE=20020830&amp;action=UPDATE&amp;creator=factset&amp;DOC_NAME=FAT:FMA_audit_SUMMARY.fat&amp;DISPLAY_STRING=Display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__FDSAUDITLINK__" localSheetId="8" hidden="1">{"fdsup://directions/FAT%20Viewer?VAR:PED=LTM&amp;VAR:PERIOD=FIXED&amp;VAR:V=17.246191&amp;VAR:PCT=Y&amp;VAR:AUDIT_ID=00000117&amp;VAR:DATE=20071031&amp;action=UPDATE&amp;creator=factset&amp;DOC_NAME=FAT:FMA_audit_SUMMARY.fat&amp;DISPLAY_STRING=Display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1__FDSAUDITLINK__" localSheetId="2" hidden="1">{"fdsup://directions/FAT%20Viewer?VAR:PED=LTM&amp;VAR:PERIOD=FIXED&amp;VAR:V=17.246191&amp;VAR:PCT=Y&amp;VAR:AUDIT_ID=00000117&amp;VAR:DATE=20071031&amp;action=UPDATE&amp;creator=factset&amp;DOC_NAME=FAT:FMA_audit_SUMMARY.fat&amp;DISPLAY_STRING=Display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1__FDSAUDITLINK__" hidden="1">{"fdsup://directions/FAT%20Viewer?VAR:PED=LTM&amp;VAR:PERIOD=FIXED&amp;VAR:V=17.246191&amp;VAR:PCT=Y&amp;VAR:AUDIT_ID=00000117&amp;VAR:DATE=20071031&amp;action=UPDATE&amp;creator=factset&amp;DOC_NAME=FAT:FMA_audit_SUMMARY.fat&amp;DISPLAY_STRING=Display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10__FDSAUDITLINK__" localSheetId="8" hidden="1">{"fdsup://directions/FAT%20Viewer?VAR:PED=LTM&amp;VAR:PERIOD=FIXED&amp;VAR:V=9.278871&amp;VAR:AUDIT_ID=00000117&amp;VAR:DATE=20020731&amp;action=UPDATE&amp;creator=factset&amp;DOC_NAME=FAT:FMA_audit_SUMMARY.fat&amp;DISPLAY_STRING=Display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0__FDSAUDITLINK__" localSheetId="2" hidden="1">{"fdsup://directions/FAT%20Viewer?VAR:PED=LTM&amp;VAR:PERIOD=FIXED&amp;VAR:V=9.278871&amp;VAR:AUDIT_ID=00000117&amp;VAR:DATE=20020731&amp;action=UPDATE&amp;creator=factset&amp;DOC_NAME=FAT:FMA_audit_SUMMARY.fat&amp;DISPLAY_STRING=Display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0__FDSAUDITLINK__" hidden="1">{"fdsup://directions/FAT%20Viewer?VAR:PED=LTM&amp;VAR:PERIOD=FIXED&amp;VAR:V=9.278871&amp;VAR:AUDIT_ID=00000117&amp;VAR:DATE=20020731&amp;action=UPDATE&amp;creator=factset&amp;DOC_NAME=FAT:FMA_audit_SUMMARY.fat&amp;DISPLAY_STRING=Display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1__FDSAUDITLINK__" localSheetId="8" hidden="1">{"fdsup://directions/FAT%20Viewer?VAR:PED=LTM&amp;VAR:PERIOD=FIXED&amp;VAR:V=8.665143&amp;VAR:AUDIT_ID=00000117&amp;VAR:DATE=20020628&amp;action=UPDATE&amp;creator=factset&amp;DOC_NAME=FAT:FMA_audit_SUMMARY.fat&amp;DISPLAY_STRING=Display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1__FDSAUDITLINK__" localSheetId="2" hidden="1">{"fdsup://directions/FAT%20Viewer?VAR:PED=LTM&amp;VAR:PERIOD=FIXED&amp;VAR:V=8.665143&amp;VAR:AUDIT_ID=00000117&amp;VAR:DATE=20020628&amp;action=UPDATE&amp;creator=factset&amp;DOC_NAME=FAT:FMA_audit_SUMMARY.fat&amp;DISPLAY_STRING=Display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1__FDSAUDITLINK__" hidden="1">{"fdsup://directions/FAT%20Viewer?VAR:PED=LTM&amp;VAR:PERIOD=FIXED&amp;VAR:V=8.665143&amp;VAR:AUDIT_ID=00000117&amp;VAR:DATE=20020628&amp;action=UPDATE&amp;creator=factset&amp;DOC_NAME=FAT:FMA_audit_SUMMARY.fat&amp;DISPLAY_STRING=Display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2__FDSAUDITLINK__" localSheetId="8" hidden="1">{"fdsup://directions/FAT%20Viewer?VAR:PED=LTM&amp;VAR:PERIOD=FIXED&amp;VAR:V=8.705477&amp;VAR:AUDIT_ID=00000117&amp;VAR:DATE=20020531&amp;action=UPDATE&amp;creator=factset&amp;DOC_NAME=FAT:FMA_audit_SUMMARY.fat&amp;DISPLAY_STRING=Display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2__FDSAUDITLINK__" localSheetId="2" hidden="1">{"fdsup://directions/FAT%20Viewer?VAR:PED=LTM&amp;VAR:PERIOD=FIXED&amp;VAR:V=8.705477&amp;VAR:AUDIT_ID=00000117&amp;VAR:DATE=20020531&amp;action=UPDATE&amp;creator=factset&amp;DOC_NAME=FAT:FMA_audit_SUMMARY.fat&amp;DISPLAY_STRING=Display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2__FDSAUDITLINK__" hidden="1">{"fdsup://directions/FAT%20Viewer?VAR:PED=LTM&amp;VAR:PERIOD=FIXED&amp;VAR:V=8.705477&amp;VAR:AUDIT_ID=00000117&amp;VAR:DATE=20020531&amp;action=UPDATE&amp;creator=factset&amp;DOC_NAME=FAT:FMA_audit_SUMMARY.fat&amp;DISPLAY_STRING=Display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3__FDSAUDITLINK__" localSheetId="8" hidden="1">{"fdsup://directions/FAT%20Viewer?VAR:PED=LTM&amp;VAR:PERIOD=FIXED&amp;VAR:V=9.861193&amp;VAR:AUDIT_ID=00000117&amp;VAR:DATE=20020430&amp;action=UPDATE&amp;creator=factset&amp;DOC_NAME=FAT:FMA_audit_SUMMARY.fat&amp;DISPLAY_STRING=Display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3__FDSAUDITLINK__" localSheetId="2" hidden="1">{"fdsup://directions/FAT%20Viewer?VAR:PED=LTM&amp;VAR:PERIOD=FIXED&amp;VAR:V=9.861193&amp;VAR:AUDIT_ID=00000117&amp;VAR:DATE=20020430&amp;action=UPDATE&amp;creator=factset&amp;DOC_NAME=FAT:FMA_audit_SUMMARY.fat&amp;DISPLAY_STRING=Display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3__FDSAUDITLINK__" hidden="1">{"fdsup://directions/FAT%20Viewer?VAR:PED=LTM&amp;VAR:PERIOD=FIXED&amp;VAR:V=9.861193&amp;VAR:AUDIT_ID=00000117&amp;VAR:DATE=20020430&amp;action=UPDATE&amp;creator=factset&amp;DOC_NAME=FAT:FMA_audit_SUMMARY.fat&amp;DISPLAY_STRING=Display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4__FDSAUDITLINK__" localSheetId="8" hidden="1">{"fdsup://directions/FAT%20Viewer?VAR:PED=LTM&amp;VAR:PERIOD=FIXED&amp;VAR:V=9.885325&amp;VAR:AUDIT_ID=00000117&amp;VAR:DATE=20020329&amp;action=UPDATE&amp;creator=factset&amp;DOC_NAME=FAT:FMA_audit_SUMMARY.fat&amp;DISPLAY_STRING=Display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4__FDSAUDITLINK__" localSheetId="2" hidden="1">{"fdsup://directions/FAT%20Viewer?VAR:PED=LTM&amp;VAR:PERIOD=FIXED&amp;VAR:V=9.885325&amp;VAR:AUDIT_ID=00000117&amp;VAR:DATE=20020329&amp;action=UPDATE&amp;creator=factset&amp;DOC_NAME=FAT:FMA_audit_SUMMARY.fat&amp;DISPLAY_STRING=Display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4__FDSAUDITLINK__" hidden="1">{"fdsup://directions/FAT%20Viewer?VAR:PED=LTM&amp;VAR:PERIOD=FIXED&amp;VAR:V=9.885325&amp;VAR:AUDIT_ID=00000117&amp;VAR:DATE=20020329&amp;action=UPDATE&amp;creator=factset&amp;DOC_NAME=FAT:FMA_audit_SUMMARY.fat&amp;DISPLAY_STRING=Display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5__FDSAUDITLINK__" localSheetId="8" hidden="1">{"fdsup://directions/FAT%20Viewer?VAR:PED=LTM&amp;VAR:PERIOD=FIXED&amp;VAR:V=9.998547&amp;VAR:AUDIT_ID=00000117&amp;VAR:DATE=20020228&amp;action=UPDATE&amp;creator=factset&amp;DOC_NAME=FAT:FMA_audit_SUMMARY.fat&amp;DISPLAY_STRING=Display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5__FDSAUDITLINK__" localSheetId="2" hidden="1">{"fdsup://directions/FAT%20Viewer?VAR:PED=LTM&amp;VAR:PERIOD=FIXED&amp;VAR:V=9.998547&amp;VAR:AUDIT_ID=00000117&amp;VAR:DATE=20020228&amp;action=UPDATE&amp;creator=factset&amp;DOC_NAME=FAT:FMA_audit_SUMMARY.fat&amp;DISPLAY_STRING=Display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5__FDSAUDITLINK__" hidden="1">{"fdsup://directions/FAT%20Viewer?VAR:PED=LTM&amp;VAR:PERIOD=FIXED&amp;VAR:V=9.998547&amp;VAR:AUDIT_ID=00000117&amp;VAR:DATE=20020228&amp;action=UPDATE&amp;creator=factset&amp;DOC_NAME=FAT:FMA_audit_SUMMARY.fat&amp;DISPLAY_STRING=Display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6__FDSAUDITLINK__" localSheetId="8" hidden="1">{"fdsup://directions/FAT%20Viewer?VAR:PED=LTM&amp;VAR:PERIOD=FIXED&amp;VAR:V=9.623608&amp;VAR:AUDIT_ID=00000117&amp;VAR:DATE=20020131&amp;action=UPDATE&amp;creator=factset&amp;DOC_NAME=FAT:FMA_audit_SUMMARY.fat&amp;DISPLAY_STRING=Display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6__FDSAUDITLINK__" localSheetId="2" hidden="1">{"fdsup://directions/FAT%20Viewer?VAR:PED=LTM&amp;VAR:PERIOD=FIXED&amp;VAR:V=9.623608&amp;VAR:AUDIT_ID=00000117&amp;VAR:DATE=20020131&amp;action=UPDATE&amp;creator=factset&amp;DOC_NAME=FAT:FMA_audit_SUMMARY.fat&amp;DISPLAY_STRING=Display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6__FDSAUDITLINK__" hidden="1">{"fdsup://directions/FAT%20Viewer?VAR:PED=LTM&amp;VAR:PERIOD=FIXED&amp;VAR:V=9.623608&amp;VAR:AUDIT_ID=00000117&amp;VAR:DATE=20020131&amp;action=UPDATE&amp;creator=factset&amp;DOC_NAME=FAT:FMA_audit_SUMMARY.fat&amp;DISPLAY_STRING=Display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7__FDSAUDITLINK__" localSheetId="8" hidden="1">{"fdsup://directions/FAT%20Viewer?VAR:PED=LTM&amp;VAR:PERIOD=FIXED&amp;VAR:V=9.711156&amp;VAR:AUDIT_ID=00000117&amp;VAR:DATE=20011231&amp;action=UPDATE&amp;creator=factset&amp;DOC_NAME=FAT:FMA_audit_SUMMARY.fat&amp;DISPLAY_STRING=Display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7__FDSAUDITLINK__" localSheetId="2" hidden="1">{"fdsup://directions/FAT%20Viewer?VAR:PED=LTM&amp;VAR:PERIOD=FIXED&amp;VAR:V=9.711156&amp;VAR:AUDIT_ID=00000117&amp;VAR:DATE=20011231&amp;action=UPDATE&amp;creator=factset&amp;DOC_NAME=FAT:FMA_audit_SUMMARY.fat&amp;DISPLAY_STRING=Display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7__FDSAUDITLINK__" hidden="1">{"fdsup://directions/FAT%20Viewer?VAR:PED=LTM&amp;VAR:PERIOD=FIXED&amp;VAR:V=9.711156&amp;VAR:AUDIT_ID=00000117&amp;VAR:DATE=20011231&amp;action=UPDATE&amp;creator=factset&amp;DOC_NAME=FAT:FMA_audit_SUMMARY.fat&amp;DISPLAY_STRING=Display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8__FDSAUDITLINK__" localSheetId="8" hidden="1">{"fdsup://directions/FAT%20Viewer?VAR:PED=LTM&amp;VAR:PERIOD=FIXED&amp;VAR:V=9.965587&amp;VAR:AUDIT_ID=00000117&amp;VAR:DATE=20011130&amp;action=UPDATE&amp;creator=factset&amp;DOC_NAME=FAT:FMA_audit_SUMMARY.fat&amp;DISPLAY_STRING=Display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8__FDSAUDITLINK__" localSheetId="2" hidden="1">{"fdsup://directions/FAT%20Viewer?VAR:PED=LTM&amp;VAR:PERIOD=FIXED&amp;VAR:V=9.965587&amp;VAR:AUDIT_ID=00000117&amp;VAR:DATE=20011130&amp;action=UPDATE&amp;creator=factset&amp;DOC_NAME=FAT:FMA_audit_SUMMARY.fat&amp;DISPLAY_STRING=Display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8__FDSAUDITLINK__" hidden="1">{"fdsup://directions/FAT%20Viewer?VAR:PED=LTM&amp;VAR:PERIOD=FIXED&amp;VAR:V=9.965587&amp;VAR:AUDIT_ID=00000117&amp;VAR:DATE=20011130&amp;action=UPDATE&amp;creator=factset&amp;DOC_NAME=FAT:FMA_audit_SUMMARY.fat&amp;DISPLAY_STRING=Display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9__FDSAUDITLINK__" localSheetId="8" hidden="1">{"fdsup://directions/FAT%20Viewer?VAR:PED=LTM&amp;VAR:PERIOD=FIXED&amp;VAR:V=12.468636&amp;VAR:AUDIT_ID=00000117&amp;VAR:DATE=20011031&amp;action=UPDATE&amp;creator=factset&amp;DOC_NAME=FAT:FMA_audit_SUMMARY.fat&amp;DISPLAY_STRING=Display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9__FDSAUDITLINK__" localSheetId="2" hidden="1">{"fdsup://directions/FAT%20Viewer?VAR:PED=LTM&amp;VAR:PERIOD=FIXED&amp;VAR:V=12.468636&amp;VAR:AUDIT_ID=00000117&amp;VAR:DATE=20011031&amp;action=UPDATE&amp;creator=factset&amp;DOC_NAME=FAT:FMA_audit_SUMMARY.fat&amp;DISPLAY_STRING=Display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19__FDSAUDITLINK__" hidden="1">{"fdsup://directions/FAT%20Viewer?VAR:PED=LTM&amp;VAR:PERIOD=FIXED&amp;VAR:V=12.468636&amp;VAR:AUDIT_ID=00000117&amp;VAR:DATE=20011031&amp;action=UPDATE&amp;creator=factset&amp;DOC_NAME=FAT:FMA_audit_SUMMARY.fat&amp;DISPLAY_STRING=Display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__FDSAUDITLINK__" localSheetId="8" hidden="1">{"fdsup://directions/FAT%20Viewer?VAR:PED=LTM&amp;VAR:PERIOD=FIXED&amp;VAR:V=17.221723&amp;VAR:PCT=Y&amp;VAR:AUDIT_ID=00000117&amp;VAR:DATE=20070928&amp;action=UPDATE&amp;creator=factset&amp;DOC_NAME=FAT:FMA_audit_SUMMARY.fat&amp;DISPLAY_STRING=Display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2__FDSAUDITLINK__" localSheetId="2" hidden="1">{"fdsup://directions/FAT%20Viewer?VAR:PED=LTM&amp;VAR:PERIOD=FIXED&amp;VAR:V=17.221723&amp;VAR:PCT=Y&amp;VAR:AUDIT_ID=00000117&amp;VAR:DATE=20070928&amp;action=UPDATE&amp;creator=factset&amp;DOC_NAME=FAT:FMA_audit_SUMMARY.fat&amp;DISPLAY_STRING=Display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2__FDSAUDITLINK__" hidden="1">{"fdsup://directions/FAT%20Viewer?VAR:PED=LTM&amp;VAR:PERIOD=FIXED&amp;VAR:V=17.221723&amp;VAR:PCT=Y&amp;VAR:AUDIT_ID=00000117&amp;VAR:DATE=20070928&amp;action=UPDATE&amp;creator=factset&amp;DOC_NAME=FAT:FMA_audit_SUMMARY.fat&amp;DISPLAY_STRING=Display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2_0FAMERangeDJ_BALA">[3]eva!#REF!</definedName>
    <definedName name="_320__FDSAUDITLINK__" localSheetId="8" hidden="1">{"fdsup://directions/FAT%20Viewer?VAR:PED=LTM&amp;VAR:PERIOD=FIXED&amp;VAR:V=12.424910&amp;VAR:AUDIT_ID=00000117&amp;VAR:DATE=20010928&amp;action=UPDATE&amp;creator=factset&amp;DOC_NAME=FAT:FMA_audit_SUMMARY.fat&amp;DISPLAY_STRING=Display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0__FDSAUDITLINK__" localSheetId="2" hidden="1">{"fdsup://directions/FAT%20Viewer?VAR:PED=LTM&amp;VAR:PERIOD=FIXED&amp;VAR:V=12.424910&amp;VAR:AUDIT_ID=00000117&amp;VAR:DATE=20010928&amp;action=UPDATE&amp;creator=factset&amp;DOC_NAME=FAT:FMA_audit_SUMMARY.fat&amp;DISPLAY_STRING=Display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0__FDSAUDITLINK__" hidden="1">{"fdsup://directions/FAT%20Viewer?VAR:PED=LTM&amp;VAR:PERIOD=FIXED&amp;VAR:V=12.424910&amp;VAR:AUDIT_ID=00000117&amp;VAR:DATE=20010928&amp;action=UPDATE&amp;creator=factset&amp;DOC_NAME=FAT:FMA_audit_SUMMARY.fat&amp;DISPLAY_STRING=Display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1__FDSAUDITLINK__" localSheetId="8" hidden="1">{"fdsup://directions/FAT%20Viewer?VAR:PED=LTM&amp;VAR:PERIOD=FIXED&amp;VAR:V=12.485321&amp;VAR:AUDIT_ID=00000117&amp;VAR:DATE=20010831&amp;action=UPDATE&amp;creator=factset&amp;DOC_NAME=FAT:FMA_audit_SUMMARY.fat&amp;DISPLAY_STRING=Display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1__FDSAUDITLINK__" localSheetId="2" hidden="1">{"fdsup://directions/FAT%20Viewer?VAR:PED=LTM&amp;VAR:PERIOD=FIXED&amp;VAR:V=12.485321&amp;VAR:AUDIT_ID=00000117&amp;VAR:DATE=20010831&amp;action=UPDATE&amp;creator=factset&amp;DOC_NAME=FAT:FMA_audit_SUMMARY.fat&amp;DISPLAY_STRING=Display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1__FDSAUDITLINK__" hidden="1">{"fdsup://directions/FAT%20Viewer?VAR:PED=LTM&amp;VAR:PERIOD=FIXED&amp;VAR:V=12.485321&amp;VAR:AUDIT_ID=00000117&amp;VAR:DATE=20010831&amp;action=UPDATE&amp;creator=factset&amp;DOC_NAME=FAT:FMA_audit_SUMMARY.fat&amp;DISPLAY_STRING=Display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2__FDSAUDITLINK__" localSheetId="8" hidden="1">{"fdsup://directions/FAT%20Viewer?VAR:PED=LTM&amp;VAR:PERIOD=FIXED&amp;VAR:V=14.485207&amp;VAR:AUDIT_ID=00000117&amp;VAR:DATE=20010731&amp;action=UPDATE&amp;creator=factset&amp;DOC_NAME=FAT:FMA_audit_SUMMARY.fat&amp;DISPLAY_STRING=Display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2__FDSAUDITLINK__" localSheetId="2" hidden="1">{"fdsup://directions/FAT%20Viewer?VAR:PED=LTM&amp;VAR:PERIOD=FIXED&amp;VAR:V=14.485207&amp;VAR:AUDIT_ID=00000117&amp;VAR:DATE=20010731&amp;action=UPDATE&amp;creator=factset&amp;DOC_NAME=FAT:FMA_audit_SUMMARY.fat&amp;DISPLAY_STRING=Display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2__FDSAUDITLINK__" hidden="1">{"fdsup://directions/FAT%20Viewer?VAR:PED=LTM&amp;VAR:PERIOD=FIXED&amp;VAR:V=14.485207&amp;VAR:AUDIT_ID=00000117&amp;VAR:DATE=20010731&amp;action=UPDATE&amp;creator=factset&amp;DOC_NAME=FAT:FMA_audit_SUMMARY.fat&amp;DISPLAY_STRING=Display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3__FDSAUDITLINK__" localSheetId="8" hidden="1">{"fdsup://directions/FAT%20Viewer?VAR:PED=LTM&amp;VAR:PERIOD=FIXED&amp;VAR:V=14.787643&amp;VAR:AUDIT_ID=00000117&amp;VAR:DATE=20010629&amp;action=UPDATE&amp;creator=factset&amp;DOC_NAME=FAT:FMA_audit_SUMMARY.fat&amp;DISPLAY_STRING=Display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3__FDSAUDITLINK__" localSheetId="2" hidden="1">{"fdsup://directions/FAT%20Viewer?VAR:PED=LTM&amp;VAR:PERIOD=FIXED&amp;VAR:V=14.787643&amp;VAR:AUDIT_ID=00000117&amp;VAR:DATE=20010629&amp;action=UPDATE&amp;creator=factset&amp;DOC_NAME=FAT:FMA_audit_SUMMARY.fat&amp;DISPLAY_STRING=Display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3__FDSAUDITLINK__" hidden="1">{"fdsup://directions/FAT%20Viewer?VAR:PED=LTM&amp;VAR:PERIOD=FIXED&amp;VAR:V=14.787643&amp;VAR:AUDIT_ID=00000117&amp;VAR:DATE=20010629&amp;action=UPDATE&amp;creator=factset&amp;DOC_NAME=FAT:FMA_audit_SUMMARY.fat&amp;DISPLAY_STRING=Display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4__FDSAUDITLINK__" localSheetId="8" hidden="1">{"fdsup://directions/FAT%20Viewer?VAR:PED=LTM&amp;VAR:PERIOD=FIXED&amp;VAR:V=15.010218&amp;VAR:AUDIT_ID=00000117&amp;VAR:DATE=20010531&amp;action=UPDATE&amp;creator=factset&amp;DOC_NAME=FAT:FMA_audit_SUMMARY.fat&amp;DISPLAY_STRING=Display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4__FDSAUDITLINK__" localSheetId="2" hidden="1">{"fdsup://directions/FAT%20Viewer?VAR:PED=LTM&amp;VAR:PERIOD=FIXED&amp;VAR:V=15.010218&amp;VAR:AUDIT_ID=00000117&amp;VAR:DATE=20010531&amp;action=UPDATE&amp;creator=factset&amp;DOC_NAME=FAT:FMA_audit_SUMMARY.fat&amp;DISPLAY_STRING=Display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4__FDSAUDITLINK__" hidden="1">{"fdsup://directions/FAT%20Viewer?VAR:PED=LTM&amp;VAR:PERIOD=FIXED&amp;VAR:V=15.010218&amp;VAR:AUDIT_ID=00000117&amp;VAR:DATE=20010531&amp;action=UPDATE&amp;creator=factset&amp;DOC_NAME=FAT:FMA_audit_SUMMARY.fat&amp;DISPLAY_STRING=Display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5__FDSAUDITLINK__" localSheetId="8" hidden="1">{"fdsup://directions/FAT%20Viewer?VAR:PED=LTM&amp;VAR:PERIOD=FIXED&amp;VAR:V=17.143333&amp;VAR:AUDIT_ID=00000117&amp;VAR:DATE=20010430&amp;action=UPDATE&amp;creator=factset&amp;DOC_NAME=FAT:FMA_audit_SUMMARY.fat&amp;DISPLAY_STRING=Display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5__FDSAUDITLINK__" localSheetId="2" hidden="1">{"fdsup://directions/FAT%20Viewer?VAR:PED=LTM&amp;VAR:PERIOD=FIXED&amp;VAR:V=17.143333&amp;VAR:AUDIT_ID=00000117&amp;VAR:DATE=20010430&amp;action=UPDATE&amp;creator=factset&amp;DOC_NAME=FAT:FMA_audit_SUMMARY.fat&amp;DISPLAY_STRING=Display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5__FDSAUDITLINK__" hidden="1">{"fdsup://directions/FAT%20Viewer?VAR:PED=LTM&amp;VAR:PERIOD=FIXED&amp;VAR:V=17.143333&amp;VAR:AUDIT_ID=00000117&amp;VAR:DATE=20010430&amp;action=UPDATE&amp;creator=factset&amp;DOC_NAME=FAT:FMA_audit_SUMMARY.fat&amp;DISPLAY_STRING=Display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6__FDSAUDITLINK__" localSheetId="8" hidden="1">{"fdsup://directions/FAT%20Viewer?VAR:PED=LTM&amp;VAR:PERIOD=FIXED&amp;VAR:V=17.205063&amp;VAR:AUDIT_ID=00000117&amp;VAR:DATE=20010330&amp;action=UPDATE&amp;creator=factset&amp;DOC_NAME=FAT:FMA_audit_SUMMARY.fat&amp;DISPLAY_STRING=Display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6__FDSAUDITLINK__" localSheetId="2" hidden="1">{"fdsup://directions/FAT%20Viewer?VAR:PED=LTM&amp;VAR:PERIOD=FIXED&amp;VAR:V=17.205063&amp;VAR:AUDIT_ID=00000117&amp;VAR:DATE=20010330&amp;action=UPDATE&amp;creator=factset&amp;DOC_NAME=FAT:FMA_audit_SUMMARY.fat&amp;DISPLAY_STRING=Display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6__FDSAUDITLINK__" hidden="1">{"fdsup://directions/FAT%20Viewer?VAR:PED=LTM&amp;VAR:PERIOD=FIXED&amp;VAR:V=17.205063&amp;VAR:AUDIT_ID=00000117&amp;VAR:DATE=20010330&amp;action=UPDATE&amp;creator=factset&amp;DOC_NAME=FAT:FMA_audit_SUMMARY.fat&amp;DISPLAY_STRING=Display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7__FDSAUDITLINK__" localSheetId="8" hidden="1">{"fdsup://directions/FAT%20Viewer?VAR:PED=LTM&amp;VAR:PERIOD=FIXED&amp;VAR:V=17.284885&amp;VAR:AUDIT_ID=00000117&amp;VAR:DATE=20010228&amp;action=UPDATE&amp;creator=factset&amp;DOC_NAME=FAT:FMA_audit_SUMMARY.fat&amp;DISPLAY_STRING=Display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7__FDSAUDITLINK__" localSheetId="2" hidden="1">{"fdsup://directions/FAT%20Viewer?VAR:PED=LTM&amp;VAR:PERIOD=FIXED&amp;VAR:V=17.284885&amp;VAR:AUDIT_ID=00000117&amp;VAR:DATE=20010228&amp;action=UPDATE&amp;creator=factset&amp;DOC_NAME=FAT:FMA_audit_SUMMARY.fat&amp;DISPLAY_STRING=Display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7__FDSAUDITLINK__" hidden="1">{"fdsup://directions/FAT%20Viewer?VAR:PED=LTM&amp;VAR:PERIOD=FIXED&amp;VAR:V=17.284885&amp;VAR:AUDIT_ID=00000117&amp;VAR:DATE=20010228&amp;action=UPDATE&amp;creator=factset&amp;DOC_NAME=FAT:FMA_audit_SUMMARY.fat&amp;DISPLAY_STRING=Display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8__FDSAUDITLINK__" localSheetId="8" hidden="1">{"fdsup://directions/FAT%20Viewer?VAR:PED=LTM&amp;VAR:PERIOD=FIXED&amp;VAR:V=17.749186&amp;VAR:AUDIT_ID=00000117&amp;VAR:DATE=20010131&amp;action=UPDATE&amp;creator=factset&amp;DOC_NAME=FAT:FMA_audit_SUMMARY.fat&amp;DISPLAY_STRING=Display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8__FDSAUDITLINK__" localSheetId="2" hidden="1">{"fdsup://directions/FAT%20Viewer?VAR:PED=LTM&amp;VAR:PERIOD=FIXED&amp;VAR:V=17.749186&amp;VAR:AUDIT_ID=00000117&amp;VAR:DATE=20010131&amp;action=UPDATE&amp;creator=factset&amp;DOC_NAME=FAT:FMA_audit_SUMMARY.fat&amp;DISPLAY_STRING=Display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8__FDSAUDITLINK__" hidden="1">{"fdsup://directions/FAT%20Viewer?VAR:PED=LTM&amp;VAR:PERIOD=FIXED&amp;VAR:V=17.749186&amp;VAR:AUDIT_ID=00000117&amp;VAR:DATE=20010131&amp;action=UPDATE&amp;creator=factset&amp;DOC_NAME=FAT:FMA_audit_SUMMARY.fat&amp;DISPLAY_STRING=Display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9__FDSAUDITLINK__" localSheetId="8" hidden="1">{"fdsup://directions/FAT%20Viewer?VAR:PED=LTM&amp;VAR:PERIOD=FIXED&amp;VAR:V=17.777360&amp;VAR:AUDIT_ID=00000117&amp;VAR:DATE=20001229&amp;action=UPDATE&amp;creator=factset&amp;DOC_NAME=FAT:FMA_audit_SUMMARY.fat&amp;DISPLAY_STRING=Display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9__FDSAUDITLINK__" localSheetId="2" hidden="1">{"fdsup://directions/FAT%20Viewer?VAR:PED=LTM&amp;VAR:PERIOD=FIXED&amp;VAR:V=17.777360&amp;VAR:AUDIT_ID=00000117&amp;VAR:DATE=20001229&amp;action=UPDATE&amp;creator=factset&amp;DOC_NAME=FAT:FMA_audit_SUMMARY.fat&amp;DISPLAY_STRING=Display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29__FDSAUDITLINK__" hidden="1">{"fdsup://directions/FAT%20Viewer?VAR:PED=LTM&amp;VAR:PERIOD=FIXED&amp;VAR:V=17.777360&amp;VAR:AUDIT_ID=00000117&amp;VAR:DATE=20001229&amp;action=UPDATE&amp;creator=factset&amp;DOC_NAME=FAT:FMA_audit_SUMMARY.fat&amp;DISPLAY_STRING=Display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__FDSAUDITLINK__" localSheetId="8" hidden="1">{"fdsup://directions/FAT%20Viewer?VAR:PED=LTM&amp;VAR:PERIOD=FIXED&amp;VAR:V=17.225696&amp;VAR:PCT=Y&amp;VAR:AUDIT_ID=00000117&amp;VAR:DATE=20070831&amp;action=UPDATE&amp;creator=factset&amp;DOC_NAME=FAT:FMA_audit_SUMMARY.fat&amp;DISPLAY_STRING=Display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3__FDSAUDITLINK__" localSheetId="2" hidden="1">{"fdsup://directions/FAT%20Viewer?VAR:PED=LTM&amp;VAR:PERIOD=FIXED&amp;VAR:V=17.225696&amp;VAR:PCT=Y&amp;VAR:AUDIT_ID=00000117&amp;VAR:DATE=20070831&amp;action=UPDATE&amp;creator=factset&amp;DOC_NAME=FAT:FMA_audit_SUMMARY.fat&amp;DISPLAY_STRING=Display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3__FDSAUDITLINK__" hidden="1">{"fdsup://directions/FAT%20Viewer?VAR:PED=LTM&amp;VAR:PERIOD=FIXED&amp;VAR:V=17.225696&amp;VAR:PCT=Y&amp;VAR:AUDIT_ID=00000117&amp;VAR:DATE=20070831&amp;action=UPDATE&amp;creator=factset&amp;DOC_NAME=FAT:FMA_audit_SUMMARY.fat&amp;DISPLAY_STRING=Display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30__FDSAUDITLINK__" localSheetId="8" hidden="1">{"fdsup://directions/FAT%20Viewer?VAR:PED=LTM&amp;VAR:PERIOD=FIXED&amp;VAR:V=17.724286&amp;VAR:AUDIT_ID=00000117&amp;VAR:DATE=20001130&amp;action=UPDATE&amp;creator=factset&amp;DOC_NAME=FAT:FMA_audit_SUMMARY.fat&amp;DISPLAY_STRING=Display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0__FDSAUDITLINK__" localSheetId="2" hidden="1">{"fdsup://directions/FAT%20Viewer?VAR:PED=LTM&amp;VAR:PERIOD=FIXED&amp;VAR:V=17.724286&amp;VAR:AUDIT_ID=00000117&amp;VAR:DATE=20001130&amp;action=UPDATE&amp;creator=factset&amp;DOC_NAME=FAT:FMA_audit_SUMMARY.fat&amp;DISPLAY_STRING=Display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0__FDSAUDITLINK__" hidden="1">{"fdsup://directions/FAT%20Viewer?VAR:PED=LTM&amp;VAR:PERIOD=FIXED&amp;VAR:V=17.724286&amp;VAR:AUDIT_ID=00000117&amp;VAR:DATE=20001130&amp;action=UPDATE&amp;creator=factset&amp;DOC_NAME=FAT:FMA_audit_SUMMARY.fat&amp;DISPLAY_STRING=Display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1__FDSAUDITLINK__" localSheetId="8" hidden="1">{"fdsup://directions/FAT%20Viewer?VAR:PED=LTM&amp;VAR:PERIOD=FIXED&amp;VAR:V=17.232092&amp;VAR:AUDIT_ID=00000117&amp;VAR:DATE=20001031&amp;action=UPDATE&amp;creator=factset&amp;DOC_NAME=FAT:FMA_audit_SUMMARY.fat&amp;DISPLAY_STRING=Display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1__FDSAUDITLINK__" localSheetId="2" hidden="1">{"fdsup://directions/FAT%20Viewer?VAR:PED=LTM&amp;VAR:PERIOD=FIXED&amp;VAR:V=17.232092&amp;VAR:AUDIT_ID=00000117&amp;VAR:DATE=20001031&amp;action=UPDATE&amp;creator=factset&amp;DOC_NAME=FAT:FMA_audit_SUMMARY.fat&amp;DISPLAY_STRING=Display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1__FDSAUDITLINK__" hidden="1">{"fdsup://directions/FAT%20Viewer?VAR:PED=LTM&amp;VAR:PERIOD=FIXED&amp;VAR:V=17.232092&amp;VAR:AUDIT_ID=00000117&amp;VAR:DATE=20001031&amp;action=UPDATE&amp;creator=factset&amp;DOC_NAME=FAT:FMA_audit_SUMMARY.fat&amp;DISPLAY_STRING=Display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2__FDSAUDITLINK__" localSheetId="8" hidden="1">{"fdsup://directions/FAT%20Viewer?VAR:PED=LTM&amp;VAR:PERIOD=FIXED&amp;VAR:V=17.232880&amp;VAR:AUDIT_ID=00000117&amp;VAR:DATE=20000929&amp;action=UPDATE&amp;creator=factset&amp;DOC_NAME=FAT:FMA_audit_SUMMARY.fat&amp;DISPLAY_STRING=Display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2__FDSAUDITLINK__" localSheetId="2" hidden="1">{"fdsup://directions/FAT%20Viewer?VAR:PED=LTM&amp;VAR:PERIOD=FIXED&amp;VAR:V=17.232880&amp;VAR:AUDIT_ID=00000117&amp;VAR:DATE=20000929&amp;action=UPDATE&amp;creator=factset&amp;DOC_NAME=FAT:FMA_audit_SUMMARY.fat&amp;DISPLAY_STRING=Display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2__FDSAUDITLINK__" hidden="1">{"fdsup://directions/FAT%20Viewer?VAR:PED=LTM&amp;VAR:PERIOD=FIXED&amp;VAR:V=17.232880&amp;VAR:AUDIT_ID=00000117&amp;VAR:DATE=20000929&amp;action=UPDATE&amp;creator=factset&amp;DOC_NAME=FAT:FMA_audit_SUMMARY.fat&amp;DISPLAY_STRING=Display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3__FDSAUDITLINK__" localSheetId="8" hidden="1">{"fdsup://directions/FAT%20Viewer?VAR:PED=LTM&amp;VAR:PERIOD=FIXED&amp;VAR:V=17.230615&amp;VAR:AUDIT_ID=00000117&amp;VAR:DATE=20000831&amp;action=UPDATE&amp;creator=factset&amp;DOC_NAME=FAT:FMA_audit_SUMMARY.fat&amp;DISPLAY_STRING=Display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3__FDSAUDITLINK__" localSheetId="2" hidden="1">{"fdsup://directions/FAT%20Viewer?VAR:PED=LTM&amp;VAR:PERIOD=FIXED&amp;VAR:V=17.230615&amp;VAR:AUDIT_ID=00000117&amp;VAR:DATE=20000831&amp;action=UPDATE&amp;creator=factset&amp;DOC_NAME=FAT:FMA_audit_SUMMARY.fat&amp;DISPLAY_STRING=Display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3__FDSAUDITLINK__" hidden="1">{"fdsup://directions/FAT%20Viewer?VAR:PED=LTM&amp;VAR:PERIOD=FIXED&amp;VAR:V=17.230615&amp;VAR:AUDIT_ID=00000117&amp;VAR:DATE=20000831&amp;action=UPDATE&amp;creator=factset&amp;DOC_NAME=FAT:FMA_audit_SUMMARY.fat&amp;DISPLAY_STRING=Display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4__FDSAUDITLINK__" localSheetId="8" hidden="1">{"fdsup://directions/FAT%20Viewer?VAR:PED=LTM&amp;VAR:PERIOD=FIXED&amp;VAR:V=17.887434&amp;VAR:AUDIT_ID=00000117&amp;VAR:DATE=20000731&amp;action=UPDATE&amp;creator=factset&amp;DOC_NAME=FAT:FMA_audit_SUMMARY.fat&amp;DISPLAY_STRING=Display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4__FDSAUDITLINK__" localSheetId="2" hidden="1">{"fdsup://directions/FAT%20Viewer?VAR:PED=LTM&amp;VAR:PERIOD=FIXED&amp;VAR:V=17.887434&amp;VAR:AUDIT_ID=00000117&amp;VAR:DATE=20000731&amp;action=UPDATE&amp;creator=factset&amp;DOC_NAME=FAT:FMA_audit_SUMMARY.fat&amp;DISPLAY_STRING=Display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4__FDSAUDITLINK__" hidden="1">{"fdsup://directions/FAT%20Viewer?VAR:PED=LTM&amp;VAR:PERIOD=FIXED&amp;VAR:V=17.887434&amp;VAR:AUDIT_ID=00000117&amp;VAR:DATE=20000731&amp;action=UPDATE&amp;creator=factset&amp;DOC_NAME=FAT:FMA_audit_SUMMARY.fat&amp;DISPLAY_STRING=Display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5__FDSAUDITLINK__" localSheetId="8" hidden="1">{"fdsup://directions/FAT%20Viewer?VAR:PED=LTM&amp;VAR:PERIOD=FIXED&amp;VAR:V=17.948121&amp;VAR:AUDIT_ID=00000117&amp;VAR:DATE=20000630&amp;action=UPDATE&amp;creator=factset&amp;DOC_NAME=FAT:FMA_audit_SUMMARY.fat&amp;DISPLAY_STRING=Display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5__FDSAUDITLINK__" localSheetId="2" hidden="1">{"fdsup://directions/FAT%20Viewer?VAR:PED=LTM&amp;VAR:PERIOD=FIXED&amp;VAR:V=17.948121&amp;VAR:AUDIT_ID=00000117&amp;VAR:DATE=20000630&amp;action=UPDATE&amp;creator=factset&amp;DOC_NAME=FAT:FMA_audit_SUMMARY.fat&amp;DISPLAY_STRING=Display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5__FDSAUDITLINK__" hidden="1">{"fdsup://directions/FAT%20Viewer?VAR:PED=LTM&amp;VAR:PERIOD=FIXED&amp;VAR:V=17.948121&amp;VAR:AUDIT_ID=00000117&amp;VAR:DATE=20000630&amp;action=UPDATE&amp;creator=factset&amp;DOC_NAME=FAT:FMA_audit_SUMMARY.fat&amp;DISPLAY_STRING=Display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6__FDSAUDITLINK__" localSheetId="8" hidden="1">{"fdsup://directions/FAT%20Viewer?VAR:PED=LTM&amp;VAR:PERIOD=FIXED&amp;VAR:V=18.020318&amp;VAR:AUDIT_ID=00000117&amp;VAR:DATE=20000531&amp;action=UPDATE&amp;creator=factset&amp;DOC_NAME=FAT:FMA_audit_SUMMARY.fat&amp;DISPLAY_STRING=Display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6__FDSAUDITLINK__" localSheetId="2" hidden="1">{"fdsup://directions/FAT%20Viewer?VAR:PED=LTM&amp;VAR:PERIOD=FIXED&amp;VAR:V=18.020318&amp;VAR:AUDIT_ID=00000117&amp;VAR:DATE=20000531&amp;action=UPDATE&amp;creator=factset&amp;DOC_NAME=FAT:FMA_audit_SUMMARY.fat&amp;DISPLAY_STRING=Display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6__FDSAUDITLINK__" hidden="1">{"fdsup://directions/FAT%20Viewer?VAR:PED=LTM&amp;VAR:PERIOD=FIXED&amp;VAR:V=18.020318&amp;VAR:AUDIT_ID=00000117&amp;VAR:DATE=20000531&amp;action=UPDATE&amp;creator=factset&amp;DOC_NAME=FAT:FMA_audit_SUMMARY.fat&amp;DISPLAY_STRING=Display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7__FDSAUDITLINK__" localSheetId="8" hidden="1">{"fdsup://directions/FAT%20Viewer?VAR:PED=LTM&amp;VAR:PERIOD=FIXED&amp;VAR:V=18.162474&amp;VAR:AUDIT_ID=00000117&amp;VAR:DATE=20000428&amp;action=UPDATE&amp;creator=factset&amp;DOC_NAME=FAT:FMA_audit_SUMMARY.fat&amp;DISPLAY_STRING=Display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7__FDSAUDITLINK__" localSheetId="2" hidden="1">{"fdsup://directions/FAT%20Viewer?VAR:PED=LTM&amp;VAR:PERIOD=FIXED&amp;VAR:V=18.162474&amp;VAR:AUDIT_ID=00000117&amp;VAR:DATE=20000428&amp;action=UPDATE&amp;creator=factset&amp;DOC_NAME=FAT:FMA_audit_SUMMARY.fat&amp;DISPLAY_STRING=Display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7__FDSAUDITLINK__" hidden="1">{"fdsup://directions/FAT%20Viewer?VAR:PED=LTM&amp;VAR:PERIOD=FIXED&amp;VAR:V=18.162474&amp;VAR:AUDIT_ID=00000117&amp;VAR:DATE=20000428&amp;action=UPDATE&amp;creator=factset&amp;DOC_NAME=FAT:FMA_audit_SUMMARY.fat&amp;DISPLAY_STRING=Display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8__FDSAUDITLINK__" localSheetId="8" hidden="1">{"fdsup://directions/FAT%20Viewer?VAR:PED=LTM&amp;VAR:PERIOD=FIXED&amp;VAR:V=18.168992&amp;VAR:AUDIT_ID=00000117&amp;VAR:DATE=20000331&amp;action=UPDATE&amp;creator=factset&amp;DOC_NAME=FAT:FMA_audit_SUMMARY.fat&amp;DISPLAY_STRING=Display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8__FDSAUDITLINK__" localSheetId="2" hidden="1">{"fdsup://directions/FAT%20Viewer?VAR:PED=LTM&amp;VAR:PERIOD=FIXED&amp;VAR:V=18.168992&amp;VAR:AUDIT_ID=00000117&amp;VAR:DATE=20000331&amp;action=UPDATE&amp;creator=factset&amp;DOC_NAME=FAT:FMA_audit_SUMMARY.fat&amp;DISPLAY_STRING=Display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8__FDSAUDITLINK__" hidden="1">{"fdsup://directions/FAT%20Viewer?VAR:PED=LTM&amp;VAR:PERIOD=FIXED&amp;VAR:V=18.168992&amp;VAR:AUDIT_ID=00000117&amp;VAR:DATE=20000331&amp;action=UPDATE&amp;creator=factset&amp;DOC_NAME=FAT:FMA_audit_SUMMARY.fat&amp;DISPLAY_STRING=Display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9__FDSAUDITLINK__" localSheetId="8" hidden="1">{"fdsup://directions/FAT%20Viewer?VAR:PED=LTM&amp;VAR:PERIOD=FIXED&amp;VAR:V=21.311338&amp;VAR:AUDIT_ID=00000117&amp;VAR:DATE=20000229&amp;action=UPDATE&amp;creator=factset&amp;DOC_NAME=FAT:FMA_audit_SUMMARY.fat&amp;DISPLAY_STRING=Display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9__FDSAUDITLINK__" localSheetId="2" hidden="1">{"fdsup://directions/FAT%20Viewer?VAR:PED=LTM&amp;VAR:PERIOD=FIXED&amp;VAR:V=21.311338&amp;VAR:AUDIT_ID=00000117&amp;VAR:DATE=20000229&amp;action=UPDATE&amp;creator=factset&amp;DOC_NAME=FAT:FMA_audit_SUMMARY.fat&amp;DISPLAY_STRING=Display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39__FDSAUDITLINK__" hidden="1">{"fdsup://directions/FAT%20Viewer?VAR:PED=LTM&amp;VAR:PERIOD=FIXED&amp;VAR:V=21.311338&amp;VAR:AUDIT_ID=00000117&amp;VAR:DATE=20000229&amp;action=UPDATE&amp;creator=factset&amp;DOC_NAME=FAT:FMA_audit_SUMMARY.fat&amp;DISPLAY_STRING=Display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__FDSAUDITLINK__" localSheetId="8" hidden="1">{"fdsup://directions/FAT%20Viewer?VAR:PED=LTM&amp;VAR:PERIOD=FIXED&amp;VAR:V=16.978452&amp;VAR:PCT=Y&amp;VAR:AUDIT_ID=00000117&amp;VAR:DATE=20070731&amp;action=UPDATE&amp;creator=factset&amp;DOC_NAME=FAT:FMA_audit_SUMMARY.fat&amp;DISPLAY_STRING=Display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4__FDSAUDITLINK__" localSheetId="2" hidden="1">{"fdsup://directions/FAT%20Viewer?VAR:PED=LTM&amp;VAR:PERIOD=FIXED&amp;VAR:V=16.978452&amp;VAR:PCT=Y&amp;VAR:AUDIT_ID=00000117&amp;VAR:DATE=20070731&amp;action=UPDATE&amp;creator=factset&amp;DOC_NAME=FAT:FMA_audit_SUMMARY.fat&amp;DISPLAY_STRING=Display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4__FDSAUDITLINK__" hidden="1">{"fdsup://directions/FAT%20Viewer?VAR:PED=LTM&amp;VAR:PERIOD=FIXED&amp;VAR:V=16.978452&amp;VAR:PCT=Y&amp;VAR:AUDIT_ID=00000117&amp;VAR:DATE=20070731&amp;action=UPDATE&amp;creator=factset&amp;DOC_NAME=FAT:FMA_audit_SUMMARY.fat&amp;DISPLAY_STRING=Display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40__FDSAUDITLINK__" localSheetId="8" hidden="1">{"fdsup://directions/FAT%20Viewer?VAR:PED=LTM&amp;VAR:PERIOD=FIXED&amp;VAR:V=20.887755&amp;VAR:AUDIT_ID=00000117&amp;VAR:DATE=20000131&amp;action=UPDATE&amp;creator=factset&amp;DOC_NAME=FAT:FMA_audit_SUMMARY.fat&amp;DISPLAY_STRING=Display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0__FDSAUDITLINK__" localSheetId="2" hidden="1">{"fdsup://directions/FAT%20Viewer?VAR:PED=LTM&amp;VAR:PERIOD=FIXED&amp;VAR:V=20.887755&amp;VAR:AUDIT_ID=00000117&amp;VAR:DATE=20000131&amp;action=UPDATE&amp;creator=factset&amp;DOC_NAME=FAT:FMA_audit_SUMMARY.fat&amp;DISPLAY_STRING=Display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0__FDSAUDITLINK__" hidden="1">{"fdsup://directions/FAT%20Viewer?VAR:PED=LTM&amp;VAR:PERIOD=FIXED&amp;VAR:V=20.887755&amp;VAR:AUDIT_ID=00000117&amp;VAR:DATE=20000131&amp;action=UPDATE&amp;creator=factset&amp;DOC_NAME=FAT:FMA_audit_SUMMARY.fat&amp;DISPLAY_STRING=Display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1__FDSAUDITLINK__" localSheetId="8" hidden="1">{"fdsup://directions/FAT%20Viewer?VAR:PED=LTM&amp;VAR:PERIOD=FIXED&amp;VAR:V=20.807412&amp;VAR:AUDIT_ID=00000117&amp;VAR:DATE=19991231&amp;action=UPDATE&amp;creator=factset&amp;DOC_NAME=FAT:FMA_audit_SUMMARY.fat&amp;DISPLAY_STRING=Display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1__FDSAUDITLINK__" localSheetId="2" hidden="1">{"fdsup://directions/FAT%20Viewer?VAR:PED=LTM&amp;VAR:PERIOD=FIXED&amp;VAR:V=20.807412&amp;VAR:AUDIT_ID=00000117&amp;VAR:DATE=19991231&amp;action=UPDATE&amp;creator=factset&amp;DOC_NAME=FAT:FMA_audit_SUMMARY.fat&amp;DISPLAY_STRING=Display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1__FDSAUDITLINK__" hidden="1">{"fdsup://directions/FAT%20Viewer?VAR:PED=LTM&amp;VAR:PERIOD=FIXED&amp;VAR:V=20.807412&amp;VAR:AUDIT_ID=00000117&amp;VAR:DATE=19991231&amp;action=UPDATE&amp;creator=factset&amp;DOC_NAME=FAT:FMA_audit_SUMMARY.fat&amp;DISPLAY_STRING=Display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2__FDSAUDITLINK__" localSheetId="8" hidden="1">{"fdsup://directions/FAT%20Viewer?VAR:PED=LTM&amp;VAR:PERIOD=FIXED&amp;VAR:V=20.751984&amp;VAR:AUDIT_ID=00000117&amp;VAR:DATE=19991130&amp;action=UPDATE&amp;creator=factset&amp;DOC_NAME=FAT:FMA_audit_SUMMARY.fat&amp;DISPLAY_STRING=Display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2__FDSAUDITLINK__" localSheetId="2" hidden="1">{"fdsup://directions/FAT%20Viewer?VAR:PED=LTM&amp;VAR:PERIOD=FIXED&amp;VAR:V=20.751984&amp;VAR:AUDIT_ID=00000117&amp;VAR:DATE=19991130&amp;action=UPDATE&amp;creator=factset&amp;DOC_NAME=FAT:FMA_audit_SUMMARY.fat&amp;DISPLAY_STRING=Display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2__FDSAUDITLINK__" hidden="1">{"fdsup://directions/FAT%20Viewer?VAR:PED=LTM&amp;VAR:PERIOD=FIXED&amp;VAR:V=20.751984&amp;VAR:AUDIT_ID=00000117&amp;VAR:DATE=19991130&amp;action=UPDATE&amp;creator=factset&amp;DOC_NAME=FAT:FMA_audit_SUMMARY.fat&amp;DISPLAY_STRING=Display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3__FDSAUDITLINK__" localSheetId="8" hidden="1">{"fdsup://directions/FAT%20Viewer?VAR:PED=LTM&amp;VAR:PERIOD=FIXED&amp;VAR:V=20.197026&amp;VAR:AUDIT_ID=00000117&amp;VAR:DATE=19991029&amp;action=UPDATE&amp;creator=factset&amp;DOC_NAME=FAT:FMA_audit_SUMMARY.fat&amp;DISPLAY_STRING=Display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3__FDSAUDITLINK__" localSheetId="2" hidden="1">{"fdsup://directions/FAT%20Viewer?VAR:PED=LTM&amp;VAR:PERIOD=FIXED&amp;VAR:V=20.197026&amp;VAR:AUDIT_ID=00000117&amp;VAR:DATE=19991029&amp;action=UPDATE&amp;creator=factset&amp;DOC_NAME=FAT:FMA_audit_SUMMARY.fat&amp;DISPLAY_STRING=Display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3__FDSAUDITLINK__" hidden="1">{"fdsup://directions/FAT%20Viewer?VAR:PED=LTM&amp;VAR:PERIOD=FIXED&amp;VAR:V=20.197026&amp;VAR:AUDIT_ID=00000117&amp;VAR:DATE=19991029&amp;action=UPDATE&amp;creator=factset&amp;DOC_NAME=FAT:FMA_audit_SUMMARY.fat&amp;DISPLAY_STRING=Display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4__FDSAUDITLINK__" localSheetId="8" hidden="1">{"fdsup://directions/FAT%20Viewer?VAR:PED=LTM&amp;VAR:PERIOD=FIXED&amp;VAR:V=20.159075&amp;VAR:AUDIT_ID=00000117&amp;VAR:DATE=19990930&amp;action=UPDATE&amp;creator=factset&amp;DOC_NAME=FAT:FMA_audit_SUMMARY.fat&amp;DISPLAY_STRING=Display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4__FDSAUDITLINK__" localSheetId="2" hidden="1">{"fdsup://directions/FAT%20Viewer?VAR:PED=LTM&amp;VAR:PERIOD=FIXED&amp;VAR:V=20.159075&amp;VAR:AUDIT_ID=00000117&amp;VAR:DATE=19990930&amp;action=UPDATE&amp;creator=factset&amp;DOC_NAME=FAT:FMA_audit_SUMMARY.fat&amp;DISPLAY_STRING=Display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4__FDSAUDITLINK__" hidden="1">{"fdsup://directions/FAT%20Viewer?VAR:PED=LTM&amp;VAR:PERIOD=FIXED&amp;VAR:V=20.159075&amp;VAR:AUDIT_ID=00000117&amp;VAR:DATE=19990930&amp;action=UPDATE&amp;creator=factset&amp;DOC_NAME=FAT:FMA_audit_SUMMARY.fat&amp;DISPLAY_STRING=Display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5__FDSAUDITLINK__" localSheetId="8" hidden="1">{"fdsup://directions/FAT%20Viewer?VAR:PED=LTM&amp;VAR:PERIOD=FIXED&amp;VAR:V=16.827981&amp;VAR:AUDIT_ID=00000117&amp;VAR:DATE=19990831&amp;action=UPDATE&amp;creator=factset&amp;DOC_NAME=FAT:FMA_audit_SUMMARY.fat&amp;DISPLAY_STRING=Display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5__FDSAUDITLINK__" localSheetId="2" hidden="1">{"fdsup://directions/FAT%20Viewer?VAR:PED=LTM&amp;VAR:PERIOD=FIXED&amp;VAR:V=16.827981&amp;VAR:AUDIT_ID=00000117&amp;VAR:DATE=19990831&amp;action=UPDATE&amp;creator=factset&amp;DOC_NAME=FAT:FMA_audit_SUMMARY.fat&amp;DISPLAY_STRING=Display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5__FDSAUDITLINK__" hidden="1">{"fdsup://directions/FAT%20Viewer?VAR:PED=LTM&amp;VAR:PERIOD=FIXED&amp;VAR:V=16.827981&amp;VAR:AUDIT_ID=00000117&amp;VAR:DATE=19990831&amp;action=UPDATE&amp;creator=factset&amp;DOC_NAME=FAT:FMA_audit_SUMMARY.fat&amp;DISPLAY_STRING=Display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6__FDSAUDITLINK__" localSheetId="8" hidden="1">{"fdsup://directions/FAT%20Viewer?VAR:PED=LTM&amp;VAR:PERIOD=FIXED&amp;VAR:V=16.258460&amp;VAR:AUDIT_ID=00000117&amp;VAR:DATE=19990730&amp;action=UPDATE&amp;creator=factset&amp;DOC_NAME=FAT:FMA_audit_SUMMARY.fat&amp;DISPLAY_STRING=Display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6__FDSAUDITLINK__" localSheetId="2" hidden="1">{"fdsup://directions/FAT%20Viewer?VAR:PED=LTM&amp;VAR:PERIOD=FIXED&amp;VAR:V=16.258460&amp;VAR:AUDIT_ID=00000117&amp;VAR:DATE=19990730&amp;action=UPDATE&amp;creator=factset&amp;DOC_NAME=FAT:FMA_audit_SUMMARY.fat&amp;DISPLAY_STRING=Display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6__FDSAUDITLINK__" hidden="1">{"fdsup://directions/FAT%20Viewer?VAR:PED=LTM&amp;VAR:PERIOD=FIXED&amp;VAR:V=16.258460&amp;VAR:AUDIT_ID=00000117&amp;VAR:DATE=19990730&amp;action=UPDATE&amp;creator=factset&amp;DOC_NAME=FAT:FMA_audit_SUMMARY.fat&amp;DISPLAY_STRING=Display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7__FDSAUDITLINK__" localSheetId="8" hidden="1">{"fdsup://directions/FAT%20Viewer?VAR:PED=LTM&amp;VAR:PERIOD=FIXED&amp;VAR:V=16.222559&amp;VAR:AUDIT_ID=00000117&amp;VAR:DATE=19990630&amp;action=UPDATE&amp;creator=factset&amp;DOC_NAME=FAT:FMA_audit_SUMMARY.fat&amp;DISPLAY_STRING=Display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7__FDSAUDITLINK__" localSheetId="2" hidden="1">{"fdsup://directions/FAT%20Viewer?VAR:PED=LTM&amp;VAR:PERIOD=FIXED&amp;VAR:V=16.222559&amp;VAR:AUDIT_ID=00000117&amp;VAR:DATE=19990630&amp;action=UPDATE&amp;creator=factset&amp;DOC_NAME=FAT:FMA_audit_SUMMARY.fat&amp;DISPLAY_STRING=Display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7__FDSAUDITLINK__" hidden="1">{"fdsup://directions/FAT%20Viewer?VAR:PED=LTM&amp;VAR:PERIOD=FIXED&amp;VAR:V=16.222559&amp;VAR:AUDIT_ID=00000117&amp;VAR:DATE=19990630&amp;action=UPDATE&amp;creator=factset&amp;DOC_NAME=FAT:FMA_audit_SUMMARY.fat&amp;DISPLAY_STRING=Display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8__FDSAUDITLINK__" localSheetId="8" hidden="1">{"fdsup://directions/FAT%20Viewer?VAR:PED=LTM&amp;VAR:PERIOD=FIXED&amp;VAR:V=19.520000&amp;VAR:AUDIT_ID=00000117&amp;VAR:DATE=19990531&amp;action=UPDATE&amp;creator=factset&amp;DOC_NAME=FAT:FMA_audit_SUMMARY.fat&amp;DISPLAY_STRING=Display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8__FDSAUDITLINK__" localSheetId="2" hidden="1">{"fdsup://directions/FAT%20Viewer?VAR:PED=LTM&amp;VAR:PERIOD=FIXED&amp;VAR:V=19.520000&amp;VAR:AUDIT_ID=00000117&amp;VAR:DATE=19990531&amp;action=UPDATE&amp;creator=factset&amp;DOC_NAME=FAT:FMA_audit_SUMMARY.fat&amp;DISPLAY_STRING=Display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8__FDSAUDITLINK__" hidden="1">{"fdsup://directions/FAT%20Viewer?VAR:PED=LTM&amp;VAR:PERIOD=FIXED&amp;VAR:V=19.520000&amp;VAR:AUDIT_ID=00000117&amp;VAR:DATE=19990531&amp;action=UPDATE&amp;creator=factset&amp;DOC_NAME=FAT:FMA_audit_SUMMARY.fat&amp;DISPLAY_STRING=Display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9__FDSAUDITLINK__" localSheetId="8" hidden="1">{"fdsup://directions/FAT%20Viewer?VAR:PED=LTM&amp;VAR:PERIOD=FIXED&amp;VAR:V=20.365960&amp;VAR:AUDIT_ID=00000117&amp;VAR:DATE=19990430&amp;action=UPDATE&amp;creator=factset&amp;DOC_NAME=FAT:FMA_audit_SUMMARY.fat&amp;DISPLAY_STRING=Display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9__FDSAUDITLINK__" localSheetId="2" hidden="1">{"fdsup://directions/FAT%20Viewer?VAR:PED=LTM&amp;VAR:PERIOD=FIXED&amp;VAR:V=20.365960&amp;VAR:AUDIT_ID=00000117&amp;VAR:DATE=19990430&amp;action=UPDATE&amp;creator=factset&amp;DOC_NAME=FAT:FMA_audit_SUMMARY.fat&amp;DISPLAY_STRING=Display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49__FDSAUDITLINK__" hidden="1">{"fdsup://directions/FAT%20Viewer?VAR:PED=LTM&amp;VAR:PERIOD=FIXED&amp;VAR:V=20.365960&amp;VAR:AUDIT_ID=00000117&amp;VAR:DATE=19990430&amp;action=UPDATE&amp;creator=factset&amp;DOC_NAME=FAT:FMA_audit_SUMMARY.fat&amp;DISPLAY_STRING=Display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__FDSAUDITLINK__" localSheetId="8" hidden="1">{"fdsup://directions/FAT%20Viewer?VAR:PED=LTM&amp;VAR:PERIOD=FIXED&amp;VAR:V=16.994473&amp;VAR:PCT=Y&amp;VAR:AUDIT_ID=00000117&amp;VAR:DATE=20070629&amp;action=UPDATE&amp;creator=factset&amp;DOC_NAME=FAT:FMA_audit_SUMMARY.fat&amp;DISPLAY_STRING=Display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__FDSAUDITLINK__" localSheetId="2" hidden="1">{"fdsup://directions/FAT%20Viewer?VAR:PED=LTM&amp;VAR:PERIOD=FIXED&amp;VAR:V=16.994473&amp;VAR:PCT=Y&amp;VAR:AUDIT_ID=00000117&amp;VAR:DATE=20070629&amp;action=UPDATE&amp;creator=factset&amp;DOC_NAME=FAT:FMA_audit_SUMMARY.fat&amp;DISPLAY_STRING=Display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__FDSAUDITLINK__" hidden="1">{"fdsup://directions/FAT%20Viewer?VAR:PED=LTM&amp;VAR:PERIOD=FIXED&amp;VAR:V=16.994473&amp;VAR:PCT=Y&amp;VAR:AUDIT_ID=00000117&amp;VAR:DATE=20070629&amp;action=UPDATE&amp;creator=factset&amp;DOC_NAME=FAT:FMA_audit_SUMMARY.fat&amp;DISPLAY_STRING=Display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0__FDSAUDITLINK__" localSheetId="8" hidden="1">{"fdsup://directions/FAT%20Viewer?VAR:PED=LTM&amp;VAR:PERIOD=FIXED&amp;VAR:V=20.389307&amp;VAR:AUDIT_ID=00000117&amp;VAR:DATE=19990331&amp;action=UPDATE&amp;creator=factset&amp;DOC_NAME=FAT:FMA_audit_SUMMARY.fat&amp;DISPLAY_STRING=Display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0__FDSAUDITLINK__" localSheetId="2" hidden="1">{"fdsup://directions/FAT%20Viewer?VAR:PED=LTM&amp;VAR:PERIOD=FIXED&amp;VAR:V=20.389307&amp;VAR:AUDIT_ID=00000117&amp;VAR:DATE=19990331&amp;action=UPDATE&amp;creator=factset&amp;DOC_NAME=FAT:FMA_audit_SUMMARY.fat&amp;DISPLAY_STRING=Display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0__FDSAUDITLINK__" hidden="1">{"fdsup://directions/FAT%20Viewer?VAR:PED=LTM&amp;VAR:PERIOD=FIXED&amp;VAR:V=20.389307&amp;VAR:AUDIT_ID=00000117&amp;VAR:DATE=19990331&amp;action=UPDATE&amp;creator=factset&amp;DOC_NAME=FAT:FMA_audit_SUMMARY.fat&amp;DISPLAY_STRING=Display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1__FDSAUDITLINK__" localSheetId="8" hidden="1">{"fdsup://directions/FAT%20Viewer?VAR:PED=LTM&amp;VAR:PERIOD=FIXED&amp;VAR:V=16.827998&amp;VAR:AUDIT_ID=00000117&amp;VAR:DATE=19990226&amp;action=UPDATE&amp;creator=factset&amp;DOC_NAME=FAT:FMA_audit_SUMMARY.fat&amp;DISPLAY_STRING=Display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1__FDSAUDITLINK__" localSheetId="2" hidden="1">{"fdsup://directions/FAT%20Viewer?VAR:PED=LTM&amp;VAR:PERIOD=FIXED&amp;VAR:V=16.827998&amp;VAR:AUDIT_ID=00000117&amp;VAR:DATE=19990226&amp;action=UPDATE&amp;creator=factset&amp;DOC_NAME=FAT:FMA_audit_SUMMARY.fat&amp;DISPLAY_STRING=Display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1__FDSAUDITLINK__" hidden="1">{"fdsup://directions/FAT%20Viewer?VAR:PED=LTM&amp;VAR:PERIOD=FIXED&amp;VAR:V=16.827998&amp;VAR:AUDIT_ID=00000117&amp;VAR:DATE=19990226&amp;action=UPDATE&amp;creator=factset&amp;DOC_NAME=FAT:FMA_audit_SUMMARY.fat&amp;DISPLAY_STRING=Display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2__FDSAUDITLINK__" localSheetId="8" hidden="1">{"fdsup://directions/FAT%20Viewer?VAR:PED=LTM&amp;VAR:PERIOD=FIXED&amp;VAR:V=17.246817&amp;VAR:AUDIT_ID=00000117&amp;VAR:DATE=19990129&amp;action=UPDATE&amp;creator=factset&amp;DOC_NAME=FAT:FMA_audit_SUMMARY.fat&amp;DISPLAY_STRING=Display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2__FDSAUDITLINK__" localSheetId="2" hidden="1">{"fdsup://directions/FAT%20Viewer?VAR:PED=LTM&amp;VAR:PERIOD=FIXED&amp;VAR:V=17.246817&amp;VAR:AUDIT_ID=00000117&amp;VAR:DATE=19990129&amp;action=UPDATE&amp;creator=factset&amp;DOC_NAME=FAT:FMA_audit_SUMMARY.fat&amp;DISPLAY_STRING=Display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2__FDSAUDITLINK__" hidden="1">{"fdsup://directions/FAT%20Viewer?VAR:PED=LTM&amp;VAR:PERIOD=FIXED&amp;VAR:V=17.246817&amp;VAR:AUDIT_ID=00000117&amp;VAR:DATE=19990129&amp;action=UPDATE&amp;creator=factset&amp;DOC_NAME=FAT:FMA_audit_SUMMARY.fat&amp;DISPLAY_STRING=Display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3__FDSAUDITLINK__" localSheetId="8" hidden="1">{"fdsup://directions/FAT%20Viewer?VAR:PED=LTM&amp;VAR:PERIOD=FIXED&amp;VAR:V=17.270792&amp;VAR:AUDIT_ID=00000117&amp;VAR:DATE=19981231&amp;action=UPDATE&amp;creator=factset&amp;DOC_NAME=FAT:FMA_audit_SUMMARY.fat&amp;DISPLAY_STRING=Display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3__FDSAUDITLINK__" localSheetId="2" hidden="1">{"fdsup://directions/FAT%20Viewer?VAR:PED=LTM&amp;VAR:PERIOD=FIXED&amp;VAR:V=17.270792&amp;VAR:AUDIT_ID=00000117&amp;VAR:DATE=19981231&amp;action=UPDATE&amp;creator=factset&amp;DOC_NAME=FAT:FMA_audit_SUMMARY.fat&amp;DISPLAY_STRING=Display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3__FDSAUDITLINK__" hidden="1">{"fdsup://directions/FAT%20Viewer?VAR:PED=LTM&amp;VAR:PERIOD=FIXED&amp;VAR:V=17.270792&amp;VAR:AUDIT_ID=00000117&amp;VAR:DATE=19981231&amp;action=UPDATE&amp;creator=factset&amp;DOC_NAME=FAT:FMA_audit_SUMMARY.fat&amp;DISPLAY_STRING=Display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Aggregates&amp;VAR:MEASURE=ROE&amp;VAR:CALC_MODE=PORTFOLIO&amp;VAR:CHGPERIOD=NA&amp;VAR:FQLFORMULA=FMA_ROE&amp;VAR:CURRENCY=NA&amp;VAR:P=NA&amp;VAR:THRESH=||||&amp;VAR:null=.html"}</definedName>
    <definedName name="_354__FDSAUDITLINK__" localSheetId="8" hidden="1">{"fdsup://directions/FAT%20Viewer?VAR:PED=LTM&amp;VAR:PERIOD=FIXED&amp;VAR:V=11.804540&amp;VAR:PCT=Y&amp;VAR:AUDIT_ID=00000117&amp;VAR:DATE=20100430&amp;action=UPDATE&amp;creator=factset&amp;DOC_NAME=FAT:FMA_audit_SUMMARY.fat&amp;DISPLAY_STRING=Display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4__FDSAUDITLINK__" localSheetId="2" hidden="1">{"fdsup://directions/FAT%20Viewer?VAR:PED=LTM&amp;VAR:PERIOD=FIXED&amp;VAR:V=11.804540&amp;VAR:PCT=Y&amp;VAR:AUDIT_ID=00000117&amp;VAR:DATE=20100430&amp;action=UPDATE&amp;creator=factset&amp;DOC_NAME=FAT:FMA_audit_SUMMARY.fat&amp;DISPLAY_STRING=Display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4__FDSAUDITLINK__" hidden="1">{"fdsup://directions/FAT%20Viewer?VAR:PED=LTM&amp;VAR:PERIOD=FIXED&amp;VAR:V=11.804540&amp;VAR:PCT=Y&amp;VAR:AUDIT_ID=00000117&amp;VAR:DATE=20100430&amp;action=UPDATE&amp;creator=factset&amp;DOC_NAME=FAT:FMA_audit_SUMMARY.fat&amp;DISPLAY_STRING=Display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5__FDSAUDITLINK__" localSheetId="8" hidden="1">{"fdsup://directions/FAT%20Viewer?VAR:PED=LTM&amp;VAR:PERIOD=FIXED&amp;VAR:V=11.763804&amp;VAR:PCT=Y&amp;VAR:AUDIT_ID=00000117&amp;VAR:DATE=20100331&amp;action=UPDATE&amp;creator=factset&amp;DOC_NAME=FAT:FMA_audit_SUMMARY.fat&amp;DISPLAY_STRING=Display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5__FDSAUDITLINK__" localSheetId="2" hidden="1">{"fdsup://directions/FAT%20Viewer?VAR:PED=LTM&amp;VAR:PERIOD=FIXED&amp;VAR:V=11.763804&amp;VAR:PCT=Y&amp;VAR:AUDIT_ID=00000117&amp;VAR:DATE=20100331&amp;action=UPDATE&amp;creator=factset&amp;DOC_NAME=FAT:FMA_audit_SUMMARY.fat&amp;DISPLAY_STRING=Display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5__FDSAUDITLINK__" hidden="1">{"fdsup://directions/FAT%20Viewer?VAR:PED=LTM&amp;VAR:PERIOD=FIXED&amp;VAR:V=11.763804&amp;VAR:PCT=Y&amp;VAR:AUDIT_ID=00000117&amp;VAR:DATE=20100331&amp;action=UPDATE&amp;creator=factset&amp;DOC_NAME=FAT:FMA_audit_SUMMARY.fat&amp;DISPLAY_STRING=Display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6__FDSAUDITLINK__" localSheetId="8" hidden="1">{"fdsup://directions/FAT%20Viewer?VAR:PED=LTM&amp;VAR:PERIOD=FIXED&amp;VAR:V=11.711569&amp;VAR:PCT=Y&amp;VAR:AUDIT_ID=00000117&amp;VAR:DATE=20100226&amp;action=UPDATE&amp;creator=factset&amp;DOC_NAME=FAT:FMA_audit_SUMMARY.fat&amp;DISPLAY_STRING=Display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6__FDSAUDITLINK__" localSheetId="2" hidden="1">{"fdsup://directions/FAT%20Viewer?VAR:PED=LTM&amp;VAR:PERIOD=FIXED&amp;VAR:V=11.711569&amp;VAR:PCT=Y&amp;VAR:AUDIT_ID=00000117&amp;VAR:DATE=20100226&amp;action=UPDATE&amp;creator=factset&amp;DOC_NAME=FAT:FMA_audit_SUMMARY.fat&amp;DISPLAY_STRING=Display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6__FDSAUDITLINK__" hidden="1">{"fdsup://directions/FAT%20Viewer?VAR:PED=LTM&amp;VAR:PERIOD=FIXED&amp;VAR:V=11.711569&amp;VAR:PCT=Y&amp;VAR:AUDIT_ID=00000117&amp;VAR:DATE=20100226&amp;action=UPDATE&amp;creator=factset&amp;DOC_NAME=FAT:FMA_audit_SUMMARY.fat&amp;DISPLAY_STRING=Display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7__FDSAUDITLINK__" localSheetId="8" hidden="1">{"fdsup://directions/FAT%20Viewer?VAR:PED=LTM&amp;VAR:PERIOD=FIXED&amp;VAR:V=8.973483&amp;VAR:PCT=Y&amp;VAR:AUDIT_ID=00000117&amp;VAR:DATE=20100129&amp;action=UPDATE&amp;creator=factset&amp;DOC_NAME=FAT:FMA_audit_SUMMARY.fat&amp;DISPLAY_STRING=Display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7__FDSAUDITLINK__" localSheetId="2" hidden="1">{"fdsup://directions/FAT%20Viewer?VAR:PED=LTM&amp;VAR:PERIOD=FIXED&amp;VAR:V=8.973483&amp;VAR:PCT=Y&amp;VAR:AUDIT_ID=00000117&amp;VAR:DATE=20100129&amp;action=UPDATE&amp;creator=factset&amp;DOC_NAME=FAT:FMA_audit_SUMMARY.fat&amp;DISPLAY_STRING=Display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7__FDSAUDITLINK__" hidden="1">{"fdsup://directions/FAT%20Viewer?VAR:PED=LTM&amp;VAR:PERIOD=FIXED&amp;VAR:V=8.973483&amp;VAR:PCT=Y&amp;VAR:AUDIT_ID=00000117&amp;VAR:DATE=20100129&amp;action=UPDATE&amp;creator=factset&amp;DOC_NAME=FAT:FMA_audit_SUMMARY.fat&amp;DISPLAY_STRING=Display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8__FDSAUDITLINK__" localSheetId="8" hidden="1">{"fdsup://directions/FAT%20Viewer?VAR:PED=LTM&amp;VAR:PERIOD=FIXED&amp;VAR:V=8.880615&amp;VAR:PCT=Y&amp;VAR:AUDIT_ID=00000117&amp;VAR:DATE=20091231&amp;action=UPDATE&amp;creator=factset&amp;DOC_NAME=FAT:FMA_audit_SUMMARY.fat&amp;DISPLAY_STRING=Display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8__FDSAUDITLINK__" localSheetId="2" hidden="1">{"fdsup://directions/FAT%20Viewer?VAR:PED=LTM&amp;VAR:PERIOD=FIXED&amp;VAR:V=8.880615&amp;VAR:PCT=Y&amp;VAR:AUDIT_ID=00000117&amp;VAR:DATE=20091231&amp;action=UPDATE&amp;creator=factset&amp;DOC_NAME=FAT:FMA_audit_SUMMARY.fat&amp;DISPLAY_STRING=Display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8__FDSAUDITLINK__" hidden="1">{"fdsup://directions/FAT%20Viewer?VAR:PED=LTM&amp;VAR:PERIOD=FIXED&amp;VAR:V=8.880615&amp;VAR:PCT=Y&amp;VAR:AUDIT_ID=00000117&amp;VAR:DATE=20091231&amp;action=UPDATE&amp;creator=factset&amp;DOC_NAME=FAT:FMA_audit_SUMMARY.fat&amp;DISPLAY_STRING=Display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9__FDSAUDITLINK__" localSheetId="8" hidden="1">{"fdsup://directions/FAT%20Viewer?VAR:PED=LTM&amp;VAR:PERIOD=FIXED&amp;VAR:V=9.176790&amp;VAR:PCT=Y&amp;VAR:AUDIT_ID=00000117&amp;VAR:DATE=20091130&amp;action=UPDATE&amp;creator=factset&amp;DOC_NAME=FAT:FMA_audit_SUMMARY.fat&amp;DISPLAY_STRING=Display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9__FDSAUDITLINK__" localSheetId="2" hidden="1">{"fdsup://directions/FAT%20Viewer?VAR:PED=LTM&amp;VAR:PERIOD=FIXED&amp;VAR:V=9.176790&amp;VAR:PCT=Y&amp;VAR:AUDIT_ID=00000117&amp;VAR:DATE=20091130&amp;action=UPDATE&amp;creator=factset&amp;DOC_NAME=FAT:FMA_audit_SUMMARY.fat&amp;DISPLAY_STRING=Display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59__FDSAUDITLINK__" hidden="1">{"fdsup://directions/FAT%20Viewer?VAR:PED=LTM&amp;VAR:PERIOD=FIXED&amp;VAR:V=9.176790&amp;VAR:PCT=Y&amp;VAR:AUDIT_ID=00000117&amp;VAR:DATE=20091130&amp;action=UPDATE&amp;creator=factset&amp;DOC_NAME=FAT:FMA_audit_SUMMARY.fat&amp;DISPLAY_STRING=Display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__FDSAUDITLINK__" localSheetId="8" hidden="1">{"fdsup://directions/FAT%20Viewer?VAR:PED=LTM&amp;VAR:PERIOD=FIXED&amp;VAR:V=16.973704&amp;VAR:PCT=Y&amp;VAR:AUDIT_ID=00000117&amp;VAR:DATE=20070531&amp;action=UPDATE&amp;creator=factset&amp;DOC_NAME=FAT:FMA_audit_SUMMARY.fat&amp;DISPLAY_STRING=Display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__FDSAUDITLINK__" localSheetId="2" hidden="1">{"fdsup://directions/FAT%20Viewer?VAR:PED=LTM&amp;VAR:PERIOD=FIXED&amp;VAR:V=16.973704&amp;VAR:PCT=Y&amp;VAR:AUDIT_ID=00000117&amp;VAR:DATE=20070531&amp;action=UPDATE&amp;creator=factset&amp;DOC_NAME=FAT:FMA_audit_SUMMARY.fat&amp;DISPLAY_STRING=Display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__FDSAUDITLINK__" hidden="1">{"fdsup://directions/FAT%20Viewer?VAR:PED=LTM&amp;VAR:PERIOD=FIXED&amp;VAR:V=16.973704&amp;VAR:PCT=Y&amp;VAR:AUDIT_ID=00000117&amp;VAR:DATE=20070531&amp;action=UPDATE&amp;creator=factset&amp;DOC_NAME=FAT:FMA_audit_SUMMARY.fat&amp;DISPLAY_STRING=Display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_0FAMERangeDJ_BALA">[3]eva!#REF!</definedName>
    <definedName name="_360__FDSAUDITLINK__" localSheetId="8" hidden="1">{"fdsup://directions/FAT%20Viewer?VAR:PED=LTM&amp;VAR:PERIOD=FIXED&amp;VAR:V=8.899970&amp;VAR:PCT=Y&amp;VAR:AUDIT_ID=00000117&amp;VAR:DATE=20091030&amp;action=UPDATE&amp;creator=factset&amp;DOC_NAME=FAT:FMA_audit_SUMMARY.fat&amp;DISPLAY_STRING=Display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0__FDSAUDITLINK__" localSheetId="2" hidden="1">{"fdsup://directions/FAT%20Viewer?VAR:PED=LTM&amp;VAR:PERIOD=FIXED&amp;VAR:V=8.899970&amp;VAR:PCT=Y&amp;VAR:AUDIT_ID=00000117&amp;VAR:DATE=20091030&amp;action=UPDATE&amp;creator=factset&amp;DOC_NAME=FAT:FMA_audit_SUMMARY.fat&amp;DISPLAY_STRING=Display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0__FDSAUDITLINK__" hidden="1">{"fdsup://directions/FAT%20Viewer?VAR:PED=LTM&amp;VAR:PERIOD=FIXED&amp;VAR:V=8.899970&amp;VAR:PCT=Y&amp;VAR:AUDIT_ID=00000117&amp;VAR:DATE=20091030&amp;action=UPDATE&amp;creator=factset&amp;DOC_NAME=FAT:FMA_audit_SUMMARY.fat&amp;DISPLAY_STRING=Display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1__FDSAUDITLINK__" localSheetId="8" hidden="1">{"fdsup://directions/FAT%20Viewer?VAR:PED=LTM&amp;VAR:PERIOD=FIXED&amp;VAR:V=8.958509&amp;VAR:PCT=Y&amp;VAR:AUDIT_ID=00000117&amp;VAR:DATE=20090930&amp;action=UPDATE&amp;creator=factset&amp;DOC_NAME=FAT:FMA_audit_SUMMARY.fat&amp;DISPLAY_STRING=Display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1__FDSAUDITLINK__" localSheetId="2" hidden="1">{"fdsup://directions/FAT%20Viewer?VAR:PED=LTM&amp;VAR:PERIOD=FIXED&amp;VAR:V=8.958509&amp;VAR:PCT=Y&amp;VAR:AUDIT_ID=00000117&amp;VAR:DATE=20090930&amp;action=UPDATE&amp;creator=factset&amp;DOC_NAME=FAT:FMA_audit_SUMMARY.fat&amp;DISPLAY_STRING=Display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1__FDSAUDITLINK__" hidden="1">{"fdsup://directions/FAT%20Viewer?VAR:PED=LTM&amp;VAR:PERIOD=FIXED&amp;VAR:V=8.958509&amp;VAR:PCT=Y&amp;VAR:AUDIT_ID=00000117&amp;VAR:DATE=20090930&amp;action=UPDATE&amp;creator=factset&amp;DOC_NAME=FAT:FMA_audit_SUMMARY.fat&amp;DISPLAY_STRING=Display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2__FDSAUDITLINK__" localSheetId="8" hidden="1">{"fdsup://directions/FAT%20Viewer?VAR:PED=LTM&amp;VAR:PERIOD=FIXED&amp;VAR:V=9.179790&amp;VAR:PCT=Y&amp;VAR:AUDIT_ID=00000117&amp;VAR:DATE=20090831&amp;action=UPDATE&amp;creator=factset&amp;DOC_NAME=FAT:FMA_audit_SUMMARY.fat&amp;DISPLAY_STRING=Display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2__FDSAUDITLINK__" localSheetId="2" hidden="1">{"fdsup://directions/FAT%20Viewer?VAR:PED=LTM&amp;VAR:PERIOD=FIXED&amp;VAR:V=9.179790&amp;VAR:PCT=Y&amp;VAR:AUDIT_ID=00000117&amp;VAR:DATE=20090831&amp;action=UPDATE&amp;creator=factset&amp;DOC_NAME=FAT:FMA_audit_SUMMARY.fat&amp;DISPLAY_STRING=Display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2__FDSAUDITLINK__" hidden="1">{"fdsup://directions/FAT%20Viewer?VAR:PED=LTM&amp;VAR:PERIOD=FIXED&amp;VAR:V=9.179790&amp;VAR:PCT=Y&amp;VAR:AUDIT_ID=00000117&amp;VAR:DATE=20090831&amp;action=UPDATE&amp;creator=factset&amp;DOC_NAME=FAT:FMA_audit_SUMMARY.fat&amp;DISPLAY_STRING=Display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3__FDSAUDITLINK__" localSheetId="8" hidden="1">{"fdsup://directions/FAT%20Viewer?VAR:PED=LTM&amp;VAR:PERIOD=FIXED&amp;VAR:V=10.380803&amp;VAR:PCT=Y&amp;VAR:AUDIT_ID=00000117&amp;VAR:DATE=20090731&amp;action=UPDATE&amp;creator=factset&amp;DOC_NAME=FAT:FMA_audit_SUMMARY.fat&amp;DISPLAY_STRING=Display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3__FDSAUDITLINK__" localSheetId="2" hidden="1">{"fdsup://directions/FAT%20Viewer?VAR:PED=LTM&amp;VAR:PERIOD=FIXED&amp;VAR:V=10.380803&amp;VAR:PCT=Y&amp;VAR:AUDIT_ID=00000117&amp;VAR:DATE=20090731&amp;action=UPDATE&amp;creator=factset&amp;DOC_NAME=FAT:FMA_audit_SUMMARY.fat&amp;DISPLAY_STRING=Display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3__FDSAUDITLINK__" hidden="1">{"fdsup://directions/FAT%20Viewer?VAR:PED=LTM&amp;VAR:PERIOD=FIXED&amp;VAR:V=10.380803&amp;VAR:PCT=Y&amp;VAR:AUDIT_ID=00000117&amp;VAR:DATE=20090731&amp;action=UPDATE&amp;creator=factset&amp;DOC_NAME=FAT:FMA_audit_SUMMARY.fat&amp;DISPLAY_STRING=Display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4__FDSAUDITLINK__" localSheetId="8" hidden="1">{"fdsup://directions/FAT%20Viewer?VAR:PED=LTM&amp;VAR:PERIOD=FIXED&amp;VAR:V=10.453848&amp;VAR:PCT=Y&amp;VAR:AUDIT_ID=00000117&amp;VAR:DATE=20090630&amp;action=UPDATE&amp;creator=factset&amp;DOC_NAME=FAT:FMA_audit_SUMMARY.fat&amp;DISPLAY_STRING=Display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4__FDSAUDITLINK__" localSheetId="2" hidden="1">{"fdsup://directions/FAT%20Viewer?VAR:PED=LTM&amp;VAR:PERIOD=FIXED&amp;VAR:V=10.453848&amp;VAR:PCT=Y&amp;VAR:AUDIT_ID=00000117&amp;VAR:DATE=20090630&amp;action=UPDATE&amp;creator=factset&amp;DOC_NAME=FAT:FMA_audit_SUMMARY.fat&amp;DISPLAY_STRING=Display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4__FDSAUDITLINK__" hidden="1">{"fdsup://directions/FAT%20Viewer?VAR:PED=LTM&amp;VAR:PERIOD=FIXED&amp;VAR:V=10.453848&amp;VAR:PCT=Y&amp;VAR:AUDIT_ID=00000117&amp;VAR:DATE=20090630&amp;action=UPDATE&amp;creator=factset&amp;DOC_NAME=FAT:FMA_audit_SUMMARY.fat&amp;DISPLAY_STRING=Display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5__FDSAUDITLINK__" localSheetId="8" hidden="1">{"fdsup://directions/FAT%20Viewer?VAR:PED=LTM&amp;VAR:PERIOD=FIXED&amp;VAR:V=10.156778&amp;VAR:PCT=Y&amp;VAR:AUDIT_ID=00000117&amp;VAR:DATE=20090529&amp;action=UPDATE&amp;creator=factset&amp;DOC_NAME=FAT:FMA_audit_SUMMARY.fat&amp;DISPLAY_STRING=Display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5__FDSAUDITLINK__" localSheetId="2" hidden="1">{"fdsup://directions/FAT%20Viewer?VAR:PED=LTM&amp;VAR:PERIOD=FIXED&amp;VAR:V=10.156778&amp;VAR:PCT=Y&amp;VAR:AUDIT_ID=00000117&amp;VAR:DATE=20090529&amp;action=UPDATE&amp;creator=factset&amp;DOC_NAME=FAT:FMA_audit_SUMMARY.fat&amp;DISPLAY_STRING=Display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5__FDSAUDITLINK__" hidden="1">{"fdsup://directions/FAT%20Viewer?VAR:PED=LTM&amp;VAR:PERIOD=FIXED&amp;VAR:V=10.156778&amp;VAR:PCT=Y&amp;VAR:AUDIT_ID=00000117&amp;VAR:DATE=20090529&amp;action=UPDATE&amp;creator=factset&amp;DOC_NAME=FAT:FMA_audit_SUMMARY.fat&amp;DISPLAY_STRING=Display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6__FDSAUDITLINK__" localSheetId="8" hidden="1">{"fdsup://directions/FAT%20Viewer?VAR:PED=LTM&amp;VAR:PERIOD=FIXED&amp;VAR:V=12.298170&amp;VAR:PCT=Y&amp;VAR:AUDIT_ID=00000117&amp;VAR:DATE=20090430&amp;action=UPDATE&amp;creator=factset&amp;DOC_NAME=FAT:FMA_audit_SUMMARY.fat&amp;DISPLAY_STRING=Display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6__FDSAUDITLINK__" localSheetId="2" hidden="1">{"fdsup://directions/FAT%20Viewer?VAR:PED=LTM&amp;VAR:PERIOD=FIXED&amp;VAR:V=12.298170&amp;VAR:PCT=Y&amp;VAR:AUDIT_ID=00000117&amp;VAR:DATE=20090430&amp;action=UPDATE&amp;creator=factset&amp;DOC_NAME=FAT:FMA_audit_SUMMARY.fat&amp;DISPLAY_STRING=Display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6__FDSAUDITLINK__" hidden="1">{"fdsup://directions/FAT%20Viewer?VAR:PED=LTM&amp;VAR:PERIOD=FIXED&amp;VAR:V=12.298170&amp;VAR:PCT=Y&amp;VAR:AUDIT_ID=00000117&amp;VAR:DATE=20090430&amp;action=UPDATE&amp;creator=factset&amp;DOC_NAME=FAT:FMA_audit_SUMMARY.fat&amp;DISPLAY_STRING=Display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7__FDSAUDITLINK__" localSheetId="8" hidden="1">{"fdsup://directions/FAT%20Viewer?VAR:PED=LTM&amp;VAR:PERIOD=FIXED&amp;VAR:V=12.319827&amp;VAR:PCT=Y&amp;VAR:AUDIT_ID=00000117&amp;VAR:DATE=20090331&amp;action=UPDATE&amp;creator=factset&amp;DOC_NAME=FAT:FMA_audit_SUMMARY.fat&amp;DISPLAY_STRING=Display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7__FDSAUDITLINK__" localSheetId="2" hidden="1">{"fdsup://directions/FAT%20Viewer?VAR:PED=LTM&amp;VAR:PERIOD=FIXED&amp;VAR:V=12.319827&amp;VAR:PCT=Y&amp;VAR:AUDIT_ID=00000117&amp;VAR:DATE=20090331&amp;action=UPDATE&amp;creator=factset&amp;DOC_NAME=FAT:FMA_audit_SUMMARY.fat&amp;DISPLAY_STRING=Display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7__FDSAUDITLINK__" hidden="1">{"fdsup://directions/FAT%20Viewer?VAR:PED=LTM&amp;VAR:PERIOD=FIXED&amp;VAR:V=12.319827&amp;VAR:PCT=Y&amp;VAR:AUDIT_ID=00000117&amp;VAR:DATE=20090331&amp;action=UPDATE&amp;creator=factset&amp;DOC_NAME=FAT:FMA_audit_SUMMARY.fat&amp;DISPLAY_STRING=Display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8__FDSAUDITLINK__" localSheetId="8" hidden="1">{"fdsup://directions/FAT%20Viewer?VAR:PED=LTM&amp;VAR:PERIOD=FIXED&amp;VAR:V=12.401987&amp;VAR:PCT=Y&amp;VAR:AUDIT_ID=00000117&amp;VAR:DATE=20090227&amp;action=UPDATE&amp;creator=factset&amp;DOC_NAME=FAT:FMA_audit_SUMMARY.fat&amp;DISPLAY_STRING=Display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8__FDSAUDITLINK__" localSheetId="2" hidden="1">{"fdsup://directions/FAT%20Viewer?VAR:PED=LTM&amp;VAR:PERIOD=FIXED&amp;VAR:V=12.401987&amp;VAR:PCT=Y&amp;VAR:AUDIT_ID=00000117&amp;VAR:DATE=20090227&amp;action=UPDATE&amp;creator=factset&amp;DOC_NAME=FAT:FMA_audit_SUMMARY.fat&amp;DISPLAY_STRING=Display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8__FDSAUDITLINK__" hidden="1">{"fdsup://directions/FAT%20Viewer?VAR:PED=LTM&amp;VAR:PERIOD=FIXED&amp;VAR:V=12.401987&amp;VAR:PCT=Y&amp;VAR:AUDIT_ID=00000117&amp;VAR:DATE=20090227&amp;action=UPDATE&amp;creator=factset&amp;DOC_NAME=FAT:FMA_audit_SUMMARY.fat&amp;DISPLAY_STRING=Display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9__FDSAUDITLINK__" localSheetId="8" hidden="1">{"fdsup://directions/FAT%20Viewer?VAR:PED=LTM&amp;VAR:PERIOD=FIXED&amp;VAR:V=14.050403&amp;VAR:PCT=Y&amp;VAR:AUDIT_ID=00000117&amp;VAR:DATE=20090130&amp;action=UPDATE&amp;creator=factset&amp;DOC_NAME=FAT:FMA_audit_SUMMARY.fat&amp;DISPLAY_STRING=Display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9__FDSAUDITLINK__" localSheetId="2" hidden="1">{"fdsup://directions/FAT%20Viewer?VAR:PED=LTM&amp;VAR:PERIOD=FIXED&amp;VAR:V=14.050403&amp;VAR:PCT=Y&amp;VAR:AUDIT_ID=00000117&amp;VAR:DATE=20090130&amp;action=UPDATE&amp;creator=factset&amp;DOC_NAME=FAT:FMA_audit_SUMMARY.fat&amp;DISPLAY_STRING=Display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69__FDSAUDITLINK__" hidden="1">{"fdsup://directions/FAT%20Viewer?VAR:PED=LTM&amp;VAR:PERIOD=FIXED&amp;VAR:V=14.050403&amp;VAR:PCT=Y&amp;VAR:AUDIT_ID=00000117&amp;VAR:DATE=20090130&amp;action=UPDATE&amp;creator=factset&amp;DOC_NAME=FAT:FMA_audit_SUMMARY.fat&amp;DISPLAY_STRING=Display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__FDSAUDITLINK__" localSheetId="8" hidden="1">{"fdsup://directions/FAT%20Viewer?VAR:PED=LTM&amp;VAR:PERIOD=FIXED&amp;VAR:V=17.296974&amp;VAR:PCT=Y&amp;VAR:AUDIT_ID=00000117&amp;VAR:DATE=20070430&amp;action=UPDATE&amp;creator=factset&amp;DOC_NAME=FAT:FMA_audit_SUMMARY.fat&amp;DISPLAY_STRING=Display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__FDSAUDITLINK__" localSheetId="2" hidden="1">{"fdsup://directions/FAT%20Viewer?VAR:PED=LTM&amp;VAR:PERIOD=FIXED&amp;VAR:V=17.296974&amp;VAR:PCT=Y&amp;VAR:AUDIT_ID=00000117&amp;VAR:DATE=20070430&amp;action=UPDATE&amp;creator=factset&amp;DOC_NAME=FAT:FMA_audit_SUMMARY.fat&amp;DISPLAY_STRING=Display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__FDSAUDITLINK__" hidden="1">{"fdsup://directions/FAT%20Viewer?VAR:PED=LTM&amp;VAR:PERIOD=FIXED&amp;VAR:V=17.296974&amp;VAR:PCT=Y&amp;VAR:AUDIT_ID=00000117&amp;VAR:DATE=20070430&amp;action=UPDATE&amp;creator=factset&amp;DOC_NAME=FAT:FMA_audit_SUMMARY.fat&amp;DISPLAY_STRING=Display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0__FDSAUDITLINK__" localSheetId="8" hidden="1">{"fdsup://directions/FAT%20Viewer?VAR:PED=LTM&amp;VAR:PERIOD=FIXED&amp;VAR:V=13.359033&amp;VAR:PCT=Y&amp;VAR:AUDIT_ID=00000117&amp;VAR:DATE=20081231&amp;action=UPDATE&amp;creator=factset&amp;DOC_NAME=FAT:FMA_audit_SUMMARY.fat&amp;DISPLAY_STRING=Display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0__FDSAUDITLINK__" localSheetId="2" hidden="1">{"fdsup://directions/FAT%20Viewer?VAR:PED=LTM&amp;VAR:PERIOD=FIXED&amp;VAR:V=13.359033&amp;VAR:PCT=Y&amp;VAR:AUDIT_ID=00000117&amp;VAR:DATE=20081231&amp;action=UPDATE&amp;creator=factset&amp;DOC_NAME=FAT:FMA_audit_SUMMARY.fat&amp;DISPLAY_STRING=Display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0__FDSAUDITLINK__" hidden="1">{"fdsup://directions/FAT%20Viewer?VAR:PED=LTM&amp;VAR:PERIOD=FIXED&amp;VAR:V=13.359033&amp;VAR:PCT=Y&amp;VAR:AUDIT_ID=00000117&amp;VAR:DATE=20081231&amp;action=UPDATE&amp;creator=factset&amp;DOC_NAME=FAT:FMA_audit_SUMMARY.fat&amp;DISPLAY_STRING=Display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1__FDSAUDITLINK__" localSheetId="8" hidden="1">{"fdsup://directions/FAT%20Viewer?VAR:PED=LTM&amp;VAR:PERIOD=FIXED&amp;VAR:V=13.442463&amp;VAR:PCT=Y&amp;VAR:AUDIT_ID=00000117&amp;VAR:DATE=20081128&amp;action=UPDATE&amp;creator=factset&amp;DOC_NAME=FAT:FMA_audit_SUMMARY.fat&amp;DISPLAY_STRING=Display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1__FDSAUDITLINK__" localSheetId="2" hidden="1">{"fdsup://directions/FAT%20Viewer?VAR:PED=LTM&amp;VAR:PERIOD=FIXED&amp;VAR:V=13.442463&amp;VAR:PCT=Y&amp;VAR:AUDIT_ID=00000117&amp;VAR:DATE=20081128&amp;action=UPDATE&amp;creator=factset&amp;DOC_NAME=FAT:FMA_audit_SUMMARY.fat&amp;DISPLAY_STRING=Display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1__FDSAUDITLINK__" hidden="1">{"fdsup://directions/FAT%20Viewer?VAR:PED=LTM&amp;VAR:PERIOD=FIXED&amp;VAR:V=13.442463&amp;VAR:PCT=Y&amp;VAR:AUDIT_ID=00000117&amp;VAR:DATE=20081128&amp;action=UPDATE&amp;creator=factset&amp;DOC_NAME=FAT:FMA_audit_SUMMARY.fat&amp;DISPLAY_STRING=Display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2__FDSAUDITLINK__" localSheetId="8" hidden="1">{"fdsup://directions/FAT%20Viewer?VAR:PED=LTM&amp;VAR:PERIOD=FIXED&amp;VAR:V=13.176884&amp;VAR:PCT=Y&amp;VAR:AUDIT_ID=00000117&amp;VAR:DATE=20081031&amp;action=UPDATE&amp;creator=factset&amp;DOC_NAME=FAT:FMA_audit_SUMMARY.fat&amp;DISPLAY_STRING=Display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2__FDSAUDITLINK__" localSheetId="2" hidden="1">{"fdsup://directions/FAT%20Viewer?VAR:PED=LTM&amp;VAR:PERIOD=FIXED&amp;VAR:V=13.176884&amp;VAR:PCT=Y&amp;VAR:AUDIT_ID=00000117&amp;VAR:DATE=20081031&amp;action=UPDATE&amp;creator=factset&amp;DOC_NAME=FAT:FMA_audit_SUMMARY.fat&amp;DISPLAY_STRING=Display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2__FDSAUDITLINK__" hidden="1">{"fdsup://directions/FAT%20Viewer?VAR:PED=LTM&amp;VAR:PERIOD=FIXED&amp;VAR:V=13.176884&amp;VAR:PCT=Y&amp;VAR:AUDIT_ID=00000117&amp;VAR:DATE=20081031&amp;action=UPDATE&amp;creator=factset&amp;DOC_NAME=FAT:FMA_audit_SUMMARY.fat&amp;DISPLAY_STRING=Display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3__FDSAUDITLINK__" localSheetId="8" hidden="1">{"fdsup://directions/FAT%20Viewer?VAR:PED=LTM&amp;VAR:PERIOD=FIXED&amp;VAR:V=13.344003&amp;VAR:PCT=Y&amp;VAR:AUDIT_ID=00000117&amp;VAR:DATE=20080930&amp;action=UPDATE&amp;creator=factset&amp;DOC_NAME=FAT:FMA_audit_SUMMARY.fat&amp;DISPLAY_STRING=Display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3__FDSAUDITLINK__" localSheetId="2" hidden="1">{"fdsup://directions/FAT%20Viewer?VAR:PED=LTM&amp;VAR:PERIOD=FIXED&amp;VAR:V=13.344003&amp;VAR:PCT=Y&amp;VAR:AUDIT_ID=00000117&amp;VAR:DATE=20080930&amp;action=UPDATE&amp;creator=factset&amp;DOC_NAME=FAT:FMA_audit_SUMMARY.fat&amp;DISPLAY_STRING=Display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3__FDSAUDITLINK__" hidden="1">{"fdsup://directions/FAT%20Viewer?VAR:PED=LTM&amp;VAR:PERIOD=FIXED&amp;VAR:V=13.344003&amp;VAR:PCT=Y&amp;VAR:AUDIT_ID=00000117&amp;VAR:DATE=20080930&amp;action=UPDATE&amp;creator=factset&amp;DOC_NAME=FAT:FMA_audit_SUMMARY.fat&amp;DISPLAY_STRING=Display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4__FDSAUDITLINK__" localSheetId="8" hidden="1">{"fdsup://directions/FAT%20Viewer?VAR:PED=LTM&amp;VAR:PERIOD=FIXED&amp;VAR:V=12.720907&amp;VAR:PCT=Y&amp;VAR:AUDIT_ID=00000117&amp;VAR:DATE=20080829&amp;action=UPDATE&amp;creator=factset&amp;DOC_NAME=FAT:FMA_audit_SUMMARY.fat&amp;DISPLAY_STRING=Display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4__FDSAUDITLINK__" localSheetId="2" hidden="1">{"fdsup://directions/FAT%20Viewer?VAR:PED=LTM&amp;VAR:PERIOD=FIXED&amp;VAR:V=12.720907&amp;VAR:PCT=Y&amp;VAR:AUDIT_ID=00000117&amp;VAR:DATE=20080829&amp;action=UPDATE&amp;creator=factset&amp;DOC_NAME=FAT:FMA_audit_SUMMARY.fat&amp;DISPLAY_STRING=Display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4__FDSAUDITLINK__" hidden="1">{"fdsup://directions/FAT%20Viewer?VAR:PED=LTM&amp;VAR:PERIOD=FIXED&amp;VAR:V=12.720907&amp;VAR:PCT=Y&amp;VAR:AUDIT_ID=00000117&amp;VAR:DATE=20080829&amp;action=UPDATE&amp;creator=factset&amp;DOC_NAME=FAT:FMA_audit_SUMMARY.fat&amp;DISPLAY_STRING=Display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5__FDSAUDITLINK__" localSheetId="8" hidden="1">{"fdsup://directions/FAT%20Viewer?VAR:PED=LTM&amp;VAR:PERIOD=FIXED&amp;VAR:V=14.127105&amp;VAR:PCT=Y&amp;VAR:AUDIT_ID=00000117&amp;VAR:DATE=20080731&amp;action=UPDATE&amp;creator=factset&amp;DOC_NAME=FAT:FMA_audit_SUMMARY.fat&amp;DISPLAY_STRING=Display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5__FDSAUDITLINK__" localSheetId="2" hidden="1">{"fdsup://directions/FAT%20Viewer?VAR:PED=LTM&amp;VAR:PERIOD=FIXED&amp;VAR:V=14.127105&amp;VAR:PCT=Y&amp;VAR:AUDIT_ID=00000117&amp;VAR:DATE=20080731&amp;action=UPDATE&amp;creator=factset&amp;DOC_NAME=FAT:FMA_audit_SUMMARY.fat&amp;DISPLAY_STRING=Display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5__FDSAUDITLINK__" hidden="1">{"fdsup://directions/FAT%20Viewer?VAR:PED=LTM&amp;VAR:PERIOD=FIXED&amp;VAR:V=14.127105&amp;VAR:PCT=Y&amp;VAR:AUDIT_ID=00000117&amp;VAR:DATE=20080731&amp;action=UPDATE&amp;creator=factset&amp;DOC_NAME=FAT:FMA_audit_SUMMARY.fat&amp;DISPLAY_STRING=Display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6__FDSAUDITLINK__" localSheetId="8" hidden="1">{"fdsup://directions/FAT%20Viewer?VAR:PED=LTM&amp;VAR:PERIOD=FIXED&amp;VAR:V=14.287098&amp;VAR:PCT=Y&amp;VAR:AUDIT_ID=00000117&amp;VAR:DATE=20080630&amp;action=UPDATE&amp;creator=factset&amp;DOC_NAME=FAT:FMA_audit_SUMMARY.fat&amp;DISPLAY_STRING=Display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6__FDSAUDITLINK__" localSheetId="2" hidden="1">{"fdsup://directions/FAT%20Viewer?VAR:PED=LTM&amp;VAR:PERIOD=FIXED&amp;VAR:V=14.287098&amp;VAR:PCT=Y&amp;VAR:AUDIT_ID=00000117&amp;VAR:DATE=20080630&amp;action=UPDATE&amp;creator=factset&amp;DOC_NAME=FAT:FMA_audit_SUMMARY.fat&amp;DISPLAY_STRING=Display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6__FDSAUDITLINK__" hidden="1">{"fdsup://directions/FAT%20Viewer?VAR:PED=LTM&amp;VAR:PERIOD=FIXED&amp;VAR:V=14.287098&amp;VAR:PCT=Y&amp;VAR:AUDIT_ID=00000117&amp;VAR:DATE=20080630&amp;action=UPDATE&amp;creator=factset&amp;DOC_NAME=FAT:FMA_audit_SUMMARY.fat&amp;DISPLAY_STRING=Display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7__FDSAUDITLINK__" localSheetId="8" hidden="1">{"fdsup://directions/FAT%20Viewer?VAR:PED=LTM&amp;VAR:PERIOD=FIXED&amp;VAR:V=13.969414&amp;VAR:PCT=Y&amp;VAR:AUDIT_ID=00000117&amp;VAR:DATE=20080530&amp;action=UPDATE&amp;creator=factset&amp;DOC_NAME=FAT:FMA_audit_SUMMARY.fat&amp;DISPLAY_STRING=Display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7__FDSAUDITLINK__" localSheetId="2" hidden="1">{"fdsup://directions/FAT%20Viewer?VAR:PED=LTM&amp;VAR:PERIOD=FIXED&amp;VAR:V=13.969414&amp;VAR:PCT=Y&amp;VAR:AUDIT_ID=00000117&amp;VAR:DATE=20080530&amp;action=UPDATE&amp;creator=factset&amp;DOC_NAME=FAT:FMA_audit_SUMMARY.fat&amp;DISPLAY_STRING=Display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7__FDSAUDITLINK__" hidden="1">{"fdsup://directions/FAT%20Viewer?VAR:PED=LTM&amp;VAR:PERIOD=FIXED&amp;VAR:V=13.969414&amp;VAR:PCT=Y&amp;VAR:AUDIT_ID=00000117&amp;VAR:DATE=20080530&amp;action=UPDATE&amp;creator=factset&amp;DOC_NAME=FAT:FMA_audit_SUMMARY.fat&amp;DISPLAY_STRING=Display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8__FDSAUDITLINK__" localSheetId="8" hidden="1">{"fdsup://directions/FAT%20Viewer?VAR:PED=LTM&amp;VAR:PERIOD=FIXED&amp;VAR:V=13.629757&amp;VAR:PCT=Y&amp;VAR:AUDIT_ID=00000117&amp;VAR:DATE=20080430&amp;action=UPDATE&amp;creator=factset&amp;DOC_NAME=FAT:FMA_audit_SUMMARY.fat&amp;DISPLAY_STRING=Display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8__FDSAUDITLINK__" localSheetId="2" hidden="1">{"fdsup://directions/FAT%20Viewer?VAR:PED=LTM&amp;VAR:PERIOD=FIXED&amp;VAR:V=13.629757&amp;VAR:PCT=Y&amp;VAR:AUDIT_ID=00000117&amp;VAR:DATE=20080430&amp;action=UPDATE&amp;creator=factset&amp;DOC_NAME=FAT:FMA_audit_SUMMARY.fat&amp;DISPLAY_STRING=Display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8__FDSAUDITLINK__" hidden="1">{"fdsup://directions/FAT%20Viewer?VAR:PED=LTM&amp;VAR:PERIOD=FIXED&amp;VAR:V=13.629757&amp;VAR:PCT=Y&amp;VAR:AUDIT_ID=00000117&amp;VAR:DATE=20080430&amp;action=UPDATE&amp;creator=factset&amp;DOC_NAME=FAT:FMA_audit_SUMMARY.fat&amp;DISPLAY_STRING=Display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9__FDSAUDITLINK__" localSheetId="8" hidden="1">{"fdsup://directions/FAT%20Viewer?VAR:PED=LTM&amp;VAR:PERIOD=FIXED&amp;VAR:V=13.701819&amp;VAR:PCT=Y&amp;VAR:AUDIT_ID=00000117&amp;VAR:DATE=20080331&amp;action=UPDATE&amp;creator=factset&amp;DOC_NAME=FAT:FMA_audit_SUMMARY.fat&amp;DISPLAY_STRING=Display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9__FDSAUDITLINK__" localSheetId="2" hidden="1">{"fdsup://directions/FAT%20Viewer?VAR:PED=LTM&amp;VAR:PERIOD=FIXED&amp;VAR:V=13.701819&amp;VAR:PCT=Y&amp;VAR:AUDIT_ID=00000117&amp;VAR:DATE=20080331&amp;action=UPDATE&amp;creator=factset&amp;DOC_NAME=FAT:FMA_audit_SUMMARY.fat&amp;DISPLAY_STRING=Display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79__FDSAUDITLINK__" hidden="1">{"fdsup://directions/FAT%20Viewer?VAR:PED=LTM&amp;VAR:PERIOD=FIXED&amp;VAR:V=13.701819&amp;VAR:PCT=Y&amp;VAR:AUDIT_ID=00000117&amp;VAR:DATE=20080331&amp;action=UPDATE&amp;creator=factset&amp;DOC_NAME=FAT:FMA_audit_SUMMARY.fat&amp;DISPLAY_STRING=Display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__FDSAUDITLINK__" localSheetId="8" hidden="1">{"fdsup://directions/FAT%20Viewer?VAR:PED=LTM&amp;VAR:PERIOD=FIXED&amp;VAR:V=17.305759&amp;VAR:PCT=Y&amp;VAR:AUDIT_ID=00000117&amp;VAR:DATE=20070330&amp;action=UPDATE&amp;creator=factset&amp;DOC_NAME=FAT:FMA_audit_SUMMARY.fat&amp;DISPLAY_STRING=Display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__FDSAUDITLINK__" localSheetId="2" hidden="1">{"fdsup://directions/FAT%20Viewer?VAR:PED=LTM&amp;VAR:PERIOD=FIXED&amp;VAR:V=17.305759&amp;VAR:PCT=Y&amp;VAR:AUDIT_ID=00000117&amp;VAR:DATE=20070330&amp;action=UPDATE&amp;creator=factset&amp;DOC_NAME=FAT:FMA_audit_SUMMARY.fat&amp;DISPLAY_STRING=Display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__FDSAUDITLINK__" hidden="1">{"fdsup://directions/FAT%20Viewer?VAR:PED=LTM&amp;VAR:PERIOD=FIXED&amp;VAR:V=17.305759&amp;VAR:PCT=Y&amp;VAR:AUDIT_ID=00000117&amp;VAR:DATE=20070330&amp;action=UPDATE&amp;creator=factset&amp;DOC_NAME=FAT:FMA_audit_SUMMARY.fat&amp;DISPLAY_STRING=Display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0__FDSAUDITLINK__" localSheetId="8" hidden="1">{"fdsup://directions/FAT%20Viewer?VAR:PED=LTM&amp;VAR:PERIOD=FIXED&amp;VAR:V=13.886447&amp;VAR:PCT=Y&amp;VAR:AUDIT_ID=00000117&amp;VAR:DATE=20080229&amp;action=UPDATE&amp;creator=factset&amp;DOC_NAME=FAT:FMA_audit_SUMMARY.fat&amp;DISPLAY_STRING=Display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0__FDSAUDITLINK__" localSheetId="2" hidden="1">{"fdsup://directions/FAT%20Viewer?VAR:PED=LTM&amp;VAR:PERIOD=FIXED&amp;VAR:V=13.886447&amp;VAR:PCT=Y&amp;VAR:AUDIT_ID=00000117&amp;VAR:DATE=20080229&amp;action=UPDATE&amp;creator=factset&amp;DOC_NAME=FAT:FMA_audit_SUMMARY.fat&amp;DISPLAY_STRING=Display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0__FDSAUDITLINK__" hidden="1">{"fdsup://directions/FAT%20Viewer?VAR:PED=LTM&amp;VAR:PERIOD=FIXED&amp;VAR:V=13.886447&amp;VAR:PCT=Y&amp;VAR:AUDIT_ID=00000117&amp;VAR:DATE=20080229&amp;action=UPDATE&amp;creator=factset&amp;DOC_NAME=FAT:FMA_audit_SUMMARY.fat&amp;DISPLAY_STRING=Display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1__FDSAUDITLINK__" localSheetId="8" hidden="1">{"fdsup://directions/FAT%20Viewer?VAR:PED=LTM&amp;VAR:PERIOD=FIXED&amp;VAR:V=15.926374&amp;VAR:PCT=Y&amp;VAR:AUDIT_ID=00000117&amp;VAR:DATE=20080131&amp;action=UPDATE&amp;creator=factset&amp;DOC_NAME=FAT:FMA_audit_SUMMARY.fat&amp;DISPLAY_STRING=Display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1__FDSAUDITLINK__" localSheetId="2" hidden="1">{"fdsup://directions/FAT%20Viewer?VAR:PED=LTM&amp;VAR:PERIOD=FIXED&amp;VAR:V=15.926374&amp;VAR:PCT=Y&amp;VAR:AUDIT_ID=00000117&amp;VAR:DATE=20080131&amp;action=UPDATE&amp;creator=factset&amp;DOC_NAME=FAT:FMA_audit_SUMMARY.fat&amp;DISPLAY_STRING=Display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1__FDSAUDITLINK__" hidden="1">{"fdsup://directions/FAT%20Viewer?VAR:PED=LTM&amp;VAR:PERIOD=FIXED&amp;VAR:V=15.926374&amp;VAR:PCT=Y&amp;VAR:AUDIT_ID=00000117&amp;VAR:DATE=20080131&amp;action=UPDATE&amp;creator=factset&amp;DOC_NAME=FAT:FMA_audit_SUMMARY.fat&amp;DISPLAY_STRING=Display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2__FDSAUDITLINK__" localSheetId="8" hidden="1">{"fdsup://directions/FAT%20Viewer?VAR:PED=LTM&amp;VAR:PERIOD=FIXED&amp;VAR:V=16.115259&amp;VAR:PCT=Y&amp;VAR:AUDIT_ID=00000117&amp;VAR:DATE=20071231&amp;action=UPDATE&amp;creator=factset&amp;DOC_NAME=FAT:FMA_audit_SUMMARY.fat&amp;DISPLAY_STRING=Display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2__FDSAUDITLINK__" localSheetId="2" hidden="1">{"fdsup://directions/FAT%20Viewer?VAR:PED=LTM&amp;VAR:PERIOD=FIXED&amp;VAR:V=16.115259&amp;VAR:PCT=Y&amp;VAR:AUDIT_ID=00000117&amp;VAR:DATE=20071231&amp;action=UPDATE&amp;creator=factset&amp;DOC_NAME=FAT:FMA_audit_SUMMARY.fat&amp;DISPLAY_STRING=Display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2__FDSAUDITLINK__" hidden="1">{"fdsup://directions/FAT%20Viewer?VAR:PED=LTM&amp;VAR:PERIOD=FIXED&amp;VAR:V=16.115259&amp;VAR:PCT=Y&amp;VAR:AUDIT_ID=00000117&amp;VAR:DATE=20071231&amp;action=UPDATE&amp;creator=factset&amp;DOC_NAME=FAT:FMA_audit_SUMMARY.fat&amp;DISPLAY_STRING=Display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3__FDSAUDITLINK__" localSheetId="8" hidden="1">{"fdsup://directions/FAT%20Viewer?VAR:PED=LTM&amp;VAR:PERIOD=FIXED&amp;VAR:V=16.120663&amp;VAR:PCT=Y&amp;VAR:AUDIT_ID=00000117&amp;VAR:DATE=20071130&amp;action=UPDATE&amp;creator=factset&amp;DOC_NAME=FAT:FMA_audit_SUMMARY.fat&amp;DISPLAY_STRING=Display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3__FDSAUDITLINK__" localSheetId="2" hidden="1">{"fdsup://directions/FAT%20Viewer?VAR:PED=LTM&amp;VAR:PERIOD=FIXED&amp;VAR:V=16.120663&amp;VAR:PCT=Y&amp;VAR:AUDIT_ID=00000117&amp;VAR:DATE=20071130&amp;action=UPDATE&amp;creator=factset&amp;DOC_NAME=FAT:FMA_audit_SUMMARY.fat&amp;DISPLAY_STRING=Display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3__FDSAUDITLINK__" hidden="1">{"fdsup://directions/FAT%20Viewer?VAR:PED=LTM&amp;VAR:PERIOD=FIXED&amp;VAR:V=16.120663&amp;VAR:PCT=Y&amp;VAR:AUDIT_ID=00000117&amp;VAR:DATE=20071130&amp;action=UPDATE&amp;creator=factset&amp;DOC_NAME=FAT:FMA_audit_SUMMARY.fat&amp;DISPLAY_STRING=Display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4__FDSAUDITLINK__" localSheetId="8" hidden="1">{"fdsup://directions/FAT%20Viewer?VAR:PED=LTM&amp;VAR:PERIOD=FIXED&amp;VAR:V=17.237000&amp;VAR:PCT=Y&amp;VAR:AUDIT_ID=00000117&amp;VAR:DATE=20071031&amp;action=UPDATE&amp;creator=factset&amp;DOC_NAME=FAT:FMA_audit_SUMMARY.fat&amp;DISPLAY_STRING=Display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4__FDSAUDITLINK__" localSheetId="2" hidden="1">{"fdsup://directions/FAT%20Viewer?VAR:PED=LTM&amp;VAR:PERIOD=FIXED&amp;VAR:V=17.237000&amp;VAR:PCT=Y&amp;VAR:AUDIT_ID=00000117&amp;VAR:DATE=20071031&amp;action=UPDATE&amp;creator=factset&amp;DOC_NAME=FAT:FMA_audit_SUMMARY.fat&amp;DISPLAY_STRING=Display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4__FDSAUDITLINK__" hidden="1">{"fdsup://directions/FAT%20Viewer?VAR:PED=LTM&amp;VAR:PERIOD=FIXED&amp;VAR:V=17.237000&amp;VAR:PCT=Y&amp;VAR:AUDIT_ID=00000117&amp;VAR:DATE=20071031&amp;action=UPDATE&amp;creator=factset&amp;DOC_NAME=FAT:FMA_audit_SUMMARY.fat&amp;DISPLAY_STRING=Display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5__FDSAUDITLINK__" localSheetId="8" hidden="1">{"fdsup://directions/FAT%20Viewer?VAR:PED=LTM&amp;VAR:PERIOD=FIXED&amp;VAR:V=17.212490&amp;VAR:PCT=Y&amp;VAR:AUDIT_ID=00000117&amp;VAR:DATE=20070928&amp;action=UPDATE&amp;creator=factset&amp;DOC_NAME=FAT:FMA_audit_SUMMARY.fat&amp;DISPLAY_STRING=Display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5__FDSAUDITLINK__" localSheetId="2" hidden="1">{"fdsup://directions/FAT%20Viewer?VAR:PED=LTM&amp;VAR:PERIOD=FIXED&amp;VAR:V=17.212490&amp;VAR:PCT=Y&amp;VAR:AUDIT_ID=00000117&amp;VAR:DATE=20070928&amp;action=UPDATE&amp;creator=factset&amp;DOC_NAME=FAT:FMA_audit_SUMMARY.fat&amp;DISPLAY_STRING=Display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5__FDSAUDITLINK__" hidden="1">{"fdsup://directions/FAT%20Viewer?VAR:PED=LTM&amp;VAR:PERIOD=FIXED&amp;VAR:V=17.212490&amp;VAR:PCT=Y&amp;VAR:AUDIT_ID=00000117&amp;VAR:DATE=20070928&amp;action=UPDATE&amp;creator=factset&amp;DOC_NAME=FAT:FMA_audit_SUMMARY.fat&amp;DISPLAY_STRING=Display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6__FDSAUDITLINK__" localSheetId="8" hidden="1">{"fdsup://directions/FAT%20Viewer?VAR:PED=LTM&amp;VAR:PERIOD=FIXED&amp;VAR:V=17.214592&amp;VAR:PCT=Y&amp;VAR:AUDIT_ID=00000117&amp;VAR:DATE=20070831&amp;action=UPDATE&amp;creator=factset&amp;DOC_NAME=FAT:FMA_audit_SUMMARY.fat&amp;DISPLAY_STRING=Display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6__FDSAUDITLINK__" localSheetId="2" hidden="1">{"fdsup://directions/FAT%20Viewer?VAR:PED=LTM&amp;VAR:PERIOD=FIXED&amp;VAR:V=17.214592&amp;VAR:PCT=Y&amp;VAR:AUDIT_ID=00000117&amp;VAR:DATE=20070831&amp;action=UPDATE&amp;creator=factset&amp;DOC_NAME=FAT:FMA_audit_SUMMARY.fat&amp;DISPLAY_STRING=Display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6__FDSAUDITLINK__" hidden="1">{"fdsup://directions/FAT%20Viewer?VAR:PED=LTM&amp;VAR:PERIOD=FIXED&amp;VAR:V=17.214592&amp;VAR:PCT=Y&amp;VAR:AUDIT_ID=00000117&amp;VAR:DATE=20070831&amp;action=UPDATE&amp;creator=factset&amp;DOC_NAME=FAT:FMA_audit_SUMMARY.fat&amp;DISPLAY_STRING=Display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7__FDSAUDITLINK__" localSheetId="8" hidden="1">{"fdsup://directions/FAT%20Viewer?VAR:PED=LTM&amp;VAR:PERIOD=FIXED&amp;VAR:V=16.961347&amp;VAR:PCT=Y&amp;VAR:AUDIT_ID=00000117&amp;VAR:DATE=20070731&amp;action=UPDATE&amp;creator=factset&amp;DOC_NAME=FAT:FMA_audit_SUMMARY.fat&amp;DISPLAY_STRING=Display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7__FDSAUDITLINK__" localSheetId="2" hidden="1">{"fdsup://directions/FAT%20Viewer?VAR:PED=LTM&amp;VAR:PERIOD=FIXED&amp;VAR:V=16.961347&amp;VAR:PCT=Y&amp;VAR:AUDIT_ID=00000117&amp;VAR:DATE=20070731&amp;action=UPDATE&amp;creator=factset&amp;DOC_NAME=FAT:FMA_audit_SUMMARY.fat&amp;DISPLAY_STRING=Display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7__FDSAUDITLINK__" hidden="1">{"fdsup://directions/FAT%20Viewer?VAR:PED=LTM&amp;VAR:PERIOD=FIXED&amp;VAR:V=16.961347&amp;VAR:PCT=Y&amp;VAR:AUDIT_ID=00000117&amp;VAR:DATE=20070731&amp;action=UPDATE&amp;creator=factset&amp;DOC_NAME=FAT:FMA_audit_SUMMARY.fat&amp;DISPLAY_STRING=Display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8__FDSAUDITLINK__" localSheetId="8" hidden="1">{"fdsup://directions/FAT%20Viewer?VAR:PED=LTM&amp;VAR:PERIOD=FIXED&amp;VAR:V=16.977230&amp;VAR:PCT=Y&amp;VAR:AUDIT_ID=00000117&amp;VAR:DATE=20070629&amp;action=UPDATE&amp;creator=factset&amp;DOC_NAME=FAT:FMA_audit_SUMMARY.fat&amp;DISPLAY_STRING=Display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8__FDSAUDITLINK__" localSheetId="2" hidden="1">{"fdsup://directions/FAT%20Viewer?VAR:PED=LTM&amp;VAR:PERIOD=FIXED&amp;VAR:V=16.977230&amp;VAR:PCT=Y&amp;VAR:AUDIT_ID=00000117&amp;VAR:DATE=20070629&amp;action=UPDATE&amp;creator=factset&amp;DOC_NAME=FAT:FMA_audit_SUMMARY.fat&amp;DISPLAY_STRING=Display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8__FDSAUDITLINK__" hidden="1">{"fdsup://directions/FAT%20Viewer?VAR:PED=LTM&amp;VAR:PERIOD=FIXED&amp;VAR:V=16.977230&amp;VAR:PCT=Y&amp;VAR:AUDIT_ID=00000117&amp;VAR:DATE=20070629&amp;action=UPDATE&amp;creator=factset&amp;DOC_NAME=FAT:FMA_audit_SUMMARY.fat&amp;DISPLAY_STRING=Display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9__FDSAUDITLINK__" localSheetId="8" hidden="1">{"fdsup://directions/FAT%20Viewer?VAR:PED=LTM&amp;VAR:PERIOD=FIXED&amp;VAR:V=16.956362&amp;VAR:PCT=Y&amp;VAR:AUDIT_ID=00000117&amp;VAR:DATE=20070531&amp;action=UPDATE&amp;creator=factset&amp;DOC_NAME=FAT:FMA_audit_SUMMARY.fat&amp;DISPLAY_STRING=Display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9__FDSAUDITLINK__" localSheetId="2" hidden="1">{"fdsup://directions/FAT%20Viewer?VAR:PED=LTM&amp;VAR:PERIOD=FIXED&amp;VAR:V=16.956362&amp;VAR:PCT=Y&amp;VAR:AUDIT_ID=00000117&amp;VAR:DATE=20070531&amp;action=UPDATE&amp;creator=factset&amp;DOC_NAME=FAT:FMA_audit_SUMMARY.fat&amp;DISPLAY_STRING=Display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89__FDSAUDITLINK__" hidden="1">{"fdsup://directions/FAT%20Viewer?VAR:PED=LTM&amp;VAR:PERIOD=FIXED&amp;VAR:V=16.956362&amp;VAR:PCT=Y&amp;VAR:AUDIT_ID=00000117&amp;VAR:DATE=20070531&amp;action=UPDATE&amp;creator=factset&amp;DOC_NAME=FAT:FMA_audit_SUMMARY.fat&amp;DISPLAY_STRING=Display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__FDSAUDITLINK__" localSheetId="8" hidden="1">{"fdsup://directions/FAT%20Viewer?VAR:PED=LTM&amp;VAR:PERIOD=FIXED&amp;VAR:V=17.328991&amp;VAR:PCT=Y&amp;VAR:AUDIT_ID=00000117&amp;VAR:DATE=20070228&amp;action=UPDATE&amp;creator=factset&amp;DOC_NAME=FAT:FMA_audit_SUMMARY.fat&amp;DISPLAY_STRING=Display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__FDSAUDITLINK__" localSheetId="2" hidden="1">{"fdsup://directions/FAT%20Viewer?VAR:PED=LTM&amp;VAR:PERIOD=FIXED&amp;VAR:V=17.328991&amp;VAR:PCT=Y&amp;VAR:AUDIT_ID=00000117&amp;VAR:DATE=20070228&amp;action=UPDATE&amp;creator=factset&amp;DOC_NAME=FAT:FMA_audit_SUMMARY.fat&amp;DISPLAY_STRING=Display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__FDSAUDITLINK__" hidden="1">{"fdsup://directions/FAT%20Viewer?VAR:PED=LTM&amp;VAR:PERIOD=FIXED&amp;VAR:V=17.328991&amp;VAR:PCT=Y&amp;VAR:AUDIT_ID=00000117&amp;VAR:DATE=20070228&amp;action=UPDATE&amp;creator=factset&amp;DOC_NAME=FAT:FMA_audit_SUMMARY.fat&amp;DISPLAY_STRING=Display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0__FDSAUDITLINK__" localSheetId="8" hidden="1">{"fdsup://directions/FAT%20Viewer?VAR:PED=LTM&amp;VAR:PERIOD=FIXED&amp;VAR:V=17.297906&amp;VAR:PCT=Y&amp;VAR:AUDIT_ID=00000117&amp;VAR:DATE=20070430&amp;action=UPDATE&amp;creator=factset&amp;DOC_NAME=FAT:FMA_audit_SUMMARY.fat&amp;DISPLAY_STRING=Display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0__FDSAUDITLINK__" localSheetId="2" hidden="1">{"fdsup://directions/FAT%20Viewer?VAR:PED=LTM&amp;VAR:PERIOD=FIXED&amp;VAR:V=17.297906&amp;VAR:PCT=Y&amp;VAR:AUDIT_ID=00000117&amp;VAR:DATE=20070430&amp;action=UPDATE&amp;creator=factset&amp;DOC_NAME=FAT:FMA_audit_SUMMARY.fat&amp;DISPLAY_STRING=Display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0__FDSAUDITLINK__" hidden="1">{"fdsup://directions/FAT%20Viewer?VAR:PED=LTM&amp;VAR:PERIOD=FIXED&amp;VAR:V=17.297906&amp;VAR:PCT=Y&amp;VAR:AUDIT_ID=00000117&amp;VAR:DATE=20070430&amp;action=UPDATE&amp;creator=factset&amp;DOC_NAME=FAT:FMA_audit_SUMMARY.fat&amp;DISPLAY_STRING=Display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1__FDSAUDITLINK__" localSheetId="8" hidden="1">{"fdsup://directions/FAT%20Viewer?VAR:PED=LTM&amp;VAR:PERIOD=FIXED&amp;VAR:V=17.306268&amp;VAR:PCT=Y&amp;VAR:AUDIT_ID=00000117&amp;VAR:DATE=20070330&amp;action=UPDATE&amp;creator=factset&amp;DOC_NAME=FAT:FMA_audit_SUMMARY.fat&amp;DISPLAY_STRING=Display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1__FDSAUDITLINK__" localSheetId="2" hidden="1">{"fdsup://directions/FAT%20Viewer?VAR:PED=LTM&amp;VAR:PERIOD=FIXED&amp;VAR:V=17.306268&amp;VAR:PCT=Y&amp;VAR:AUDIT_ID=00000117&amp;VAR:DATE=20070330&amp;action=UPDATE&amp;creator=factset&amp;DOC_NAME=FAT:FMA_audit_SUMMARY.fat&amp;DISPLAY_STRING=Display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1__FDSAUDITLINK__" hidden="1">{"fdsup://directions/FAT%20Viewer?VAR:PED=LTM&amp;VAR:PERIOD=FIXED&amp;VAR:V=17.306268&amp;VAR:PCT=Y&amp;VAR:AUDIT_ID=00000117&amp;VAR:DATE=20070330&amp;action=UPDATE&amp;creator=factset&amp;DOC_NAME=FAT:FMA_audit_SUMMARY.fat&amp;DISPLAY_STRING=Display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2__FDSAUDITLINK__" localSheetId="8" hidden="1">{"fdsup://directions/FAT%20Viewer?VAR:PED=LTM&amp;VAR:PERIOD=FIXED&amp;VAR:V=17.329500&amp;VAR:PCT=Y&amp;VAR:AUDIT_ID=00000117&amp;VAR:DATE=20070228&amp;action=UPDATE&amp;creator=factset&amp;DOC_NAME=FAT:FMA_audit_SUMMARY.fat&amp;DISPLAY_STRING=Display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2__FDSAUDITLINK__" localSheetId="2" hidden="1">{"fdsup://directions/FAT%20Viewer?VAR:PED=LTM&amp;VAR:PERIOD=FIXED&amp;VAR:V=17.329500&amp;VAR:PCT=Y&amp;VAR:AUDIT_ID=00000117&amp;VAR:DATE=20070228&amp;action=UPDATE&amp;creator=factset&amp;DOC_NAME=FAT:FMA_audit_SUMMARY.fat&amp;DISPLAY_STRING=Display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2__FDSAUDITLINK__" hidden="1">{"fdsup://directions/FAT%20Viewer?VAR:PED=LTM&amp;VAR:PERIOD=FIXED&amp;VAR:V=17.329500&amp;VAR:PCT=Y&amp;VAR:AUDIT_ID=00000117&amp;VAR:DATE=20070228&amp;action=UPDATE&amp;creator=factset&amp;DOC_NAME=FAT:FMA_audit_SUMMARY.fat&amp;DISPLAY_STRING=Display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3__FDSAUDITLINK__" localSheetId="8" hidden="1">{"fdsup://directions/FAT%20Viewer?VAR:PED=LTM&amp;VAR:PERIOD=FIXED&amp;VAR:V=16.611996&amp;VAR:PCT=Y&amp;VAR:AUDIT_ID=00000117&amp;VAR:DATE=20070131&amp;action=UPDATE&amp;creator=factset&amp;DOC_NAME=FAT:FMA_audit_SUMMARY.fat&amp;DISPLAY_STRING=Display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3__FDSAUDITLINK__" localSheetId="2" hidden="1">{"fdsup://directions/FAT%20Viewer?VAR:PED=LTM&amp;VAR:PERIOD=FIXED&amp;VAR:V=16.611996&amp;VAR:PCT=Y&amp;VAR:AUDIT_ID=00000117&amp;VAR:DATE=20070131&amp;action=UPDATE&amp;creator=factset&amp;DOC_NAME=FAT:FMA_audit_SUMMARY.fat&amp;DISPLAY_STRING=Display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3__FDSAUDITLINK__" hidden="1">{"fdsup://directions/FAT%20Viewer?VAR:PED=LTM&amp;VAR:PERIOD=FIXED&amp;VAR:V=16.611996&amp;VAR:PCT=Y&amp;VAR:AUDIT_ID=00000117&amp;VAR:DATE=20070131&amp;action=UPDATE&amp;creator=factset&amp;DOC_NAME=FAT:FMA_audit_SUMMARY.fat&amp;DISPLAY_STRING=Display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4__FDSAUDITLINK__" localSheetId="8" hidden="1">{"fdsup://directions/FAT%20Viewer?VAR:PED=LTM&amp;VAR:PERIOD=FIXED&amp;VAR:V=16.632973&amp;VAR:PCT=Y&amp;VAR:AUDIT_ID=00000117&amp;VAR:DATE=20061229&amp;action=UPDATE&amp;creator=factset&amp;DOC_NAME=FAT:FMA_audit_SUMMARY.fat&amp;DISPLAY_STRING=Display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4__FDSAUDITLINK__" localSheetId="2" hidden="1">{"fdsup://directions/FAT%20Viewer?VAR:PED=LTM&amp;VAR:PERIOD=FIXED&amp;VAR:V=16.632973&amp;VAR:PCT=Y&amp;VAR:AUDIT_ID=00000117&amp;VAR:DATE=20061229&amp;action=UPDATE&amp;creator=factset&amp;DOC_NAME=FAT:FMA_audit_SUMMARY.fat&amp;DISPLAY_STRING=Display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4__FDSAUDITLINK__" hidden="1">{"fdsup://directions/FAT%20Viewer?VAR:PED=LTM&amp;VAR:PERIOD=FIXED&amp;VAR:V=16.632973&amp;VAR:PCT=Y&amp;VAR:AUDIT_ID=00000117&amp;VAR:DATE=20061229&amp;action=UPDATE&amp;creator=factset&amp;DOC_NAME=FAT:FMA_audit_SUMMARY.fat&amp;DISPLAY_STRING=Display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5__FDSAUDITLINK__" localSheetId="8" hidden="1">{"fdsup://directions/FAT%20Viewer?VAR:PED=LTM&amp;VAR:PERIOD=FIXED&amp;VAR:V=16.645221&amp;VAR:PCT=Y&amp;VAR:AUDIT_ID=00000117&amp;VAR:DATE=20061130&amp;action=UPDATE&amp;creator=factset&amp;DOC_NAME=FAT:FMA_audit_SUMMARY.fat&amp;DISPLAY_STRING=Display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5__FDSAUDITLINK__" localSheetId="2" hidden="1">{"fdsup://directions/FAT%20Viewer?VAR:PED=LTM&amp;VAR:PERIOD=FIXED&amp;VAR:V=16.645221&amp;VAR:PCT=Y&amp;VAR:AUDIT_ID=00000117&amp;VAR:DATE=20061130&amp;action=UPDATE&amp;creator=factset&amp;DOC_NAME=FAT:FMA_audit_SUMMARY.fat&amp;DISPLAY_STRING=Display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5__FDSAUDITLINK__" hidden="1">{"fdsup://directions/FAT%20Viewer?VAR:PED=LTM&amp;VAR:PERIOD=FIXED&amp;VAR:V=16.645221&amp;VAR:PCT=Y&amp;VAR:AUDIT_ID=00000117&amp;VAR:DATE=20061130&amp;action=UPDATE&amp;creator=factset&amp;DOC_NAME=FAT:FMA_audit_SUMMARY.fat&amp;DISPLAY_STRING=Display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6__FDSAUDITLINK__" localSheetId="8" hidden="1">{"fdsup://directions/FAT%20Viewer?VAR:PED=LTM&amp;VAR:PERIOD=FIXED&amp;VAR:V=16.531140&amp;VAR:PCT=Y&amp;VAR:AUDIT_ID=00000117&amp;VAR:DATE=20061031&amp;action=UPDATE&amp;creator=factset&amp;DOC_NAME=FAT:FMA_audit_SUMMARY.fat&amp;DISPLAY_STRING=Display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6__FDSAUDITLINK__" localSheetId="2" hidden="1">{"fdsup://directions/FAT%20Viewer?VAR:PED=LTM&amp;VAR:PERIOD=FIXED&amp;VAR:V=16.531140&amp;VAR:PCT=Y&amp;VAR:AUDIT_ID=00000117&amp;VAR:DATE=20061031&amp;action=UPDATE&amp;creator=factset&amp;DOC_NAME=FAT:FMA_audit_SUMMARY.fat&amp;DISPLAY_STRING=Display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6__FDSAUDITLINK__" hidden="1">{"fdsup://directions/FAT%20Viewer?VAR:PED=LTM&amp;VAR:PERIOD=FIXED&amp;VAR:V=16.531140&amp;VAR:PCT=Y&amp;VAR:AUDIT_ID=00000117&amp;VAR:DATE=20061031&amp;action=UPDATE&amp;creator=factset&amp;DOC_NAME=FAT:FMA_audit_SUMMARY.fat&amp;DISPLAY_STRING=Display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7__FDSAUDITLINK__" localSheetId="8" hidden="1">{"fdsup://directions/FAT%20Viewer?VAR:PED=LTM&amp;VAR:PERIOD=FIXED&amp;VAR:V=16.533500&amp;VAR:PCT=Y&amp;VAR:AUDIT_ID=00000117&amp;VAR:DATE=20060929&amp;action=UPDATE&amp;creator=factset&amp;DOC_NAME=FAT:FMA_audit_SUMMARY.fat&amp;DISPLAY_STRING=Display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7__FDSAUDITLINK__" localSheetId="2" hidden="1">{"fdsup://directions/FAT%20Viewer?VAR:PED=LTM&amp;VAR:PERIOD=FIXED&amp;VAR:V=16.533500&amp;VAR:PCT=Y&amp;VAR:AUDIT_ID=00000117&amp;VAR:DATE=20060929&amp;action=UPDATE&amp;creator=factset&amp;DOC_NAME=FAT:FMA_audit_SUMMARY.fat&amp;DISPLAY_STRING=Display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7__FDSAUDITLINK__" hidden="1">{"fdsup://directions/FAT%20Viewer?VAR:PED=LTM&amp;VAR:PERIOD=FIXED&amp;VAR:V=16.533500&amp;VAR:PCT=Y&amp;VAR:AUDIT_ID=00000117&amp;VAR:DATE=20060929&amp;action=UPDATE&amp;creator=factset&amp;DOC_NAME=FAT:FMA_audit_SUMMARY.fat&amp;DISPLAY_STRING=Display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8__FDSAUDITLINK__" localSheetId="8" hidden="1">{"fdsup://directions/FAT%20Viewer?VAR:PED=LTM&amp;VAR:PERIOD=FIXED&amp;VAR:V=16.508113&amp;VAR:PCT=Y&amp;VAR:AUDIT_ID=00000117&amp;VAR:DATE=20060831&amp;action=UPDATE&amp;creator=factset&amp;DOC_NAME=FAT:FMA_audit_SUMMARY.fat&amp;DISPLAY_STRING=Display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8__FDSAUDITLINK__" localSheetId="2" hidden="1">{"fdsup://directions/FAT%20Viewer?VAR:PED=LTM&amp;VAR:PERIOD=FIXED&amp;VAR:V=16.508113&amp;VAR:PCT=Y&amp;VAR:AUDIT_ID=00000117&amp;VAR:DATE=20060831&amp;action=UPDATE&amp;creator=factset&amp;DOC_NAME=FAT:FMA_audit_SUMMARY.fat&amp;DISPLAY_STRING=Display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8__FDSAUDITLINK__" hidden="1">{"fdsup://directions/FAT%20Viewer?VAR:PED=LTM&amp;VAR:PERIOD=FIXED&amp;VAR:V=16.508113&amp;VAR:PCT=Y&amp;VAR:AUDIT_ID=00000117&amp;VAR:DATE=20060831&amp;action=UPDATE&amp;creator=factset&amp;DOC_NAME=FAT:FMA_audit_SUMMARY.fat&amp;DISPLAY_STRING=Display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9__FDSAUDITLINK__" localSheetId="8" hidden="1">{"fdsup://directions/FAT%20Viewer?VAR:PED=LTM&amp;VAR:PERIOD=FIXED&amp;VAR:V=16.764855&amp;VAR:PCT=Y&amp;VAR:AUDIT_ID=00000117&amp;VAR:DATE=20060731&amp;action=UPDATE&amp;creator=factset&amp;DOC_NAME=FAT:FMA_audit_SUMMARY.fat&amp;DISPLAY_STRING=Display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9__FDSAUDITLINK__" localSheetId="2" hidden="1">{"fdsup://directions/FAT%20Viewer?VAR:PED=LTM&amp;VAR:PERIOD=FIXED&amp;VAR:V=16.764855&amp;VAR:PCT=Y&amp;VAR:AUDIT_ID=00000117&amp;VAR:DATE=20060731&amp;action=UPDATE&amp;creator=factset&amp;DOC_NAME=FAT:FMA_audit_SUMMARY.fat&amp;DISPLAY_STRING=Display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399__FDSAUDITLINK__" hidden="1">{"fdsup://directions/FAT%20Viewer?VAR:PED=LTM&amp;VAR:PERIOD=FIXED&amp;VAR:V=16.764855&amp;VAR:PCT=Y&amp;VAR:AUDIT_ID=00000117&amp;VAR:DATE=20060731&amp;action=UPDATE&amp;creator=factset&amp;DOC_NAME=FAT:FMA_audit_SUMMARY.fat&amp;DISPLAY_STRING=Display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__FDSAUDITLINK__" localSheetId="8" hidden="1">{"fdsup://directions/FAT%20Viewer?VAR:PED=LTM&amp;VAR:PERIOD=FIXED&amp;VAR:V=8.973888&amp;VAR:PCT=Y&amp;VAR:AUDIT_ID=00000117&amp;VAR:DATE=20100129&amp;action=UPDATE&amp;creator=factset&amp;DOC_NAME=FAT:FMA_audit_SUMMARY.fat&amp;DISPLAY_STRING=Display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__FDSAUDITLINK__" localSheetId="2" hidden="1">{"fdsup://directions/FAT%20Viewer?VAR:PED=LTM&amp;VAR:PERIOD=FIXED&amp;VAR:V=8.973888&amp;VAR:PCT=Y&amp;VAR:AUDIT_ID=00000117&amp;VAR:DATE=20100129&amp;action=UPDATE&amp;creator=factset&amp;DOC_NAME=FAT:FMA_audit_SUMMARY.fat&amp;DISPLAY_STRING=Display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__FDSAUDITLINK__" hidden="1">{"fdsup://directions/FAT%20Viewer?VAR:PED=LTM&amp;VAR:PERIOD=FIXED&amp;VAR:V=8.973888&amp;VAR:PCT=Y&amp;VAR:AUDIT_ID=00000117&amp;VAR:DATE=20100129&amp;action=UPDATE&amp;creator=factset&amp;DOC_NAME=FAT:FMA_audit_SUMMARY.fat&amp;DISPLAY_STRING=Display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_0EBITDA_Sh">[2]NOPAT_VDF!#REF!</definedName>
    <definedName name="_40__FDSAUDITLINK__" localSheetId="8" hidden="1">{"fdsup://directions/FAT%20Viewer?VAR:PED=LTM&amp;VAR:PERIOD=FIXED&amp;VAR:V=16.615166&amp;VAR:PCT=Y&amp;VAR:AUDIT_ID=00000117&amp;VAR:DATE=20070131&amp;action=UPDATE&amp;creator=factset&amp;DOC_NAME=FAT:FMA_audit_SUMMARY.fat&amp;DISPLAY_STRING=Display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__FDSAUDITLINK__" localSheetId="2" hidden="1">{"fdsup://directions/FAT%20Viewer?VAR:PED=LTM&amp;VAR:PERIOD=FIXED&amp;VAR:V=16.615166&amp;VAR:PCT=Y&amp;VAR:AUDIT_ID=00000117&amp;VAR:DATE=20070131&amp;action=UPDATE&amp;creator=factset&amp;DOC_NAME=FAT:FMA_audit_SUMMARY.fat&amp;DISPLAY_STRING=Display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__FDSAUDITLINK__" hidden="1">{"fdsup://directions/FAT%20Viewer?VAR:PED=LTM&amp;VAR:PERIOD=FIXED&amp;VAR:V=16.615166&amp;VAR:PCT=Y&amp;VAR:AUDIT_ID=00000117&amp;VAR:DATE=20070131&amp;action=UPDATE&amp;creator=factset&amp;DOC_NAME=FAT:FMA_audit_SUMMARY.fat&amp;DISPLAY_STRING=Display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_0FAMERangeGCI_BAL">[3]eva!#REF!</definedName>
    <definedName name="_400__FDSAUDITLINK__" localSheetId="8" hidden="1">{"fdsup://directions/FAT%20Viewer?VAR:PED=LTM&amp;VAR:PERIOD=FIXED&amp;VAR:V=16.709310&amp;VAR:PCT=Y&amp;VAR:AUDIT_ID=00000117&amp;VAR:DATE=20060630&amp;action=UPDATE&amp;creator=factset&amp;DOC_NAME=FAT:FMA_audit_SUMMARY.fat&amp;DISPLAY_STRING=Display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0__FDSAUDITLINK__" localSheetId="2" hidden="1">{"fdsup://directions/FAT%20Viewer?VAR:PED=LTM&amp;VAR:PERIOD=FIXED&amp;VAR:V=16.709310&amp;VAR:PCT=Y&amp;VAR:AUDIT_ID=00000117&amp;VAR:DATE=20060630&amp;action=UPDATE&amp;creator=factset&amp;DOC_NAME=FAT:FMA_audit_SUMMARY.fat&amp;DISPLAY_STRING=Display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0__FDSAUDITLINK__" hidden="1">{"fdsup://directions/FAT%20Viewer?VAR:PED=LTM&amp;VAR:PERIOD=FIXED&amp;VAR:V=16.709310&amp;VAR:PCT=Y&amp;VAR:AUDIT_ID=00000117&amp;VAR:DATE=20060630&amp;action=UPDATE&amp;creator=factset&amp;DOC_NAME=FAT:FMA_audit_SUMMARY.fat&amp;DISPLAY_STRING=Display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1__FDSAUDITLINK__" localSheetId="8" hidden="1">{"fdsup://directions/FAT%20Viewer?VAR:PED=LTM&amp;VAR:PERIOD=FIXED&amp;VAR:V=16.701004&amp;VAR:PCT=Y&amp;VAR:AUDIT_ID=00000117&amp;VAR:DATE=20060531&amp;action=UPDATE&amp;creator=factset&amp;DOC_NAME=FAT:FMA_audit_SUMMARY.fat&amp;DISPLAY_STRING=Display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1__FDSAUDITLINK__" localSheetId="2" hidden="1">{"fdsup://directions/FAT%20Viewer?VAR:PED=LTM&amp;VAR:PERIOD=FIXED&amp;VAR:V=16.701004&amp;VAR:PCT=Y&amp;VAR:AUDIT_ID=00000117&amp;VAR:DATE=20060531&amp;action=UPDATE&amp;creator=factset&amp;DOC_NAME=FAT:FMA_audit_SUMMARY.fat&amp;DISPLAY_STRING=Display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1__FDSAUDITLINK__" hidden="1">{"fdsup://directions/FAT%20Viewer?VAR:PED=LTM&amp;VAR:PERIOD=FIXED&amp;VAR:V=16.701004&amp;VAR:PCT=Y&amp;VAR:AUDIT_ID=00000117&amp;VAR:DATE=20060531&amp;action=UPDATE&amp;creator=factset&amp;DOC_NAME=FAT:FMA_audit_SUMMARY.fat&amp;DISPLAY_STRING=Display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2__FDSAUDITLINK__" localSheetId="8" hidden="1">{"fdsup://directions/FAT%20Viewer?VAR:PED=LTM&amp;VAR:PERIOD=FIXED&amp;VAR:V=16.624500&amp;VAR:PCT=Y&amp;VAR:AUDIT_ID=00000117&amp;VAR:DATE=20060428&amp;action=UPDATE&amp;creator=factset&amp;DOC_NAME=FAT:FMA_audit_SUMMARY.fat&amp;DISPLAY_STRING=Display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2__FDSAUDITLINK__" localSheetId="2" hidden="1">{"fdsup://directions/FAT%20Viewer?VAR:PED=LTM&amp;VAR:PERIOD=FIXED&amp;VAR:V=16.624500&amp;VAR:PCT=Y&amp;VAR:AUDIT_ID=00000117&amp;VAR:DATE=20060428&amp;action=UPDATE&amp;creator=factset&amp;DOC_NAME=FAT:FMA_audit_SUMMARY.fat&amp;DISPLAY_STRING=Display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2__FDSAUDITLINK__" hidden="1">{"fdsup://directions/FAT%20Viewer?VAR:PED=LTM&amp;VAR:PERIOD=FIXED&amp;VAR:V=16.624500&amp;VAR:PCT=Y&amp;VAR:AUDIT_ID=00000117&amp;VAR:DATE=20060428&amp;action=UPDATE&amp;creator=factset&amp;DOC_NAME=FAT:FMA_audit_SUMMARY.fat&amp;DISPLAY_STRING=Display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3__FDSAUDITLINK__" localSheetId="8" hidden="1">{"fdsup://directions/FAT%20Viewer?VAR:PED=LTM&amp;VAR:PERIOD=FIXED&amp;VAR:V=16.626962&amp;VAR:PCT=Y&amp;VAR:AUDIT_ID=00000117&amp;VAR:DATE=20060331&amp;action=UPDATE&amp;creator=factset&amp;DOC_NAME=FAT:FMA_audit_SUMMARY.fat&amp;DISPLAY_STRING=Display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3__FDSAUDITLINK__" localSheetId="2" hidden="1">{"fdsup://directions/FAT%20Viewer?VAR:PED=LTM&amp;VAR:PERIOD=FIXED&amp;VAR:V=16.626962&amp;VAR:PCT=Y&amp;VAR:AUDIT_ID=00000117&amp;VAR:DATE=20060331&amp;action=UPDATE&amp;creator=factset&amp;DOC_NAME=FAT:FMA_audit_SUMMARY.fat&amp;DISPLAY_STRING=Display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3__FDSAUDITLINK__" hidden="1">{"fdsup://directions/FAT%20Viewer?VAR:PED=LTM&amp;VAR:PERIOD=FIXED&amp;VAR:V=16.626962&amp;VAR:PCT=Y&amp;VAR:AUDIT_ID=00000117&amp;VAR:DATE=20060331&amp;action=UPDATE&amp;creator=factset&amp;DOC_NAME=FAT:FMA_audit_SUMMARY.fat&amp;DISPLAY_STRING=Display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4__FDSAUDITLINK__" localSheetId="8" hidden="1">{"fdsup://directions/FAT%20Viewer?VAR:PED=LTM&amp;VAR:PERIOD=FIXED&amp;VAR:V=16.568932&amp;VAR:PCT=Y&amp;VAR:AUDIT_ID=00000117&amp;VAR:DATE=20060228&amp;action=UPDATE&amp;creator=factset&amp;DOC_NAME=FAT:FMA_audit_SUMMARY.fat&amp;DISPLAY_STRING=Display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4__FDSAUDITLINK__" localSheetId="2" hidden="1">{"fdsup://directions/FAT%20Viewer?VAR:PED=LTM&amp;VAR:PERIOD=FIXED&amp;VAR:V=16.568932&amp;VAR:PCT=Y&amp;VAR:AUDIT_ID=00000117&amp;VAR:DATE=20060228&amp;action=UPDATE&amp;creator=factset&amp;DOC_NAME=FAT:FMA_audit_SUMMARY.fat&amp;DISPLAY_STRING=Display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4__FDSAUDITLINK__" hidden="1">{"fdsup://directions/FAT%20Viewer?VAR:PED=LTM&amp;VAR:PERIOD=FIXED&amp;VAR:V=16.568932&amp;VAR:PCT=Y&amp;VAR:AUDIT_ID=00000117&amp;VAR:DATE=20060228&amp;action=UPDATE&amp;creator=factset&amp;DOC_NAME=FAT:FMA_audit_SUMMARY.fat&amp;DISPLAY_STRING=Display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5__FDSAUDITLINK__" localSheetId="8" hidden="1">{"fdsup://directions/FAT%20Viewer?VAR:PED=LTM&amp;VAR:PERIOD=FIXED&amp;VAR:V=16.725807&amp;VAR:PCT=Y&amp;VAR:AUDIT_ID=00000117&amp;VAR:DATE=20060131&amp;action=UPDATE&amp;creator=factset&amp;DOC_NAME=FAT:FMA_audit_SUMMARY.fat&amp;DISPLAY_STRING=Display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5__FDSAUDITLINK__" localSheetId="2" hidden="1">{"fdsup://directions/FAT%20Viewer?VAR:PED=LTM&amp;VAR:PERIOD=FIXED&amp;VAR:V=16.725807&amp;VAR:PCT=Y&amp;VAR:AUDIT_ID=00000117&amp;VAR:DATE=20060131&amp;action=UPDATE&amp;creator=factset&amp;DOC_NAME=FAT:FMA_audit_SUMMARY.fat&amp;DISPLAY_STRING=Display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5__FDSAUDITLINK__" hidden="1">{"fdsup://directions/FAT%20Viewer?VAR:PED=LTM&amp;VAR:PERIOD=FIXED&amp;VAR:V=16.725807&amp;VAR:PCT=Y&amp;VAR:AUDIT_ID=00000117&amp;VAR:DATE=20060131&amp;action=UPDATE&amp;creator=factset&amp;DOC_NAME=FAT:FMA_audit_SUMMARY.fat&amp;DISPLAY_STRING=Display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6__FDSAUDITLINK__" localSheetId="8" hidden="1">{"fdsup://directions/FAT%20Viewer?VAR:PED=LTM&amp;VAR:PERIOD=FIXED&amp;VAR:V=16.689484&amp;VAR:PCT=Y&amp;VAR:AUDIT_ID=00000117&amp;VAR:DATE=20051230&amp;action=UPDATE&amp;creator=factset&amp;DOC_NAME=FAT:FMA_audit_SUMMARY.fat&amp;DISPLAY_STRING=Display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6__FDSAUDITLINK__" localSheetId="2" hidden="1">{"fdsup://directions/FAT%20Viewer?VAR:PED=LTM&amp;VAR:PERIOD=FIXED&amp;VAR:V=16.689484&amp;VAR:PCT=Y&amp;VAR:AUDIT_ID=00000117&amp;VAR:DATE=20051230&amp;action=UPDATE&amp;creator=factset&amp;DOC_NAME=FAT:FMA_audit_SUMMARY.fat&amp;DISPLAY_STRING=Display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6__FDSAUDITLINK__" hidden="1">{"fdsup://directions/FAT%20Viewer?VAR:PED=LTM&amp;VAR:PERIOD=FIXED&amp;VAR:V=16.689484&amp;VAR:PCT=Y&amp;VAR:AUDIT_ID=00000117&amp;VAR:DATE=20051230&amp;action=UPDATE&amp;creator=factset&amp;DOC_NAME=FAT:FMA_audit_SUMMARY.fat&amp;DISPLAY_STRING=Display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7__FDSAUDITLINK__" localSheetId="8" hidden="1">{"fdsup://directions/FAT%20Viewer?VAR:PED=LTM&amp;VAR:PERIOD=FIXED&amp;VAR:V=16.688727&amp;VAR:PCT=Y&amp;VAR:AUDIT_ID=00000117&amp;VAR:DATE=20051130&amp;action=UPDATE&amp;creator=factset&amp;DOC_NAME=FAT:FMA_audit_SUMMARY.fat&amp;DISPLAY_STRING=Display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7__FDSAUDITLINK__" localSheetId="2" hidden="1">{"fdsup://directions/FAT%20Viewer?VAR:PED=LTM&amp;VAR:PERIOD=FIXED&amp;VAR:V=16.688727&amp;VAR:PCT=Y&amp;VAR:AUDIT_ID=00000117&amp;VAR:DATE=20051130&amp;action=UPDATE&amp;creator=factset&amp;DOC_NAME=FAT:FMA_audit_SUMMARY.fat&amp;DISPLAY_STRING=Display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7__FDSAUDITLINK__" hidden="1">{"fdsup://directions/FAT%20Viewer?VAR:PED=LTM&amp;VAR:PERIOD=FIXED&amp;VAR:V=16.688727&amp;VAR:PCT=Y&amp;VAR:AUDIT_ID=00000117&amp;VAR:DATE=20051130&amp;action=UPDATE&amp;creator=factset&amp;DOC_NAME=FAT:FMA_audit_SUMMARY.fat&amp;DISPLAY_STRING=Display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8__FDSAUDITLINK__" localSheetId="8" hidden="1">{"fdsup://directions/FAT%20Viewer?VAR:PED=LTM&amp;VAR:PERIOD=FIXED&amp;VAR:V=16.636415&amp;VAR:PCT=Y&amp;VAR:AUDIT_ID=00000117&amp;VAR:DATE=20051031&amp;action=UPDATE&amp;creator=factset&amp;DOC_NAME=FAT:FMA_audit_SUMMARY.fat&amp;DISPLAY_STRING=Display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8__FDSAUDITLINK__" localSheetId="2" hidden="1">{"fdsup://directions/FAT%20Viewer?VAR:PED=LTM&amp;VAR:PERIOD=FIXED&amp;VAR:V=16.636415&amp;VAR:PCT=Y&amp;VAR:AUDIT_ID=00000117&amp;VAR:DATE=20051031&amp;action=UPDATE&amp;creator=factset&amp;DOC_NAME=FAT:FMA_audit_SUMMARY.fat&amp;DISPLAY_STRING=Display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8__FDSAUDITLINK__" hidden="1">{"fdsup://directions/FAT%20Viewer?VAR:PED=LTM&amp;VAR:PERIOD=FIXED&amp;VAR:V=16.636415&amp;VAR:PCT=Y&amp;VAR:AUDIT_ID=00000117&amp;VAR:DATE=20051031&amp;action=UPDATE&amp;creator=factset&amp;DOC_NAME=FAT:FMA_audit_SUMMARY.fat&amp;DISPLAY_STRING=Display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9__FDSAUDITLINK__" localSheetId="8" hidden="1">{"fdsup://directions/FAT%20Viewer?VAR:PED=LTM&amp;VAR:PERIOD=FIXED&amp;VAR:V=16.470382&amp;VAR:PCT=Y&amp;VAR:AUDIT_ID=00000117&amp;VAR:DATE=20050930&amp;action=UPDATE&amp;creator=factset&amp;DOC_NAME=FAT:FMA_audit_SUMMARY.fat&amp;DISPLAY_STRING=Display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9__FDSAUDITLINK__" localSheetId="2" hidden="1">{"fdsup://directions/FAT%20Viewer?VAR:PED=LTM&amp;VAR:PERIOD=FIXED&amp;VAR:V=16.470382&amp;VAR:PCT=Y&amp;VAR:AUDIT_ID=00000117&amp;VAR:DATE=20050930&amp;action=UPDATE&amp;creator=factset&amp;DOC_NAME=FAT:FMA_audit_SUMMARY.fat&amp;DISPLAY_STRING=Display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09__FDSAUDITLINK__" hidden="1">{"fdsup://directions/FAT%20Viewer?VAR:PED=LTM&amp;VAR:PERIOD=FIXED&amp;VAR:V=16.470382&amp;VAR:PCT=Y&amp;VAR:AUDIT_ID=00000117&amp;VAR:DATE=20050930&amp;action=UPDATE&amp;creator=factset&amp;DOC_NAME=FAT:FMA_audit_SUMMARY.fat&amp;DISPLAY_STRING=Display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__FDSAUDITLINK__" localSheetId="8" hidden="1">{"fdsup://directions/FAT%20Viewer?VAR:PED=LTM&amp;VAR:PERIOD=FIXED&amp;VAR:V=16.632588&amp;VAR:PCT=Y&amp;VAR:AUDIT_ID=00000117&amp;VAR:DATE=20061229&amp;action=UPDATE&amp;creator=factset&amp;DOC_NAME=FAT:FMA_audit_SUMMARY.fat&amp;DISPLAY_STRING=Display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__FDSAUDITLINK__" localSheetId="2" hidden="1">{"fdsup://directions/FAT%20Viewer?VAR:PED=LTM&amp;VAR:PERIOD=FIXED&amp;VAR:V=16.632588&amp;VAR:PCT=Y&amp;VAR:AUDIT_ID=00000117&amp;VAR:DATE=20061229&amp;action=UPDATE&amp;creator=factset&amp;DOC_NAME=FAT:FMA_audit_SUMMARY.fat&amp;DISPLAY_STRING=Display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__FDSAUDITLINK__" hidden="1">{"fdsup://directions/FAT%20Viewer?VAR:PED=LTM&amp;VAR:PERIOD=FIXED&amp;VAR:V=16.632588&amp;VAR:PCT=Y&amp;VAR:AUDIT_ID=00000117&amp;VAR:DATE=20061229&amp;action=UPDATE&amp;creator=factset&amp;DOC_NAME=FAT:FMA_audit_SUMMARY.fat&amp;DISPLAY_STRING=Display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0__FDSAUDITLINK__" localSheetId="8" hidden="1">{"fdsup://directions/FAT%20Viewer?VAR:PED=LTM&amp;VAR:PERIOD=FIXED&amp;VAR:V=16.484475&amp;VAR:PCT=Y&amp;VAR:AUDIT_ID=00000117&amp;VAR:DATE=20050831&amp;action=UPDATE&amp;creator=factset&amp;DOC_NAME=FAT:FMA_audit_SUMMARY.fat&amp;DISPLAY_STRING=Display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0__FDSAUDITLINK__" localSheetId="2" hidden="1">{"fdsup://directions/FAT%20Viewer?VAR:PED=LTM&amp;VAR:PERIOD=FIXED&amp;VAR:V=16.484475&amp;VAR:PCT=Y&amp;VAR:AUDIT_ID=00000117&amp;VAR:DATE=20050831&amp;action=UPDATE&amp;creator=factset&amp;DOC_NAME=FAT:FMA_audit_SUMMARY.fat&amp;DISPLAY_STRING=Display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0__FDSAUDITLINK__" hidden="1">{"fdsup://directions/FAT%20Viewer?VAR:PED=LTM&amp;VAR:PERIOD=FIXED&amp;VAR:V=16.484475&amp;VAR:PCT=Y&amp;VAR:AUDIT_ID=00000117&amp;VAR:DATE=20050831&amp;action=UPDATE&amp;creator=factset&amp;DOC_NAME=FAT:FMA_audit_SUMMARY.fat&amp;DISPLAY_STRING=Display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1__FDSAUDITLINK__" localSheetId="8" hidden="1">{"fdsup://directions/FAT%20Viewer?VAR:PED=LTM&amp;VAR:PERIOD=FIXED&amp;VAR:V=15.897252&amp;VAR:PCT=Y&amp;VAR:AUDIT_ID=00000117&amp;VAR:DATE=20050729&amp;action=UPDATE&amp;creator=factset&amp;DOC_NAME=FAT:FMA_audit_SUMMARY.fat&amp;DISPLAY_STRING=Display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1__FDSAUDITLINK__" localSheetId="2" hidden="1">{"fdsup://directions/FAT%20Viewer?VAR:PED=LTM&amp;VAR:PERIOD=FIXED&amp;VAR:V=15.897252&amp;VAR:PCT=Y&amp;VAR:AUDIT_ID=00000117&amp;VAR:DATE=20050729&amp;action=UPDATE&amp;creator=factset&amp;DOC_NAME=FAT:FMA_audit_SUMMARY.fat&amp;DISPLAY_STRING=Display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1__FDSAUDITLINK__" hidden="1">{"fdsup://directions/FAT%20Viewer?VAR:PED=LTM&amp;VAR:PERIOD=FIXED&amp;VAR:V=15.897252&amp;VAR:PCT=Y&amp;VAR:AUDIT_ID=00000117&amp;VAR:DATE=20050729&amp;action=UPDATE&amp;creator=factset&amp;DOC_NAME=FAT:FMA_audit_SUMMARY.fat&amp;DISPLAY_STRING=Display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2__FDSAUDITLINK__" localSheetId="8" hidden="1">{"fdsup://directions/FAT%20Viewer?VAR:PED=LTM&amp;VAR:PERIOD=FIXED&amp;VAR:V=15.879886&amp;VAR:PCT=Y&amp;VAR:AUDIT_ID=00000117&amp;VAR:DATE=20050630&amp;action=UPDATE&amp;creator=factset&amp;DOC_NAME=FAT:FMA_audit_SUMMARY.fat&amp;DISPLAY_STRING=Display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2__FDSAUDITLINK__" localSheetId="2" hidden="1">{"fdsup://directions/FAT%20Viewer?VAR:PED=LTM&amp;VAR:PERIOD=FIXED&amp;VAR:V=15.879886&amp;VAR:PCT=Y&amp;VAR:AUDIT_ID=00000117&amp;VAR:DATE=20050630&amp;action=UPDATE&amp;creator=factset&amp;DOC_NAME=FAT:FMA_audit_SUMMARY.fat&amp;DISPLAY_STRING=Display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2__FDSAUDITLINK__" hidden="1">{"fdsup://directions/FAT%20Viewer?VAR:PED=LTM&amp;VAR:PERIOD=FIXED&amp;VAR:V=15.879886&amp;VAR:PCT=Y&amp;VAR:AUDIT_ID=00000117&amp;VAR:DATE=20050630&amp;action=UPDATE&amp;creator=factset&amp;DOC_NAME=FAT:FMA_audit_SUMMARY.fat&amp;DISPLAY_STRING=Display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3__FDSAUDITLINK__" localSheetId="8" hidden="1">{"fdsup://directions/FAT%20Viewer?VAR:PED=LTM&amp;VAR:PERIOD=FIXED&amp;VAR:V=15.857796&amp;VAR:PCT=Y&amp;VAR:AUDIT_ID=00000117&amp;VAR:DATE=20050531&amp;action=UPDATE&amp;creator=factset&amp;DOC_NAME=FAT:FMA_audit_SUMMARY.fat&amp;DISPLAY_STRING=Display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3__FDSAUDITLINK__" localSheetId="2" hidden="1">{"fdsup://directions/FAT%20Viewer?VAR:PED=LTM&amp;VAR:PERIOD=FIXED&amp;VAR:V=15.857796&amp;VAR:PCT=Y&amp;VAR:AUDIT_ID=00000117&amp;VAR:DATE=20050531&amp;action=UPDATE&amp;creator=factset&amp;DOC_NAME=FAT:FMA_audit_SUMMARY.fat&amp;DISPLAY_STRING=Display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3__FDSAUDITLINK__" hidden="1">{"fdsup://directions/FAT%20Viewer?VAR:PED=LTM&amp;VAR:PERIOD=FIXED&amp;VAR:V=15.857796&amp;VAR:PCT=Y&amp;VAR:AUDIT_ID=00000117&amp;VAR:DATE=20050531&amp;action=UPDATE&amp;creator=factset&amp;DOC_NAME=FAT:FMA_audit_SUMMARY.fat&amp;DISPLAY_STRING=Display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4__FDSAUDITLINK__" localSheetId="8" hidden="1">{"fdsup://directions/FAT%20Viewer?VAR:PED=LTM&amp;VAR:PERIOD=FIXED&amp;VAR:V=15.871055&amp;VAR:PCT=Y&amp;VAR:AUDIT_ID=00000117&amp;VAR:DATE=20050429&amp;action=UPDATE&amp;creator=factset&amp;DOC_NAME=FAT:FMA_audit_SUMMARY.fat&amp;DISPLAY_STRING=Display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4__FDSAUDITLINK__" localSheetId="2" hidden="1">{"fdsup://directions/FAT%20Viewer?VAR:PED=LTM&amp;VAR:PERIOD=FIXED&amp;VAR:V=15.871055&amp;VAR:PCT=Y&amp;VAR:AUDIT_ID=00000117&amp;VAR:DATE=20050429&amp;action=UPDATE&amp;creator=factset&amp;DOC_NAME=FAT:FMA_audit_SUMMARY.fat&amp;DISPLAY_STRING=Display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4__FDSAUDITLINK__" hidden="1">{"fdsup://directions/FAT%20Viewer?VAR:PED=LTM&amp;VAR:PERIOD=FIXED&amp;VAR:V=15.871055&amp;VAR:PCT=Y&amp;VAR:AUDIT_ID=00000117&amp;VAR:DATE=20050429&amp;action=UPDATE&amp;creator=factset&amp;DOC_NAME=FAT:FMA_audit_SUMMARY.fat&amp;DISPLAY_STRING=Display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5__FDSAUDITLINK__" localSheetId="8" hidden="1">{"fdsup://directions/FAT%20Viewer?VAR:PED=LTM&amp;VAR:PERIOD=FIXED&amp;VAR:V=15.866636&amp;VAR:PCT=Y&amp;VAR:AUDIT_ID=00000117&amp;VAR:DATE=20050331&amp;action=UPDATE&amp;creator=factset&amp;DOC_NAME=FAT:FMA_audit_SUMMARY.fat&amp;DISPLAY_STRING=Display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5__FDSAUDITLINK__" localSheetId="2" hidden="1">{"fdsup://directions/FAT%20Viewer?VAR:PED=LTM&amp;VAR:PERIOD=FIXED&amp;VAR:V=15.866636&amp;VAR:PCT=Y&amp;VAR:AUDIT_ID=00000117&amp;VAR:DATE=20050331&amp;action=UPDATE&amp;creator=factset&amp;DOC_NAME=FAT:FMA_audit_SUMMARY.fat&amp;DISPLAY_STRING=Display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5__FDSAUDITLINK__" hidden="1">{"fdsup://directions/FAT%20Viewer?VAR:PED=LTM&amp;VAR:PERIOD=FIXED&amp;VAR:V=15.866636&amp;VAR:PCT=Y&amp;VAR:AUDIT_ID=00000117&amp;VAR:DATE=20050331&amp;action=UPDATE&amp;creator=factset&amp;DOC_NAME=FAT:FMA_audit_SUMMARY.fat&amp;DISPLAY_STRING=Display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6__FDSAUDITLINK__" localSheetId="8" hidden="1">{"fdsup://directions/FAT%20Viewer?VAR:PED=LTM&amp;VAR:PERIOD=FIXED&amp;VAR:V=15.898235&amp;VAR:PCT=Y&amp;VAR:AUDIT_ID=00000117&amp;VAR:DATE=20050228&amp;action=UPDATE&amp;creator=factset&amp;DOC_NAME=FAT:FMA_audit_SUMMARY.fat&amp;DISPLAY_STRING=Display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6__FDSAUDITLINK__" localSheetId="2" hidden="1">{"fdsup://directions/FAT%20Viewer?VAR:PED=LTM&amp;VAR:PERIOD=FIXED&amp;VAR:V=15.898235&amp;VAR:PCT=Y&amp;VAR:AUDIT_ID=00000117&amp;VAR:DATE=20050228&amp;action=UPDATE&amp;creator=factset&amp;DOC_NAME=FAT:FMA_audit_SUMMARY.fat&amp;DISPLAY_STRING=Display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6__FDSAUDITLINK__" hidden="1">{"fdsup://directions/FAT%20Viewer?VAR:PED=LTM&amp;VAR:PERIOD=FIXED&amp;VAR:V=15.898235&amp;VAR:PCT=Y&amp;VAR:AUDIT_ID=00000117&amp;VAR:DATE=20050228&amp;action=UPDATE&amp;creator=factset&amp;DOC_NAME=FAT:FMA_audit_SUMMARY.fat&amp;DISPLAY_STRING=Display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7__FDSAUDITLINK__" localSheetId="8" hidden="1">{"fdsup://directions/FAT%20Viewer?VAR:PED=LTM&amp;VAR:PERIOD=FIXED&amp;VAR:V=16.166316&amp;VAR:PCT=Y&amp;VAR:AUDIT_ID=00000117&amp;VAR:DATE=20050131&amp;action=UPDATE&amp;creator=factset&amp;DOC_NAME=FAT:FMA_audit_SUMMARY.fat&amp;DISPLAY_STRING=Display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7__FDSAUDITLINK__" localSheetId="2" hidden="1">{"fdsup://directions/FAT%20Viewer?VAR:PED=LTM&amp;VAR:PERIOD=FIXED&amp;VAR:V=16.166316&amp;VAR:PCT=Y&amp;VAR:AUDIT_ID=00000117&amp;VAR:DATE=20050131&amp;action=UPDATE&amp;creator=factset&amp;DOC_NAME=FAT:FMA_audit_SUMMARY.fat&amp;DISPLAY_STRING=Display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7__FDSAUDITLINK__" hidden="1">{"fdsup://directions/FAT%20Viewer?VAR:PED=LTM&amp;VAR:PERIOD=FIXED&amp;VAR:V=16.166316&amp;VAR:PCT=Y&amp;VAR:AUDIT_ID=00000117&amp;VAR:DATE=20050131&amp;action=UPDATE&amp;creator=factset&amp;DOC_NAME=FAT:FMA_audit_SUMMARY.fat&amp;DISPLAY_STRING=Display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8__FDSAUDITLINK__" localSheetId="8" hidden="1">{"fdsup://directions/FAT%20Viewer?VAR:PED=LTM&amp;VAR:PERIOD=FIXED&amp;VAR:V=16.172760&amp;VAR:PCT=Y&amp;VAR:AUDIT_ID=00000117&amp;VAR:DATE=20041231&amp;action=UPDATE&amp;creator=factset&amp;DOC_NAME=FAT:FMA_audit_SUMMARY.fat&amp;DISPLAY_STRING=Display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8__FDSAUDITLINK__" localSheetId="2" hidden="1">{"fdsup://directions/FAT%20Viewer?VAR:PED=LTM&amp;VAR:PERIOD=FIXED&amp;VAR:V=16.172760&amp;VAR:PCT=Y&amp;VAR:AUDIT_ID=00000117&amp;VAR:DATE=20041231&amp;action=UPDATE&amp;creator=factset&amp;DOC_NAME=FAT:FMA_audit_SUMMARY.fat&amp;DISPLAY_STRING=Display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8__FDSAUDITLINK__" hidden="1">{"fdsup://directions/FAT%20Viewer?VAR:PED=LTM&amp;VAR:PERIOD=FIXED&amp;VAR:V=16.172760&amp;VAR:PCT=Y&amp;VAR:AUDIT_ID=00000117&amp;VAR:DATE=20041231&amp;action=UPDATE&amp;creator=factset&amp;DOC_NAME=FAT:FMA_audit_SUMMARY.fat&amp;DISPLAY_STRING=Display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9__FDSAUDITLINK__" localSheetId="8" hidden="1">{"fdsup://directions/FAT%20Viewer?VAR:PED=LTM&amp;VAR:PERIOD=FIXED&amp;VAR:V=16.243190&amp;VAR:PCT=Y&amp;VAR:AUDIT_ID=00000117&amp;VAR:DATE=20041130&amp;action=UPDATE&amp;creator=factset&amp;DOC_NAME=FAT:FMA_audit_SUMMARY.fat&amp;DISPLAY_STRING=Display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9__FDSAUDITLINK__" localSheetId="2" hidden="1">{"fdsup://directions/FAT%20Viewer?VAR:PED=LTM&amp;VAR:PERIOD=FIXED&amp;VAR:V=16.243190&amp;VAR:PCT=Y&amp;VAR:AUDIT_ID=00000117&amp;VAR:DATE=20041130&amp;action=UPDATE&amp;creator=factset&amp;DOC_NAME=FAT:FMA_audit_SUMMARY.fat&amp;DISPLAY_STRING=Display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19__FDSAUDITLINK__" hidden="1">{"fdsup://directions/FAT%20Viewer?VAR:PED=LTM&amp;VAR:PERIOD=FIXED&amp;VAR:V=16.243190&amp;VAR:PCT=Y&amp;VAR:AUDIT_ID=00000117&amp;VAR:DATE=20041130&amp;action=UPDATE&amp;creator=factset&amp;DOC_NAME=FAT:FMA_audit_SUMMARY.fat&amp;DISPLAY_STRING=Display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__FDSAUDITLINK__" localSheetId="8" hidden="1">{"fdsup://directions/FAT%20Viewer?VAR:PED=LTM&amp;VAR:PERIOD=FIXED&amp;VAR:V=16.644970&amp;VAR:PCT=Y&amp;VAR:AUDIT_ID=00000117&amp;VAR:DATE=20061130&amp;action=UPDATE&amp;creator=factset&amp;DOC_NAME=FAT:FMA_audit_SUMMARY.fat&amp;DISPLAY_STRING=Display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__FDSAUDITLINK__" localSheetId="2" hidden="1">{"fdsup://directions/FAT%20Viewer?VAR:PED=LTM&amp;VAR:PERIOD=FIXED&amp;VAR:V=16.644970&amp;VAR:PCT=Y&amp;VAR:AUDIT_ID=00000117&amp;VAR:DATE=20061130&amp;action=UPDATE&amp;creator=factset&amp;DOC_NAME=FAT:FMA_audit_SUMMARY.fat&amp;DISPLAY_STRING=Display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__FDSAUDITLINK__" hidden="1">{"fdsup://directions/FAT%20Viewer?VAR:PED=LTM&amp;VAR:PERIOD=FIXED&amp;VAR:V=16.644970&amp;VAR:PCT=Y&amp;VAR:AUDIT_ID=00000117&amp;VAR:DATE=20061130&amp;action=UPDATE&amp;creator=factset&amp;DOC_NAME=FAT:FMA_audit_SUMMARY.fat&amp;DISPLAY_STRING=Display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0__FDSAUDITLINK__" localSheetId="8" hidden="1">{"fdsup://directions/FAT%20Viewer?VAR:PED=LTM&amp;VAR:PERIOD=FIXED&amp;VAR:V=16.269566&amp;VAR:PCT=Y&amp;VAR:AUDIT_ID=00000117&amp;VAR:DATE=20041029&amp;action=UPDATE&amp;creator=factset&amp;DOC_NAME=FAT:FMA_audit_SUMMARY.fat&amp;DISPLAY_STRING=Display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0__FDSAUDITLINK__" localSheetId="2" hidden="1">{"fdsup://directions/FAT%20Viewer?VAR:PED=LTM&amp;VAR:PERIOD=FIXED&amp;VAR:V=16.269566&amp;VAR:PCT=Y&amp;VAR:AUDIT_ID=00000117&amp;VAR:DATE=20041029&amp;action=UPDATE&amp;creator=factset&amp;DOC_NAME=FAT:FMA_audit_SUMMARY.fat&amp;DISPLAY_STRING=Display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0__FDSAUDITLINK__" hidden="1">{"fdsup://directions/FAT%20Viewer?VAR:PED=LTM&amp;VAR:PERIOD=FIXED&amp;VAR:V=16.269566&amp;VAR:PCT=Y&amp;VAR:AUDIT_ID=00000117&amp;VAR:DATE=20041029&amp;action=UPDATE&amp;creator=factset&amp;DOC_NAME=FAT:FMA_audit_SUMMARY.fat&amp;DISPLAY_STRING=Display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1__FDSAUDITLINK__" localSheetId="8" hidden="1">{"fdsup://directions/FAT%20Viewer?VAR:PED=LTM&amp;VAR:PERIOD=FIXED&amp;VAR:V=16.140777&amp;VAR:PCT=Y&amp;VAR:AUDIT_ID=00000117&amp;VAR:DATE=20040930&amp;action=UPDATE&amp;creator=factset&amp;DOC_NAME=FAT:FMA_audit_SUMMARY.fat&amp;DISPLAY_STRING=Display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1__FDSAUDITLINK__" localSheetId="2" hidden="1">{"fdsup://directions/FAT%20Viewer?VAR:PED=LTM&amp;VAR:PERIOD=FIXED&amp;VAR:V=16.140777&amp;VAR:PCT=Y&amp;VAR:AUDIT_ID=00000117&amp;VAR:DATE=20040930&amp;action=UPDATE&amp;creator=factset&amp;DOC_NAME=FAT:FMA_audit_SUMMARY.fat&amp;DISPLAY_STRING=Display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1__FDSAUDITLINK__" hidden="1">{"fdsup://directions/FAT%20Viewer?VAR:PED=LTM&amp;VAR:PERIOD=FIXED&amp;VAR:V=16.140777&amp;VAR:PCT=Y&amp;VAR:AUDIT_ID=00000117&amp;VAR:DATE=20040930&amp;action=UPDATE&amp;creator=factset&amp;DOC_NAME=FAT:FMA_audit_SUMMARY.fat&amp;DISPLAY_STRING=Display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2__FDSAUDITLINK__" localSheetId="8" hidden="1">{"fdsup://directions/FAT%20Viewer?VAR:PED=LTM&amp;VAR:PERIOD=FIXED&amp;VAR:V=16.059755&amp;VAR:PCT=Y&amp;VAR:AUDIT_ID=00000117&amp;VAR:DATE=20040831&amp;action=UPDATE&amp;creator=factset&amp;DOC_NAME=FAT:FMA_audit_SUMMARY.fat&amp;DISPLAY_STRING=Display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2__FDSAUDITLINK__" localSheetId="2" hidden="1">{"fdsup://directions/FAT%20Viewer?VAR:PED=LTM&amp;VAR:PERIOD=FIXED&amp;VAR:V=16.059755&amp;VAR:PCT=Y&amp;VAR:AUDIT_ID=00000117&amp;VAR:DATE=20040831&amp;action=UPDATE&amp;creator=factset&amp;DOC_NAME=FAT:FMA_audit_SUMMARY.fat&amp;DISPLAY_STRING=Display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2__FDSAUDITLINK__" hidden="1">{"fdsup://directions/FAT%20Viewer?VAR:PED=LTM&amp;VAR:PERIOD=FIXED&amp;VAR:V=16.059755&amp;VAR:PCT=Y&amp;VAR:AUDIT_ID=00000117&amp;VAR:DATE=20040831&amp;action=UPDATE&amp;creator=factset&amp;DOC_NAME=FAT:FMA_audit_SUMMARY.fat&amp;DISPLAY_STRING=Display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3__FDSAUDITLINK__" localSheetId="8" hidden="1">{"fdsup://directions/FAT%20Viewer?VAR:PED=LTM&amp;VAR:PERIOD=FIXED&amp;VAR:V=15.826939&amp;VAR:PCT=Y&amp;VAR:AUDIT_ID=00000117&amp;VAR:DATE=20040730&amp;action=UPDATE&amp;creator=factset&amp;DOC_NAME=FAT:FMA_audit_SUMMARY.fat&amp;DISPLAY_STRING=Display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3__FDSAUDITLINK__" localSheetId="2" hidden="1">{"fdsup://directions/FAT%20Viewer?VAR:PED=LTM&amp;VAR:PERIOD=FIXED&amp;VAR:V=15.826939&amp;VAR:PCT=Y&amp;VAR:AUDIT_ID=00000117&amp;VAR:DATE=20040730&amp;action=UPDATE&amp;creator=factset&amp;DOC_NAME=FAT:FMA_audit_SUMMARY.fat&amp;DISPLAY_STRING=Display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3__FDSAUDITLINK__" hidden="1">{"fdsup://directions/FAT%20Viewer?VAR:PED=LTM&amp;VAR:PERIOD=FIXED&amp;VAR:V=15.826939&amp;VAR:PCT=Y&amp;VAR:AUDIT_ID=00000117&amp;VAR:DATE=20040730&amp;action=UPDATE&amp;creator=factset&amp;DOC_NAME=FAT:FMA_audit_SUMMARY.fat&amp;DISPLAY_STRING=Display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4__FDSAUDITLINK__" localSheetId="8" hidden="1">{"fdsup://directions/FAT%20Viewer?VAR:PED=LTM&amp;VAR:PERIOD=FIXED&amp;VAR:V=15.708393&amp;VAR:PCT=Y&amp;VAR:AUDIT_ID=00000117&amp;VAR:DATE=20040630&amp;action=UPDATE&amp;creator=factset&amp;DOC_NAME=FAT:FMA_audit_SUMMARY.fat&amp;DISPLAY_STRING=Display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4__FDSAUDITLINK__" localSheetId="2" hidden="1">{"fdsup://directions/FAT%20Viewer?VAR:PED=LTM&amp;VAR:PERIOD=FIXED&amp;VAR:V=15.708393&amp;VAR:PCT=Y&amp;VAR:AUDIT_ID=00000117&amp;VAR:DATE=20040630&amp;action=UPDATE&amp;creator=factset&amp;DOC_NAME=FAT:FMA_audit_SUMMARY.fat&amp;DISPLAY_STRING=Display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4__FDSAUDITLINK__" hidden="1">{"fdsup://directions/FAT%20Viewer?VAR:PED=LTM&amp;VAR:PERIOD=FIXED&amp;VAR:V=15.708393&amp;VAR:PCT=Y&amp;VAR:AUDIT_ID=00000117&amp;VAR:DATE=20040630&amp;action=UPDATE&amp;creator=factset&amp;DOC_NAME=FAT:FMA_audit_SUMMARY.fat&amp;DISPLAY_STRING=Display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5__FDSAUDITLINK__" localSheetId="8" hidden="1">{"fdsup://directions/FAT%20Viewer?VAR:PED=LTM&amp;VAR:PERIOD=FIXED&amp;VAR:V=15.670654&amp;VAR:PCT=Y&amp;VAR:AUDIT_ID=00000117&amp;VAR:DATE=20040531&amp;action=UPDATE&amp;creator=factset&amp;DOC_NAME=FAT:FMA_audit_SUMMARY.fat&amp;DISPLAY_STRING=Display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5__FDSAUDITLINK__" localSheetId="2" hidden="1">{"fdsup://directions/FAT%20Viewer?VAR:PED=LTM&amp;VAR:PERIOD=FIXED&amp;VAR:V=15.670654&amp;VAR:PCT=Y&amp;VAR:AUDIT_ID=00000117&amp;VAR:DATE=20040531&amp;action=UPDATE&amp;creator=factset&amp;DOC_NAME=FAT:FMA_audit_SUMMARY.fat&amp;DISPLAY_STRING=Display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5__FDSAUDITLINK__" hidden="1">{"fdsup://directions/FAT%20Viewer?VAR:PED=LTM&amp;VAR:PERIOD=FIXED&amp;VAR:V=15.670654&amp;VAR:PCT=Y&amp;VAR:AUDIT_ID=00000117&amp;VAR:DATE=20040531&amp;action=UPDATE&amp;creator=factset&amp;DOC_NAME=FAT:FMA_audit_SUMMARY.fat&amp;DISPLAY_STRING=Display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6__FDSAUDITLINK__" localSheetId="8" hidden="1">{"fdsup://directions/FAT%20Viewer?VAR:PED=LTM&amp;VAR:PERIOD=FIXED&amp;VAR:V=15.624337&amp;VAR:PCT=Y&amp;VAR:AUDIT_ID=00000117&amp;VAR:DATE=20040430&amp;action=UPDATE&amp;creator=factset&amp;DOC_NAME=FAT:FMA_audit_SUMMARY.fat&amp;DISPLAY_STRING=Display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6__FDSAUDITLINK__" localSheetId="2" hidden="1">{"fdsup://directions/FAT%20Viewer?VAR:PED=LTM&amp;VAR:PERIOD=FIXED&amp;VAR:V=15.624337&amp;VAR:PCT=Y&amp;VAR:AUDIT_ID=00000117&amp;VAR:DATE=20040430&amp;action=UPDATE&amp;creator=factset&amp;DOC_NAME=FAT:FMA_audit_SUMMARY.fat&amp;DISPLAY_STRING=Display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6__FDSAUDITLINK__" hidden="1">{"fdsup://directions/FAT%20Viewer?VAR:PED=LTM&amp;VAR:PERIOD=FIXED&amp;VAR:V=15.624337&amp;VAR:PCT=Y&amp;VAR:AUDIT_ID=00000117&amp;VAR:DATE=20040430&amp;action=UPDATE&amp;creator=factset&amp;DOC_NAME=FAT:FMA_audit_SUMMARY.fat&amp;DISPLAY_STRING=Display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7__FDSAUDITLINK__" localSheetId="8" hidden="1">{"fdsup://directions/FAT%20Viewer?VAR:PED=LTM&amp;VAR:PERIOD=FIXED&amp;VAR:V=15.577105&amp;VAR:PCT=Y&amp;VAR:AUDIT_ID=00000117&amp;VAR:DATE=20040331&amp;action=UPDATE&amp;creator=factset&amp;DOC_NAME=FAT:FMA_audit_SUMMARY.fat&amp;DISPLAY_STRING=Display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7__FDSAUDITLINK__" localSheetId="2" hidden="1">{"fdsup://directions/FAT%20Viewer?VAR:PED=LTM&amp;VAR:PERIOD=FIXED&amp;VAR:V=15.577105&amp;VAR:PCT=Y&amp;VAR:AUDIT_ID=00000117&amp;VAR:DATE=20040331&amp;action=UPDATE&amp;creator=factset&amp;DOC_NAME=FAT:FMA_audit_SUMMARY.fat&amp;DISPLAY_STRING=Display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7__FDSAUDITLINK__" hidden="1">{"fdsup://directions/FAT%20Viewer?VAR:PED=LTM&amp;VAR:PERIOD=FIXED&amp;VAR:V=15.577105&amp;VAR:PCT=Y&amp;VAR:AUDIT_ID=00000117&amp;VAR:DATE=20040331&amp;action=UPDATE&amp;creator=factset&amp;DOC_NAME=FAT:FMA_audit_SUMMARY.fat&amp;DISPLAY_STRING=Display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8__FDSAUDITLINK__" localSheetId="8" hidden="1">{"fdsup://directions/FAT%20Viewer?VAR:PED=LTM&amp;VAR:PERIOD=FIXED&amp;VAR:V=15.591905&amp;VAR:PCT=Y&amp;VAR:AUDIT_ID=00000117&amp;VAR:DATE=20040227&amp;action=UPDATE&amp;creator=factset&amp;DOC_NAME=FAT:FMA_audit_SUMMARY.fat&amp;DISPLAY_STRING=Display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8__FDSAUDITLINK__" localSheetId="2" hidden="1">{"fdsup://directions/FAT%20Viewer?VAR:PED=LTM&amp;VAR:PERIOD=FIXED&amp;VAR:V=15.591905&amp;VAR:PCT=Y&amp;VAR:AUDIT_ID=00000117&amp;VAR:DATE=20040227&amp;action=UPDATE&amp;creator=factset&amp;DOC_NAME=FAT:FMA_audit_SUMMARY.fat&amp;DISPLAY_STRING=Display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8__FDSAUDITLINK__" hidden="1">{"fdsup://directions/FAT%20Viewer?VAR:PED=LTM&amp;VAR:PERIOD=FIXED&amp;VAR:V=15.591905&amp;VAR:PCT=Y&amp;VAR:AUDIT_ID=00000117&amp;VAR:DATE=20040227&amp;action=UPDATE&amp;creator=factset&amp;DOC_NAME=FAT:FMA_audit_SUMMARY.fat&amp;DISPLAY_STRING=Display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9__FDSAUDITLINK__" localSheetId="8" hidden="1">{"fdsup://directions/FAT%20Viewer?VAR:PED=LTM&amp;VAR:PERIOD=FIXED&amp;VAR:V=15.028685&amp;VAR:PCT=Y&amp;VAR:AUDIT_ID=00000117&amp;VAR:DATE=20040130&amp;action=UPDATE&amp;creator=factset&amp;DOC_NAME=FAT:FMA_audit_SUMMARY.fat&amp;DISPLAY_STRING=Display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9__FDSAUDITLINK__" localSheetId="2" hidden="1">{"fdsup://directions/FAT%20Viewer?VAR:PED=LTM&amp;VAR:PERIOD=FIXED&amp;VAR:V=15.028685&amp;VAR:PCT=Y&amp;VAR:AUDIT_ID=00000117&amp;VAR:DATE=20040130&amp;action=UPDATE&amp;creator=factset&amp;DOC_NAME=FAT:FMA_audit_SUMMARY.fat&amp;DISPLAY_STRING=Display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29__FDSAUDITLINK__" hidden="1">{"fdsup://directions/FAT%20Viewer?VAR:PED=LTM&amp;VAR:PERIOD=FIXED&amp;VAR:V=15.028685&amp;VAR:PCT=Y&amp;VAR:AUDIT_ID=00000117&amp;VAR:DATE=20040130&amp;action=UPDATE&amp;creator=factset&amp;DOC_NAME=FAT:FMA_audit_SUMMARY.fat&amp;DISPLAY_STRING=Display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__FDSAUDITLINK__" localSheetId="8" hidden="1">{"fdsup://directions/FAT%20Viewer?VAR:PED=LTM&amp;VAR:PERIOD=FIXED&amp;VAR:V=16.520646&amp;VAR:PCT=Y&amp;VAR:AUDIT_ID=00000117&amp;VAR:DATE=20061031&amp;action=UPDATE&amp;creator=factset&amp;DOC_NAME=FAT:FMA_audit_SUMMARY.fat&amp;DISPLAY_STRING=Display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__FDSAUDITLINK__" localSheetId="2" hidden="1">{"fdsup://directions/FAT%20Viewer?VAR:PED=LTM&amp;VAR:PERIOD=FIXED&amp;VAR:V=16.520646&amp;VAR:PCT=Y&amp;VAR:AUDIT_ID=00000117&amp;VAR:DATE=20061031&amp;action=UPDATE&amp;creator=factset&amp;DOC_NAME=FAT:FMA_audit_SUMMARY.fat&amp;DISPLAY_STRING=Display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__FDSAUDITLINK__" hidden="1">{"fdsup://directions/FAT%20Viewer?VAR:PED=LTM&amp;VAR:PERIOD=FIXED&amp;VAR:V=16.520646&amp;VAR:PCT=Y&amp;VAR:AUDIT_ID=00000117&amp;VAR:DATE=20061031&amp;action=UPDATE&amp;creator=factset&amp;DOC_NAME=FAT:FMA_audit_SUMMARY.fat&amp;DISPLAY_STRING=Display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0__FDSAUDITLINK__" localSheetId="8" hidden="1">{"fdsup://directions/FAT%20Viewer?VAR:PED=LTM&amp;VAR:PERIOD=FIXED&amp;VAR:V=15.017618&amp;VAR:PCT=Y&amp;VAR:AUDIT_ID=00000117&amp;VAR:DATE=20031231&amp;action=UPDATE&amp;creator=factset&amp;DOC_NAME=FAT:FMA_audit_SUMMARY.fat&amp;DISPLAY_STRING=Display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0__FDSAUDITLINK__" localSheetId="2" hidden="1">{"fdsup://directions/FAT%20Viewer?VAR:PED=LTM&amp;VAR:PERIOD=FIXED&amp;VAR:V=15.017618&amp;VAR:PCT=Y&amp;VAR:AUDIT_ID=00000117&amp;VAR:DATE=20031231&amp;action=UPDATE&amp;creator=factset&amp;DOC_NAME=FAT:FMA_audit_SUMMARY.fat&amp;DISPLAY_STRING=Display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0__FDSAUDITLINK__" hidden="1">{"fdsup://directions/FAT%20Viewer?VAR:PED=LTM&amp;VAR:PERIOD=FIXED&amp;VAR:V=15.017618&amp;VAR:PCT=Y&amp;VAR:AUDIT_ID=00000117&amp;VAR:DATE=20031231&amp;action=UPDATE&amp;creator=factset&amp;DOC_NAME=FAT:FMA_audit_SUMMARY.fat&amp;DISPLAY_STRING=Display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1__FDSAUDITLINK__" localSheetId="8" hidden="1">{"fdsup://directions/FAT%20Viewer?VAR:PED=LTM&amp;VAR:PERIOD=FIXED&amp;VAR:V=14.882030&amp;VAR:PCT=Y&amp;VAR:AUDIT_ID=00000117&amp;VAR:DATE=20031128&amp;action=UPDATE&amp;creator=factset&amp;DOC_NAME=FAT:FMA_audit_SUMMARY.fat&amp;DISPLAY_STRING=Display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1__FDSAUDITLINK__" localSheetId="2" hidden="1">{"fdsup://directions/FAT%20Viewer?VAR:PED=LTM&amp;VAR:PERIOD=FIXED&amp;VAR:V=14.882030&amp;VAR:PCT=Y&amp;VAR:AUDIT_ID=00000117&amp;VAR:DATE=20031128&amp;action=UPDATE&amp;creator=factset&amp;DOC_NAME=FAT:FMA_audit_SUMMARY.fat&amp;DISPLAY_STRING=Display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1__FDSAUDITLINK__" hidden="1">{"fdsup://directions/FAT%20Viewer?VAR:PED=LTM&amp;VAR:PERIOD=FIXED&amp;VAR:V=14.882030&amp;VAR:PCT=Y&amp;VAR:AUDIT_ID=00000117&amp;VAR:DATE=20031128&amp;action=UPDATE&amp;creator=factset&amp;DOC_NAME=FAT:FMA_audit_SUMMARY.fat&amp;DISPLAY_STRING=Display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2__FDSAUDITLINK__" localSheetId="8" hidden="1">{"fdsup://directions/FAT%20Viewer?VAR:PED=LTM&amp;VAR:PERIOD=FIXED&amp;VAR:V=14.289902&amp;VAR:PCT=Y&amp;VAR:AUDIT_ID=00000117&amp;VAR:DATE=20031031&amp;action=UPDATE&amp;creator=factset&amp;DOC_NAME=FAT:FMA_audit_SUMMARY.fat&amp;DISPLAY_STRING=Display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2__FDSAUDITLINK__" localSheetId="2" hidden="1">{"fdsup://directions/FAT%20Viewer?VAR:PED=LTM&amp;VAR:PERIOD=FIXED&amp;VAR:V=14.289902&amp;VAR:PCT=Y&amp;VAR:AUDIT_ID=00000117&amp;VAR:DATE=20031031&amp;action=UPDATE&amp;creator=factset&amp;DOC_NAME=FAT:FMA_audit_SUMMARY.fat&amp;DISPLAY_STRING=Display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2__FDSAUDITLINK__" hidden="1">{"fdsup://directions/FAT%20Viewer?VAR:PED=LTM&amp;VAR:PERIOD=FIXED&amp;VAR:V=14.289902&amp;VAR:PCT=Y&amp;VAR:AUDIT_ID=00000117&amp;VAR:DATE=20031031&amp;action=UPDATE&amp;creator=factset&amp;DOC_NAME=FAT:FMA_audit_SUMMARY.fat&amp;DISPLAY_STRING=Display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3__FDSAUDITLINK__" localSheetId="8" hidden="1">{"fdsup://directions/FAT%20Viewer?VAR:PED=LTM&amp;VAR:PERIOD=FIXED&amp;VAR:V=14.259553&amp;VAR:PCT=Y&amp;VAR:AUDIT_ID=00000117&amp;VAR:DATE=20030930&amp;action=UPDATE&amp;creator=factset&amp;DOC_NAME=FAT:FMA_audit_SUMMARY.fat&amp;DISPLAY_STRING=Display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3__FDSAUDITLINK__" localSheetId="2" hidden="1">{"fdsup://directions/FAT%20Viewer?VAR:PED=LTM&amp;VAR:PERIOD=FIXED&amp;VAR:V=14.259553&amp;VAR:PCT=Y&amp;VAR:AUDIT_ID=00000117&amp;VAR:DATE=20030930&amp;action=UPDATE&amp;creator=factset&amp;DOC_NAME=FAT:FMA_audit_SUMMARY.fat&amp;DISPLAY_STRING=Display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3__FDSAUDITLINK__" hidden="1">{"fdsup://directions/FAT%20Viewer?VAR:PED=LTM&amp;VAR:PERIOD=FIXED&amp;VAR:V=14.259553&amp;VAR:PCT=Y&amp;VAR:AUDIT_ID=00000117&amp;VAR:DATE=20030930&amp;action=UPDATE&amp;creator=factset&amp;DOC_NAME=FAT:FMA_audit_SUMMARY.fat&amp;DISPLAY_STRING=Display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4__FDSAUDITLINK__" localSheetId="8" hidden="1">{"fdsup://directions/FAT%20Viewer?VAR:PED=LTM&amp;VAR:PERIOD=FIXED&amp;VAR:V=14.236775&amp;VAR:PCT=Y&amp;VAR:AUDIT_ID=00000117&amp;VAR:DATE=20030829&amp;action=UPDATE&amp;creator=factset&amp;DOC_NAME=FAT:FMA_audit_SUMMARY.fat&amp;DISPLAY_STRING=Display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4__FDSAUDITLINK__" localSheetId="2" hidden="1">{"fdsup://directions/FAT%20Viewer?VAR:PED=LTM&amp;VAR:PERIOD=FIXED&amp;VAR:V=14.236775&amp;VAR:PCT=Y&amp;VAR:AUDIT_ID=00000117&amp;VAR:DATE=20030829&amp;action=UPDATE&amp;creator=factset&amp;DOC_NAME=FAT:FMA_audit_SUMMARY.fat&amp;DISPLAY_STRING=Display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4__FDSAUDITLINK__" hidden="1">{"fdsup://directions/FAT%20Viewer?VAR:PED=LTM&amp;VAR:PERIOD=FIXED&amp;VAR:V=14.236775&amp;VAR:PCT=Y&amp;VAR:AUDIT_ID=00000117&amp;VAR:DATE=20030829&amp;action=UPDATE&amp;creator=factset&amp;DOC_NAME=FAT:FMA_audit_SUMMARY.fat&amp;DISPLAY_STRING=Display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5__FDSAUDITLINK__" localSheetId="8" hidden="1">{"fdsup://directions/FAT%20Viewer?VAR:PED=LTM&amp;VAR:PERIOD=FIXED&amp;VAR:V=13.831589&amp;VAR:PCT=Y&amp;VAR:AUDIT_ID=00000117&amp;VAR:DATE=20030731&amp;action=UPDATE&amp;creator=factset&amp;DOC_NAME=FAT:FMA_audit_SUMMARY.fat&amp;DISPLAY_STRING=Display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5__FDSAUDITLINK__" localSheetId="2" hidden="1">{"fdsup://directions/FAT%20Viewer?VAR:PED=LTM&amp;VAR:PERIOD=FIXED&amp;VAR:V=13.831589&amp;VAR:PCT=Y&amp;VAR:AUDIT_ID=00000117&amp;VAR:DATE=20030731&amp;action=UPDATE&amp;creator=factset&amp;DOC_NAME=FAT:FMA_audit_SUMMARY.fat&amp;DISPLAY_STRING=Display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5__FDSAUDITLINK__" hidden="1">{"fdsup://directions/FAT%20Viewer?VAR:PED=LTM&amp;VAR:PERIOD=FIXED&amp;VAR:V=13.831589&amp;VAR:PCT=Y&amp;VAR:AUDIT_ID=00000117&amp;VAR:DATE=20030731&amp;action=UPDATE&amp;creator=factset&amp;DOC_NAME=FAT:FMA_audit_SUMMARY.fat&amp;DISPLAY_STRING=Display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6__FDSAUDITLINK__" localSheetId="8" hidden="1">{"fdsup://directions/FAT%20Viewer?VAR:PED=LTM&amp;VAR:PERIOD=FIXED&amp;VAR:V=13.872644&amp;VAR:PCT=Y&amp;VAR:AUDIT_ID=00000117&amp;VAR:DATE=20030630&amp;action=UPDATE&amp;creator=factset&amp;DOC_NAME=FAT:FMA_audit_SUMMARY.fat&amp;DISPLAY_STRING=Display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6__FDSAUDITLINK__" localSheetId="2" hidden="1">{"fdsup://directions/FAT%20Viewer?VAR:PED=LTM&amp;VAR:PERIOD=FIXED&amp;VAR:V=13.872644&amp;VAR:PCT=Y&amp;VAR:AUDIT_ID=00000117&amp;VAR:DATE=20030630&amp;action=UPDATE&amp;creator=factset&amp;DOC_NAME=FAT:FMA_audit_SUMMARY.fat&amp;DISPLAY_STRING=Display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6__FDSAUDITLINK__" hidden="1">{"fdsup://directions/FAT%20Viewer?VAR:PED=LTM&amp;VAR:PERIOD=FIXED&amp;VAR:V=13.872644&amp;VAR:PCT=Y&amp;VAR:AUDIT_ID=00000117&amp;VAR:DATE=20030630&amp;action=UPDATE&amp;creator=factset&amp;DOC_NAME=FAT:FMA_audit_SUMMARY.fat&amp;DISPLAY_STRING=Display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7__FDSAUDITLINK__" localSheetId="8" hidden="1">{"fdsup://directions/FAT%20Viewer?VAR:PED=LTM&amp;VAR:PERIOD=FIXED&amp;VAR:V=13.859701&amp;VAR:PCT=Y&amp;VAR:AUDIT_ID=00000117&amp;VAR:DATE=20030530&amp;action=UPDATE&amp;creator=factset&amp;DOC_NAME=FAT:FMA_audit_SUMMARY.fat&amp;DISPLAY_STRING=Display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7__FDSAUDITLINK__" localSheetId="2" hidden="1">{"fdsup://directions/FAT%20Viewer?VAR:PED=LTM&amp;VAR:PERIOD=FIXED&amp;VAR:V=13.859701&amp;VAR:PCT=Y&amp;VAR:AUDIT_ID=00000117&amp;VAR:DATE=20030530&amp;action=UPDATE&amp;creator=factset&amp;DOC_NAME=FAT:FMA_audit_SUMMARY.fat&amp;DISPLAY_STRING=Display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7__FDSAUDITLINK__" hidden="1">{"fdsup://directions/FAT%20Viewer?VAR:PED=LTM&amp;VAR:PERIOD=FIXED&amp;VAR:V=13.859701&amp;VAR:PCT=Y&amp;VAR:AUDIT_ID=00000117&amp;VAR:DATE=20030530&amp;action=UPDATE&amp;creator=factset&amp;DOC_NAME=FAT:FMA_audit_SUMMARY.fat&amp;DISPLAY_STRING=Display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8__FDSAUDITLINK__" localSheetId="8" hidden="1">{"fdsup://directions/FAT%20Viewer?VAR:PED=LTM&amp;VAR:PERIOD=FIXED&amp;VAR:V=13.981692&amp;VAR:PCT=Y&amp;VAR:AUDIT_ID=00000117&amp;VAR:DATE=20030430&amp;action=UPDATE&amp;creator=factset&amp;DOC_NAME=FAT:FMA_audit_SUMMARY.fat&amp;DISPLAY_STRING=Display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8__FDSAUDITLINK__" localSheetId="2" hidden="1">{"fdsup://directions/FAT%20Viewer?VAR:PED=LTM&amp;VAR:PERIOD=FIXED&amp;VAR:V=13.981692&amp;VAR:PCT=Y&amp;VAR:AUDIT_ID=00000117&amp;VAR:DATE=20030430&amp;action=UPDATE&amp;creator=factset&amp;DOC_NAME=FAT:FMA_audit_SUMMARY.fat&amp;DISPLAY_STRING=Display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8__FDSAUDITLINK__" hidden="1">{"fdsup://directions/FAT%20Viewer?VAR:PED=LTM&amp;VAR:PERIOD=FIXED&amp;VAR:V=13.981692&amp;VAR:PCT=Y&amp;VAR:AUDIT_ID=00000117&amp;VAR:DATE=20030430&amp;action=UPDATE&amp;creator=factset&amp;DOC_NAME=FAT:FMA_audit_SUMMARY.fat&amp;DISPLAY_STRING=Display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9__FDSAUDITLINK__" localSheetId="8" hidden="1">{"fdsup://directions/FAT%20Viewer?VAR:PED=LTM&amp;VAR:PERIOD=FIXED&amp;VAR:V=13.953136&amp;VAR:PCT=Y&amp;VAR:AUDIT_ID=00000117&amp;VAR:DATE=20030331&amp;action=UPDATE&amp;creator=factset&amp;DOC_NAME=FAT:FMA_audit_SUMMARY.fat&amp;DISPLAY_STRING=Display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9__FDSAUDITLINK__" localSheetId="2" hidden="1">{"fdsup://directions/FAT%20Viewer?VAR:PED=LTM&amp;VAR:PERIOD=FIXED&amp;VAR:V=13.953136&amp;VAR:PCT=Y&amp;VAR:AUDIT_ID=00000117&amp;VAR:DATE=20030331&amp;action=UPDATE&amp;creator=factset&amp;DOC_NAME=FAT:FMA_audit_SUMMARY.fat&amp;DISPLAY_STRING=Display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39__FDSAUDITLINK__" hidden="1">{"fdsup://directions/FAT%20Viewer?VAR:PED=LTM&amp;VAR:PERIOD=FIXED&amp;VAR:V=13.953136&amp;VAR:PCT=Y&amp;VAR:AUDIT_ID=00000117&amp;VAR:DATE=20030331&amp;action=UPDATE&amp;creator=factset&amp;DOC_NAME=FAT:FMA_audit_SUMMARY.fat&amp;DISPLAY_STRING=Display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__FDSAUDITLINK__" localSheetId="8" hidden="1">{"fdsup://directions/FAT%20Viewer?VAR:PED=LTM&amp;VAR:PERIOD=FIXED&amp;VAR:V=16.522971&amp;VAR:PCT=Y&amp;VAR:AUDIT_ID=00000117&amp;VAR:DATE=20060929&amp;action=UPDATE&amp;creator=factset&amp;DOC_NAME=FAT:FMA_audit_SUMMARY.fat&amp;DISPLAY_STRING=Display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__FDSAUDITLINK__" localSheetId="2" hidden="1">{"fdsup://directions/FAT%20Viewer?VAR:PED=LTM&amp;VAR:PERIOD=FIXED&amp;VAR:V=16.522971&amp;VAR:PCT=Y&amp;VAR:AUDIT_ID=00000117&amp;VAR:DATE=20060929&amp;action=UPDATE&amp;creator=factset&amp;DOC_NAME=FAT:FMA_audit_SUMMARY.fat&amp;DISPLAY_STRING=Display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__FDSAUDITLINK__" hidden="1">{"fdsup://directions/FAT%20Viewer?VAR:PED=LTM&amp;VAR:PERIOD=FIXED&amp;VAR:V=16.522971&amp;VAR:PCT=Y&amp;VAR:AUDIT_ID=00000117&amp;VAR:DATE=20060929&amp;action=UPDATE&amp;creator=factset&amp;DOC_NAME=FAT:FMA_audit_SUMMARY.fat&amp;DISPLAY_STRING=Display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_0Revenu">'[4]#REF'!#REF!</definedName>
    <definedName name="_440__FDSAUDITLINK__" localSheetId="8" hidden="1">{"fdsup://directions/FAT%20Viewer?VAR:PED=LTM&amp;VAR:PERIOD=FIXED&amp;VAR:V=13.923918&amp;VAR:PCT=Y&amp;VAR:AUDIT_ID=00000117&amp;VAR:DATE=20030228&amp;action=UPDATE&amp;creator=factset&amp;DOC_NAME=FAT:FMA_audit_SUMMARY.fat&amp;DISPLAY_STRING=Display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0__FDSAUDITLINK__" localSheetId="2" hidden="1">{"fdsup://directions/FAT%20Viewer?VAR:PED=LTM&amp;VAR:PERIOD=FIXED&amp;VAR:V=13.923918&amp;VAR:PCT=Y&amp;VAR:AUDIT_ID=00000117&amp;VAR:DATE=20030228&amp;action=UPDATE&amp;creator=factset&amp;DOC_NAME=FAT:FMA_audit_SUMMARY.fat&amp;DISPLAY_STRING=Display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0__FDSAUDITLINK__" hidden="1">{"fdsup://directions/FAT%20Viewer?VAR:PED=LTM&amp;VAR:PERIOD=FIXED&amp;VAR:V=13.923918&amp;VAR:PCT=Y&amp;VAR:AUDIT_ID=00000117&amp;VAR:DATE=20030228&amp;action=UPDATE&amp;creator=factset&amp;DOC_NAME=FAT:FMA_audit_SUMMARY.fat&amp;DISPLAY_STRING=Display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1__FDSAUDITLINK__" localSheetId="8" hidden="1">{"fdsup://directions/FAT%20Viewer?VAR:PED=LTM&amp;VAR:PERIOD=FIXED&amp;VAR:V=11.470413&amp;VAR:PCT=Y&amp;VAR:AUDIT_ID=00000117&amp;VAR:DATE=20030131&amp;action=UPDATE&amp;creator=factset&amp;DOC_NAME=FAT:FMA_audit_SUMMARY.fat&amp;DISPLAY_STRING=Display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1__FDSAUDITLINK__" localSheetId="2" hidden="1">{"fdsup://directions/FAT%20Viewer?VAR:PED=LTM&amp;VAR:PERIOD=FIXED&amp;VAR:V=11.470413&amp;VAR:PCT=Y&amp;VAR:AUDIT_ID=00000117&amp;VAR:DATE=20030131&amp;action=UPDATE&amp;creator=factset&amp;DOC_NAME=FAT:FMA_audit_SUMMARY.fat&amp;DISPLAY_STRING=Display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1__FDSAUDITLINK__" hidden="1">{"fdsup://directions/FAT%20Viewer?VAR:PED=LTM&amp;VAR:PERIOD=FIXED&amp;VAR:V=11.470413&amp;VAR:PCT=Y&amp;VAR:AUDIT_ID=00000117&amp;VAR:DATE=20030131&amp;action=UPDATE&amp;creator=factset&amp;DOC_NAME=FAT:FMA_audit_SUMMARY.fat&amp;DISPLAY_STRING=Display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2__FDSAUDITLINK__" localSheetId="8" hidden="1">{"fdsup://directions/FAT%20Viewer?VAR:PED=LTM&amp;VAR:PERIOD=FIXED&amp;VAR:V=11.467958&amp;VAR:PCT=Y&amp;VAR:AUDIT_ID=00000117&amp;VAR:DATE=20021231&amp;action=UPDATE&amp;creator=factset&amp;DOC_NAME=FAT:FMA_audit_SUMMARY.fat&amp;DISPLAY_STRING=Display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2__FDSAUDITLINK__" localSheetId="2" hidden="1">{"fdsup://directions/FAT%20Viewer?VAR:PED=LTM&amp;VAR:PERIOD=FIXED&amp;VAR:V=11.467958&amp;VAR:PCT=Y&amp;VAR:AUDIT_ID=00000117&amp;VAR:DATE=20021231&amp;action=UPDATE&amp;creator=factset&amp;DOC_NAME=FAT:FMA_audit_SUMMARY.fat&amp;DISPLAY_STRING=Display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2__FDSAUDITLINK__" hidden="1">{"fdsup://directions/FAT%20Viewer?VAR:PED=LTM&amp;VAR:PERIOD=FIXED&amp;VAR:V=11.467958&amp;VAR:PCT=Y&amp;VAR:AUDIT_ID=00000117&amp;VAR:DATE=20021231&amp;action=UPDATE&amp;creator=factset&amp;DOC_NAME=FAT:FMA_audit_SUMMARY.fat&amp;DISPLAY_STRING=Display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3__FDSAUDITLINK__" localSheetId="8" hidden="1">{"fdsup://directions/FAT%20Viewer?VAR:PED=LTM&amp;VAR:PERIOD=FIXED&amp;VAR:V=11.371607&amp;VAR:PCT=Y&amp;VAR:AUDIT_ID=00000117&amp;VAR:DATE=20021129&amp;action=UPDATE&amp;creator=factset&amp;DOC_NAME=FAT:FMA_audit_SUMMARY.fat&amp;DISPLAY_STRING=Display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3__FDSAUDITLINK__" localSheetId="2" hidden="1">{"fdsup://directions/FAT%20Viewer?VAR:PED=LTM&amp;VAR:PERIOD=FIXED&amp;VAR:V=11.371607&amp;VAR:PCT=Y&amp;VAR:AUDIT_ID=00000117&amp;VAR:DATE=20021129&amp;action=UPDATE&amp;creator=factset&amp;DOC_NAME=FAT:FMA_audit_SUMMARY.fat&amp;DISPLAY_STRING=Display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3__FDSAUDITLINK__" hidden="1">{"fdsup://directions/FAT%20Viewer?VAR:PED=LTM&amp;VAR:PERIOD=FIXED&amp;VAR:V=11.371607&amp;VAR:PCT=Y&amp;VAR:AUDIT_ID=00000117&amp;VAR:DATE=20021129&amp;action=UPDATE&amp;creator=factset&amp;DOC_NAME=FAT:FMA_audit_SUMMARY.fat&amp;DISPLAY_STRING=Display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4__FDSAUDITLINK__" localSheetId="8" hidden="1">{"fdsup://directions/FAT%20Viewer?VAR:PED=LTM&amp;VAR:PERIOD=FIXED&amp;VAR:V=11.141989&amp;VAR:PCT=Y&amp;VAR:AUDIT_ID=00000117&amp;VAR:DATE=20021031&amp;action=UPDATE&amp;creator=factset&amp;DOC_NAME=FAT:FMA_audit_SUMMARY.fat&amp;DISPLAY_STRING=Display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4__FDSAUDITLINK__" localSheetId="2" hidden="1">{"fdsup://directions/FAT%20Viewer?VAR:PED=LTM&amp;VAR:PERIOD=FIXED&amp;VAR:V=11.141989&amp;VAR:PCT=Y&amp;VAR:AUDIT_ID=00000117&amp;VAR:DATE=20021031&amp;action=UPDATE&amp;creator=factset&amp;DOC_NAME=FAT:FMA_audit_SUMMARY.fat&amp;DISPLAY_STRING=Display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4__FDSAUDITLINK__" hidden="1">{"fdsup://directions/FAT%20Viewer?VAR:PED=LTM&amp;VAR:PERIOD=FIXED&amp;VAR:V=11.141989&amp;VAR:PCT=Y&amp;VAR:AUDIT_ID=00000117&amp;VAR:DATE=20021031&amp;action=UPDATE&amp;creator=factset&amp;DOC_NAME=FAT:FMA_audit_SUMMARY.fat&amp;DISPLAY_STRING=Display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5__FDSAUDITLINK__" localSheetId="8" hidden="1">{"fdsup://directions/FAT%20Viewer?VAR:PED=LTM&amp;VAR:PERIOD=FIXED&amp;VAR:V=11.139657&amp;VAR:PCT=Y&amp;VAR:AUDIT_ID=00000117&amp;VAR:DATE=20020930&amp;action=UPDATE&amp;creator=factset&amp;DOC_NAME=FAT:FMA_audit_SUMMARY.fat&amp;DISPLAY_STRING=Display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5__FDSAUDITLINK__" localSheetId="2" hidden="1">{"fdsup://directions/FAT%20Viewer?VAR:PED=LTM&amp;VAR:PERIOD=FIXED&amp;VAR:V=11.139657&amp;VAR:PCT=Y&amp;VAR:AUDIT_ID=00000117&amp;VAR:DATE=20020930&amp;action=UPDATE&amp;creator=factset&amp;DOC_NAME=FAT:FMA_audit_SUMMARY.fat&amp;DISPLAY_STRING=Display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5__FDSAUDITLINK__" hidden="1">{"fdsup://directions/FAT%20Viewer?VAR:PED=LTM&amp;VAR:PERIOD=FIXED&amp;VAR:V=11.139657&amp;VAR:PCT=Y&amp;VAR:AUDIT_ID=00000117&amp;VAR:DATE=20020930&amp;action=UPDATE&amp;creator=factset&amp;DOC_NAME=FAT:FMA_audit_SUMMARY.fat&amp;DISPLAY_STRING=Display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6__FDSAUDITLINK__" localSheetId="8" hidden="1">{"fdsup://directions/FAT%20Viewer?VAR:PED=LTM&amp;VAR:PERIOD=FIXED&amp;VAR:V=11.193104&amp;VAR:PCT=Y&amp;VAR:AUDIT_ID=00000117&amp;VAR:DATE=20020830&amp;action=UPDATE&amp;creator=factset&amp;DOC_NAME=FAT:FMA_audit_SUMMARY.fat&amp;DISPLAY_STRING=Display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6__FDSAUDITLINK__" localSheetId="2" hidden="1">{"fdsup://directions/FAT%20Viewer?VAR:PED=LTM&amp;VAR:PERIOD=FIXED&amp;VAR:V=11.193104&amp;VAR:PCT=Y&amp;VAR:AUDIT_ID=00000117&amp;VAR:DATE=20020830&amp;action=UPDATE&amp;creator=factset&amp;DOC_NAME=FAT:FMA_audit_SUMMARY.fat&amp;DISPLAY_STRING=Display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6__FDSAUDITLINK__" hidden="1">{"fdsup://directions/FAT%20Viewer?VAR:PED=LTM&amp;VAR:PERIOD=FIXED&amp;VAR:V=11.193104&amp;VAR:PCT=Y&amp;VAR:AUDIT_ID=00000117&amp;VAR:DATE=20020830&amp;action=UPDATE&amp;creator=factset&amp;DOC_NAME=FAT:FMA_audit_SUMMARY.fat&amp;DISPLAY_STRING=Display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7__FDSAUDITLINK__" localSheetId="8" hidden="1">{"fdsup://directions/FAT%20Viewer?VAR:PED=LTM&amp;VAR:PERIOD=FIXED&amp;VAR:V=8.908331&amp;VAR:PCT=Y&amp;VAR:AUDIT_ID=00000117&amp;VAR:DATE=20020731&amp;action=UPDATE&amp;creator=factset&amp;DOC_NAME=FAT:FMA_audit_SUMMARY.fat&amp;DISPLAY_STRING=Display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7__FDSAUDITLINK__" localSheetId="2" hidden="1">{"fdsup://directions/FAT%20Viewer?VAR:PED=LTM&amp;VAR:PERIOD=FIXED&amp;VAR:V=8.908331&amp;VAR:PCT=Y&amp;VAR:AUDIT_ID=00000117&amp;VAR:DATE=20020731&amp;action=UPDATE&amp;creator=factset&amp;DOC_NAME=FAT:FMA_audit_SUMMARY.fat&amp;DISPLAY_STRING=Display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7__FDSAUDITLINK__" hidden="1">{"fdsup://directions/FAT%20Viewer?VAR:PED=LTM&amp;VAR:PERIOD=FIXED&amp;VAR:V=8.908331&amp;VAR:PCT=Y&amp;VAR:AUDIT_ID=00000117&amp;VAR:DATE=20020731&amp;action=UPDATE&amp;creator=factset&amp;DOC_NAME=FAT:FMA_audit_SUMMARY.fat&amp;DISPLAY_STRING=Display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8__FDSAUDITLINK__" localSheetId="8" hidden="1">{"fdsup://directions/FAT%20Viewer?VAR:PED=LTM&amp;VAR:PERIOD=FIXED&amp;VAR:V=8.301003&amp;VAR:PCT=Y&amp;VAR:AUDIT_ID=00000117&amp;VAR:DATE=20020628&amp;action=UPDATE&amp;creator=factset&amp;DOC_NAME=FAT:FMA_audit_SUMMARY.fat&amp;DISPLAY_STRING=Display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8__FDSAUDITLINK__" localSheetId="2" hidden="1">{"fdsup://directions/FAT%20Viewer?VAR:PED=LTM&amp;VAR:PERIOD=FIXED&amp;VAR:V=8.301003&amp;VAR:PCT=Y&amp;VAR:AUDIT_ID=00000117&amp;VAR:DATE=20020628&amp;action=UPDATE&amp;creator=factset&amp;DOC_NAME=FAT:FMA_audit_SUMMARY.fat&amp;DISPLAY_STRING=Display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8__FDSAUDITLINK__" hidden="1">{"fdsup://directions/FAT%20Viewer?VAR:PED=LTM&amp;VAR:PERIOD=FIXED&amp;VAR:V=8.301003&amp;VAR:PCT=Y&amp;VAR:AUDIT_ID=00000117&amp;VAR:DATE=20020628&amp;action=UPDATE&amp;creator=factset&amp;DOC_NAME=FAT:FMA_audit_SUMMARY.fat&amp;DISPLAY_STRING=Display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9__FDSAUDITLINK__" localSheetId="8" hidden="1">{"fdsup://directions/FAT%20Viewer?VAR:PED=LTM&amp;VAR:PERIOD=FIXED&amp;VAR:V=8.341989&amp;VAR:PCT=Y&amp;VAR:AUDIT_ID=00000117&amp;VAR:DATE=20020531&amp;action=UPDATE&amp;creator=factset&amp;DOC_NAME=FAT:FMA_audit_SUMMARY.fat&amp;DISPLAY_STRING=Display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9__FDSAUDITLINK__" localSheetId="2" hidden="1">{"fdsup://directions/FAT%20Viewer?VAR:PED=LTM&amp;VAR:PERIOD=FIXED&amp;VAR:V=8.341989&amp;VAR:PCT=Y&amp;VAR:AUDIT_ID=00000117&amp;VAR:DATE=20020531&amp;action=UPDATE&amp;creator=factset&amp;DOC_NAME=FAT:FMA_audit_SUMMARY.fat&amp;DISPLAY_STRING=Display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49__FDSAUDITLINK__" hidden="1">{"fdsup://directions/FAT%20Viewer?VAR:PED=LTM&amp;VAR:PERIOD=FIXED&amp;VAR:V=8.341989&amp;VAR:PCT=Y&amp;VAR:AUDIT_ID=00000117&amp;VAR:DATE=20020531&amp;action=UPDATE&amp;creator=factset&amp;DOC_NAME=FAT:FMA_audit_SUMMARY.fat&amp;DISPLAY_STRING=Display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__FDSAUDITLINK__" localSheetId="8" hidden="1">{"fdsup://directions/FAT%20Viewer?VAR:PED=LTM&amp;VAR:PERIOD=FIXED&amp;VAR:V=16.498154&amp;VAR:PCT=Y&amp;VAR:AUDIT_ID=00000117&amp;VAR:DATE=20060831&amp;action=UPDATE&amp;creator=factset&amp;DOC_NAME=FAT:FMA_audit_SUMMARY.fat&amp;DISPLAY_STRING=Display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__FDSAUDITLINK__" localSheetId="2" hidden="1">{"fdsup://directions/FAT%20Viewer?VAR:PED=LTM&amp;VAR:PERIOD=FIXED&amp;VAR:V=16.498154&amp;VAR:PCT=Y&amp;VAR:AUDIT_ID=00000117&amp;VAR:DATE=20060831&amp;action=UPDATE&amp;creator=factset&amp;DOC_NAME=FAT:FMA_audit_SUMMARY.fat&amp;DISPLAY_STRING=Display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__FDSAUDITLINK__" hidden="1">{"fdsup://directions/FAT%20Viewer?VAR:PED=LTM&amp;VAR:PERIOD=FIXED&amp;VAR:V=16.498154&amp;VAR:PCT=Y&amp;VAR:AUDIT_ID=00000117&amp;VAR:DATE=20060831&amp;action=UPDATE&amp;creator=factset&amp;DOC_NAME=FAT:FMA_audit_SUMMARY.fat&amp;DISPLAY_STRING=Display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0__FDSAUDITLINK__" localSheetId="8" hidden="1">{"fdsup://directions/FAT%20Viewer?VAR:PED=LTM&amp;VAR:PERIOD=FIXED&amp;VAR:V=9.656544&amp;VAR:PCT=Y&amp;VAR:AUDIT_ID=00000117&amp;VAR:DATE=20020430&amp;action=UPDATE&amp;creator=factset&amp;DOC_NAME=FAT:FMA_audit_SUMMARY.fat&amp;DISPLAY_STRING=Display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0__FDSAUDITLINK__" localSheetId="2" hidden="1">{"fdsup://directions/FAT%20Viewer?VAR:PED=LTM&amp;VAR:PERIOD=FIXED&amp;VAR:V=9.656544&amp;VAR:PCT=Y&amp;VAR:AUDIT_ID=00000117&amp;VAR:DATE=20020430&amp;action=UPDATE&amp;creator=factset&amp;DOC_NAME=FAT:FMA_audit_SUMMARY.fat&amp;DISPLAY_STRING=Display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0__FDSAUDITLINK__" hidden="1">{"fdsup://directions/FAT%20Viewer?VAR:PED=LTM&amp;VAR:PERIOD=FIXED&amp;VAR:V=9.656544&amp;VAR:PCT=Y&amp;VAR:AUDIT_ID=00000117&amp;VAR:DATE=20020430&amp;action=UPDATE&amp;creator=factset&amp;DOC_NAME=FAT:FMA_audit_SUMMARY.fat&amp;DISPLAY_STRING=Display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1__FDSAUDITLINK__" localSheetId="8" hidden="1">{"fdsup://directions/FAT%20Viewer?VAR:PED=LTM&amp;VAR:PERIOD=FIXED&amp;VAR:V=9.682115&amp;VAR:PCT=Y&amp;VAR:AUDIT_ID=00000117&amp;VAR:DATE=20020329&amp;action=UPDATE&amp;creator=factset&amp;DOC_NAME=FAT:FMA_audit_SUMMARY.fat&amp;DISPLAY_STRING=Display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1__FDSAUDITLINK__" localSheetId="2" hidden="1">{"fdsup://directions/FAT%20Viewer?VAR:PED=LTM&amp;VAR:PERIOD=FIXED&amp;VAR:V=9.682115&amp;VAR:PCT=Y&amp;VAR:AUDIT_ID=00000117&amp;VAR:DATE=20020329&amp;action=UPDATE&amp;creator=factset&amp;DOC_NAME=FAT:FMA_audit_SUMMARY.fat&amp;DISPLAY_STRING=Display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1__FDSAUDITLINK__" hidden="1">{"fdsup://directions/FAT%20Viewer?VAR:PED=LTM&amp;VAR:PERIOD=FIXED&amp;VAR:V=9.682115&amp;VAR:PCT=Y&amp;VAR:AUDIT_ID=00000117&amp;VAR:DATE=20020329&amp;action=UPDATE&amp;creator=factset&amp;DOC_NAME=FAT:FMA_audit_SUMMARY.fat&amp;DISPLAY_STRING=Display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2__FDSAUDITLINK__" localSheetId="8" hidden="1">{"fdsup://directions/FAT%20Viewer?VAR:PED=LTM&amp;VAR:PERIOD=FIXED&amp;VAR:V=9.809144&amp;VAR:PCT=Y&amp;VAR:AUDIT_ID=00000117&amp;VAR:DATE=20020228&amp;action=UPDATE&amp;creator=factset&amp;DOC_NAME=FAT:FMA_audit_SUMMARY.fat&amp;DISPLAY_STRING=Display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2__FDSAUDITLINK__" localSheetId="2" hidden="1">{"fdsup://directions/FAT%20Viewer?VAR:PED=LTM&amp;VAR:PERIOD=FIXED&amp;VAR:V=9.809144&amp;VAR:PCT=Y&amp;VAR:AUDIT_ID=00000117&amp;VAR:DATE=20020228&amp;action=UPDATE&amp;creator=factset&amp;DOC_NAME=FAT:FMA_audit_SUMMARY.fat&amp;DISPLAY_STRING=Display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2__FDSAUDITLINK__" hidden="1">{"fdsup://directions/FAT%20Viewer?VAR:PED=LTM&amp;VAR:PERIOD=FIXED&amp;VAR:V=9.809144&amp;VAR:PCT=Y&amp;VAR:AUDIT_ID=00000117&amp;VAR:DATE=20020228&amp;action=UPDATE&amp;creator=factset&amp;DOC_NAME=FAT:FMA_audit_SUMMARY.fat&amp;DISPLAY_STRING=Display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3__FDSAUDITLINK__" localSheetId="8" hidden="1">{"fdsup://directions/FAT%20Viewer?VAR:PED=LTM&amp;VAR:PERIOD=FIXED&amp;VAR:V=9.540363&amp;VAR:PCT=Y&amp;VAR:AUDIT_ID=00000117&amp;VAR:DATE=20020131&amp;action=UPDATE&amp;creator=factset&amp;DOC_NAME=FAT:FMA_audit_SUMMARY.fat&amp;DISPLAY_STRING=Display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3__FDSAUDITLINK__" localSheetId="2" hidden="1">{"fdsup://directions/FAT%20Viewer?VAR:PED=LTM&amp;VAR:PERIOD=FIXED&amp;VAR:V=9.540363&amp;VAR:PCT=Y&amp;VAR:AUDIT_ID=00000117&amp;VAR:DATE=20020131&amp;action=UPDATE&amp;creator=factset&amp;DOC_NAME=FAT:FMA_audit_SUMMARY.fat&amp;DISPLAY_STRING=Display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3__FDSAUDITLINK__" hidden="1">{"fdsup://directions/FAT%20Viewer?VAR:PED=LTM&amp;VAR:PERIOD=FIXED&amp;VAR:V=9.540363&amp;VAR:PCT=Y&amp;VAR:AUDIT_ID=00000117&amp;VAR:DATE=20020131&amp;action=UPDATE&amp;creator=factset&amp;DOC_NAME=FAT:FMA_audit_SUMMARY.fat&amp;DISPLAY_STRING=Display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4__FDSAUDITLINK__" localSheetId="8" hidden="1">{"fdsup://directions/FAT%20Viewer?VAR:PED=LTM&amp;VAR:PERIOD=FIXED&amp;VAR:V=9.624442&amp;VAR:PCT=Y&amp;VAR:AUDIT_ID=00000117&amp;VAR:DATE=20011231&amp;action=UPDATE&amp;creator=factset&amp;DOC_NAME=FAT:FMA_audit_SUMMARY.fat&amp;DISPLAY_STRING=Display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4__FDSAUDITLINK__" localSheetId="2" hidden="1">{"fdsup://directions/FAT%20Viewer?VAR:PED=LTM&amp;VAR:PERIOD=FIXED&amp;VAR:V=9.624442&amp;VAR:PCT=Y&amp;VAR:AUDIT_ID=00000117&amp;VAR:DATE=20011231&amp;action=UPDATE&amp;creator=factset&amp;DOC_NAME=FAT:FMA_audit_SUMMARY.fat&amp;DISPLAY_STRING=Display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4__FDSAUDITLINK__" hidden="1">{"fdsup://directions/FAT%20Viewer?VAR:PED=LTM&amp;VAR:PERIOD=FIXED&amp;VAR:V=9.624442&amp;VAR:PCT=Y&amp;VAR:AUDIT_ID=00000117&amp;VAR:DATE=20011231&amp;action=UPDATE&amp;creator=factset&amp;DOC_NAME=FAT:FMA_audit_SUMMARY.fat&amp;DISPLAY_STRING=Display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5__FDSAUDITLINK__" localSheetId="8" hidden="1">{"fdsup://directions/FAT%20Viewer?VAR:PED=LTM&amp;VAR:PERIOD=FIXED&amp;VAR:V=9.882483&amp;VAR:PCT=Y&amp;VAR:AUDIT_ID=00000117&amp;VAR:DATE=20011130&amp;action=UPDATE&amp;creator=factset&amp;DOC_NAME=FAT:FMA_audit_SUMMARY.fat&amp;DISPLAY_STRING=Display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5__FDSAUDITLINK__" localSheetId="2" hidden="1">{"fdsup://directions/FAT%20Viewer?VAR:PED=LTM&amp;VAR:PERIOD=FIXED&amp;VAR:V=9.882483&amp;VAR:PCT=Y&amp;VAR:AUDIT_ID=00000117&amp;VAR:DATE=20011130&amp;action=UPDATE&amp;creator=factset&amp;DOC_NAME=FAT:FMA_audit_SUMMARY.fat&amp;DISPLAY_STRING=Display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5__FDSAUDITLINK__" hidden="1">{"fdsup://directions/FAT%20Viewer?VAR:PED=LTM&amp;VAR:PERIOD=FIXED&amp;VAR:V=9.882483&amp;VAR:PCT=Y&amp;VAR:AUDIT_ID=00000117&amp;VAR:DATE=20011130&amp;action=UPDATE&amp;creator=factset&amp;DOC_NAME=FAT:FMA_audit_SUMMARY.fat&amp;DISPLAY_STRING=Display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6__FDSAUDITLINK__" localSheetId="8" hidden="1">{"fdsup://directions/FAT%20Viewer?VAR:PED=LTM&amp;VAR:PERIOD=FIXED&amp;VAR:V=12.406344&amp;VAR:PCT=Y&amp;VAR:AUDIT_ID=00000117&amp;VAR:DATE=20011031&amp;action=UPDATE&amp;creator=factset&amp;DOC_NAME=FAT:FMA_audit_SUMMARY.fat&amp;DISPLAY_STRING=Display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6__FDSAUDITLINK__" localSheetId="2" hidden="1">{"fdsup://directions/FAT%20Viewer?VAR:PED=LTM&amp;VAR:PERIOD=FIXED&amp;VAR:V=12.406344&amp;VAR:PCT=Y&amp;VAR:AUDIT_ID=00000117&amp;VAR:DATE=20011031&amp;action=UPDATE&amp;creator=factset&amp;DOC_NAME=FAT:FMA_audit_SUMMARY.fat&amp;DISPLAY_STRING=Display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6__FDSAUDITLINK__" hidden="1">{"fdsup://directions/FAT%20Viewer?VAR:PED=LTM&amp;VAR:PERIOD=FIXED&amp;VAR:V=12.406344&amp;VAR:PCT=Y&amp;VAR:AUDIT_ID=00000117&amp;VAR:DATE=20011031&amp;action=UPDATE&amp;creator=factset&amp;DOC_NAME=FAT:FMA_audit_SUMMARY.fat&amp;DISPLAY_STRING=Display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7__FDSAUDITLINK__" localSheetId="8" hidden="1">{"fdsup://directions/FAT%20Viewer?VAR:PED=LTM&amp;VAR:PERIOD=FIXED&amp;VAR:V=12.365176&amp;VAR:PCT=Y&amp;VAR:AUDIT_ID=00000117&amp;VAR:DATE=20010928&amp;action=UPDATE&amp;creator=factset&amp;DOC_NAME=FAT:FMA_audit_SUMMARY.fat&amp;DISPLAY_STRING=Display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7__FDSAUDITLINK__" localSheetId="2" hidden="1">{"fdsup://directions/FAT%20Viewer?VAR:PED=LTM&amp;VAR:PERIOD=FIXED&amp;VAR:V=12.365176&amp;VAR:PCT=Y&amp;VAR:AUDIT_ID=00000117&amp;VAR:DATE=20010928&amp;action=UPDATE&amp;creator=factset&amp;DOC_NAME=FAT:FMA_audit_SUMMARY.fat&amp;DISPLAY_STRING=Display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7__FDSAUDITLINK__" hidden="1">{"fdsup://directions/FAT%20Viewer?VAR:PED=LTM&amp;VAR:PERIOD=FIXED&amp;VAR:V=12.365176&amp;VAR:PCT=Y&amp;VAR:AUDIT_ID=00000117&amp;VAR:DATE=20010928&amp;action=UPDATE&amp;creator=factset&amp;DOC_NAME=FAT:FMA_audit_SUMMARY.fat&amp;DISPLAY_STRING=Display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8__FDSAUDITLINK__" localSheetId="8" hidden="1">{"fdsup://directions/FAT%20Viewer?VAR:PED=LTM&amp;VAR:PERIOD=FIXED&amp;VAR:V=12.423816&amp;VAR:PCT=Y&amp;VAR:AUDIT_ID=00000117&amp;VAR:DATE=20010831&amp;action=UPDATE&amp;creator=factset&amp;DOC_NAME=FAT:FMA_audit_SUMMARY.fat&amp;DISPLAY_STRING=Display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8__FDSAUDITLINK__" localSheetId="2" hidden="1">{"fdsup://directions/FAT%20Viewer?VAR:PED=LTM&amp;VAR:PERIOD=FIXED&amp;VAR:V=12.423816&amp;VAR:PCT=Y&amp;VAR:AUDIT_ID=00000117&amp;VAR:DATE=20010831&amp;action=UPDATE&amp;creator=factset&amp;DOC_NAME=FAT:FMA_audit_SUMMARY.fat&amp;DISPLAY_STRING=Display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8__FDSAUDITLINK__" hidden="1">{"fdsup://directions/FAT%20Viewer?VAR:PED=LTM&amp;VAR:PERIOD=FIXED&amp;VAR:V=12.423816&amp;VAR:PCT=Y&amp;VAR:AUDIT_ID=00000117&amp;VAR:DATE=20010831&amp;action=UPDATE&amp;creator=factset&amp;DOC_NAME=FAT:FMA_audit_SUMMARY.fat&amp;DISPLAY_STRING=Display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9__FDSAUDITLINK__" localSheetId="8" hidden="1">{"fdsup://directions/FAT%20Viewer?VAR:PED=LTM&amp;VAR:PERIOD=FIXED&amp;VAR:V=14.457670&amp;VAR:PCT=Y&amp;VAR:AUDIT_ID=00000117&amp;VAR:DATE=20010731&amp;action=UPDATE&amp;creator=factset&amp;DOC_NAME=FAT:FMA_audit_SUMMARY.fat&amp;DISPLAY_STRING=Display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9__FDSAUDITLINK__" localSheetId="2" hidden="1">{"fdsup://directions/FAT%20Viewer?VAR:PED=LTM&amp;VAR:PERIOD=FIXED&amp;VAR:V=14.457670&amp;VAR:PCT=Y&amp;VAR:AUDIT_ID=00000117&amp;VAR:DATE=20010731&amp;action=UPDATE&amp;creator=factset&amp;DOC_NAME=FAT:FMA_audit_SUMMARY.fat&amp;DISPLAY_STRING=Display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59__FDSAUDITLINK__" hidden="1">{"fdsup://directions/FAT%20Viewer?VAR:PED=LTM&amp;VAR:PERIOD=FIXED&amp;VAR:V=14.457670&amp;VAR:PCT=Y&amp;VAR:AUDIT_ID=00000117&amp;VAR:DATE=20010731&amp;action=UPDATE&amp;creator=factset&amp;DOC_NAME=FAT:FMA_audit_SUMMARY.fat&amp;DISPLAY_STRING=Display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__FDSAUDITLINK__" localSheetId="8" hidden="1">{"fdsup://directions/FAT%20Viewer?VAR:PED=LTM&amp;VAR:PERIOD=FIXED&amp;VAR:V=16.739130&amp;VAR:PCT=Y&amp;VAR:AUDIT_ID=00000117&amp;VAR:DATE=20060731&amp;action=UPDATE&amp;creator=factset&amp;DOC_NAME=FAT:FMA_audit_SUMMARY.fat&amp;DISPLAY_STRING=Display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__FDSAUDITLINK__" localSheetId="2" hidden="1">{"fdsup://directions/FAT%20Viewer?VAR:PED=LTM&amp;VAR:PERIOD=FIXED&amp;VAR:V=16.739130&amp;VAR:PCT=Y&amp;VAR:AUDIT_ID=00000117&amp;VAR:DATE=20060731&amp;action=UPDATE&amp;creator=factset&amp;DOC_NAME=FAT:FMA_audit_SUMMARY.fat&amp;DISPLAY_STRING=Display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__FDSAUDITLINK__" hidden="1">{"fdsup://directions/FAT%20Viewer?VAR:PED=LTM&amp;VAR:PERIOD=FIXED&amp;VAR:V=16.739130&amp;VAR:PCT=Y&amp;VAR:AUDIT_ID=00000117&amp;VAR:DATE=20060731&amp;action=UPDATE&amp;creator=factset&amp;DOC_NAME=FAT:FMA_audit_SUMMARY.fat&amp;DISPLAY_STRING=Display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0__FDSAUDITLINK__" localSheetId="8" hidden="1">{"fdsup://directions/FAT%20Viewer?VAR:PED=LTM&amp;VAR:PERIOD=FIXED&amp;VAR:V=14.756916&amp;VAR:PCT=Y&amp;VAR:AUDIT_ID=00000117&amp;VAR:DATE=20010629&amp;action=UPDATE&amp;creator=factset&amp;DOC_NAME=FAT:FMA_audit_SUMMARY.fat&amp;DISPLAY_STRING=Display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0__FDSAUDITLINK__" localSheetId="2" hidden="1">{"fdsup://directions/FAT%20Viewer?VAR:PED=LTM&amp;VAR:PERIOD=FIXED&amp;VAR:V=14.756916&amp;VAR:PCT=Y&amp;VAR:AUDIT_ID=00000117&amp;VAR:DATE=20010629&amp;action=UPDATE&amp;creator=factset&amp;DOC_NAME=FAT:FMA_audit_SUMMARY.fat&amp;DISPLAY_STRING=Display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0__FDSAUDITLINK__" hidden="1">{"fdsup://directions/FAT%20Viewer?VAR:PED=LTM&amp;VAR:PERIOD=FIXED&amp;VAR:V=14.756916&amp;VAR:PCT=Y&amp;VAR:AUDIT_ID=00000117&amp;VAR:DATE=20010629&amp;action=UPDATE&amp;creator=factset&amp;DOC_NAME=FAT:FMA_audit_SUMMARY.fat&amp;DISPLAY_STRING=Display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1__FDSAUDITLINK__" localSheetId="8" hidden="1">{"fdsup://directions/FAT%20Viewer?VAR:PED=LTM&amp;VAR:PERIOD=FIXED&amp;VAR:V=14.974292&amp;VAR:PCT=Y&amp;VAR:AUDIT_ID=00000117&amp;VAR:DATE=20010531&amp;action=UPDATE&amp;creator=factset&amp;DOC_NAME=FAT:FMA_audit_SUMMARY.fat&amp;DISPLAY_STRING=Display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1__FDSAUDITLINK__" localSheetId="2" hidden="1">{"fdsup://directions/FAT%20Viewer?VAR:PED=LTM&amp;VAR:PERIOD=FIXED&amp;VAR:V=14.974292&amp;VAR:PCT=Y&amp;VAR:AUDIT_ID=00000117&amp;VAR:DATE=20010531&amp;action=UPDATE&amp;creator=factset&amp;DOC_NAME=FAT:FMA_audit_SUMMARY.fat&amp;DISPLAY_STRING=Display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1__FDSAUDITLINK__" hidden="1">{"fdsup://directions/FAT%20Viewer?VAR:PED=LTM&amp;VAR:PERIOD=FIXED&amp;VAR:V=14.974292&amp;VAR:PCT=Y&amp;VAR:AUDIT_ID=00000117&amp;VAR:DATE=20010531&amp;action=UPDATE&amp;creator=factset&amp;DOC_NAME=FAT:FMA_audit_SUMMARY.fat&amp;DISPLAY_STRING=Display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2__FDSAUDITLINK__" localSheetId="8" hidden="1">{"fdsup://directions/FAT%20Viewer?VAR:PED=LTM&amp;VAR:PERIOD=FIXED&amp;VAR:V=16.989283&amp;VAR:PCT=Y&amp;VAR:AUDIT_ID=00000117&amp;VAR:DATE=20010430&amp;action=UPDATE&amp;creator=factset&amp;DOC_NAME=FAT:FMA_audit_SUMMARY.fat&amp;DISPLAY_STRING=Display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2__FDSAUDITLINK__" localSheetId="2" hidden="1">{"fdsup://directions/FAT%20Viewer?VAR:PED=LTM&amp;VAR:PERIOD=FIXED&amp;VAR:V=16.989283&amp;VAR:PCT=Y&amp;VAR:AUDIT_ID=00000117&amp;VAR:DATE=20010430&amp;action=UPDATE&amp;creator=factset&amp;DOC_NAME=FAT:FMA_audit_SUMMARY.fat&amp;DISPLAY_STRING=Display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2__FDSAUDITLINK__" hidden="1">{"fdsup://directions/FAT%20Viewer?VAR:PED=LTM&amp;VAR:PERIOD=FIXED&amp;VAR:V=16.989283&amp;VAR:PCT=Y&amp;VAR:AUDIT_ID=00000117&amp;VAR:DATE=20010430&amp;action=UPDATE&amp;creator=factset&amp;DOC_NAME=FAT:FMA_audit_SUMMARY.fat&amp;DISPLAY_STRING=Display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3__FDSAUDITLINK__" localSheetId="8" hidden="1">{"fdsup://directions/FAT%20Viewer?VAR:PED=LTM&amp;VAR:PERIOD=FIXED&amp;VAR:V=17.050610&amp;VAR:PCT=Y&amp;VAR:AUDIT_ID=00000117&amp;VAR:DATE=20010330&amp;action=UPDATE&amp;creator=factset&amp;DOC_NAME=FAT:FMA_audit_SUMMARY.fat&amp;DISPLAY_STRING=Display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3__FDSAUDITLINK__" localSheetId="2" hidden="1">{"fdsup://directions/FAT%20Viewer?VAR:PED=LTM&amp;VAR:PERIOD=FIXED&amp;VAR:V=17.050610&amp;VAR:PCT=Y&amp;VAR:AUDIT_ID=00000117&amp;VAR:DATE=20010330&amp;action=UPDATE&amp;creator=factset&amp;DOC_NAME=FAT:FMA_audit_SUMMARY.fat&amp;DISPLAY_STRING=Display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3__FDSAUDITLINK__" hidden="1">{"fdsup://directions/FAT%20Viewer?VAR:PED=LTM&amp;VAR:PERIOD=FIXED&amp;VAR:V=17.050610&amp;VAR:PCT=Y&amp;VAR:AUDIT_ID=00000117&amp;VAR:DATE=20010330&amp;action=UPDATE&amp;creator=factset&amp;DOC_NAME=FAT:FMA_audit_SUMMARY.fat&amp;DISPLAY_STRING=Display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4__FDSAUDITLINK__" localSheetId="8" hidden="1">{"fdsup://directions/FAT%20Viewer?VAR:PED=LTM&amp;VAR:PERIOD=FIXED&amp;VAR:V=17.136455&amp;VAR:PCT=Y&amp;VAR:AUDIT_ID=00000117&amp;VAR:DATE=20010228&amp;action=UPDATE&amp;creator=factset&amp;DOC_NAME=FAT:FMA_audit_SUMMARY.fat&amp;DISPLAY_STRING=Display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4__FDSAUDITLINK__" localSheetId="2" hidden="1">{"fdsup://directions/FAT%20Viewer?VAR:PED=LTM&amp;VAR:PERIOD=FIXED&amp;VAR:V=17.136455&amp;VAR:PCT=Y&amp;VAR:AUDIT_ID=00000117&amp;VAR:DATE=20010228&amp;action=UPDATE&amp;creator=factset&amp;DOC_NAME=FAT:FMA_audit_SUMMARY.fat&amp;DISPLAY_STRING=Display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4__FDSAUDITLINK__" hidden="1">{"fdsup://directions/FAT%20Viewer?VAR:PED=LTM&amp;VAR:PERIOD=FIXED&amp;VAR:V=17.136455&amp;VAR:PCT=Y&amp;VAR:AUDIT_ID=00000117&amp;VAR:DATE=20010228&amp;action=UPDATE&amp;creator=factset&amp;DOC_NAME=FAT:FMA_audit_SUMMARY.fat&amp;DISPLAY_STRING=Display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5__FDSAUDITLINK__" localSheetId="8" hidden="1">{"fdsup://directions/FAT%20Viewer?VAR:PED=LTM&amp;VAR:PERIOD=FIXED&amp;VAR:V=17.729160&amp;VAR:PCT=Y&amp;VAR:AUDIT_ID=00000117&amp;VAR:DATE=20010131&amp;action=UPDATE&amp;creator=factset&amp;DOC_NAME=FAT:FMA_audit_SUMMARY.fat&amp;DISPLAY_STRING=Display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5__FDSAUDITLINK__" localSheetId="2" hidden="1">{"fdsup://directions/FAT%20Viewer?VAR:PED=LTM&amp;VAR:PERIOD=FIXED&amp;VAR:V=17.729160&amp;VAR:PCT=Y&amp;VAR:AUDIT_ID=00000117&amp;VAR:DATE=20010131&amp;action=UPDATE&amp;creator=factset&amp;DOC_NAME=FAT:FMA_audit_SUMMARY.fat&amp;DISPLAY_STRING=Display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5__FDSAUDITLINK__" hidden="1">{"fdsup://directions/FAT%20Viewer?VAR:PED=LTM&amp;VAR:PERIOD=FIXED&amp;VAR:V=17.729160&amp;VAR:PCT=Y&amp;VAR:AUDIT_ID=00000117&amp;VAR:DATE=20010131&amp;action=UPDATE&amp;creator=factset&amp;DOC_NAME=FAT:FMA_audit_SUMMARY.fat&amp;DISPLAY_STRING=Display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6__FDSAUDITLINK__" localSheetId="8" hidden="1">{"fdsup://directions/FAT%20Viewer?VAR:PED=LTM&amp;VAR:PERIOD=FIXED&amp;VAR:V=17.755982&amp;VAR:PCT=Y&amp;VAR:AUDIT_ID=00000117&amp;VAR:DATE=20001229&amp;action=UPDATE&amp;creator=factset&amp;DOC_NAME=FAT:FMA_audit_SUMMARY.fat&amp;DISPLAY_STRING=Display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6__FDSAUDITLINK__" localSheetId="2" hidden="1">{"fdsup://directions/FAT%20Viewer?VAR:PED=LTM&amp;VAR:PERIOD=FIXED&amp;VAR:V=17.755982&amp;VAR:PCT=Y&amp;VAR:AUDIT_ID=00000117&amp;VAR:DATE=20001229&amp;action=UPDATE&amp;creator=factset&amp;DOC_NAME=FAT:FMA_audit_SUMMARY.fat&amp;DISPLAY_STRING=Display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6__FDSAUDITLINK__" hidden="1">{"fdsup://directions/FAT%20Viewer?VAR:PED=LTM&amp;VAR:PERIOD=FIXED&amp;VAR:V=17.755982&amp;VAR:PCT=Y&amp;VAR:AUDIT_ID=00000117&amp;VAR:DATE=20001229&amp;action=UPDATE&amp;creator=factset&amp;DOC_NAME=FAT:FMA_audit_SUMMARY.fat&amp;DISPLAY_STRING=Display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7__FDSAUDITLINK__" localSheetId="8" hidden="1">{"fdsup://directions/FAT%20Viewer?VAR:PED=LTM&amp;VAR:PERIOD=FIXED&amp;VAR:V=17.787130&amp;VAR:PCT=Y&amp;VAR:AUDIT_ID=00000117&amp;VAR:DATE=20001130&amp;action=UPDATE&amp;creator=factset&amp;DOC_NAME=FAT:FMA_audit_SUMMARY.fat&amp;DISPLAY_STRING=Display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7__FDSAUDITLINK__" localSheetId="2" hidden="1">{"fdsup://directions/FAT%20Viewer?VAR:PED=LTM&amp;VAR:PERIOD=FIXED&amp;VAR:V=17.787130&amp;VAR:PCT=Y&amp;VAR:AUDIT_ID=00000117&amp;VAR:DATE=20001130&amp;action=UPDATE&amp;creator=factset&amp;DOC_NAME=FAT:FMA_audit_SUMMARY.fat&amp;DISPLAY_STRING=Display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7__FDSAUDITLINK__" hidden="1">{"fdsup://directions/FAT%20Viewer?VAR:PED=LTM&amp;VAR:PERIOD=FIXED&amp;VAR:V=17.787130&amp;VAR:PCT=Y&amp;VAR:AUDIT_ID=00000117&amp;VAR:DATE=20001130&amp;action=UPDATE&amp;creator=factset&amp;DOC_NAME=FAT:FMA_audit_SUMMARY.fat&amp;DISPLAY_STRING=Display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8__FDSAUDITLINK__" localSheetId="8" hidden="1">{"fdsup://directions/FAT%20Viewer?VAR:PED=LTM&amp;VAR:PERIOD=FIXED&amp;VAR:V=17.310107&amp;VAR:PCT=Y&amp;VAR:AUDIT_ID=00000117&amp;VAR:DATE=20001031&amp;action=UPDATE&amp;creator=factset&amp;DOC_NAME=FAT:FMA_audit_SUMMARY.fat&amp;DISPLAY_STRING=Display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8__FDSAUDITLINK__" localSheetId="2" hidden="1">{"fdsup://directions/FAT%20Viewer?VAR:PED=LTM&amp;VAR:PERIOD=FIXED&amp;VAR:V=17.310107&amp;VAR:PCT=Y&amp;VAR:AUDIT_ID=00000117&amp;VAR:DATE=20001031&amp;action=UPDATE&amp;creator=factset&amp;DOC_NAME=FAT:FMA_audit_SUMMARY.fat&amp;DISPLAY_STRING=Display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8__FDSAUDITLINK__" hidden="1">{"fdsup://directions/FAT%20Viewer?VAR:PED=LTM&amp;VAR:PERIOD=FIXED&amp;VAR:V=17.310107&amp;VAR:PCT=Y&amp;VAR:AUDIT_ID=00000117&amp;VAR:DATE=20001031&amp;action=UPDATE&amp;creator=factset&amp;DOC_NAME=FAT:FMA_audit_SUMMARY.fat&amp;DISPLAY_STRING=Display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9__FDSAUDITLINK__" localSheetId="8" hidden="1">{"fdsup://directions/FAT%20Viewer?VAR:PED=LTM&amp;VAR:PERIOD=FIXED&amp;VAR:V=17.304538&amp;VAR:PCT=Y&amp;VAR:AUDIT_ID=00000117&amp;VAR:DATE=20000929&amp;action=UPDATE&amp;creator=factset&amp;DOC_NAME=FAT:FMA_audit_SUMMARY.fat&amp;DISPLAY_STRING=Display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9__FDSAUDITLINK__" localSheetId="2" hidden="1">{"fdsup://directions/FAT%20Viewer?VAR:PED=LTM&amp;VAR:PERIOD=FIXED&amp;VAR:V=17.304538&amp;VAR:PCT=Y&amp;VAR:AUDIT_ID=00000117&amp;VAR:DATE=20000929&amp;action=UPDATE&amp;creator=factset&amp;DOC_NAME=FAT:FMA_audit_SUMMARY.fat&amp;DISPLAY_STRING=Display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69__FDSAUDITLINK__" hidden="1">{"fdsup://directions/FAT%20Viewer?VAR:PED=LTM&amp;VAR:PERIOD=FIXED&amp;VAR:V=17.304538&amp;VAR:PCT=Y&amp;VAR:AUDIT_ID=00000117&amp;VAR:DATE=20000929&amp;action=UPDATE&amp;creator=factset&amp;DOC_NAME=FAT:FMA_audit_SUMMARY.fat&amp;DISPLAY_STRING=Display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__FDSAUDITLINK__" localSheetId="8" hidden="1">{"fdsup://directions/FAT%20Viewer?VAR:PED=LTM&amp;VAR:PERIOD=FIXED&amp;VAR:V=16.683568&amp;VAR:PCT=Y&amp;VAR:AUDIT_ID=00000117&amp;VAR:DATE=20060630&amp;action=UPDATE&amp;creator=factset&amp;DOC_NAME=FAT:FMA_audit_SUMMARY.fat&amp;DISPLAY_STRING=Display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__FDSAUDITLINK__" localSheetId="2" hidden="1">{"fdsup://directions/FAT%20Viewer?VAR:PED=LTM&amp;VAR:PERIOD=FIXED&amp;VAR:V=16.683568&amp;VAR:PCT=Y&amp;VAR:AUDIT_ID=00000117&amp;VAR:DATE=20060630&amp;action=UPDATE&amp;creator=factset&amp;DOC_NAME=FAT:FMA_audit_SUMMARY.fat&amp;DISPLAY_STRING=Display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__FDSAUDITLINK__" hidden="1">{"fdsup://directions/FAT%20Viewer?VAR:PED=LTM&amp;VAR:PERIOD=FIXED&amp;VAR:V=16.683568&amp;VAR:PCT=Y&amp;VAR:AUDIT_ID=00000117&amp;VAR:DATE=20060630&amp;action=UPDATE&amp;creator=factset&amp;DOC_NAME=FAT:FMA_audit_SUMMARY.fat&amp;DISPLAY_STRING=Display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0__FDSAUDITLINK__" localSheetId="8" hidden="1">{"fdsup://directions/FAT%20Viewer?VAR:PED=LTM&amp;VAR:PERIOD=FIXED&amp;VAR:V=17.301412&amp;VAR:PCT=Y&amp;VAR:AUDIT_ID=00000117&amp;VAR:DATE=20000831&amp;action=UPDATE&amp;creator=factset&amp;DOC_NAME=FAT:FMA_audit_SUMMARY.fat&amp;DISPLAY_STRING=Display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0__FDSAUDITLINK__" localSheetId="2" hidden="1">{"fdsup://directions/FAT%20Viewer?VAR:PED=LTM&amp;VAR:PERIOD=FIXED&amp;VAR:V=17.301412&amp;VAR:PCT=Y&amp;VAR:AUDIT_ID=00000117&amp;VAR:DATE=20000831&amp;action=UPDATE&amp;creator=factset&amp;DOC_NAME=FAT:FMA_audit_SUMMARY.fat&amp;DISPLAY_STRING=Display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0__FDSAUDITLINK__" hidden="1">{"fdsup://directions/FAT%20Viewer?VAR:PED=LTM&amp;VAR:PERIOD=FIXED&amp;VAR:V=17.301412&amp;VAR:PCT=Y&amp;VAR:AUDIT_ID=00000117&amp;VAR:DATE=20000831&amp;action=UPDATE&amp;creator=factset&amp;DOC_NAME=FAT:FMA_audit_SUMMARY.fat&amp;DISPLAY_STRING=Display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1__FDSAUDITLINK__" localSheetId="8" hidden="1">{"fdsup://directions/FAT%20Viewer?VAR:PED=LTM&amp;VAR:PERIOD=FIXED&amp;VAR:V=17.979507&amp;VAR:PCT=Y&amp;VAR:AUDIT_ID=00000117&amp;VAR:DATE=20000731&amp;action=UPDATE&amp;creator=factset&amp;DOC_NAME=FAT:FMA_audit_SUMMARY.fat&amp;DISPLAY_STRING=Display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1__FDSAUDITLINK__" localSheetId="2" hidden="1">{"fdsup://directions/FAT%20Viewer?VAR:PED=LTM&amp;VAR:PERIOD=FIXED&amp;VAR:V=17.979507&amp;VAR:PCT=Y&amp;VAR:AUDIT_ID=00000117&amp;VAR:DATE=20000731&amp;action=UPDATE&amp;creator=factset&amp;DOC_NAME=FAT:FMA_audit_SUMMARY.fat&amp;DISPLAY_STRING=Display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1__FDSAUDITLINK__" hidden="1">{"fdsup://directions/FAT%20Viewer?VAR:PED=LTM&amp;VAR:PERIOD=FIXED&amp;VAR:V=17.979507&amp;VAR:PCT=Y&amp;VAR:AUDIT_ID=00000117&amp;VAR:DATE=20000731&amp;action=UPDATE&amp;creator=factset&amp;DOC_NAME=FAT:FMA_audit_SUMMARY.fat&amp;DISPLAY_STRING=Display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2__FDSAUDITLINK__" localSheetId="8" hidden="1">{"fdsup://directions/FAT%20Viewer?VAR:PED=LTM&amp;VAR:PERIOD=FIXED&amp;VAR:V=18.037978&amp;VAR:PCT=Y&amp;VAR:AUDIT_ID=00000117&amp;VAR:DATE=20000630&amp;action=UPDATE&amp;creator=factset&amp;DOC_NAME=FAT:FMA_audit_SUMMARY.fat&amp;DISPLAY_STRING=Display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2__FDSAUDITLINK__" localSheetId="2" hidden="1">{"fdsup://directions/FAT%20Viewer?VAR:PED=LTM&amp;VAR:PERIOD=FIXED&amp;VAR:V=18.037978&amp;VAR:PCT=Y&amp;VAR:AUDIT_ID=00000117&amp;VAR:DATE=20000630&amp;action=UPDATE&amp;creator=factset&amp;DOC_NAME=FAT:FMA_audit_SUMMARY.fat&amp;DISPLAY_STRING=Display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2__FDSAUDITLINK__" hidden="1">{"fdsup://directions/FAT%20Viewer?VAR:PED=LTM&amp;VAR:PERIOD=FIXED&amp;VAR:V=18.037978&amp;VAR:PCT=Y&amp;VAR:AUDIT_ID=00000117&amp;VAR:DATE=20000630&amp;action=UPDATE&amp;creator=factset&amp;DOC_NAME=FAT:FMA_audit_SUMMARY.fat&amp;DISPLAY_STRING=Display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3__FDSAUDITLINK__" localSheetId="8" hidden="1">{"fdsup://directions/FAT%20Viewer?VAR:PED=LTM&amp;VAR:PERIOD=FIXED&amp;VAR:V=18.107897&amp;VAR:PCT=Y&amp;VAR:AUDIT_ID=00000117&amp;VAR:DATE=20000531&amp;action=UPDATE&amp;creator=factset&amp;DOC_NAME=FAT:FMA_audit_SUMMARY.fat&amp;DISPLAY_STRING=Display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3__FDSAUDITLINK__" localSheetId="2" hidden="1">{"fdsup://directions/FAT%20Viewer?VAR:PED=LTM&amp;VAR:PERIOD=FIXED&amp;VAR:V=18.107897&amp;VAR:PCT=Y&amp;VAR:AUDIT_ID=00000117&amp;VAR:DATE=20000531&amp;action=UPDATE&amp;creator=factset&amp;DOC_NAME=FAT:FMA_audit_SUMMARY.fat&amp;DISPLAY_STRING=Display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3__FDSAUDITLINK__" hidden="1">{"fdsup://directions/FAT%20Viewer?VAR:PED=LTM&amp;VAR:PERIOD=FIXED&amp;VAR:V=18.107897&amp;VAR:PCT=Y&amp;VAR:AUDIT_ID=00000117&amp;VAR:DATE=20000531&amp;action=UPDATE&amp;creator=factset&amp;DOC_NAME=FAT:FMA_audit_SUMMARY.fat&amp;DISPLAY_STRING=Display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4__FDSAUDITLINK__" localSheetId="8" hidden="1">{"fdsup://directions/FAT%20Viewer?VAR:PED=LTM&amp;VAR:PERIOD=FIXED&amp;VAR:V=18.143314&amp;VAR:PCT=Y&amp;VAR:AUDIT_ID=00000117&amp;VAR:DATE=20000428&amp;action=UPDATE&amp;creator=factset&amp;DOC_NAME=FAT:FMA_audit_SUMMARY.fat&amp;DISPLAY_STRING=Display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4__FDSAUDITLINK__" localSheetId="2" hidden="1">{"fdsup://directions/FAT%20Viewer?VAR:PED=LTM&amp;VAR:PERIOD=FIXED&amp;VAR:V=18.143314&amp;VAR:PCT=Y&amp;VAR:AUDIT_ID=00000117&amp;VAR:DATE=20000428&amp;action=UPDATE&amp;creator=factset&amp;DOC_NAME=FAT:FMA_audit_SUMMARY.fat&amp;DISPLAY_STRING=Display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4__FDSAUDITLINK__" hidden="1">{"fdsup://directions/FAT%20Viewer?VAR:PED=LTM&amp;VAR:PERIOD=FIXED&amp;VAR:V=18.143314&amp;VAR:PCT=Y&amp;VAR:AUDIT_ID=00000117&amp;VAR:DATE=20000428&amp;action=UPDATE&amp;creator=factset&amp;DOC_NAME=FAT:FMA_audit_SUMMARY.fat&amp;DISPLAY_STRING=Display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5__FDSAUDITLINK__" localSheetId="8" hidden="1">{"fdsup://directions/FAT%20Viewer?VAR:PED=LTM&amp;VAR:PERIOD=FIXED&amp;VAR:V=18.146181&amp;VAR:PCT=Y&amp;VAR:AUDIT_ID=00000117&amp;VAR:DATE=20000331&amp;action=UPDATE&amp;creator=factset&amp;DOC_NAME=FAT:FMA_audit_SUMMARY.fat&amp;DISPLAY_STRING=Display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5__FDSAUDITLINK__" localSheetId="2" hidden="1">{"fdsup://directions/FAT%20Viewer?VAR:PED=LTM&amp;VAR:PERIOD=FIXED&amp;VAR:V=18.146181&amp;VAR:PCT=Y&amp;VAR:AUDIT_ID=00000117&amp;VAR:DATE=20000331&amp;action=UPDATE&amp;creator=factset&amp;DOC_NAME=FAT:FMA_audit_SUMMARY.fat&amp;DISPLAY_STRING=Display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5__FDSAUDITLINK__" hidden="1">{"fdsup://directions/FAT%20Viewer?VAR:PED=LTM&amp;VAR:PERIOD=FIXED&amp;VAR:V=18.146181&amp;VAR:PCT=Y&amp;VAR:AUDIT_ID=00000117&amp;VAR:DATE=20000331&amp;action=UPDATE&amp;creator=factset&amp;DOC_NAME=FAT:FMA_audit_SUMMARY.fat&amp;DISPLAY_STRING=Display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6__FDSAUDITLINK__" localSheetId="8" hidden="1">{"fdsup://directions/FAT%20Viewer?VAR:PED=LTM&amp;VAR:PERIOD=FIXED&amp;VAR:V=18.129620&amp;VAR:PCT=Y&amp;VAR:AUDIT_ID=00000117&amp;VAR:DATE=20000229&amp;action=UPDATE&amp;creator=factset&amp;DOC_NAME=FAT:FMA_audit_SUMMARY.fat&amp;DISPLAY_STRING=Display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6__FDSAUDITLINK__" localSheetId="2" hidden="1">{"fdsup://directions/FAT%20Viewer?VAR:PED=LTM&amp;VAR:PERIOD=FIXED&amp;VAR:V=18.129620&amp;VAR:PCT=Y&amp;VAR:AUDIT_ID=00000117&amp;VAR:DATE=20000229&amp;action=UPDATE&amp;creator=factset&amp;DOC_NAME=FAT:FMA_audit_SUMMARY.fat&amp;DISPLAY_STRING=Display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6__FDSAUDITLINK__" hidden="1">{"fdsup://directions/FAT%20Viewer?VAR:PED=LTM&amp;VAR:PERIOD=FIXED&amp;VAR:V=18.129620&amp;VAR:PCT=Y&amp;VAR:AUDIT_ID=00000117&amp;VAR:DATE=20000229&amp;action=UPDATE&amp;creator=factset&amp;DOC_NAME=FAT:FMA_audit_SUMMARY.fat&amp;DISPLAY_STRING=Display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7__FDSAUDITLINK__" localSheetId="8" hidden="1">{"fdsup://directions/FAT%20Viewer?VAR:PED=LTM&amp;VAR:PERIOD=FIXED&amp;VAR:V=17.530520&amp;VAR:PCT=Y&amp;VAR:AUDIT_ID=00000117&amp;VAR:DATE=20000131&amp;action=UPDATE&amp;creator=factset&amp;DOC_NAME=FAT:FMA_audit_SUMMARY.fat&amp;DISPLAY_STRING=Display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7__FDSAUDITLINK__" localSheetId="2" hidden="1">{"fdsup://directions/FAT%20Viewer?VAR:PED=LTM&amp;VAR:PERIOD=FIXED&amp;VAR:V=17.530520&amp;VAR:PCT=Y&amp;VAR:AUDIT_ID=00000117&amp;VAR:DATE=20000131&amp;action=UPDATE&amp;creator=factset&amp;DOC_NAME=FAT:FMA_audit_SUMMARY.fat&amp;DISPLAY_STRING=Display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7__FDSAUDITLINK__" hidden="1">{"fdsup://directions/FAT%20Viewer?VAR:PED=LTM&amp;VAR:PERIOD=FIXED&amp;VAR:V=17.530520&amp;VAR:PCT=Y&amp;VAR:AUDIT_ID=00000117&amp;VAR:DATE=20000131&amp;action=UPDATE&amp;creator=factset&amp;DOC_NAME=FAT:FMA_audit_SUMMARY.fat&amp;DISPLAY_STRING=Display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8__FDSAUDITLINK__" localSheetId="8" hidden="1">{"fdsup://directions/FAT%20Viewer?VAR:PED=LTM&amp;VAR:PERIOD=FIXED&amp;VAR:V=17.453323&amp;VAR:PCT=Y&amp;VAR:AUDIT_ID=00000117&amp;VAR:DATE=19991231&amp;action=UPDATE&amp;creator=factset&amp;DOC_NAME=FAT:FMA_audit_SUMMARY.fat&amp;DISPLAY_STRING=Display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8__FDSAUDITLINK__" localSheetId="2" hidden="1">{"fdsup://directions/FAT%20Viewer?VAR:PED=LTM&amp;VAR:PERIOD=FIXED&amp;VAR:V=17.453323&amp;VAR:PCT=Y&amp;VAR:AUDIT_ID=00000117&amp;VAR:DATE=19991231&amp;action=UPDATE&amp;creator=factset&amp;DOC_NAME=FAT:FMA_audit_SUMMARY.fat&amp;DISPLAY_STRING=Display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8__FDSAUDITLINK__" hidden="1">{"fdsup://directions/FAT%20Viewer?VAR:PED=LTM&amp;VAR:PERIOD=FIXED&amp;VAR:V=17.453323&amp;VAR:PCT=Y&amp;VAR:AUDIT_ID=00000117&amp;VAR:DATE=19991231&amp;action=UPDATE&amp;creator=factset&amp;DOC_NAME=FAT:FMA_audit_SUMMARY.fat&amp;DISPLAY_STRING=Display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9__FDSAUDITLINK__" localSheetId="8" hidden="1">{"fdsup://directions/FAT%20Viewer?VAR:PED=LTM&amp;VAR:PERIOD=FIXED&amp;VAR:V=17.393953&amp;VAR:PCT=Y&amp;VAR:AUDIT_ID=00000117&amp;VAR:DATE=19991130&amp;action=UPDATE&amp;creator=factset&amp;DOC_NAME=FAT:FMA_audit_SUMMARY.fat&amp;DISPLAY_STRING=Display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9__FDSAUDITLINK__" localSheetId="2" hidden="1">{"fdsup://directions/FAT%20Viewer?VAR:PED=LTM&amp;VAR:PERIOD=FIXED&amp;VAR:V=17.393953&amp;VAR:PCT=Y&amp;VAR:AUDIT_ID=00000117&amp;VAR:DATE=19991130&amp;action=UPDATE&amp;creator=factset&amp;DOC_NAME=FAT:FMA_audit_SUMMARY.fat&amp;DISPLAY_STRING=Display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79__FDSAUDITLINK__" hidden="1">{"fdsup://directions/FAT%20Viewer?VAR:PED=LTM&amp;VAR:PERIOD=FIXED&amp;VAR:V=17.393953&amp;VAR:PCT=Y&amp;VAR:AUDIT_ID=00000117&amp;VAR:DATE=19991130&amp;action=UPDATE&amp;creator=factset&amp;DOC_NAME=FAT:FMA_audit_SUMMARY.fat&amp;DISPLAY_STRING=Display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__FDSAUDITLINK__" localSheetId="8" hidden="1">{"fdsup://directions/FAT%20Viewer?VAR:PED=LTM&amp;VAR:PERIOD=FIXED&amp;VAR:V=16.675389&amp;VAR:PCT=Y&amp;VAR:AUDIT_ID=00000117&amp;VAR:DATE=20060531&amp;action=UPDATE&amp;creator=factset&amp;DOC_NAME=FAT:FMA_audit_SUMMARY.fat&amp;DISPLAY_STRING=Display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__FDSAUDITLINK__" localSheetId="2" hidden="1">{"fdsup://directions/FAT%20Viewer?VAR:PED=LTM&amp;VAR:PERIOD=FIXED&amp;VAR:V=16.675389&amp;VAR:PCT=Y&amp;VAR:AUDIT_ID=00000117&amp;VAR:DATE=20060531&amp;action=UPDATE&amp;creator=factset&amp;DOC_NAME=FAT:FMA_audit_SUMMARY.fat&amp;DISPLAY_STRING=Display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__FDSAUDITLINK__" hidden="1">{"fdsup://directions/FAT%20Viewer?VAR:PED=LTM&amp;VAR:PERIOD=FIXED&amp;VAR:V=16.675389&amp;VAR:PCT=Y&amp;VAR:AUDIT_ID=00000117&amp;VAR:DATE=20060531&amp;action=UPDATE&amp;creator=factset&amp;DOC_NAME=FAT:FMA_audit_SUMMARY.fat&amp;DISPLAY_STRING=Display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_0UniqueRang">[3]eva!#REF!</definedName>
    <definedName name="_480__FDSAUDITLINK__" localSheetId="8" hidden="1">{"fdsup://directions/FAT%20Viewer?VAR:PED=LTM&amp;VAR:PERIOD=FIXED&amp;VAR:V=16.768381&amp;VAR:PCT=Y&amp;VAR:AUDIT_ID=00000117&amp;VAR:DATE=19991029&amp;action=UPDATE&amp;creator=factset&amp;DOC_NAME=FAT:FMA_audit_SUMMARY.fat&amp;DISPLAY_STRING=Display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0__FDSAUDITLINK__" localSheetId="2" hidden="1">{"fdsup://directions/FAT%20Viewer?VAR:PED=LTM&amp;VAR:PERIOD=FIXED&amp;VAR:V=16.768381&amp;VAR:PCT=Y&amp;VAR:AUDIT_ID=00000117&amp;VAR:DATE=19991029&amp;action=UPDATE&amp;creator=factset&amp;DOC_NAME=FAT:FMA_audit_SUMMARY.fat&amp;DISPLAY_STRING=Display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0__FDSAUDITLINK__" hidden="1">{"fdsup://directions/FAT%20Viewer?VAR:PED=LTM&amp;VAR:PERIOD=FIXED&amp;VAR:V=16.768381&amp;VAR:PCT=Y&amp;VAR:AUDIT_ID=00000117&amp;VAR:DATE=19991029&amp;action=UPDATE&amp;creator=factset&amp;DOC_NAME=FAT:FMA_audit_SUMMARY.fat&amp;DISPLAY_STRING=Display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1__FDSAUDITLINK__" localSheetId="8" hidden="1">{"fdsup://directions/FAT%20Viewer?VAR:PED=LTM&amp;VAR:PERIOD=FIXED&amp;VAR:V=16.679348&amp;VAR:PCT=Y&amp;VAR:AUDIT_ID=00000117&amp;VAR:DATE=19990930&amp;action=UPDATE&amp;creator=factset&amp;DOC_NAME=FAT:FMA_audit_SUMMARY.fat&amp;DISPLAY_STRING=Display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1__FDSAUDITLINK__" localSheetId="2" hidden="1">{"fdsup://directions/FAT%20Viewer?VAR:PED=LTM&amp;VAR:PERIOD=FIXED&amp;VAR:V=16.679348&amp;VAR:PCT=Y&amp;VAR:AUDIT_ID=00000117&amp;VAR:DATE=19990930&amp;action=UPDATE&amp;creator=factset&amp;DOC_NAME=FAT:FMA_audit_SUMMARY.fat&amp;DISPLAY_STRING=Display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1__FDSAUDITLINK__" hidden="1">{"fdsup://directions/FAT%20Viewer?VAR:PED=LTM&amp;VAR:PERIOD=FIXED&amp;VAR:V=16.679348&amp;VAR:PCT=Y&amp;VAR:AUDIT_ID=00000117&amp;VAR:DATE=19990930&amp;action=UPDATE&amp;creator=factset&amp;DOC_NAME=FAT:FMA_audit_SUMMARY.fat&amp;DISPLAY_STRING=Display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2__FDSAUDITLINK__" localSheetId="8" hidden="1">{"fdsup://directions/FAT%20Viewer?VAR:PED=LTM&amp;VAR:PERIOD=FIXED&amp;VAR:V=16.738041&amp;VAR:PCT=Y&amp;VAR:AUDIT_ID=00000117&amp;VAR:DATE=19990831&amp;action=UPDATE&amp;creator=factset&amp;DOC_NAME=FAT:FMA_audit_SUMMARY.fat&amp;DISPLAY_STRING=Display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2__FDSAUDITLINK__" localSheetId="2" hidden="1">{"fdsup://directions/FAT%20Viewer?VAR:PED=LTM&amp;VAR:PERIOD=FIXED&amp;VAR:V=16.738041&amp;VAR:PCT=Y&amp;VAR:AUDIT_ID=00000117&amp;VAR:DATE=19990831&amp;action=UPDATE&amp;creator=factset&amp;DOC_NAME=FAT:FMA_audit_SUMMARY.fat&amp;DISPLAY_STRING=Display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2__FDSAUDITLINK__" hidden="1">{"fdsup://directions/FAT%20Viewer?VAR:PED=LTM&amp;VAR:PERIOD=FIXED&amp;VAR:V=16.738041&amp;VAR:PCT=Y&amp;VAR:AUDIT_ID=00000117&amp;VAR:DATE=19990831&amp;action=UPDATE&amp;creator=factset&amp;DOC_NAME=FAT:FMA_audit_SUMMARY.fat&amp;DISPLAY_STRING=Display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3__FDSAUDITLINK__" localSheetId="8" hidden="1">{"fdsup://directions/FAT%20Viewer?VAR:PED=LTM&amp;VAR:PERIOD=FIXED&amp;VAR:V=16.189419&amp;VAR:PCT=Y&amp;VAR:AUDIT_ID=00000117&amp;VAR:DATE=19990730&amp;action=UPDATE&amp;creator=factset&amp;DOC_NAME=FAT:FMA_audit_SUMMARY.fat&amp;DISPLAY_STRING=Display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3__FDSAUDITLINK__" localSheetId="2" hidden="1">{"fdsup://directions/FAT%20Viewer?VAR:PED=LTM&amp;VAR:PERIOD=FIXED&amp;VAR:V=16.189419&amp;VAR:PCT=Y&amp;VAR:AUDIT_ID=00000117&amp;VAR:DATE=19990730&amp;action=UPDATE&amp;creator=factset&amp;DOC_NAME=FAT:FMA_audit_SUMMARY.fat&amp;DISPLAY_STRING=Display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3__FDSAUDITLINK__" hidden="1">{"fdsup://directions/FAT%20Viewer?VAR:PED=LTM&amp;VAR:PERIOD=FIXED&amp;VAR:V=16.189419&amp;VAR:PCT=Y&amp;VAR:AUDIT_ID=00000117&amp;VAR:DATE=19990730&amp;action=UPDATE&amp;creator=factset&amp;DOC_NAME=FAT:FMA_audit_SUMMARY.fat&amp;DISPLAY_STRING=Display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4__FDSAUDITLINK__" localSheetId="8" hidden="1">{"fdsup://directions/FAT%20Viewer?VAR:PED=LTM&amp;VAR:PERIOD=FIXED&amp;VAR:V=16.148137&amp;VAR:PCT=Y&amp;VAR:AUDIT_ID=00000117&amp;VAR:DATE=19990630&amp;action=UPDATE&amp;creator=factset&amp;DOC_NAME=FAT:FMA_audit_SUMMARY.fat&amp;DISPLAY_STRING=Display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4__FDSAUDITLINK__" localSheetId="2" hidden="1">{"fdsup://directions/FAT%20Viewer?VAR:PED=LTM&amp;VAR:PERIOD=FIXED&amp;VAR:V=16.148137&amp;VAR:PCT=Y&amp;VAR:AUDIT_ID=00000117&amp;VAR:DATE=19990630&amp;action=UPDATE&amp;creator=factset&amp;DOC_NAME=FAT:FMA_audit_SUMMARY.fat&amp;DISPLAY_STRING=Display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4__FDSAUDITLINK__" hidden="1">{"fdsup://directions/FAT%20Viewer?VAR:PED=LTM&amp;VAR:PERIOD=FIXED&amp;VAR:V=16.148137&amp;VAR:PCT=Y&amp;VAR:AUDIT_ID=00000117&amp;VAR:DATE=19990630&amp;action=UPDATE&amp;creator=factset&amp;DOC_NAME=FAT:FMA_audit_SUMMARY.fat&amp;DISPLAY_STRING=Display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5__FDSAUDITLINK__" localSheetId="8" hidden="1">{"fdsup://directions/FAT%20Viewer?VAR:PED=LTM&amp;VAR:PERIOD=FIXED&amp;VAR:V=16.036450&amp;VAR:PCT=Y&amp;VAR:AUDIT_ID=00000117&amp;VAR:DATE=19990531&amp;action=UPDATE&amp;creator=factset&amp;DOC_NAME=FAT:FMA_audit_SUMMARY.fat&amp;DISPLAY_STRING=Display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5__FDSAUDITLINK__" localSheetId="2" hidden="1">{"fdsup://directions/FAT%20Viewer?VAR:PED=LTM&amp;VAR:PERIOD=FIXED&amp;VAR:V=16.036450&amp;VAR:PCT=Y&amp;VAR:AUDIT_ID=00000117&amp;VAR:DATE=19990531&amp;action=UPDATE&amp;creator=factset&amp;DOC_NAME=FAT:FMA_audit_SUMMARY.fat&amp;DISPLAY_STRING=Display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5__FDSAUDITLINK__" hidden="1">{"fdsup://directions/FAT%20Viewer?VAR:PED=LTM&amp;VAR:PERIOD=FIXED&amp;VAR:V=16.036450&amp;VAR:PCT=Y&amp;VAR:AUDIT_ID=00000117&amp;VAR:DATE=19990531&amp;action=UPDATE&amp;creator=factset&amp;DOC_NAME=FAT:FMA_audit_SUMMARY.fat&amp;DISPLAY_STRING=Display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6__FDSAUDITLINK__" localSheetId="8" hidden="1">{"fdsup://directions/FAT%20Viewer?VAR:PED=LTM&amp;VAR:PERIOD=FIXED&amp;VAR:V=16.754836&amp;VAR:PCT=Y&amp;VAR:AUDIT_ID=00000117&amp;VAR:DATE=19990430&amp;action=UPDATE&amp;creator=factset&amp;DOC_NAME=FAT:FMA_audit_SUMMARY.fat&amp;DISPLAY_STRING=Display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6__FDSAUDITLINK__" localSheetId="2" hidden="1">{"fdsup://directions/FAT%20Viewer?VAR:PED=LTM&amp;VAR:PERIOD=FIXED&amp;VAR:V=16.754836&amp;VAR:PCT=Y&amp;VAR:AUDIT_ID=00000117&amp;VAR:DATE=19990430&amp;action=UPDATE&amp;creator=factset&amp;DOC_NAME=FAT:FMA_audit_SUMMARY.fat&amp;DISPLAY_STRING=Display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6__FDSAUDITLINK__" hidden="1">{"fdsup://directions/FAT%20Viewer?VAR:PED=LTM&amp;VAR:PERIOD=FIXED&amp;VAR:V=16.754836&amp;VAR:PCT=Y&amp;VAR:AUDIT_ID=00000117&amp;VAR:DATE=19990430&amp;action=UPDATE&amp;creator=factset&amp;DOC_NAME=FAT:FMA_audit_SUMMARY.fat&amp;DISPLAY_STRING=Display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7__FDSAUDITLINK__" localSheetId="8" hidden="1">{"fdsup://directions/FAT%20Viewer?VAR:PED=LTM&amp;VAR:PERIOD=FIXED&amp;VAR:V=16.768873&amp;VAR:PCT=Y&amp;VAR:AUDIT_ID=00000117&amp;VAR:DATE=19990331&amp;action=UPDATE&amp;creator=factset&amp;DOC_NAME=FAT:FMA_audit_SUMMARY.fat&amp;DISPLAY_STRING=Display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7__FDSAUDITLINK__" localSheetId="2" hidden="1">{"fdsup://directions/FAT%20Viewer?VAR:PED=LTM&amp;VAR:PERIOD=FIXED&amp;VAR:V=16.768873&amp;VAR:PCT=Y&amp;VAR:AUDIT_ID=00000117&amp;VAR:DATE=19990331&amp;action=UPDATE&amp;creator=factset&amp;DOC_NAME=FAT:FMA_audit_SUMMARY.fat&amp;DISPLAY_STRING=Display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7__FDSAUDITLINK__" hidden="1">{"fdsup://directions/FAT%20Viewer?VAR:PED=LTM&amp;VAR:PERIOD=FIXED&amp;VAR:V=16.768873&amp;VAR:PCT=Y&amp;VAR:AUDIT_ID=00000117&amp;VAR:DATE=19990331&amp;action=UPDATE&amp;creator=factset&amp;DOC_NAME=FAT:FMA_audit_SUMMARY.fat&amp;DISPLAY_STRING=Display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8__FDSAUDITLINK__" localSheetId="8" hidden="1">{"fdsup://directions/FAT%20Viewer?VAR:PED=LTM&amp;VAR:PERIOD=FIXED&amp;VAR:V=16.695312&amp;VAR:PCT=Y&amp;VAR:AUDIT_ID=00000117&amp;VAR:DATE=19990226&amp;action=UPDATE&amp;creator=factset&amp;DOC_NAME=FAT:FMA_audit_SUMMARY.fat&amp;DISPLAY_STRING=Display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8__FDSAUDITLINK__" localSheetId="2" hidden="1">{"fdsup://directions/FAT%20Viewer?VAR:PED=LTM&amp;VAR:PERIOD=FIXED&amp;VAR:V=16.695312&amp;VAR:PCT=Y&amp;VAR:AUDIT_ID=00000117&amp;VAR:DATE=19990226&amp;action=UPDATE&amp;creator=factset&amp;DOC_NAME=FAT:FMA_audit_SUMMARY.fat&amp;DISPLAY_STRING=Display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8__FDSAUDITLINK__" hidden="1">{"fdsup://directions/FAT%20Viewer?VAR:PED=LTM&amp;VAR:PERIOD=FIXED&amp;VAR:V=16.695312&amp;VAR:PCT=Y&amp;VAR:AUDIT_ID=00000117&amp;VAR:DATE=19990226&amp;action=UPDATE&amp;creator=factset&amp;DOC_NAME=FAT:FMA_audit_SUMMARY.fat&amp;DISPLAY_STRING=Display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9__FDSAUDITLINK__" localSheetId="8" hidden="1">{"fdsup://directions/FAT%20Viewer?VAR:PED=LTM&amp;VAR:PERIOD=FIXED&amp;VAR:V=17.249149&amp;VAR:PCT=Y&amp;VAR:AUDIT_ID=00000117&amp;VAR:DATE=19990129&amp;action=UPDATE&amp;creator=factset&amp;DOC_NAME=FAT:FMA_audit_SUMMARY.fat&amp;DISPLAY_STRING=Display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9__FDSAUDITLINK__" localSheetId="2" hidden="1">{"fdsup://directions/FAT%20Viewer?VAR:PED=LTM&amp;VAR:PERIOD=FIXED&amp;VAR:V=17.249149&amp;VAR:PCT=Y&amp;VAR:AUDIT_ID=00000117&amp;VAR:DATE=19990129&amp;action=UPDATE&amp;creator=factset&amp;DOC_NAME=FAT:FMA_audit_SUMMARY.fat&amp;DISPLAY_STRING=Display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89__FDSAUDITLINK__" hidden="1">{"fdsup://directions/FAT%20Viewer?VAR:PED=LTM&amp;VAR:PERIOD=FIXED&amp;VAR:V=17.249149&amp;VAR:PCT=Y&amp;VAR:AUDIT_ID=00000117&amp;VAR:DATE=19990129&amp;action=UPDATE&amp;creator=factset&amp;DOC_NAME=FAT:FMA_audit_SUMMARY.fat&amp;DISPLAY_STRING=Display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__FDSAUDITLINK__" localSheetId="8" hidden="1">{"fdsup://directions/FAT%20Viewer?VAR:PED=LTM&amp;VAR:PERIOD=FIXED&amp;VAR:V=16.628943&amp;VAR:PCT=Y&amp;VAR:AUDIT_ID=00000117&amp;VAR:DATE=20060428&amp;action=UPDATE&amp;creator=factset&amp;DOC_NAME=FAT:FMA_audit_SUMMARY.fat&amp;DISPLAY_STRING=Display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__FDSAUDITLINK__" localSheetId="2" hidden="1">{"fdsup://directions/FAT%20Viewer?VAR:PED=LTM&amp;VAR:PERIOD=FIXED&amp;VAR:V=16.628943&amp;VAR:PCT=Y&amp;VAR:AUDIT_ID=00000117&amp;VAR:DATE=20060428&amp;action=UPDATE&amp;creator=factset&amp;DOC_NAME=FAT:FMA_audit_SUMMARY.fat&amp;DISPLAY_STRING=Display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__FDSAUDITLINK__" hidden="1">{"fdsup://directions/FAT%20Viewer?VAR:PED=LTM&amp;VAR:PERIOD=FIXED&amp;VAR:V=16.628943&amp;VAR:PCT=Y&amp;VAR:AUDIT_ID=00000117&amp;VAR:DATE=20060428&amp;action=UPDATE&amp;creator=factset&amp;DOC_NAME=FAT:FMA_audit_SUMMARY.fat&amp;DISPLAY_STRING=Display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0__FDSAUDITLINK__" localSheetId="8" hidden="1">{"fdsup://directions/FAT%20Viewer?VAR:PED=LTM&amp;VAR:PERIOD=FIXED&amp;VAR:V=17.273337&amp;VAR:PCT=Y&amp;VAR:AUDIT_ID=00000117&amp;VAR:DATE=19981231&amp;action=UPDATE&amp;creator=factset&amp;DOC_NAME=FAT:FMA_audit_SUMMARY.fat&amp;DISPLAY_STRING=Display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0__FDSAUDITLINK__" localSheetId="2" hidden="1">{"fdsup://directions/FAT%20Viewer?VAR:PED=LTM&amp;VAR:PERIOD=FIXED&amp;VAR:V=17.273337&amp;VAR:PCT=Y&amp;VAR:AUDIT_ID=00000117&amp;VAR:DATE=19981231&amp;action=UPDATE&amp;creator=factset&amp;DOC_NAME=FAT:FMA_audit_SUMMARY.fat&amp;DISPLAY_STRING=Display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490__FDSAUDITLINK__" hidden="1">{"fdsup://directions/FAT%20Viewer?VAR:PED=LTM&amp;VAR:PERIOD=FIXED&amp;VAR:V=17.273337&amp;VAR:PCT=Y&amp;VAR:AUDIT_ID=00000117&amp;VAR:DATE=19981231&amp;action=UPDATE&amp;creator=factset&amp;DOC_NAME=FAT:FMA_audit_SUMMARY.fat&amp;DISPLAY_STRING=Display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__FDSAUDITLINK__" localSheetId="8" hidden="1">{"fdsup://directions/FAT%20Viewer?VAR:PED=LTM&amp;VAR:PERIOD=FIXED&amp;VAR:V=8.881015&amp;VAR:PCT=Y&amp;VAR:AUDIT_ID=00000117&amp;VAR:DATE=20091231&amp;action=UPDATE&amp;creator=factset&amp;DOC_NAME=FAT:FMA_audit_SUMMARY.fat&amp;DISPLAY_STRING=Display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__FDSAUDITLINK__" localSheetId="2" hidden="1">{"fdsup://directions/FAT%20Viewer?VAR:PED=LTM&amp;VAR:PERIOD=FIXED&amp;VAR:V=8.881015&amp;VAR:PCT=Y&amp;VAR:AUDIT_ID=00000117&amp;VAR:DATE=20091231&amp;action=UPDATE&amp;creator=factset&amp;DOC_NAME=FAT:FMA_audit_SUMMARY.fat&amp;DISPLAY_STRING=Display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__FDSAUDITLINK__" hidden="1">{"fdsup://directions/FAT%20Viewer?VAR:PED=LTM&amp;VAR:PERIOD=FIXED&amp;VAR:V=8.881015&amp;VAR:PCT=Y&amp;VAR:AUDIT_ID=00000117&amp;VAR:DATE=20091231&amp;action=UPDATE&amp;creator=factset&amp;DOC_NAME=FAT:FMA_audit_SUMMARY.fat&amp;DISPLAY_STRING=Display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0__FDSAUDITLINK__" localSheetId="8" hidden="1">{"fdsup://directions/FAT%20Viewer?VAR:PED=LTM&amp;VAR:PERIOD=FIXED&amp;VAR:V=16.631435&amp;VAR:PCT=Y&amp;VAR:AUDIT_ID=00000117&amp;VAR:DATE=20060331&amp;action=UPDATE&amp;creator=factset&amp;DOC_NAME=FAT:FMA_audit_SUMMARY.fat&amp;DISPLAY_STRING=Display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0__FDSAUDITLINK__" localSheetId="2" hidden="1">{"fdsup://directions/FAT%20Viewer?VAR:PED=LTM&amp;VAR:PERIOD=FIXED&amp;VAR:V=16.631435&amp;VAR:PCT=Y&amp;VAR:AUDIT_ID=00000117&amp;VAR:DATE=20060331&amp;action=UPDATE&amp;creator=factset&amp;DOC_NAME=FAT:FMA_audit_SUMMARY.fat&amp;DISPLAY_STRING=Display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0__FDSAUDITLINK__" hidden="1">{"fdsup://directions/FAT%20Viewer?VAR:PED=LTM&amp;VAR:PERIOD=FIXED&amp;VAR:V=16.631435&amp;VAR:PCT=Y&amp;VAR:AUDIT_ID=00000117&amp;VAR:DATE=20060331&amp;action=UPDATE&amp;creator=factset&amp;DOC_NAME=FAT:FMA_audit_SUMMARY.fat&amp;DISPLAY_STRING=Display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1__FDSAUDITLINK__" localSheetId="8" hidden="1">{"fdsup://directions/FAT%20Viewer?VAR:PED=LTM&amp;VAR:PERIOD=FIXED&amp;VAR:V=16.573460&amp;VAR:PCT=Y&amp;VAR:AUDIT_ID=00000117&amp;VAR:DATE=20060228&amp;action=UPDATE&amp;creator=factset&amp;DOC_NAME=FAT:FMA_audit_SUMMARY.fat&amp;DISPLAY_STRING=Display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1__FDSAUDITLINK__" localSheetId="2" hidden="1">{"fdsup://directions/FAT%20Viewer?VAR:PED=LTM&amp;VAR:PERIOD=FIXED&amp;VAR:V=16.573460&amp;VAR:PCT=Y&amp;VAR:AUDIT_ID=00000117&amp;VAR:DATE=20060228&amp;action=UPDATE&amp;creator=factset&amp;DOC_NAME=FAT:FMA_audit_SUMMARY.fat&amp;DISPLAY_STRING=Display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1__FDSAUDITLINK__" hidden="1">{"fdsup://directions/FAT%20Viewer?VAR:PED=LTM&amp;VAR:PERIOD=FIXED&amp;VAR:V=16.573460&amp;VAR:PCT=Y&amp;VAR:AUDIT_ID=00000117&amp;VAR:DATE=20060228&amp;action=UPDATE&amp;creator=factset&amp;DOC_NAME=FAT:FMA_audit_SUMMARY.fat&amp;DISPLAY_STRING=Display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2__FDSAUDITLINK__" localSheetId="8" hidden="1">{"fdsup://directions/FAT%20Viewer?VAR:PED=LTM&amp;VAR:PERIOD=FIXED&amp;VAR:V=16.717035&amp;VAR:PCT=Y&amp;VAR:AUDIT_ID=00000117&amp;VAR:DATE=20060131&amp;action=UPDATE&amp;creator=factset&amp;DOC_NAME=FAT:FMA_audit_SUMMARY.fat&amp;DISPLAY_STRING=Display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2__FDSAUDITLINK__" localSheetId="2" hidden="1">{"fdsup://directions/FAT%20Viewer?VAR:PED=LTM&amp;VAR:PERIOD=FIXED&amp;VAR:V=16.717035&amp;VAR:PCT=Y&amp;VAR:AUDIT_ID=00000117&amp;VAR:DATE=20060131&amp;action=UPDATE&amp;creator=factset&amp;DOC_NAME=FAT:FMA_audit_SUMMARY.fat&amp;DISPLAY_STRING=Display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2__FDSAUDITLINK__" hidden="1">{"fdsup://directions/FAT%20Viewer?VAR:PED=LTM&amp;VAR:PERIOD=FIXED&amp;VAR:V=16.717035&amp;VAR:PCT=Y&amp;VAR:AUDIT_ID=00000117&amp;VAR:DATE=20060131&amp;action=UPDATE&amp;creator=factset&amp;DOC_NAME=FAT:FMA_audit_SUMMARY.fat&amp;DISPLAY_STRING=Display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2_3_0Income_before_ta">[2]NOPAT_VDF!#REF!</definedName>
    <definedName name="_53__FDSAUDITLINK__" localSheetId="8" hidden="1">{"fdsup://directions/FAT%20Viewer?VAR:PED=LTM&amp;VAR:PERIOD=FIXED&amp;VAR:V=16.680668&amp;VAR:PCT=Y&amp;VAR:AUDIT_ID=00000117&amp;VAR:DATE=20051230&amp;action=UPDATE&amp;creator=factset&amp;DOC_NAME=FAT:FMA_audit_SUMMARY.fat&amp;DISPLAY_STRING=Display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3__FDSAUDITLINK__" localSheetId="2" hidden="1">{"fdsup://directions/FAT%20Viewer?VAR:PED=LTM&amp;VAR:PERIOD=FIXED&amp;VAR:V=16.680668&amp;VAR:PCT=Y&amp;VAR:AUDIT_ID=00000117&amp;VAR:DATE=20051230&amp;action=UPDATE&amp;creator=factset&amp;DOC_NAME=FAT:FMA_audit_SUMMARY.fat&amp;DISPLAY_STRING=Display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3__FDSAUDITLINK__" hidden="1">{"fdsup://directions/FAT%20Viewer?VAR:PED=LTM&amp;VAR:PERIOD=FIXED&amp;VAR:V=16.680668&amp;VAR:PCT=Y&amp;VAR:AUDIT_ID=00000117&amp;VAR:DATE=20051230&amp;action=UPDATE&amp;creator=factset&amp;DOC_NAME=FAT:FMA_audit_SUMMARY.fat&amp;DISPLAY_STRING=Display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4__FDSAUDITLINK__" localSheetId="8" hidden="1">{"fdsup://directions/FAT%20Viewer?VAR:PED=LTM&amp;VAR:PERIOD=FIXED&amp;VAR:V=16.680418&amp;VAR:PCT=Y&amp;VAR:AUDIT_ID=00000117&amp;VAR:DATE=20051130&amp;action=UPDATE&amp;creator=factset&amp;DOC_NAME=FAT:FMA_audit_SUMMARY.fat&amp;DISPLAY_STRING=Display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4__FDSAUDITLINK__" localSheetId="2" hidden="1">{"fdsup://directions/FAT%20Viewer?VAR:PED=LTM&amp;VAR:PERIOD=FIXED&amp;VAR:V=16.680418&amp;VAR:PCT=Y&amp;VAR:AUDIT_ID=00000117&amp;VAR:DATE=20051130&amp;action=UPDATE&amp;creator=factset&amp;DOC_NAME=FAT:FMA_audit_SUMMARY.fat&amp;DISPLAY_STRING=Display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4__FDSAUDITLINK__" hidden="1">{"fdsup://directions/FAT%20Viewer?VAR:PED=LTM&amp;VAR:PERIOD=FIXED&amp;VAR:V=16.680418&amp;VAR:PCT=Y&amp;VAR:AUDIT_ID=00000117&amp;VAR:DATE=20051130&amp;action=UPDATE&amp;creator=factset&amp;DOC_NAME=FAT:FMA_audit_SUMMARY.fat&amp;DISPLAY_STRING=Display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5__FDSAUDITLINK__" localSheetId="8" hidden="1">{"fdsup://directions/FAT%20Viewer?VAR:PED=LTM&amp;VAR:PERIOD=FIXED&amp;VAR:V=16.786498&amp;VAR:PCT=Y&amp;VAR:AUDIT_ID=00000117&amp;VAR:DATE=20051031&amp;action=UPDATE&amp;creator=factset&amp;DOC_NAME=FAT:FMA_audit_SUMMARY.fat&amp;DISPLAY_STRING=Display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5__FDSAUDITLINK__" localSheetId="2" hidden="1">{"fdsup://directions/FAT%20Viewer?VAR:PED=LTM&amp;VAR:PERIOD=FIXED&amp;VAR:V=16.786498&amp;VAR:PCT=Y&amp;VAR:AUDIT_ID=00000117&amp;VAR:DATE=20051031&amp;action=UPDATE&amp;creator=factset&amp;DOC_NAME=FAT:FMA_audit_SUMMARY.fat&amp;DISPLAY_STRING=Display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5__FDSAUDITLINK__" hidden="1">{"fdsup://directions/FAT%20Viewer?VAR:PED=LTM&amp;VAR:PERIOD=FIXED&amp;VAR:V=16.786498&amp;VAR:PCT=Y&amp;VAR:AUDIT_ID=00000117&amp;VAR:DATE=20051031&amp;action=UPDATE&amp;creator=factset&amp;DOC_NAME=FAT:FMA_audit_SUMMARY.fat&amp;DISPLAY_STRING=Display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6__FDSAUDITLINK__" localSheetId="8" hidden="1">{"fdsup://directions/FAT%20Viewer?VAR:PED=LTM&amp;VAR:PERIOD=FIXED&amp;VAR:V=16.621548&amp;VAR:PCT=Y&amp;VAR:AUDIT_ID=00000117&amp;VAR:DATE=20050930&amp;action=UPDATE&amp;creator=factset&amp;DOC_NAME=FAT:FMA_audit_SUMMARY.fat&amp;DISPLAY_STRING=Display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6__FDSAUDITLINK__" localSheetId="2" hidden="1">{"fdsup://directions/FAT%20Viewer?VAR:PED=LTM&amp;VAR:PERIOD=FIXED&amp;VAR:V=16.621548&amp;VAR:PCT=Y&amp;VAR:AUDIT_ID=00000117&amp;VAR:DATE=20050930&amp;action=UPDATE&amp;creator=factset&amp;DOC_NAME=FAT:FMA_audit_SUMMARY.fat&amp;DISPLAY_STRING=Display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6__FDSAUDITLINK__" hidden="1">{"fdsup://directions/FAT%20Viewer?VAR:PED=LTM&amp;VAR:PERIOD=FIXED&amp;VAR:V=16.621548&amp;VAR:PCT=Y&amp;VAR:AUDIT_ID=00000117&amp;VAR:DATE=20050930&amp;action=UPDATE&amp;creator=factset&amp;DOC_NAME=FAT:FMA_audit_SUMMARY.fat&amp;DISPLAY_STRING=Display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6_3_0Increase_in_other_liabilit">[2]NOPAT_VDF!#REF!</definedName>
    <definedName name="_57__FDSAUDITLINK__" localSheetId="8" hidden="1">{"fdsup://directions/FAT%20Viewer?VAR:PED=LTM&amp;VAR:PERIOD=FIXED&amp;VAR:V=16.632879&amp;VAR:PCT=Y&amp;VAR:AUDIT_ID=00000117&amp;VAR:DATE=20050831&amp;action=UPDATE&amp;creator=factset&amp;DOC_NAME=FAT:FMA_audit_SUMMARY.fat&amp;DISPLAY_STRING=Display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7__FDSAUDITLINK__" localSheetId="2" hidden="1">{"fdsup://directions/FAT%20Viewer?VAR:PED=LTM&amp;VAR:PERIOD=FIXED&amp;VAR:V=16.632879&amp;VAR:PCT=Y&amp;VAR:AUDIT_ID=00000117&amp;VAR:DATE=20050831&amp;action=UPDATE&amp;creator=factset&amp;DOC_NAME=FAT:FMA_audit_SUMMARY.fat&amp;DISPLAY_STRING=Display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7__FDSAUDITLINK__" hidden="1">{"fdsup://directions/FAT%20Viewer?VAR:PED=LTM&amp;VAR:PERIOD=FIXED&amp;VAR:V=16.632879&amp;VAR:PCT=Y&amp;VAR:AUDIT_ID=00000117&amp;VAR:DATE=20050831&amp;action=UPDATE&amp;creator=factset&amp;DOC_NAME=FAT:FMA_audit_SUMMARY.fat&amp;DISPLAY_STRING=Display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8__FDSAUDITLINK__" localSheetId="8" hidden="1">{"fdsup://directions/FAT%20Viewer?VAR:PED=LTM&amp;VAR:PERIOD=FIXED&amp;VAR:V=15.946367&amp;VAR:PCT=Y&amp;VAR:AUDIT_ID=00000117&amp;VAR:DATE=20050729&amp;action=UPDATE&amp;creator=factset&amp;DOC_NAME=FAT:FMA_audit_SUMMARY.fat&amp;DISPLAY_STRING=Display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8__FDSAUDITLINK__" localSheetId="2" hidden="1">{"fdsup://directions/FAT%20Viewer?VAR:PED=LTM&amp;VAR:PERIOD=FIXED&amp;VAR:V=15.946367&amp;VAR:PCT=Y&amp;VAR:AUDIT_ID=00000117&amp;VAR:DATE=20050729&amp;action=UPDATE&amp;creator=factset&amp;DOC_NAME=FAT:FMA_audit_SUMMARY.fat&amp;DISPLAY_STRING=Display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8__FDSAUDITLINK__" hidden="1">{"fdsup://directions/FAT%20Viewer?VAR:PED=LTM&amp;VAR:PERIOD=FIXED&amp;VAR:V=15.946367&amp;VAR:PCT=Y&amp;VAR:AUDIT_ID=00000117&amp;VAR:DATE=20050729&amp;action=UPDATE&amp;creator=factset&amp;DOC_NAME=FAT:FMA_audit_SUMMARY.fat&amp;DISPLAY_STRING=Display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9__FDSAUDITLINK__" localSheetId="8" hidden="1">{"fdsup://directions/FAT%20Viewer?VAR:PED=LTM&amp;VAR:PERIOD=FIXED&amp;VAR:V=15.929095&amp;VAR:PCT=Y&amp;VAR:AUDIT_ID=00000117&amp;VAR:DATE=20050630&amp;action=UPDATE&amp;creator=factset&amp;DOC_NAME=FAT:FMA_audit_SUMMARY.fat&amp;DISPLAY_STRING=Display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9__FDSAUDITLINK__" localSheetId="2" hidden="1">{"fdsup://directions/FAT%20Viewer?VAR:PED=LTM&amp;VAR:PERIOD=FIXED&amp;VAR:V=15.929095&amp;VAR:PCT=Y&amp;VAR:AUDIT_ID=00000117&amp;VAR:DATE=20050630&amp;action=UPDATE&amp;creator=factset&amp;DOC_NAME=FAT:FMA_audit_SUMMARY.fat&amp;DISPLAY_STRING=Display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59__FDSAUDITLINK__" hidden="1">{"fdsup://directions/FAT%20Viewer?VAR:PED=LTM&amp;VAR:PERIOD=FIXED&amp;VAR:V=15.929095&amp;VAR:PCT=Y&amp;VAR:AUDIT_ID=00000117&amp;VAR:DATE=20050630&amp;action=UPDATE&amp;creator=factset&amp;DOC_NAME=FAT:FMA_audit_SUMMARY.fat&amp;DISPLAY_STRING=Display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__FDSAUDITLINK__" localSheetId="8" hidden="1">{"fdsup://directions/FAT%20Viewer?VAR:PED=LTM&amp;VAR:PERIOD=FIXED&amp;VAR:V=9.180679&amp;VAR:PCT=Y&amp;VAR:AUDIT_ID=00000117&amp;VAR:DATE=20091130&amp;action=UPDATE&amp;creator=factset&amp;DOC_NAME=FAT:FMA_audit_SUMMARY.fat&amp;DISPLAY_STRING=Display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__FDSAUDITLINK__" localSheetId="2" hidden="1">{"fdsup://directions/FAT%20Viewer?VAR:PED=LTM&amp;VAR:PERIOD=FIXED&amp;VAR:V=9.180679&amp;VAR:PCT=Y&amp;VAR:AUDIT_ID=00000117&amp;VAR:DATE=20091130&amp;action=UPDATE&amp;creator=factset&amp;DOC_NAME=FAT:FMA_audit_SUMMARY.fat&amp;DISPLAY_STRING=Display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__FDSAUDITLINK__" hidden="1">{"fdsup://directions/FAT%20Viewer?VAR:PED=LTM&amp;VAR:PERIOD=FIXED&amp;VAR:V=9.180679&amp;VAR:PCT=Y&amp;VAR:AUDIT_ID=00000117&amp;VAR:DATE=20091130&amp;action=UPDATE&amp;creator=factset&amp;DOC_NAME=FAT:FMA_audit_SUMMARY.fat&amp;DISPLAY_STRING=Display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0__FDSAUDITLINK__" localSheetId="8" hidden="1">{"fdsup://directions/FAT%20Viewer?VAR:PED=LTM&amp;VAR:PERIOD=FIXED&amp;VAR:V=15.906912&amp;VAR:PCT=Y&amp;VAR:AUDIT_ID=00000117&amp;VAR:DATE=20050531&amp;action=UPDATE&amp;creator=factset&amp;DOC_NAME=FAT:FMA_audit_SUMMARY.fat&amp;DISPLAY_STRING=Display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0__FDSAUDITLINK__" localSheetId="2" hidden="1">{"fdsup://directions/FAT%20Viewer?VAR:PED=LTM&amp;VAR:PERIOD=FIXED&amp;VAR:V=15.906912&amp;VAR:PCT=Y&amp;VAR:AUDIT_ID=00000117&amp;VAR:DATE=20050531&amp;action=UPDATE&amp;creator=factset&amp;DOC_NAME=FAT:FMA_audit_SUMMARY.fat&amp;DISPLAY_STRING=Display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0__FDSAUDITLINK__" hidden="1">{"fdsup://directions/FAT%20Viewer?VAR:PED=LTM&amp;VAR:PERIOD=FIXED&amp;VAR:V=15.906912&amp;VAR:PCT=Y&amp;VAR:AUDIT_ID=00000117&amp;VAR:DATE=20050531&amp;action=UPDATE&amp;creator=factset&amp;DOC_NAME=FAT:FMA_audit_SUMMARY.fat&amp;DISPLAY_STRING=Display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0_3_0Other_Segment_Reven">[2]NOPAT_VDF!#REF!</definedName>
    <definedName name="_61__FDSAUDITLINK__" localSheetId="8" hidden="1">{"fdsup://directions/FAT%20Viewer?VAR:PED=LTM&amp;VAR:PERIOD=FIXED&amp;VAR:V=15.918060&amp;VAR:PCT=Y&amp;VAR:AUDIT_ID=00000117&amp;VAR:DATE=20050429&amp;action=UPDATE&amp;creator=factset&amp;DOC_NAME=FAT:FMA_audit_SUMMARY.fat&amp;DISPLAY_STRING=Display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1__FDSAUDITLINK__" localSheetId="2" hidden="1">{"fdsup://directions/FAT%20Viewer?VAR:PED=LTM&amp;VAR:PERIOD=FIXED&amp;VAR:V=15.918060&amp;VAR:PCT=Y&amp;VAR:AUDIT_ID=00000117&amp;VAR:DATE=20050429&amp;action=UPDATE&amp;creator=factset&amp;DOC_NAME=FAT:FMA_audit_SUMMARY.fat&amp;DISPLAY_STRING=Display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1__FDSAUDITLINK__" hidden="1">{"fdsup://directions/FAT%20Viewer?VAR:PED=LTM&amp;VAR:PERIOD=FIXED&amp;VAR:V=15.918060&amp;VAR:PCT=Y&amp;VAR:AUDIT_ID=00000117&amp;VAR:DATE=20050429&amp;action=UPDATE&amp;creator=factset&amp;DOC_NAME=FAT:FMA_audit_SUMMARY.fat&amp;DISPLAY_STRING=Display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2__FDSAUDITLINK__" localSheetId="8" hidden="1">{"fdsup://directions/FAT%20Viewer?VAR:PED=LTM&amp;VAR:PERIOD=FIXED&amp;VAR:V=15.913719&amp;VAR:PCT=Y&amp;VAR:AUDIT_ID=00000117&amp;VAR:DATE=20050331&amp;action=UPDATE&amp;creator=factset&amp;DOC_NAME=FAT:FMA_audit_SUMMARY.fat&amp;DISPLAY_STRING=Display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2__FDSAUDITLINK__" localSheetId="2" hidden="1">{"fdsup://directions/FAT%20Viewer?VAR:PED=LTM&amp;VAR:PERIOD=FIXED&amp;VAR:V=15.913719&amp;VAR:PCT=Y&amp;VAR:AUDIT_ID=00000117&amp;VAR:DATE=20050331&amp;action=UPDATE&amp;creator=factset&amp;DOC_NAME=FAT:FMA_audit_SUMMARY.fat&amp;DISPLAY_STRING=Display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2__FDSAUDITLINK__" hidden="1">{"fdsup://directions/FAT%20Viewer?VAR:PED=LTM&amp;VAR:PERIOD=FIXED&amp;VAR:V=15.913719&amp;VAR:PCT=Y&amp;VAR:AUDIT_ID=00000117&amp;VAR:DATE=20050331&amp;action=UPDATE&amp;creator=factset&amp;DOC_NAME=FAT:FMA_audit_SUMMARY.fat&amp;DISPLAY_STRING=Display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3__FDSAUDITLINK__" localSheetId="8" hidden="1">{"fdsup://directions/FAT%20Viewer?VAR:PED=LTM&amp;VAR:PERIOD=FIXED&amp;VAR:V=15.946005&amp;VAR:PCT=Y&amp;VAR:AUDIT_ID=00000117&amp;VAR:DATE=20050228&amp;action=UPDATE&amp;creator=factset&amp;DOC_NAME=FAT:FMA_audit_SUMMARY.fat&amp;DISPLAY_STRING=Display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3__FDSAUDITLINK__" localSheetId="2" hidden="1">{"fdsup://directions/FAT%20Viewer?VAR:PED=LTM&amp;VAR:PERIOD=FIXED&amp;VAR:V=15.946005&amp;VAR:PCT=Y&amp;VAR:AUDIT_ID=00000117&amp;VAR:DATE=20050228&amp;action=UPDATE&amp;creator=factset&amp;DOC_NAME=FAT:FMA_audit_SUMMARY.fat&amp;DISPLAY_STRING=Display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3__FDSAUDITLINK__" hidden="1">{"fdsup://directions/FAT%20Viewer?VAR:PED=LTM&amp;VAR:PERIOD=FIXED&amp;VAR:V=15.946005&amp;VAR:PCT=Y&amp;VAR:AUDIT_ID=00000117&amp;VAR:DATE=20050228&amp;action=UPDATE&amp;creator=factset&amp;DOC_NAME=FAT:FMA_audit_SUMMARY.fat&amp;DISPLAY_STRING=Display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4__FDSAUDITLINK__" localSheetId="8" hidden="1">{"fdsup://directions/FAT%20Viewer?VAR:PED=LTM&amp;VAR:PERIOD=FIXED&amp;VAR:V=16.260704&amp;VAR:PCT=Y&amp;VAR:AUDIT_ID=00000117&amp;VAR:DATE=20050131&amp;action=UPDATE&amp;creator=factset&amp;DOC_NAME=FAT:FMA_audit_SUMMARY.fat&amp;DISPLAY_STRING=Display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4__FDSAUDITLINK__" localSheetId="2" hidden="1">{"fdsup://directions/FAT%20Viewer?VAR:PED=LTM&amp;VAR:PERIOD=FIXED&amp;VAR:V=16.260704&amp;VAR:PCT=Y&amp;VAR:AUDIT_ID=00000117&amp;VAR:DATE=20050131&amp;action=UPDATE&amp;creator=factset&amp;DOC_NAME=FAT:FMA_audit_SUMMARY.fat&amp;DISPLAY_STRING=Display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4__FDSAUDITLINK__" hidden="1">{"fdsup://directions/FAT%20Viewer?VAR:PED=LTM&amp;VAR:PERIOD=FIXED&amp;VAR:V=16.260704&amp;VAR:PCT=Y&amp;VAR:AUDIT_ID=00000117&amp;VAR:DATE=20050131&amp;action=UPDATE&amp;creator=factset&amp;DOC_NAME=FAT:FMA_audit_SUMMARY.fat&amp;DISPLAY_STRING=Display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5__FDSAUDITLINK__" localSheetId="8" hidden="1">{"fdsup://directions/FAT%20Viewer?VAR:PED=LTM&amp;VAR:PERIOD=FIXED&amp;VAR:V=16.267390&amp;VAR:PCT=Y&amp;VAR:AUDIT_ID=00000117&amp;VAR:DATE=20041231&amp;action=UPDATE&amp;creator=factset&amp;DOC_NAME=FAT:FMA_audit_SUMMARY.fat&amp;DISPLAY_STRING=Display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5__FDSAUDITLINK__" localSheetId="2" hidden="1">{"fdsup://directions/FAT%20Viewer?VAR:PED=LTM&amp;VAR:PERIOD=FIXED&amp;VAR:V=16.267390&amp;VAR:PCT=Y&amp;VAR:AUDIT_ID=00000117&amp;VAR:DATE=20041231&amp;action=UPDATE&amp;creator=factset&amp;DOC_NAME=FAT:FMA_audit_SUMMARY.fat&amp;DISPLAY_STRING=Display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5__FDSAUDITLINK__" hidden="1">{"fdsup://directions/FAT%20Viewer?VAR:PED=LTM&amp;VAR:PERIOD=FIXED&amp;VAR:V=16.267390&amp;VAR:PCT=Y&amp;VAR:AUDIT_ID=00000117&amp;VAR:DATE=20041231&amp;action=UPDATE&amp;creator=factset&amp;DOC_NAME=FAT:FMA_audit_SUMMARY.fat&amp;DISPLAY_STRING=Display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6__FDSAUDITLINK__" localSheetId="8" hidden="1">{"fdsup://directions/FAT%20Viewer?VAR:PED=LTM&amp;VAR:PERIOD=FIXED&amp;VAR:V=16.304718&amp;VAR:PCT=Y&amp;VAR:AUDIT_ID=00000117&amp;VAR:DATE=20041130&amp;action=UPDATE&amp;creator=factset&amp;DOC_NAME=FAT:FMA_audit_SUMMARY.fat&amp;DISPLAY_STRING=Display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6__FDSAUDITLINK__" localSheetId="2" hidden="1">{"fdsup://directions/FAT%20Viewer?VAR:PED=LTM&amp;VAR:PERIOD=FIXED&amp;VAR:V=16.304718&amp;VAR:PCT=Y&amp;VAR:AUDIT_ID=00000117&amp;VAR:DATE=20041130&amp;action=UPDATE&amp;creator=factset&amp;DOC_NAME=FAT:FMA_audit_SUMMARY.fat&amp;DISPLAY_STRING=Display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6__FDSAUDITLINK__" hidden="1">{"fdsup://directions/FAT%20Viewer?VAR:PED=LTM&amp;VAR:PERIOD=FIXED&amp;VAR:V=16.304718&amp;VAR:PCT=Y&amp;VAR:AUDIT_ID=00000117&amp;VAR:DATE=20041130&amp;action=UPDATE&amp;creator=factset&amp;DOC_NAME=FAT:FMA_audit_SUMMARY.fat&amp;DISPLAY_STRING=Display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7__FDSAUDITLINK__" localSheetId="8" hidden="1">{"fdsup://directions/FAT%20Viewer?VAR:PED=LTM&amp;VAR:PERIOD=FIXED&amp;VAR:V=16.290961&amp;VAR:PCT=Y&amp;VAR:AUDIT_ID=00000117&amp;VAR:DATE=20041029&amp;action=UPDATE&amp;creator=factset&amp;DOC_NAME=FAT:FMA_audit_SUMMARY.fat&amp;DISPLAY_STRING=Display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7__FDSAUDITLINK__" localSheetId="2" hidden="1">{"fdsup://directions/FAT%20Viewer?VAR:PED=LTM&amp;VAR:PERIOD=FIXED&amp;VAR:V=16.290961&amp;VAR:PCT=Y&amp;VAR:AUDIT_ID=00000117&amp;VAR:DATE=20041029&amp;action=UPDATE&amp;creator=factset&amp;DOC_NAME=FAT:FMA_audit_SUMMARY.fat&amp;DISPLAY_STRING=Display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7__FDSAUDITLINK__" hidden="1">{"fdsup://directions/FAT%20Viewer?VAR:PED=LTM&amp;VAR:PERIOD=FIXED&amp;VAR:V=16.290961&amp;VAR:PCT=Y&amp;VAR:AUDIT_ID=00000117&amp;VAR:DATE=20041029&amp;action=UPDATE&amp;creator=factset&amp;DOC_NAME=FAT:FMA_audit_SUMMARY.fat&amp;DISPLAY_STRING=Display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8__FDSAUDITLINK__" localSheetId="8" hidden="1">{"fdsup://directions/FAT%20Viewer?VAR:PED=LTM&amp;VAR:PERIOD=FIXED&amp;VAR:V=16.162162&amp;VAR:PCT=Y&amp;VAR:AUDIT_ID=00000117&amp;VAR:DATE=20040930&amp;action=UPDATE&amp;creator=factset&amp;DOC_NAME=FAT:FMA_audit_SUMMARY.fat&amp;DISPLAY_STRING=Display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8__FDSAUDITLINK__" localSheetId="2" hidden="1">{"fdsup://directions/FAT%20Viewer?VAR:PED=LTM&amp;VAR:PERIOD=FIXED&amp;VAR:V=16.162162&amp;VAR:PCT=Y&amp;VAR:AUDIT_ID=00000117&amp;VAR:DATE=20040930&amp;action=UPDATE&amp;creator=factset&amp;DOC_NAME=FAT:FMA_audit_SUMMARY.fat&amp;DISPLAY_STRING=Display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8__FDSAUDITLINK__" hidden="1">{"fdsup://directions/FAT%20Viewer?VAR:PED=LTM&amp;VAR:PERIOD=FIXED&amp;VAR:V=16.162162&amp;VAR:PCT=Y&amp;VAR:AUDIT_ID=00000117&amp;VAR:DATE=20040930&amp;action=UPDATE&amp;creator=factset&amp;DOC_NAME=FAT:FMA_audit_SUMMARY.fat&amp;DISPLAY_STRING=Display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9__FDSAUDITLINK__" localSheetId="8" hidden="1">{"fdsup://directions/FAT%20Viewer?VAR:PED=LTM&amp;VAR:PERIOD=FIXED&amp;VAR:V=16.080642&amp;VAR:PCT=Y&amp;VAR:AUDIT_ID=00000117&amp;VAR:DATE=20040831&amp;action=UPDATE&amp;creator=factset&amp;DOC_NAME=FAT:FMA_audit_SUMMARY.fat&amp;DISPLAY_STRING=Display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9__FDSAUDITLINK__" localSheetId="2" hidden="1">{"fdsup://directions/FAT%20Viewer?VAR:PED=LTM&amp;VAR:PERIOD=FIXED&amp;VAR:V=16.080642&amp;VAR:PCT=Y&amp;VAR:AUDIT_ID=00000117&amp;VAR:DATE=20040831&amp;action=UPDATE&amp;creator=factset&amp;DOC_NAME=FAT:FMA_audit_SUMMARY.fat&amp;DISPLAY_STRING=Display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69__FDSAUDITLINK__" hidden="1">{"fdsup://directions/FAT%20Viewer?VAR:PED=LTM&amp;VAR:PERIOD=FIXED&amp;VAR:V=16.080642&amp;VAR:PCT=Y&amp;VAR:AUDIT_ID=00000117&amp;VAR:DATE=20040831&amp;action=UPDATE&amp;creator=factset&amp;DOC_NAME=FAT:FMA_audit_SUMMARY.fat&amp;DISPLAY_STRING=Display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__FDSAUDITLINK__" localSheetId="8" hidden="1">{"fdsup://directions/FAT%20Viewer?VAR:PED=LTM&amp;VAR:PERIOD=FIXED&amp;VAR:V=8.917013&amp;VAR:PCT=Y&amp;VAR:AUDIT_ID=00000117&amp;VAR:DATE=20091030&amp;action=UPDATE&amp;creator=factset&amp;DOC_NAME=FAT:FMA_audit_SUMMARY.fat&amp;DISPLAY_STRING=Display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__FDSAUDITLINK__" localSheetId="2" hidden="1">{"fdsup://directions/FAT%20Viewer?VAR:PED=LTM&amp;VAR:PERIOD=FIXED&amp;VAR:V=8.917013&amp;VAR:PCT=Y&amp;VAR:AUDIT_ID=00000117&amp;VAR:DATE=20091030&amp;action=UPDATE&amp;creator=factset&amp;DOC_NAME=FAT:FMA_audit_SUMMARY.fat&amp;DISPLAY_STRING=Display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__FDSAUDITLINK__" hidden="1">{"fdsup://directions/FAT%20Viewer?VAR:PED=LTM&amp;VAR:PERIOD=FIXED&amp;VAR:V=8.917013&amp;VAR:PCT=Y&amp;VAR:AUDIT_ID=00000117&amp;VAR:DATE=20091030&amp;action=UPDATE&amp;creator=factset&amp;DOC_NAME=FAT:FMA_audit_SUMMARY.fat&amp;DISPLAY_STRING=Display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0__FDSAUDITLINK__" localSheetId="8" hidden="1">{"fdsup://directions/FAT%20Viewer?VAR:PED=LTM&amp;VAR:PERIOD=FIXED&amp;VAR:V=15.845703&amp;VAR:PCT=Y&amp;VAR:AUDIT_ID=00000117&amp;VAR:DATE=20040730&amp;action=UPDATE&amp;creator=factset&amp;DOC_NAME=FAT:FMA_audit_SUMMARY.fat&amp;DISPLAY_STRING=Display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0__FDSAUDITLINK__" localSheetId="2" hidden="1">{"fdsup://directions/FAT%20Viewer?VAR:PED=LTM&amp;VAR:PERIOD=FIXED&amp;VAR:V=15.845703&amp;VAR:PCT=Y&amp;VAR:AUDIT_ID=00000117&amp;VAR:DATE=20040730&amp;action=UPDATE&amp;creator=factset&amp;DOC_NAME=FAT:FMA_audit_SUMMARY.fat&amp;DISPLAY_STRING=Display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0__FDSAUDITLINK__" hidden="1">{"fdsup://directions/FAT%20Viewer?VAR:PED=LTM&amp;VAR:PERIOD=FIXED&amp;VAR:V=15.845703&amp;VAR:PCT=Y&amp;VAR:AUDIT_ID=00000117&amp;VAR:DATE=20040730&amp;action=UPDATE&amp;creator=factset&amp;DOC_NAME=FAT:FMA_audit_SUMMARY.fat&amp;DISPLAY_STRING=Display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1__FDSAUDITLINK__" localSheetId="8" hidden="1">{"fdsup://directions/FAT%20Viewer?VAR:PED=LTM&amp;VAR:PERIOD=FIXED&amp;VAR:V=15.727325&amp;VAR:PCT=Y&amp;VAR:AUDIT_ID=00000117&amp;VAR:DATE=20040630&amp;action=UPDATE&amp;creator=factset&amp;DOC_NAME=FAT:FMA_audit_SUMMARY.fat&amp;DISPLAY_STRING=Display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1__FDSAUDITLINK__" localSheetId="2" hidden="1">{"fdsup://directions/FAT%20Viewer?VAR:PED=LTM&amp;VAR:PERIOD=FIXED&amp;VAR:V=15.727325&amp;VAR:PCT=Y&amp;VAR:AUDIT_ID=00000117&amp;VAR:DATE=20040630&amp;action=UPDATE&amp;creator=factset&amp;DOC_NAME=FAT:FMA_audit_SUMMARY.fat&amp;DISPLAY_STRING=Display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1__FDSAUDITLINK__" hidden="1">{"fdsup://directions/FAT%20Viewer?VAR:PED=LTM&amp;VAR:PERIOD=FIXED&amp;VAR:V=15.727325&amp;VAR:PCT=Y&amp;VAR:AUDIT_ID=00000117&amp;VAR:DATE=20040630&amp;action=UPDATE&amp;creator=factset&amp;DOC_NAME=FAT:FMA_audit_SUMMARY.fat&amp;DISPLAY_STRING=Display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2__FDSAUDITLINK__" localSheetId="8" hidden="1">{"fdsup://directions/FAT%20Viewer?VAR:PED=LTM&amp;VAR:PERIOD=FIXED&amp;VAR:V=15.689625&amp;VAR:PCT=Y&amp;VAR:AUDIT_ID=00000117&amp;VAR:DATE=20040531&amp;action=UPDATE&amp;creator=factset&amp;DOC_NAME=FAT:FMA_audit_SUMMARY.fat&amp;DISPLAY_STRING=Display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2__FDSAUDITLINK__" localSheetId="2" hidden="1">{"fdsup://directions/FAT%20Viewer?VAR:PED=LTM&amp;VAR:PERIOD=FIXED&amp;VAR:V=15.689625&amp;VAR:PCT=Y&amp;VAR:AUDIT_ID=00000117&amp;VAR:DATE=20040531&amp;action=UPDATE&amp;creator=factset&amp;DOC_NAME=FAT:FMA_audit_SUMMARY.fat&amp;DISPLAY_STRING=Display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2__FDSAUDITLINK__" hidden="1">{"fdsup://directions/FAT%20Viewer?VAR:PED=LTM&amp;VAR:PERIOD=FIXED&amp;VAR:V=15.689625&amp;VAR:PCT=Y&amp;VAR:AUDIT_ID=00000117&amp;VAR:DATE=20040531&amp;action=UPDATE&amp;creator=factset&amp;DOC_NAME=FAT:FMA_audit_SUMMARY.fat&amp;DISPLAY_STRING=Display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3__FDSAUDITLINK__" localSheetId="8" hidden="1">{"fdsup://directions/FAT%20Viewer?VAR:PED=LTM&amp;VAR:PERIOD=FIXED&amp;VAR:V=15.664960&amp;VAR:PCT=Y&amp;VAR:AUDIT_ID=00000117&amp;VAR:DATE=20040430&amp;action=UPDATE&amp;creator=factset&amp;DOC_NAME=FAT:FMA_audit_SUMMARY.fat&amp;DISPLAY_STRING=Display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3__FDSAUDITLINK__" localSheetId="2" hidden="1">{"fdsup://directions/FAT%20Viewer?VAR:PED=LTM&amp;VAR:PERIOD=FIXED&amp;VAR:V=15.664960&amp;VAR:PCT=Y&amp;VAR:AUDIT_ID=00000117&amp;VAR:DATE=20040430&amp;action=UPDATE&amp;creator=factset&amp;DOC_NAME=FAT:FMA_audit_SUMMARY.fat&amp;DISPLAY_STRING=Display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3__FDSAUDITLINK__" hidden="1">{"fdsup://directions/FAT%20Viewer?VAR:PED=LTM&amp;VAR:PERIOD=FIXED&amp;VAR:V=15.664960&amp;VAR:PCT=Y&amp;VAR:AUDIT_ID=00000117&amp;VAR:DATE=20040430&amp;action=UPDATE&amp;creator=factset&amp;DOC_NAME=FAT:FMA_audit_SUMMARY.fat&amp;DISPLAY_STRING=Display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4__FDSAUDITLINK__" localSheetId="8" hidden="1">{"fdsup://directions/FAT%20Viewer?VAR:PED=LTM&amp;VAR:PERIOD=FIXED&amp;VAR:V=15.597285&amp;VAR:PCT=Y&amp;VAR:AUDIT_ID=00000117&amp;VAR:DATE=20040331&amp;action=UPDATE&amp;creator=factset&amp;DOC_NAME=FAT:FMA_audit_SUMMARY.fat&amp;DISPLAY_STRING=Display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4__FDSAUDITLINK__" localSheetId="2" hidden="1">{"fdsup://directions/FAT%20Viewer?VAR:PED=LTM&amp;VAR:PERIOD=FIXED&amp;VAR:V=15.597285&amp;VAR:PCT=Y&amp;VAR:AUDIT_ID=00000117&amp;VAR:DATE=20040331&amp;action=UPDATE&amp;creator=factset&amp;DOC_NAME=FAT:FMA_audit_SUMMARY.fat&amp;DISPLAY_STRING=Display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4__FDSAUDITLINK__" hidden="1">{"fdsup://directions/FAT%20Viewer?VAR:PED=LTM&amp;VAR:PERIOD=FIXED&amp;VAR:V=15.597285&amp;VAR:PCT=Y&amp;VAR:AUDIT_ID=00000117&amp;VAR:DATE=20040331&amp;action=UPDATE&amp;creator=factset&amp;DOC_NAME=FAT:FMA_audit_SUMMARY.fat&amp;DISPLAY_STRING=Display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5__FDSAUDITLINK__" localSheetId="8" hidden="1">{"fdsup://directions/FAT%20Viewer?VAR:PED=LTM&amp;VAR:PERIOD=FIXED&amp;VAR:V=15.612139&amp;VAR:PCT=Y&amp;VAR:AUDIT_ID=00000117&amp;VAR:DATE=20040227&amp;action=UPDATE&amp;creator=factset&amp;DOC_NAME=FAT:FMA_audit_SUMMARY.fat&amp;DISPLAY_STRING=Display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5__FDSAUDITLINK__" localSheetId="2" hidden="1">{"fdsup://directions/FAT%20Viewer?VAR:PED=LTM&amp;VAR:PERIOD=FIXED&amp;VAR:V=15.612139&amp;VAR:PCT=Y&amp;VAR:AUDIT_ID=00000117&amp;VAR:DATE=20040227&amp;action=UPDATE&amp;creator=factset&amp;DOC_NAME=FAT:FMA_audit_SUMMARY.fat&amp;DISPLAY_STRING=Display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5__FDSAUDITLINK__" hidden="1">{"fdsup://directions/FAT%20Viewer?VAR:PED=LTM&amp;VAR:PERIOD=FIXED&amp;VAR:V=15.612139&amp;VAR:PCT=Y&amp;VAR:AUDIT_ID=00000117&amp;VAR:DATE=20040227&amp;action=UPDATE&amp;creator=factset&amp;DOC_NAME=FAT:FMA_audit_SUMMARY.fat&amp;DISPLAY_STRING=Display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6__FDSAUDITLINK__" localSheetId="8" hidden="1">{"fdsup://directions/FAT%20Viewer?VAR:PED=LTM&amp;VAR:PERIOD=FIXED&amp;VAR:V=15.051866&amp;VAR:PCT=Y&amp;VAR:AUDIT_ID=00000117&amp;VAR:DATE=20040130&amp;action=UPDATE&amp;creator=factset&amp;DOC_NAME=FAT:FMA_audit_SUMMARY.fat&amp;DISPLAY_STRING=Display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6__FDSAUDITLINK__" localSheetId="2" hidden="1">{"fdsup://directions/FAT%20Viewer?VAR:PED=LTM&amp;VAR:PERIOD=FIXED&amp;VAR:V=15.051866&amp;VAR:PCT=Y&amp;VAR:AUDIT_ID=00000117&amp;VAR:DATE=20040130&amp;action=UPDATE&amp;creator=factset&amp;DOC_NAME=FAT:FMA_audit_SUMMARY.fat&amp;DISPLAY_STRING=Display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6__FDSAUDITLINK__" hidden="1">{"fdsup://directions/FAT%20Viewer?VAR:PED=LTM&amp;VAR:PERIOD=FIXED&amp;VAR:V=15.051866&amp;VAR:PCT=Y&amp;VAR:AUDIT_ID=00000117&amp;VAR:DATE=20040130&amp;action=UPDATE&amp;creator=factset&amp;DOC_NAME=FAT:FMA_audit_SUMMARY.fat&amp;DISPLAY_STRING=Display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7__FDSAUDITLINK__" localSheetId="8" hidden="1">{"fdsup://directions/FAT%20Viewer?VAR:PED=LTM&amp;VAR:PERIOD=FIXED&amp;VAR:V=15.040866&amp;VAR:PCT=Y&amp;VAR:AUDIT_ID=00000117&amp;VAR:DATE=20031231&amp;action=UPDATE&amp;creator=factset&amp;DOC_NAME=FAT:FMA_audit_SUMMARY.fat&amp;DISPLAY_STRING=Display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7__FDSAUDITLINK__" localSheetId="2" hidden="1">{"fdsup://directions/FAT%20Viewer?VAR:PED=LTM&amp;VAR:PERIOD=FIXED&amp;VAR:V=15.040866&amp;VAR:PCT=Y&amp;VAR:AUDIT_ID=00000117&amp;VAR:DATE=20031231&amp;action=UPDATE&amp;creator=factset&amp;DOC_NAME=FAT:FMA_audit_SUMMARY.fat&amp;DISPLAY_STRING=Display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7__FDSAUDITLINK__" hidden="1">{"fdsup://directions/FAT%20Viewer?VAR:PED=LTM&amp;VAR:PERIOD=FIXED&amp;VAR:V=15.040866&amp;VAR:PCT=Y&amp;VAR:AUDIT_ID=00000117&amp;VAR:DATE=20031231&amp;action=UPDATE&amp;creator=factset&amp;DOC_NAME=FAT:FMA_audit_SUMMARY.fat&amp;DISPLAY_STRING=Display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8__FDSAUDITLINK__" localSheetId="8" hidden="1">{"fdsup://directions/FAT%20Viewer?VAR:PED=LTM&amp;VAR:PERIOD=FIXED&amp;VAR:V=14.905480&amp;VAR:PCT=Y&amp;VAR:AUDIT_ID=00000117&amp;VAR:DATE=20031128&amp;action=UPDATE&amp;creator=factset&amp;DOC_NAME=FAT:FMA_audit_SUMMARY.fat&amp;DISPLAY_STRING=Display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8__FDSAUDITLINK__" localSheetId="2" hidden="1">{"fdsup://directions/FAT%20Viewer?VAR:PED=LTM&amp;VAR:PERIOD=FIXED&amp;VAR:V=14.905480&amp;VAR:PCT=Y&amp;VAR:AUDIT_ID=00000117&amp;VAR:DATE=20031128&amp;action=UPDATE&amp;creator=factset&amp;DOC_NAME=FAT:FMA_audit_SUMMARY.fat&amp;DISPLAY_STRING=Display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8__FDSAUDITLINK__" hidden="1">{"fdsup://directions/FAT%20Viewer?VAR:PED=LTM&amp;VAR:PERIOD=FIXED&amp;VAR:V=14.905480&amp;VAR:PCT=Y&amp;VAR:AUDIT_ID=00000117&amp;VAR:DATE=20031128&amp;action=UPDATE&amp;creator=factset&amp;DOC_NAME=FAT:FMA_audit_SUMMARY.fat&amp;DISPLAY_STRING=Display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9__FDSAUDITLINK__" localSheetId="8" hidden="1">{"fdsup://directions/FAT%20Viewer?VAR:PED=LTM&amp;VAR:PERIOD=FIXED&amp;VAR:V=14.258918&amp;VAR:PCT=Y&amp;VAR:AUDIT_ID=00000117&amp;VAR:DATE=20031031&amp;action=UPDATE&amp;creator=factset&amp;DOC_NAME=FAT:FMA_audit_SUMMARY.fat&amp;DISPLAY_STRING=Display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9__FDSAUDITLINK__" localSheetId="2" hidden="1">{"fdsup://directions/FAT%20Viewer?VAR:PED=LTM&amp;VAR:PERIOD=FIXED&amp;VAR:V=14.258918&amp;VAR:PCT=Y&amp;VAR:AUDIT_ID=00000117&amp;VAR:DATE=20031031&amp;action=UPDATE&amp;creator=factset&amp;DOC_NAME=FAT:FMA_audit_SUMMARY.fat&amp;DISPLAY_STRING=Display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79__FDSAUDITLINK__" hidden="1">{"fdsup://directions/FAT%20Viewer?VAR:PED=LTM&amp;VAR:PERIOD=FIXED&amp;VAR:V=14.258918&amp;VAR:PCT=Y&amp;VAR:AUDIT_ID=00000117&amp;VAR:DATE=20031031&amp;action=UPDATE&amp;creator=factset&amp;DOC_NAME=FAT:FMA_audit_SUMMARY.fat&amp;DISPLAY_STRING=Display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__FDSAUDITLINK__" localSheetId="8" hidden="1">{"fdsup://directions/FAT%20Viewer?VAR:PED=LTM&amp;VAR:PERIOD=FIXED&amp;VAR:V=8.975472&amp;VAR:PCT=Y&amp;VAR:AUDIT_ID=00000117&amp;VAR:DATE=20090930&amp;action=UPDATE&amp;creator=factset&amp;DOC_NAME=FAT:FMA_audit_SUMMARY.fat&amp;DISPLAY_STRING=Display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__FDSAUDITLINK__" localSheetId="2" hidden="1">{"fdsup://directions/FAT%20Viewer?VAR:PED=LTM&amp;VAR:PERIOD=FIXED&amp;VAR:V=8.975472&amp;VAR:PCT=Y&amp;VAR:AUDIT_ID=00000117&amp;VAR:DATE=20090930&amp;action=UPDATE&amp;creator=factset&amp;DOC_NAME=FAT:FMA_audit_SUMMARY.fat&amp;DISPLAY_STRING=Display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__FDSAUDITLINK__" hidden="1">{"fdsup://directions/FAT%20Viewer?VAR:PED=LTM&amp;VAR:PERIOD=FIXED&amp;VAR:V=8.975472&amp;VAR:PCT=Y&amp;VAR:AUDIT_ID=00000117&amp;VAR:DATE=20090930&amp;action=UPDATE&amp;creator=factset&amp;DOC_NAME=FAT:FMA_audit_SUMMARY.fat&amp;DISPLAY_STRING=Display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_0NOPAT_Sh">[2]NOPAT_VDF!#REF!</definedName>
    <definedName name="_80__FDSAUDITLINK__" localSheetId="8" hidden="1">{"fdsup://directions/FAT%20Viewer?VAR:PED=LTM&amp;VAR:PERIOD=FIXED&amp;VAR:V=14.228536&amp;VAR:PCT=Y&amp;VAR:AUDIT_ID=00000117&amp;VAR:DATE=20030930&amp;action=UPDATE&amp;creator=factset&amp;DOC_NAME=FAT:FMA_audit_SUMMARY.fat&amp;DISPLAY_STRING=Display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0__FDSAUDITLINK__" localSheetId="2" hidden="1">{"fdsup://directions/FAT%20Viewer?VAR:PED=LTM&amp;VAR:PERIOD=FIXED&amp;VAR:V=14.228536&amp;VAR:PCT=Y&amp;VAR:AUDIT_ID=00000117&amp;VAR:DATE=20030930&amp;action=UPDATE&amp;creator=factset&amp;DOC_NAME=FAT:FMA_audit_SUMMARY.fat&amp;DISPLAY_STRING=Display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0__FDSAUDITLINK__" hidden="1">{"fdsup://directions/FAT%20Viewer?VAR:PED=LTM&amp;VAR:PERIOD=FIXED&amp;VAR:V=14.228536&amp;VAR:PCT=Y&amp;VAR:AUDIT_ID=00000117&amp;VAR:DATE=20030930&amp;action=UPDATE&amp;creator=factset&amp;DOC_NAME=FAT:FMA_audit_SUMMARY.fat&amp;DISPLAY_STRING=Display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1__FDSAUDITLINK__" localSheetId="8" hidden="1">{"fdsup://directions/FAT%20Viewer?VAR:PED=LTM&amp;VAR:PERIOD=FIXED&amp;VAR:V=14.205863&amp;VAR:PCT=Y&amp;VAR:AUDIT_ID=00000117&amp;VAR:DATE=20030829&amp;action=UPDATE&amp;creator=factset&amp;DOC_NAME=FAT:FMA_audit_SUMMARY.fat&amp;DISPLAY_STRING=Display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1__FDSAUDITLINK__" localSheetId="2" hidden="1">{"fdsup://directions/FAT%20Viewer?VAR:PED=LTM&amp;VAR:PERIOD=FIXED&amp;VAR:V=14.205863&amp;VAR:PCT=Y&amp;VAR:AUDIT_ID=00000117&amp;VAR:DATE=20030829&amp;action=UPDATE&amp;creator=factset&amp;DOC_NAME=FAT:FMA_audit_SUMMARY.fat&amp;DISPLAY_STRING=Display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1__FDSAUDITLINK__" hidden="1">{"fdsup://directions/FAT%20Viewer?VAR:PED=LTM&amp;VAR:PERIOD=FIXED&amp;VAR:V=14.205863&amp;VAR:PCT=Y&amp;VAR:AUDIT_ID=00000117&amp;VAR:DATE=20030829&amp;action=UPDATE&amp;creator=factset&amp;DOC_NAME=FAT:FMA_audit_SUMMARY.fat&amp;DISPLAY_STRING=Display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2__FDSAUDITLINK__" localSheetId="8" hidden="1">{"fdsup://directions/FAT%20Viewer?VAR:PED=LTM&amp;VAR:PERIOD=FIXED&amp;VAR:V=13.803387&amp;VAR:PCT=Y&amp;VAR:AUDIT_ID=00000117&amp;VAR:DATE=20030731&amp;action=UPDATE&amp;creator=factset&amp;DOC_NAME=FAT:FMA_audit_SUMMARY.fat&amp;DISPLAY_STRING=Display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2__FDSAUDITLINK__" localSheetId="2" hidden="1">{"fdsup://directions/FAT%20Viewer?VAR:PED=LTM&amp;VAR:PERIOD=FIXED&amp;VAR:V=13.803387&amp;VAR:PCT=Y&amp;VAR:AUDIT_ID=00000117&amp;VAR:DATE=20030731&amp;action=UPDATE&amp;creator=factset&amp;DOC_NAME=FAT:FMA_audit_SUMMARY.fat&amp;DISPLAY_STRING=Display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2__FDSAUDITLINK__" hidden="1">{"fdsup://directions/FAT%20Viewer?VAR:PED=LTM&amp;VAR:PERIOD=FIXED&amp;VAR:V=13.803387&amp;VAR:PCT=Y&amp;VAR:AUDIT_ID=00000117&amp;VAR:DATE=20030731&amp;action=UPDATE&amp;creator=factset&amp;DOC_NAME=FAT:FMA_audit_SUMMARY.fat&amp;DISPLAY_STRING=Display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3__FDSAUDITLINK__" localSheetId="8" hidden="1">{"fdsup://directions/FAT%20Viewer?VAR:PED=LTM&amp;VAR:PERIOD=FIXED&amp;VAR:V=13.844338&amp;VAR:PCT=Y&amp;VAR:AUDIT_ID=00000117&amp;VAR:DATE=20030630&amp;action=UPDATE&amp;creator=factset&amp;DOC_NAME=FAT:FMA_audit_SUMMARY.fat&amp;DISPLAY_STRING=Display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3__FDSAUDITLINK__" localSheetId="2" hidden="1">{"fdsup://directions/FAT%20Viewer?VAR:PED=LTM&amp;VAR:PERIOD=FIXED&amp;VAR:V=13.844338&amp;VAR:PCT=Y&amp;VAR:AUDIT_ID=00000117&amp;VAR:DATE=20030630&amp;action=UPDATE&amp;creator=factset&amp;DOC_NAME=FAT:FMA_audit_SUMMARY.fat&amp;DISPLAY_STRING=Display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3__FDSAUDITLINK__" hidden="1">{"fdsup://directions/FAT%20Viewer?VAR:PED=LTM&amp;VAR:PERIOD=FIXED&amp;VAR:V=13.844338&amp;VAR:PCT=Y&amp;VAR:AUDIT_ID=00000117&amp;VAR:DATE=20030630&amp;action=UPDATE&amp;creator=factset&amp;DOC_NAME=FAT:FMA_audit_SUMMARY.fat&amp;DISPLAY_STRING=Display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4__FDSAUDITLINK__" localSheetId="8" hidden="1">{"fdsup://directions/FAT%20Viewer?VAR:PED=LTM&amp;VAR:PERIOD=FIXED&amp;VAR:V=13.831460&amp;VAR:PCT=Y&amp;VAR:AUDIT_ID=00000117&amp;VAR:DATE=20030530&amp;action=UPDATE&amp;creator=factset&amp;DOC_NAME=FAT:FMA_audit_SUMMARY.fat&amp;DISPLAY_STRING=Display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4__FDSAUDITLINK__" localSheetId="2" hidden="1">{"fdsup://directions/FAT%20Viewer?VAR:PED=LTM&amp;VAR:PERIOD=FIXED&amp;VAR:V=13.831460&amp;VAR:PCT=Y&amp;VAR:AUDIT_ID=00000117&amp;VAR:DATE=20030530&amp;action=UPDATE&amp;creator=factset&amp;DOC_NAME=FAT:FMA_audit_SUMMARY.fat&amp;DISPLAY_STRING=Display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4__FDSAUDITLINK__" hidden="1">{"fdsup://directions/FAT%20Viewer?VAR:PED=LTM&amp;VAR:PERIOD=FIXED&amp;VAR:V=13.831460&amp;VAR:PCT=Y&amp;VAR:AUDIT_ID=00000117&amp;VAR:DATE=20030530&amp;action=UPDATE&amp;creator=factset&amp;DOC_NAME=FAT:FMA_audit_SUMMARY.fat&amp;DISPLAY_STRING=Display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5__FDSAUDITLINK__" localSheetId="8" hidden="1">{"fdsup://directions/FAT%20Viewer?VAR:PED=LTM&amp;VAR:PERIOD=FIXED&amp;VAR:V=13.944780&amp;VAR:PCT=Y&amp;VAR:AUDIT_ID=00000117&amp;VAR:DATE=20030430&amp;action=UPDATE&amp;creator=factset&amp;DOC_NAME=FAT:FMA_audit_SUMMARY.fat&amp;DISPLAY_STRING=Display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5__FDSAUDITLINK__" localSheetId="2" hidden="1">{"fdsup://directions/FAT%20Viewer?VAR:PED=LTM&amp;VAR:PERIOD=FIXED&amp;VAR:V=13.944780&amp;VAR:PCT=Y&amp;VAR:AUDIT_ID=00000117&amp;VAR:DATE=20030430&amp;action=UPDATE&amp;creator=factset&amp;DOC_NAME=FAT:FMA_audit_SUMMARY.fat&amp;DISPLAY_STRING=Display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5__FDSAUDITLINK__" hidden="1">{"fdsup://directions/FAT%20Viewer?VAR:PED=LTM&amp;VAR:PERIOD=FIXED&amp;VAR:V=13.944780&amp;VAR:PCT=Y&amp;VAR:AUDIT_ID=00000117&amp;VAR:DATE=20030430&amp;action=UPDATE&amp;creator=factset&amp;DOC_NAME=FAT:FMA_audit_SUMMARY.fat&amp;DISPLAY_STRING=Display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6__FDSAUDITLINK__" localSheetId="8" hidden="1">{"fdsup://directions/FAT%20Viewer?VAR:PED=LTM&amp;VAR:PERIOD=FIXED&amp;VAR:V=13.916196&amp;VAR:PCT=Y&amp;VAR:AUDIT_ID=00000117&amp;VAR:DATE=20030331&amp;action=UPDATE&amp;creator=factset&amp;DOC_NAME=FAT:FMA_audit_SUMMARY.fat&amp;DISPLAY_STRING=Display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6__FDSAUDITLINK__" localSheetId="2" hidden="1">{"fdsup://directions/FAT%20Viewer?VAR:PED=LTM&amp;VAR:PERIOD=FIXED&amp;VAR:V=13.916196&amp;VAR:PCT=Y&amp;VAR:AUDIT_ID=00000117&amp;VAR:DATE=20030331&amp;action=UPDATE&amp;creator=factset&amp;DOC_NAME=FAT:FMA_audit_SUMMARY.fat&amp;DISPLAY_STRING=Display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6__FDSAUDITLINK__" hidden="1">{"fdsup://directions/FAT%20Viewer?VAR:PED=LTM&amp;VAR:PERIOD=FIXED&amp;VAR:V=13.916196&amp;VAR:PCT=Y&amp;VAR:AUDIT_ID=00000117&amp;VAR:DATE=20030331&amp;action=UPDATE&amp;creator=factset&amp;DOC_NAME=FAT:FMA_audit_SUMMARY.fat&amp;DISPLAY_STRING=Display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7__FDSAUDITLINK__" localSheetId="8" hidden="1">{"fdsup://directions/FAT%20Viewer?VAR:PED=LTM&amp;VAR:PERIOD=FIXED&amp;VAR:V=13.886985&amp;VAR:PCT=Y&amp;VAR:AUDIT_ID=00000117&amp;VAR:DATE=20030228&amp;action=UPDATE&amp;creator=factset&amp;DOC_NAME=FAT:FMA_audit_SUMMARY.fat&amp;DISPLAY_STRING=Display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7__FDSAUDITLINK__" localSheetId="2" hidden="1">{"fdsup://directions/FAT%20Viewer?VAR:PED=LTM&amp;VAR:PERIOD=FIXED&amp;VAR:V=13.886985&amp;VAR:PCT=Y&amp;VAR:AUDIT_ID=00000117&amp;VAR:DATE=20030228&amp;action=UPDATE&amp;creator=factset&amp;DOC_NAME=FAT:FMA_audit_SUMMARY.fat&amp;DISPLAY_STRING=Display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7__FDSAUDITLINK__" hidden="1">{"fdsup://directions/FAT%20Viewer?VAR:PED=LTM&amp;VAR:PERIOD=FIXED&amp;VAR:V=13.886985&amp;VAR:PCT=Y&amp;VAR:AUDIT_ID=00000117&amp;VAR:DATE=20030228&amp;action=UPDATE&amp;creator=factset&amp;DOC_NAME=FAT:FMA_audit_SUMMARY.fat&amp;DISPLAY_STRING=Display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8__FDSAUDITLINK__" localSheetId="8" hidden="1">{"fdsup://directions/FAT%20Viewer?VAR:PED=LTM&amp;VAR:PERIOD=FIXED&amp;VAR:V=11.478142&amp;VAR:PCT=Y&amp;VAR:AUDIT_ID=00000117&amp;VAR:DATE=20030131&amp;action=UPDATE&amp;creator=factset&amp;DOC_NAME=FAT:FMA_audit_SUMMARY.fat&amp;DISPLAY_STRING=Display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8__FDSAUDITLINK__" localSheetId="2" hidden="1">{"fdsup://directions/FAT%20Viewer?VAR:PED=LTM&amp;VAR:PERIOD=FIXED&amp;VAR:V=11.478142&amp;VAR:PCT=Y&amp;VAR:AUDIT_ID=00000117&amp;VAR:DATE=20030131&amp;action=UPDATE&amp;creator=factset&amp;DOC_NAME=FAT:FMA_audit_SUMMARY.fat&amp;DISPLAY_STRING=Display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8__FDSAUDITLINK__" hidden="1">{"fdsup://directions/FAT%20Viewer?VAR:PED=LTM&amp;VAR:PERIOD=FIXED&amp;VAR:V=11.478142&amp;VAR:PCT=Y&amp;VAR:AUDIT_ID=00000117&amp;VAR:DATE=20030131&amp;action=UPDATE&amp;creator=factset&amp;DOC_NAME=FAT:FMA_audit_SUMMARY.fat&amp;DISPLAY_STRING=Display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9__FDSAUDITLINK__" localSheetId="8" hidden="1">{"fdsup://directions/FAT%20Viewer?VAR:PED=LTM&amp;VAR:PERIOD=FIXED&amp;VAR:V=11.475684&amp;VAR:PCT=Y&amp;VAR:AUDIT_ID=00000117&amp;VAR:DATE=20021231&amp;action=UPDATE&amp;creator=factset&amp;DOC_NAME=FAT:FMA_audit_SUMMARY.fat&amp;DISPLAY_STRING=Display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9__FDSAUDITLINK__" localSheetId="2" hidden="1">{"fdsup://directions/FAT%20Viewer?VAR:PED=LTM&amp;VAR:PERIOD=FIXED&amp;VAR:V=11.475684&amp;VAR:PCT=Y&amp;VAR:AUDIT_ID=00000117&amp;VAR:DATE=20021231&amp;action=UPDATE&amp;creator=factset&amp;DOC_NAME=FAT:FMA_audit_SUMMARY.fat&amp;DISPLAY_STRING=Display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89__FDSAUDITLINK__" hidden="1">{"fdsup://directions/FAT%20Viewer?VAR:PED=LTM&amp;VAR:PERIOD=FIXED&amp;VAR:V=11.475684&amp;VAR:PCT=Y&amp;VAR:AUDIT_ID=00000117&amp;VAR:DATE=20021231&amp;action=UPDATE&amp;creator=factset&amp;DOC_NAME=FAT:FMA_audit_SUMMARY.fat&amp;DISPLAY_STRING=Display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__FDSAUDITLINK__" localSheetId="8" hidden="1">{"fdsup://directions/FAT%20Viewer?VAR:PED=LTM&amp;VAR:PERIOD=FIXED&amp;VAR:V=9.196503&amp;VAR:PCT=Y&amp;VAR:AUDIT_ID=00000117&amp;VAR:DATE=20090831&amp;action=UPDATE&amp;creator=factset&amp;DOC_NAME=FAT:FMA_audit_SUMMARY.fat&amp;DISPLAY_STRING=Display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__FDSAUDITLINK__" localSheetId="2" hidden="1">{"fdsup://directions/FAT%20Viewer?VAR:PED=LTM&amp;VAR:PERIOD=FIXED&amp;VAR:V=9.196503&amp;VAR:PCT=Y&amp;VAR:AUDIT_ID=00000117&amp;VAR:DATE=20090831&amp;action=UPDATE&amp;creator=factset&amp;DOC_NAME=FAT:FMA_audit_SUMMARY.fat&amp;DISPLAY_STRING=Display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__FDSAUDITLINK__" hidden="1">{"fdsup://directions/FAT%20Viewer?VAR:PED=LTM&amp;VAR:PERIOD=FIXED&amp;VAR:V=9.196503&amp;VAR:PCT=Y&amp;VAR:AUDIT_ID=00000117&amp;VAR:DATE=20090831&amp;action=UPDATE&amp;creator=factset&amp;DOC_NAME=FAT:FMA_audit_SUMMARY.fat&amp;DISPLAY_STRING=Display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0__FDSAUDITLINK__" localSheetId="8" hidden="1">{"fdsup://directions/FAT%20Viewer?VAR:PED=LTM&amp;VAR:PERIOD=FIXED&amp;VAR:V=11.379526&amp;VAR:PCT=Y&amp;VAR:AUDIT_ID=00000117&amp;VAR:DATE=20021129&amp;action=UPDATE&amp;creator=factset&amp;DOC_NAME=FAT:FMA_audit_SUMMARY.fat&amp;DISPLAY_STRING=Display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0__FDSAUDITLINK__" localSheetId="2" hidden="1">{"fdsup://directions/FAT%20Viewer?VAR:PED=LTM&amp;VAR:PERIOD=FIXED&amp;VAR:V=11.379526&amp;VAR:PCT=Y&amp;VAR:AUDIT_ID=00000117&amp;VAR:DATE=20021129&amp;action=UPDATE&amp;creator=factset&amp;DOC_NAME=FAT:FMA_audit_SUMMARY.fat&amp;DISPLAY_STRING=Display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0__FDSAUDITLINK__" hidden="1">{"fdsup://directions/FAT%20Viewer?VAR:PED=LTM&amp;VAR:PERIOD=FIXED&amp;VAR:V=11.379526&amp;VAR:PCT=Y&amp;VAR:AUDIT_ID=00000117&amp;VAR:DATE=20021129&amp;action=UPDATE&amp;creator=factset&amp;DOC_NAME=FAT:FMA_audit_SUMMARY.fat&amp;DISPLAY_STRING=Display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1__FDSAUDITLINK__" localSheetId="8" hidden="1">{"fdsup://directions/FAT%20Viewer?VAR:PED=LTM&amp;VAR:PERIOD=FIXED&amp;VAR:V=11.194320&amp;VAR:PCT=Y&amp;VAR:AUDIT_ID=00000117&amp;VAR:DATE=20021031&amp;action=UPDATE&amp;creator=factset&amp;DOC_NAME=FAT:FMA_audit_SUMMARY.fat&amp;DISPLAY_STRING=Display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1__FDSAUDITLINK__" localSheetId="2" hidden="1">{"fdsup://directions/FAT%20Viewer?VAR:PED=LTM&amp;VAR:PERIOD=FIXED&amp;VAR:V=11.194320&amp;VAR:PCT=Y&amp;VAR:AUDIT_ID=00000117&amp;VAR:DATE=20021031&amp;action=UPDATE&amp;creator=factset&amp;DOC_NAME=FAT:FMA_audit_SUMMARY.fat&amp;DISPLAY_STRING=Display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1__FDSAUDITLINK__" hidden="1">{"fdsup://directions/FAT%20Viewer?VAR:PED=LTM&amp;VAR:PERIOD=FIXED&amp;VAR:V=11.194320&amp;VAR:PCT=Y&amp;VAR:AUDIT_ID=00000117&amp;VAR:DATE=20021031&amp;action=UPDATE&amp;creator=factset&amp;DOC_NAME=FAT:FMA_audit_SUMMARY.fat&amp;DISPLAY_STRING=Display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2__FDSAUDITLINK__" localSheetId="8" hidden="1">{"fdsup://directions/FAT%20Viewer?VAR:PED=LTM&amp;VAR:PERIOD=FIXED&amp;VAR:V=11.191963&amp;VAR:PCT=Y&amp;VAR:AUDIT_ID=00000117&amp;VAR:DATE=20020930&amp;action=UPDATE&amp;creator=factset&amp;DOC_NAME=FAT:FMA_audit_SUMMARY.fat&amp;DISPLAY_STRING=Display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2__FDSAUDITLINK__" localSheetId="2" hidden="1">{"fdsup://directions/FAT%20Viewer?VAR:PED=LTM&amp;VAR:PERIOD=FIXED&amp;VAR:V=11.191963&amp;VAR:PCT=Y&amp;VAR:AUDIT_ID=00000117&amp;VAR:DATE=20020930&amp;action=UPDATE&amp;creator=factset&amp;DOC_NAME=FAT:FMA_audit_SUMMARY.fat&amp;DISPLAY_STRING=Display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2__FDSAUDITLINK__" hidden="1">{"fdsup://directions/FAT%20Viewer?VAR:PED=LTM&amp;VAR:PERIOD=FIXED&amp;VAR:V=11.191963&amp;VAR:PCT=Y&amp;VAR:AUDIT_ID=00000117&amp;VAR:DATE=20020930&amp;action=UPDATE&amp;creator=factset&amp;DOC_NAME=FAT:FMA_audit_SUMMARY.fat&amp;DISPLAY_STRING=Display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3__FDSAUDITLINK__" localSheetId="8" hidden="1">{"fdsup://directions/FAT%20Viewer?VAR:PED=LTM&amp;VAR:PERIOD=FIXED&amp;VAR:V=11.245677&amp;VAR:PCT=Y&amp;VAR:AUDIT_ID=00000117&amp;VAR:DATE=20020830&amp;action=UPDATE&amp;creator=factset&amp;DOC_NAME=FAT:FMA_audit_SUMMARY.fat&amp;DISPLAY_STRING=Display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3__FDSAUDITLINK__" localSheetId="2" hidden="1">{"fdsup://directions/FAT%20Viewer?VAR:PED=LTM&amp;VAR:PERIOD=FIXED&amp;VAR:V=11.245677&amp;VAR:PCT=Y&amp;VAR:AUDIT_ID=00000117&amp;VAR:DATE=20020830&amp;action=UPDATE&amp;creator=factset&amp;DOC_NAME=FAT:FMA_audit_SUMMARY.fat&amp;DISPLAY_STRING=Display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3__FDSAUDITLINK__" hidden="1">{"fdsup://directions/FAT%20Viewer?VAR:PED=LTM&amp;VAR:PERIOD=FIXED&amp;VAR:V=11.245677&amp;VAR:PCT=Y&amp;VAR:AUDIT_ID=00000117&amp;VAR:DATE=20020830&amp;action=UPDATE&amp;creator=factset&amp;DOC_NAME=FAT:FMA_audit_SUMMARY.fat&amp;DISPLAY_STRING=Display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4__FDSAUDITLINK__" localSheetId="8" hidden="1">{"fdsup://directions/FAT%20Viewer?VAR:PED=LTM&amp;VAR:PERIOD=FIXED&amp;VAR:V=9.245041&amp;VAR:PCT=Y&amp;VAR:AUDIT_ID=00000117&amp;VAR:DATE=20020731&amp;action=UPDATE&amp;creator=factset&amp;DOC_NAME=FAT:FMA_audit_SUMMARY.fat&amp;DISPLAY_STRING=Display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4__FDSAUDITLINK__" localSheetId="2" hidden="1">{"fdsup://directions/FAT%20Viewer?VAR:PED=LTM&amp;VAR:PERIOD=FIXED&amp;VAR:V=9.245041&amp;VAR:PCT=Y&amp;VAR:AUDIT_ID=00000117&amp;VAR:DATE=20020731&amp;action=UPDATE&amp;creator=factset&amp;DOC_NAME=FAT:FMA_audit_SUMMARY.fat&amp;DISPLAY_STRING=Display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4__FDSAUDITLINK__" hidden="1">{"fdsup://directions/FAT%20Viewer?VAR:PED=LTM&amp;VAR:PERIOD=FIXED&amp;VAR:V=9.245041&amp;VAR:PCT=Y&amp;VAR:AUDIT_ID=00000117&amp;VAR:DATE=20020731&amp;action=UPDATE&amp;creator=factset&amp;DOC_NAME=FAT:FMA_audit_SUMMARY.fat&amp;DISPLAY_STRING=Display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5__FDSAUDITLINK__" localSheetId="8" hidden="1">{"fdsup://directions/FAT%20Viewer?VAR:PED=LTM&amp;VAR:PERIOD=FIXED&amp;VAR:V=8.638103&amp;VAR:PCT=Y&amp;VAR:AUDIT_ID=00000117&amp;VAR:DATE=20020628&amp;action=UPDATE&amp;creator=factset&amp;DOC_NAME=FAT:FMA_audit_SUMMARY.fat&amp;DISPLAY_STRING=Display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5__FDSAUDITLINK__" localSheetId="2" hidden="1">{"fdsup://directions/FAT%20Viewer?VAR:PED=LTM&amp;VAR:PERIOD=FIXED&amp;VAR:V=8.638103&amp;VAR:PCT=Y&amp;VAR:AUDIT_ID=00000117&amp;VAR:DATE=20020628&amp;action=UPDATE&amp;creator=factset&amp;DOC_NAME=FAT:FMA_audit_SUMMARY.fat&amp;DISPLAY_STRING=Display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5__FDSAUDITLINK__" hidden="1">{"fdsup://directions/FAT%20Viewer?VAR:PED=LTM&amp;VAR:PERIOD=FIXED&amp;VAR:V=8.638103&amp;VAR:PCT=Y&amp;VAR:AUDIT_ID=00000117&amp;VAR:DATE=20020628&amp;action=UPDATE&amp;creator=factset&amp;DOC_NAME=FAT:FMA_audit_SUMMARY.fat&amp;DISPLAY_STRING=Display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6__FDSAUDITLINK__" localSheetId="8" hidden="1">{"fdsup://directions/FAT%20Viewer?VAR:PED=LTM&amp;VAR:PERIOD=FIXED&amp;VAR:V=8.679847&amp;VAR:PCT=Y&amp;VAR:AUDIT_ID=00000117&amp;VAR:DATE=20020531&amp;action=UPDATE&amp;creator=factset&amp;DOC_NAME=FAT:FMA_audit_SUMMARY.fat&amp;DISPLAY_STRING=Display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6__FDSAUDITLINK__" localSheetId="2" hidden="1">{"fdsup://directions/FAT%20Viewer?VAR:PED=LTM&amp;VAR:PERIOD=FIXED&amp;VAR:V=8.679847&amp;VAR:PCT=Y&amp;VAR:AUDIT_ID=00000117&amp;VAR:DATE=20020531&amp;action=UPDATE&amp;creator=factset&amp;DOC_NAME=FAT:FMA_audit_SUMMARY.fat&amp;DISPLAY_STRING=Display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6__FDSAUDITLINK__" hidden="1">{"fdsup://directions/FAT%20Viewer?VAR:PED=LTM&amp;VAR:PERIOD=FIXED&amp;VAR:V=8.679847&amp;VAR:PCT=Y&amp;VAR:AUDIT_ID=00000117&amp;VAR:DATE=20020531&amp;action=UPDATE&amp;creator=factset&amp;DOC_NAME=FAT:FMA_audit_SUMMARY.fat&amp;DISPLAY_STRING=Display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7__FDSAUDITLINK__" localSheetId="8" hidden="1">{"fdsup://directions/FAT%20Viewer?VAR:PED=LTM&amp;VAR:PERIOD=FIXED&amp;VAR:V=9.975536&amp;VAR:PCT=Y&amp;VAR:AUDIT_ID=00000117&amp;VAR:DATE=20020430&amp;action=UPDATE&amp;creator=factset&amp;DOC_NAME=FAT:FMA_audit_SUMMARY.fat&amp;DISPLAY_STRING=Display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7__FDSAUDITLINK__" localSheetId="2" hidden="1">{"fdsup://directions/FAT%20Viewer?VAR:PED=LTM&amp;VAR:PERIOD=FIXED&amp;VAR:V=9.975536&amp;VAR:PCT=Y&amp;VAR:AUDIT_ID=00000117&amp;VAR:DATE=20020430&amp;action=UPDATE&amp;creator=factset&amp;DOC_NAME=FAT:FMA_audit_SUMMARY.fat&amp;DISPLAY_STRING=Display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7__FDSAUDITLINK__" hidden="1">{"fdsup://directions/FAT%20Viewer?VAR:PED=LTM&amp;VAR:PERIOD=FIXED&amp;VAR:V=9.975536&amp;VAR:PCT=Y&amp;VAR:AUDIT_ID=00000117&amp;VAR:DATE=20020430&amp;action=UPDATE&amp;creator=factset&amp;DOC_NAME=FAT:FMA_audit_SUMMARY.fat&amp;DISPLAY_STRING=Display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8__FDSAUDITLINK__" localSheetId="8" hidden="1">{"fdsup://directions/FAT%20Viewer?VAR:PED=LTM&amp;VAR:PERIOD=FIXED&amp;VAR:V=10.001811&amp;VAR:PCT=Y&amp;VAR:AUDIT_ID=00000117&amp;VAR:DATE=20020329&amp;action=UPDATE&amp;creator=factset&amp;DOC_NAME=FAT:FMA_audit_SUMMARY.fat&amp;DISPLAY_STRING=Display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8__FDSAUDITLINK__" localSheetId="2" hidden="1">{"fdsup://directions/FAT%20Viewer?VAR:PED=LTM&amp;VAR:PERIOD=FIXED&amp;VAR:V=10.001811&amp;VAR:PCT=Y&amp;VAR:AUDIT_ID=00000117&amp;VAR:DATE=20020329&amp;action=UPDATE&amp;creator=factset&amp;DOC_NAME=FAT:FMA_audit_SUMMARY.fat&amp;DISPLAY_STRING=Display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8__FDSAUDITLINK__" hidden="1">{"fdsup://directions/FAT%20Viewer?VAR:PED=LTM&amp;VAR:PERIOD=FIXED&amp;VAR:V=10.001811&amp;VAR:PCT=Y&amp;VAR:AUDIT_ID=00000117&amp;VAR:DATE=20020329&amp;action=UPDATE&amp;creator=factset&amp;DOC_NAME=FAT:FMA_audit_SUMMARY.fat&amp;DISPLAY_STRING=Display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9__FDSAUDITLINK__" localSheetId="8" hidden="1">{"fdsup://directions/FAT%20Viewer?VAR:PED=LTM&amp;VAR:PERIOD=FIXED&amp;VAR:V=10.117698&amp;VAR:PCT=Y&amp;VAR:AUDIT_ID=00000117&amp;VAR:DATE=20020228&amp;action=UPDATE&amp;creator=factset&amp;DOC_NAME=FAT:FMA_audit_SUMMARY.fat&amp;DISPLAY_STRING=Display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9__FDSAUDITLINK__" localSheetId="2" hidden="1">{"fdsup://directions/FAT%20Viewer?VAR:PED=LTM&amp;VAR:PERIOD=FIXED&amp;VAR:V=10.117698&amp;VAR:PCT=Y&amp;VAR:AUDIT_ID=00000117&amp;VAR:DATE=20020228&amp;action=UPDATE&amp;creator=factset&amp;DOC_NAME=FAT:FMA_audit_SUMMARY.fat&amp;DISPLAY_STRING=Display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99__FDSAUDITLINK__" hidden="1">{"fdsup://directions/FAT%20Viewer?VAR:PED=LTM&amp;VAR:PERIOD=FIXED&amp;VAR:V=10.117698&amp;VAR:PCT=Y&amp;VAR:AUDIT_ID=00000117&amp;VAR:DATE=20020228&amp;action=UPDATE&amp;creator=factset&amp;DOC_NAME=FAT:FMA_audit_SUMMARY.fat&amp;DISPLAY_STRING=Display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_ass2">#REF!</definedName>
    <definedName name="_bdm.00E3C11F7D754794919A77B8372F8846.edm" hidden="1">#REF!</definedName>
    <definedName name="_bdm.02E29E7B1053433EA3CCCBE4E5141596.edm" hidden="1">[5]Sheet1!$A:$IV</definedName>
    <definedName name="_bdm.03ACBC690A824421A42345CE53CE8F0E.edm" hidden="1">#REF!</definedName>
    <definedName name="_bdm.0C00A5716A114E8181FFB129EC0923F1.edm" hidden="1">#REF!</definedName>
    <definedName name="_bdm.115F4BB54D324A75BBB9AAEFD3C5762E.edm" hidden="1">#REF!</definedName>
    <definedName name="_bdm.11EB72ACE3374B1CB252FDD683429D59.edm" hidden="1">#REF!</definedName>
    <definedName name="_bdm.1A4472CA839E4BE2AB8406835DB70320.edm" hidden="1">#REF!</definedName>
    <definedName name="_bdm.1DF4B3E45DCE4C2A9D635C38C907064B.edm" hidden="1">#REF!</definedName>
    <definedName name="_bdm.381AE6A728F44322BB6D187EF9720E0D.edm" hidden="1">#REF!</definedName>
    <definedName name="_bdm.38A1479DFCDE4DE08898DABF0227CCFC.edm" hidden="1">#REF!</definedName>
    <definedName name="_bdm.4043F94310BB46FAA28AD730DF0066E4.edm" hidden="1">#REF!</definedName>
    <definedName name="_bdm.41807D9BEFAF4799A611ED3D8B837BB8.edm" hidden="1">'[6]Affordability (09)'!$A:$IV</definedName>
    <definedName name="_bdm.42F67CCC3C1C45638B5EC98256E90947.edm" hidden="1">'[7]Good 12-00 (2)'!$A:$IV</definedName>
    <definedName name="_bdm.46D56600DB7840728F138544F8E425DB.edm" hidden="1">'[7]Good 11-36'!$A:$IV</definedName>
    <definedName name="_bdm.4C264CE4CE2F4BF0B092FBA832C1BDD7.edm" hidden="1">#REF!</definedName>
    <definedName name="_bdm.5F22F0845EDC4DFC97372C5DE15CCB89.edm" hidden="1">#REF!</definedName>
    <definedName name="_bdm.60A1016E4A5045B0B4BE42FB21AAF6D6.edm" hidden="1">'[7]Good 11-50'!$A:$IV</definedName>
    <definedName name="_bdm.6853770FAC6645E0B784D7E292730E5B.edm" hidden="1">[8]China!$A:$IV</definedName>
    <definedName name="_bdm.69CDCF8B674045C7A77206FBD5DD349B.edm" hidden="1">#REF!</definedName>
    <definedName name="_bdm.782ED4AF1A084596BCBEE2F1A5FF304F.edm" hidden="1">#REF!</definedName>
    <definedName name="_bdm.78764B507B284474801E8902DA56186E.edm" hidden="1">#REF!</definedName>
    <definedName name="_bdm.7F5C02576EFA4E2AB1886ED6B001BBBF.edm" hidden="1">#REF!</definedName>
    <definedName name="_bdm.87722A51E9F046338B9F9300C0F2392F.edm" hidden="1">#REF!</definedName>
    <definedName name="_bdm.87F4604307A24B21ADA941A97092433E.edm" hidden="1">#REF!</definedName>
    <definedName name="_bdm.8C2B3492F25B41F2ABD943DB3B8ECE41.edm" hidden="1">#REF!</definedName>
    <definedName name="_bdm.9626BEDC2DF343BC97C4F5C24E16077B.edm" hidden="1">#REF!</definedName>
    <definedName name="_bdm.9A56D4D8560D4DFA9B101E2FD65A5AF6.edm" hidden="1">#REF!</definedName>
    <definedName name="_bdm.A048470CF3104978B2A289A5464F6017.edm" hidden="1">#REF!</definedName>
    <definedName name="_bdm.AD8DF9C8A6BE45AAB5DBB89D7095C4CE.edm" hidden="1">#REF!</definedName>
    <definedName name="_bdm.C7C6FBA36F39444B8BCEC128D5B7F931.edm" hidden="1">'[7]Sheet3 (5)'!$A:$IV</definedName>
    <definedName name="_bdm.CA42A1DE52914EE794516F083E7DFD75.edm" hidden="1">#REF!</definedName>
    <definedName name="_bdm.CED42CAA0F0A4DE189553B79B6548EE3.edm" hidden="1">#REF!</definedName>
    <definedName name="_bdm.CEF614E773E743E39A76D15FD76C4B88.edm" hidden="1">#REF!</definedName>
    <definedName name="_bdm.D4062354735842C095EC630A56F6C419.edm" hidden="1">#REF!</definedName>
    <definedName name="_bdm.D6D660602BE549AA83014E4B361E15D8.edm" hidden="1">#REF!</definedName>
    <definedName name="_bdm.DB20838AE17B417BA90CD7525026931E.edm" hidden="1">#REF!</definedName>
    <definedName name="_bdm.DF6734618A3C41EAA54818590D43BC2A.edm" hidden="1">#REF!</definedName>
    <definedName name="_bdm.E0A7113A7EB84E42B8F20FD0B1D44AF1.edm" hidden="1">#REF!</definedName>
    <definedName name="_bdm.E60A8C944AA94BC8AADFF9E3F0BF0004.edm" hidden="1">#REF!</definedName>
    <definedName name="_bdm.F8DBAA68B3EA4ED49D6B256CA0ACA015.edm" hidden="1">#REF!</definedName>
    <definedName name="_bdm.FFA8A86D4FF944549323DA61077FAB74.edm" hidden="1">#REF!</definedName>
    <definedName name="_Databox">#REF!</definedName>
    <definedName name="_Order1" hidden="1">0</definedName>
    <definedName name="_Rank">#REF!</definedName>
    <definedName name="a">#REF!</definedName>
    <definedName name="a__Values_in_blue_font_and_cells_with_gray_borders_can_be_modified._b__Max._Window_for_Start_and_End_Dates_is_4_years.__c__Review_Bull__Base__Bear__and_Extreme_Upside_and_Downside_values_carefully.__Any_changes_to_this_data_will_upload_to_MW.">#REF!</definedName>
    <definedName name="a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#REF!</definedName>
    <definedName name="abc">#REF!</definedName>
    <definedName name="Acc_payable_growth_fore">#REF!</definedName>
    <definedName name="Acc_Rec_growth_fore">#REF!</definedName>
    <definedName name="Accrued_compensation_growth_fore">#REF!</definedName>
    <definedName name="Accrued_expenses_growth_fore">#REF!</definedName>
    <definedName name="Accum_Cap_Expenses_growth_fore">#REF!</definedName>
    <definedName name="Accum_Goodwill_Amort_growth_fore">#REF!</definedName>
    <definedName name="Ad_rev">#REF!</definedName>
    <definedName name="Adj_net_oper_fore">#REF!</definedName>
    <definedName name="Adjusted_EPS">[9]Figures!#REF!</definedName>
    <definedName name="Adjusted_Net_Operating_Profit">[10]NOPAT_VDF!$C$26:$AU$26</definedName>
    <definedName name="All_00_PS">[11]Depreciation!$AJ$227</definedName>
    <definedName name="All_00_Rev">[11]Depreciation!$AG$227</definedName>
    <definedName name="All_97_PS">[11]Depreciation!#REF!</definedName>
    <definedName name="All_97_Rev">[11]Depreciation!$AD$227</definedName>
    <definedName name="All_98_PS">[11]Depreciation!$AH$227</definedName>
    <definedName name="All_98_Rev">[11]Depreciation!$AE$227</definedName>
    <definedName name="All_99_PS">[11]Depreciation!$AI$227</definedName>
    <definedName name="All_99_Rev">[11]Depreciation!$AF$227</definedName>
    <definedName name="All_EPS_00">[11]Depreciation!$AC$227</definedName>
    <definedName name="All_EPS_98">[11]Depreciation!$AA$227</definedName>
    <definedName name="All_EPS_99">[11]Depreciation!$AB$227</definedName>
    <definedName name="All_Mkt_Cap">[11]Depreciation!$T$227</definedName>
    <definedName name="All_Off_High">[11]Depreciation!$N$227</definedName>
    <definedName name="All_Stocks">[11]Depreciation!$C$227</definedName>
    <definedName name="ass">[12]Assumptions!#REF!</definedName>
    <definedName name="Average_invested_capital">'[10]Invested capital_VDF'!$C$89:$AZ$89</definedName>
    <definedName name="Average_invested_capital_DCF">[10]DCF_VDF!$C$78:$AZ$78</definedName>
    <definedName name="backto">[13]Links!#REF!</definedName>
    <definedName name="BLPH1" hidden="1">#REF!</definedName>
    <definedName name="BLPH2" hidden="1">#REF!</definedName>
    <definedName name="BLPH3" hidden="1">#REF!</definedName>
    <definedName name="BLPH4" hidden="1">#REF!</definedName>
    <definedName name="BLPH5" hidden="1">#REF!</definedName>
    <definedName name="BLPH6" hidden="1">#REF!</definedName>
    <definedName name="BLPH7" hidden="1">#REF!</definedName>
    <definedName name="BS">#REF!</definedName>
    <definedName name="BSR">'[1]teo model'!#REF!</definedName>
    <definedName name="bt">[14]EVA1!$S$11</definedName>
    <definedName name="CABLE">#REF!</definedName>
    <definedName name="cap">[15]GS_DCF!$Y$10:$AH$10</definedName>
    <definedName name="CAPEX">'[1]teo model'!#REF!</definedName>
    <definedName name="capita">#REF!</definedName>
    <definedName name="Capitalization">#REF!</definedName>
    <definedName name="Case">#REF!</definedName>
    <definedName name="cash">#REF!</definedName>
    <definedName name="Cash_DCF">[10]DCF_VDF!$C$33:$AZ$33</definedName>
    <definedName name="Cash_fore">#REF!</definedName>
    <definedName name="Cash_growth_fore">#REF!</definedName>
    <definedName name="Cash_Operating_Taxes">[10]NOPAT_VDF!$C$39:$AU$39</definedName>
    <definedName name="Cash_operating_taxes_fore">#REF!</definedName>
    <definedName name="Cashflow">#REF!</definedName>
    <definedName name="Catalog_Path">'[16]DDETABLE '!$AD$5</definedName>
    <definedName name="cc_ReportCurrency">"HKD"</definedName>
    <definedName name="cc_ReportCurrencyUnit">"HK$"</definedName>
    <definedName name="cc_ReportCurrencyUnitFactor">1</definedName>
    <definedName name="CFormats">'[16]DDETABLE '!$AO$2:$AO$17</definedName>
    <definedName name="CFR">'[1]teo model'!#REF!</definedName>
    <definedName name="Chart_COE">#REF!:OFFSET(#REF!,0,#REF!)</definedName>
    <definedName name="Chart_RNOA">#REF!:OFFSET(#REF!,0,#REF!)</definedName>
    <definedName name="Chart_ROE">#REF!:OFFSET(#REF!,0,#REF!)</definedName>
    <definedName name="Chart_WACC">#REF!:OFFSET(#REF!,0,#REF!)</definedName>
    <definedName name="CHART1">"Chart 2"</definedName>
    <definedName name="chg">[15]GS_DCF!$Y$12:$AH$12</definedName>
    <definedName name="China_map">#REF!</definedName>
    <definedName name="Choices">#N/A</definedName>
    <definedName name="Choices_Wrapper">#N/A</definedName>
    <definedName name="Co_Guidance_Qtr">#REF!</definedName>
    <definedName name="codeDestination">'[16]DDETABLE '!$K$9</definedName>
    <definedName name="CODELK_Path">'[16]DDETABLE '!$AD$4</definedName>
    <definedName name="cogs_handsets">[17]Costs!$A$15:$IV$15</definedName>
    <definedName name="cogs_internet">[17]Costs!$A$26:$IV$26</definedName>
    <definedName name="cogs_mobile">[17]Costs!$A$21:$IV$21</definedName>
    <definedName name="cogs_other">[17]Costs!$A$30:$IV$30</definedName>
    <definedName name="column_start">[13]Links!#REF!</definedName>
    <definedName name="COMP">'[1]teo model'!#REF!</definedName>
    <definedName name="company_list">OFFSET([18]Transform!$AE$7,0,0,[18]Transform!$AE$4,1)</definedName>
    <definedName name="Company_reported_exceptionals">[9]Figures!#REF!</definedName>
    <definedName name="Cov_00_PS">[11]Depreciation!$AJ$231</definedName>
    <definedName name="Cov_00_Rev">[11]Depreciation!$AG$228</definedName>
    <definedName name="Cov_97_PS">[11]Depreciation!#REF!</definedName>
    <definedName name="Cov_97_Rev">[11]Depreciation!$AD$228</definedName>
    <definedName name="Cov_98_PS">[11]Depreciation!$AH$231</definedName>
    <definedName name="Cov_98_Rev">[11]Depreciation!$AE$228</definedName>
    <definedName name="Cov_99_PS">[11]Depreciation!$AI$231</definedName>
    <definedName name="Cov_99_Rev">[11]Depreciation!$AF$228</definedName>
    <definedName name="Cov_EPS_00">[11]Depreciation!$AC$231</definedName>
    <definedName name="Cov_EPS_98">[11]Depreciation!$AA$231</definedName>
    <definedName name="Cov_EPS_99">[11]Depreciation!$AB$231</definedName>
    <definedName name="Cov_Mkt_Cap">[11]Depreciation!$T$228</definedName>
    <definedName name="Cov_Off_High">[11]Depreciation!$N$227</definedName>
    <definedName name="Cov_Perf_97">[11]Depreciation!$O$231</definedName>
    <definedName name="Cov_Perf_98">[11]Depreciation!$P$231</definedName>
    <definedName name="Cov_Perf_99">[11]Depreciation!$Q$231</definedName>
    <definedName name="cov_perf_99b">'[19]#REF'!$Q$162</definedName>
    <definedName name="Cov_Univ_Avg">[11]Depreciation!$C$231</definedName>
    <definedName name="Cov_Univ_Total">[11]Depreciation!$C$228</definedName>
    <definedName name="CTopics">'[16]DDETABLE '!$AM$2:$AM$4</definedName>
    <definedName name="Current_cost_adjusted_net_income">[9]Figures!#REF!</definedName>
    <definedName name="Customer_deposits_growth_fore">#REF!</definedName>
    <definedName name="data">#REF!</definedName>
    <definedName name="datalength">COUNTA(#REF!)</definedName>
    <definedName name="dataseries_minus_space_2">OFFSET(#REF!,0,0,COUNTA(#REF!)+1,1)</definedName>
    <definedName name="dataseries4">OFFSET([20]c1!$G$12,0,0,COUNTA([20]c1!$G$12:$G$31),1)</definedName>
    <definedName name="DATE">#REF!</definedName>
    <definedName name="DCF_EY1">[10]DCF_VDF!$D$1:$D$65536</definedName>
    <definedName name="DCF_EY10">[10]DCF_VDF!$M$1:$M$65536</definedName>
    <definedName name="DCF_EY14">[10]DCF_VDF!$Q$1:$Q$65536</definedName>
    <definedName name="DCF_EY15">[10]DCF_VDF!$R$1:$R$65536</definedName>
    <definedName name="DCF_EY2">[10]DCF_VDF!$E$1:$E$65536</definedName>
    <definedName name="DCF_EY24">[10]DCF_VDF!$AA$1:$AA$65536</definedName>
    <definedName name="DCF_EY25">[10]DCF_VDF!$AB$1:$AB$65536</definedName>
    <definedName name="DCF_EY3">[10]DCF_VDF!$F$1:$F$65536</definedName>
    <definedName name="DCF_EY4">[10]DCF_VDF!$G$1:$G$65536</definedName>
    <definedName name="DCF_EY5">[10]DCF_VDF!$H$1:$H$65536</definedName>
    <definedName name="DCF_EY9">[10]DCF_VDF!$L$1:$L$65536</definedName>
    <definedName name="DCF_P">[10]DCF_VDF!$C$1:$C$65536</definedName>
    <definedName name="Debt_growth">[10]NOPAT_VDF!$M$153:$Q$153</definedName>
    <definedName name="Deferred_tax_asset_growth_fore">#REF!</definedName>
    <definedName name="Deferred_tax_liability_growth_fore">#REF!</definedName>
    <definedName name="dep">[15]GS_DCF!$Y$8:$AH$8</definedName>
    <definedName name="Dep_and_Amort">[10]NOPAT_VDF!$C$100:$AU$100</definedName>
    <definedName name="Dep_margin_fore">#REF!</definedName>
    <definedName name="Depreciation">[17]Depreciation!$A$7:$IV$7</definedName>
    <definedName name="Depreciation_fore">#REF!</definedName>
    <definedName name="Discount_factor">[21]DCF!$A$21:$IV$21</definedName>
    <definedName name="DLD">'[1]teo model'!#REF!</definedName>
    <definedName name="DnA_fore">#REF!</definedName>
    <definedName name="DnA_growth_fore">#REF!</definedName>
    <definedName name="DOMLD">#REF!</definedName>
    <definedName name="DSDDE_Path">'[16]DDETABLE '!$AD$3</definedName>
    <definedName name="ebit">[15]GS_DCF!$Y$7:$AH$7</definedName>
    <definedName name="EBIT_fore">#REF!</definedName>
    <definedName name="EBIT_margin">[10]NOPAT_VDF!$C$111:$AU$111</definedName>
    <definedName name="EBIT_margin_fore">#REF!</definedName>
    <definedName name="EBITA">[10]NOPAT_VDF!$C$101:$AZ$101</definedName>
    <definedName name="EBITA_fore">#REF!</definedName>
    <definedName name="EBITDA">[10]NOPAT_VDF!$C$102:$AE$102</definedName>
    <definedName name="EBITDA_DCF">[10]DCF_VDF!$C$15:$AZ$15</definedName>
    <definedName name="EBITDA_fore">#REF!</definedName>
    <definedName name="EBITDA_growth_avg">[10]NOPAT_VDF!#REF!</definedName>
    <definedName name="EBITDA_margin">[10]NOPAT_VDF!$C$109:$AZ$109</definedName>
    <definedName name="EBITDA_margin_fore">#REF!</definedName>
    <definedName name="EBITDA_Share">[10]NOPAT_VDF!#REF!</definedName>
    <definedName name="ecom_costs">[22]PROFSVC!$A$20:$Q$20</definedName>
    <definedName name="ecom_gm">[22]PROFSVC!$A$23:$Q$23</definedName>
    <definedName name="ecom_gp">[22]PROFSVC!$A$22:$Q$22</definedName>
    <definedName name="ecom_revs">[22]PROFSVC!$A$18:$Q$18</definedName>
    <definedName name="EG_DPS">[9]projections!#REF!</definedName>
    <definedName name="EG_Net_Profit">[9]projections!#REF!</definedName>
    <definedName name="enterprise_value">[13]Links!#REF!</definedName>
    <definedName name="EPS">[10]NOPAT_VDF!$C$96:$AU$96</definedName>
    <definedName name="EPS_growth_avg">[10]NOPAT_VDF!#REF!</definedName>
    <definedName name="Excel_Version">'[16]DDETABLE '!$AD$8</definedName>
    <definedName name="Exceptionals">[9]Figures!#REF!</definedName>
    <definedName name="Excess_cash">'[10]Invested capital_VDF'!$C$5:$AE$5</definedName>
    <definedName name="ExchangeRateEURUSD">#REF!</definedName>
    <definedName name="ExchangeRateHKDUSD">#REF!</definedName>
    <definedName name="ExchangeRateKRWUSD">#REF!</definedName>
    <definedName name="ExchangeRateYenUSD">#REF!</definedName>
    <definedName name="Expl_forecast_1st_yr">#REF!</definedName>
    <definedName name="Expl_forecast_2nd_yr">#REF!</definedName>
    <definedName name="Expl_forecast_3rd_yr">#REF!</definedName>
    <definedName name="ExtFiles">'[16]DDETABLE '!$AG$2:$AG$10</definedName>
    <definedName name="F_AFLCFM1">#REF!</definedName>
    <definedName name="F_AFLCFM2">#REF!</definedName>
    <definedName name="F_AFLPEM3">#REF!</definedName>
    <definedName name="F_AFLPEM4">#REF!</definedName>
    <definedName name="F_AFLPEMb">#REF!</definedName>
    <definedName name="F_AFLSD1">#REF!</definedName>
    <definedName name="F_AFLSD2">#REF!</definedName>
    <definedName name="F_Book_value_per_share">'[23]Calculation (2)'!#REF!</definedName>
    <definedName name="FAMERangeDJ_BALAL28">[14]EVA1!#REF!</definedName>
    <definedName name="FAMERangeDJ_BALAM28">[14]EVA1!#REF!</definedName>
    <definedName name="FAMERangeDJ_BALAN28">[14]EVA1!#REF!</definedName>
    <definedName name="FAMERangeGCI_BALD62">[14]EVA1!#REF!</definedName>
    <definedName name="FAMERangeGCI_BALD63">[14]EVA1!#REF!</definedName>
    <definedName name="FAMERangeKRI_BALAL99">[14]EVA1!$T$93:$T$93</definedName>
    <definedName name="FAMERangeKRI_BALAM99">[14]EVA1!$U$93:$U$93</definedName>
    <definedName name="FAMERangeKRI_BALAN99">[14]EVA1!$V$93:$V$93</definedName>
    <definedName name="fin709111_2" localSheetId="8">'GMV+Users'!#REF!</definedName>
    <definedName name="FINOptions">"0,0,1,1,1,0,0,-1,0,0,2,0,"</definedName>
    <definedName name="Fixed_asset_turns">'[10]Invested capital_VDF'!$C$99:$AU$99</definedName>
    <definedName name="Fixed_asset_turns_fore">#REF!</definedName>
    <definedName name="Fixed_line">#REF!</definedName>
    <definedName name="Formats">'[16]DDETABLE '!$AN$2:$AN$11</definedName>
    <definedName name="free">[15]GS_DCF!$Y$11:$AH$11</definedName>
    <definedName name="FREQS">'[16]DDETABLE '!$AP$2:$AP$6</definedName>
    <definedName name="GEOG">'[1]teo model'!#REF!</definedName>
    <definedName name="Glossary">[24]Summary!$Q$17</definedName>
    <definedName name="Goodwill_growth_fore">#REF!</definedName>
    <definedName name="Gross_inc_growth">[10]NOPAT_VDF!#REF!</definedName>
    <definedName name="Gross_income">[10]NOPAT_VDF!$C$10:$AE$10</definedName>
    <definedName name="Gross_income_fore">#REF!</definedName>
    <definedName name="Gross_income_growth_avg">#REF!</definedName>
    <definedName name="Gross_margin_fore">#REF!</definedName>
    <definedName name="Growth">[11]Depreciation!$C$229</definedName>
    <definedName name="Growth_97">[11]Depreciation!$AD$229</definedName>
    <definedName name="Growth_98">[11]Depreciation!$AE$229</definedName>
    <definedName name="Growth_99">[11]Depreciation!$AF$229</definedName>
    <definedName name="gsass">#REF!</definedName>
    <definedName name="Handset_revs">[17]Revenues!$A$63:$IV$63</definedName>
    <definedName name="IC_1">'[10]Invested capital_VDF'!$P$1:$P$65536</definedName>
    <definedName name="IC_2">'[10]Invested capital_VDF'!$O$1:$O$65536</definedName>
    <definedName name="IC_P">'[10]Invested capital_VDF'!$Q$1:$Q$65536</definedName>
    <definedName name="IC_P1">'[10]Invested capital_VDF'!$R$1:$R$65536</definedName>
    <definedName name="IC_P2">'[10]Invested capital_VDF'!$S$1:$S$65536</definedName>
    <definedName name="IC_P3">'[10]Invested capital_VDF'!$T$1:$T$65536</definedName>
    <definedName name="Inc_cap_RnD_fore">#REF!</definedName>
    <definedName name="Income_before_taxes">[10]NOPAT_VDF!#REF!</definedName>
    <definedName name="Income_equivalents">[10]NOPAT_VDF!$C$30:$AZ$30</definedName>
    <definedName name="Income_equivalents_fore">#REF!</definedName>
    <definedName name="Income_form_uncons_subs_fore">#REF!</definedName>
    <definedName name="Income_from_Unconsolidated_Subs">[10]NOPAT_VDF!$C$48:$AZ$48</definedName>
    <definedName name="Income_tax">[10]NOPAT_VDF!$C$34:$AE$34</definedName>
    <definedName name="Income_tax_fore">#REF!</definedName>
    <definedName name="Income_tax_growth_fore">#REF!</definedName>
    <definedName name="Income_taxes_payable_growth_fore">#REF!</definedName>
    <definedName name="Increase_cap_RnD_fore">#REF!</definedName>
    <definedName name="Increase_Capitalized_R_D_net">[10]NOPAT_VDF!$C$22:$AZ$22</definedName>
    <definedName name="Increase_in_other_liabilities">[10]NOPAT_VDF!#REF!</definedName>
    <definedName name="index">[25]Sheet1!$A$1:$B$15</definedName>
    <definedName name="INSTAL">#REF!</definedName>
    <definedName name="INT">'[1]teo model'!#REF!</definedName>
    <definedName name="interco">[22]Q_MODEL!#REF!</definedName>
    <definedName name="Interest_exp_growth_fore">#REF!</definedName>
    <definedName name="Interest_exp_inc_fore">#REF!</definedName>
    <definedName name="interest_expense">[17]PNL!$A$35:$IV$35</definedName>
    <definedName name="Interest_expense_income">[10]NOPAT_VDF!$C$63:$AE$63</definedName>
    <definedName name="interest_income">[17]PNL!$A$34:$IV$34</definedName>
    <definedName name="INTLD">#REF!</definedName>
    <definedName name="Inventory_growth_fore">#REF!</definedName>
    <definedName name="Invested_capital">'[10]Invested capital_VDF'!$C$87:$AE$87</definedName>
    <definedName name="Invested_capital_DCF">[10]DCF_VDF!$C$77:$AZ$77</definedName>
    <definedName name="Invested_capital_growth_fore">#REF!</definedName>
    <definedName name="Invested_capital_turns">'[10]Invested capital_VDF'!$C$102:$AU$102</definedName>
    <definedName name="Invested_capital_turns_DCF">[10]DCF_VDF!$C$83:$AZ$83</definedName>
    <definedName name="Invested_capital_turns_fore">#REF!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L_DATE_SCHEDULE" hidden="1">"c2481"</definedName>
    <definedName name="IQ_CALL_FEATURE" hidden="1">"c2197"</definedName>
    <definedName name="IQ_CALL_PRICE_SCHEDULE" hidden="1">"c2482"</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INT" hidden="1">"c373"</definedName>
    <definedName name="IQ_EBITDA_MARGIN" hidden="1">"c372"</definedName>
    <definedName name="IQ_EBITDA_OVER_TOTAL_IE" hidden="1">"c1371"</definedName>
    <definedName name="IQ_EBITDAR" hidden="1">"c2989"</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MTD" hidden="1">800000</definedName>
    <definedName name="IQ_NAMES_REVISION_DATE_" hidden="1">41864.6516550926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"c2903"</definedName>
    <definedName name="IQ_RETAIL_ACQUIRED_OWNED_STORES" hidden="1">"c2895"</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39143.5075347222</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Kd">[10]WACC_VDF!#REF!</definedName>
    <definedName name="Ke">[10]WACC_VDF!$D$11</definedName>
    <definedName name="Last_Update">'[16]DDETABLE '!$E$9</definedName>
    <definedName name="Liberalization">#REF!</definedName>
    <definedName name="Linking_1">#REF!</definedName>
    <definedName name="Linking_10">#REF!</definedName>
    <definedName name="Linking_11">#REF!</definedName>
    <definedName name="Linking_12">#REF!</definedName>
    <definedName name="Linking_13">#REF!</definedName>
    <definedName name="Linking_14">#REF!</definedName>
    <definedName name="Linking_15">#REF!</definedName>
    <definedName name="Linking_16">#REF!</definedName>
    <definedName name="Linking_18">#REF!</definedName>
    <definedName name="Linking_19">#REF!</definedName>
    <definedName name="Linking_2">#REF!</definedName>
    <definedName name="Linking_20">#REF!</definedName>
    <definedName name="Linking_25">#REF!</definedName>
    <definedName name="Linking_26">#REF!</definedName>
    <definedName name="Linking_3">#REF!</definedName>
    <definedName name="Linking_4">#REF!</definedName>
    <definedName name="Linking_5">#REF!</definedName>
    <definedName name="Linking_6">#REF!</definedName>
    <definedName name="Linking_7">#REF!</definedName>
    <definedName name="Linking_8">#REF!</definedName>
    <definedName name="Linking_9">#REF!</definedName>
    <definedName name="Linking_Range_1">[6]Charts!$A$77:$C$84</definedName>
    <definedName name="Linking_Range_100">#REF!</definedName>
    <definedName name="Linking_Range_101">#REF!</definedName>
    <definedName name="Linking_Range_102">#REF!</definedName>
    <definedName name="Linking_Range_103">#REF!</definedName>
    <definedName name="Linking_Range_104">#REF!</definedName>
    <definedName name="Linking_Range_105">#REF!</definedName>
    <definedName name="Linking_Range_106">#REF!</definedName>
    <definedName name="Linking_Range_107">#REF!</definedName>
    <definedName name="Linking_Range_108">#REF!</definedName>
    <definedName name="Linking_Range_109">#REF!</definedName>
    <definedName name="Linking_Range_110">#REF!</definedName>
    <definedName name="Linking_Range_111">#REF!</definedName>
    <definedName name="Linking_Range_117">#REF!</definedName>
    <definedName name="Linking_Range_118">#REF!</definedName>
    <definedName name="Linking_Range_119">#REF!</definedName>
    <definedName name="Linking_Range_120">#REF!</definedName>
    <definedName name="Linking_Range_121">#REF!</definedName>
    <definedName name="Linking_Range_122">#REF!</definedName>
    <definedName name="Linking_Range_126">#REF!</definedName>
    <definedName name="Linking_Range_127">#REF!</definedName>
    <definedName name="Linking_Range_128">#REF!</definedName>
    <definedName name="Linking_Range_129">#REF!</definedName>
    <definedName name="Linking_Range_130">#REF!</definedName>
    <definedName name="Linking_Range_14">#REF!</definedName>
    <definedName name="Linking_Range_15">#REF!</definedName>
    <definedName name="Linking_Range_18">'[26]Consum (Laura)'!#REF!</definedName>
    <definedName name="Linking_Range_2">[6]Charts!$A$76:$E$84</definedName>
    <definedName name="Linking_Range_20">#REF!</definedName>
    <definedName name="Linking_Range_21">#REF!</definedName>
    <definedName name="Linking_Range_23">[27]Valuation!#REF!</definedName>
    <definedName name="Linking_Range_3">#REF!</definedName>
    <definedName name="Linking_Range_30">#REF!</definedName>
    <definedName name="Linking_Range_31">#REF!</definedName>
    <definedName name="Linking_Range_32">#REF!</definedName>
    <definedName name="Linking_Range_33">'[27]Financial summary'!#REF!</definedName>
    <definedName name="Linking_Range_34">'[27]Financial summary'!#REF!</definedName>
    <definedName name="Linking_Range_39">#REF!</definedName>
    <definedName name="Linking_Range_4">#REF!</definedName>
    <definedName name="Linking_Range_40">'[27]Financial summary'!#REF!</definedName>
    <definedName name="Linking_Range_41">'[27]Financial summary'!#REF!</definedName>
    <definedName name="Linking_Range_42">'[27]Financial summary'!#REF!</definedName>
    <definedName name="Linking_Range_43">'[27]Financial summary'!#REF!</definedName>
    <definedName name="Linking_Range_44">#REF!</definedName>
    <definedName name="Linking_Range_45">#REF!</definedName>
    <definedName name="Linking_Range_46">#REF!</definedName>
    <definedName name="Linking_Range_47">'[27]Financial summary'!#REF!</definedName>
    <definedName name="Linking_Range_48">#REF!</definedName>
    <definedName name="Linking_Range_49">#REF!</definedName>
    <definedName name="Linking_Range_5">'[26]Consum (Laura)'!#REF!</definedName>
    <definedName name="Linking_Range_50">#REF!</definedName>
    <definedName name="Linking_Range_51">#REF!</definedName>
    <definedName name="Linking_Range_57">#REF!</definedName>
    <definedName name="Linking_Range_58">#REF!</definedName>
    <definedName name="Linking_Range_59">#REF!</definedName>
    <definedName name="Linking_Range_60">#REF!</definedName>
    <definedName name="Linking_Range_61">#REF!</definedName>
    <definedName name="Linking_Range_62">#REF!</definedName>
    <definedName name="Linking_Range_68">#REF!</definedName>
    <definedName name="Linking_Range_7">#REF!</definedName>
    <definedName name="Linking_Range_70">#REF!</definedName>
    <definedName name="Linking_Range_76">#REF!</definedName>
    <definedName name="Linking_Range_77">#REF!</definedName>
    <definedName name="Linking_Range_78">#REF!</definedName>
    <definedName name="Linking_Range_79">#REF!</definedName>
    <definedName name="Linking_Range_8">#REF!</definedName>
    <definedName name="Linking_Range_80">#REF!</definedName>
    <definedName name="Linking_Range_83">#REF!</definedName>
    <definedName name="Linking_Range_84">#REF!</definedName>
    <definedName name="Linking_Range_87">#REF!</definedName>
    <definedName name="Linking_Range_90">#REF!</definedName>
    <definedName name="Linking_Range_91">#REF!</definedName>
    <definedName name="Linking_Range_92">#REF!</definedName>
    <definedName name="Linking_Range_93">#REF!</definedName>
    <definedName name="Linking_Range_96">#REF!</definedName>
    <definedName name="Linking_Range_98">#REF!</definedName>
    <definedName name="Linking_Text_2">[6]Charts!$B$142</definedName>
    <definedName name="Links">'[16]DDETABLE '!$AH$2</definedName>
    <definedName name="LiveReqs">'[16]DDETABLE '!$H$6</definedName>
    <definedName name="Loan_Loss_Provision_fore">#REF!</definedName>
    <definedName name="LOCAL">#REF!</definedName>
    <definedName name="local_costs">[22]PROFSVC!$A$24:$Q$24</definedName>
    <definedName name="local_gm">[22]PROFSVC!$A$27:$Q$27</definedName>
    <definedName name="local_gp">[22]PROFSVC!$A$26:$Q$26</definedName>
    <definedName name="local_revs">[22]PROFSVC!$A$16:$Q$16</definedName>
    <definedName name="LT_debt_growth_fore">#REF!</definedName>
    <definedName name="M_PlaceofPath" hidden="1">"\\SNYCEQT0100\HOME\LZURLO\DATA\TELMEX\Models\tmx_vdf.xls"</definedName>
    <definedName name="Macau_costs">[17]Macau!$A$33:$IV$33</definedName>
    <definedName name="Macau_revenues">[17]Macau!$A$31:$IV$31</definedName>
    <definedName name="Macro1">'[14]#REF'!$A$1</definedName>
    <definedName name="Macro4">#REF!</definedName>
    <definedName name="MACROS">'[1]teo model'!#REF!</definedName>
    <definedName name="Market_capitalization">'[10]Summary Page_VDF'!#REF!</definedName>
    <definedName name="MemFree">'[16]DDETABLE '!$AD$11</definedName>
    <definedName name="MemTotal">'[16]DDETABLE '!$AD$10</definedName>
    <definedName name="minorities">[17]PNL!$A$39:$IV$39</definedName>
    <definedName name="Net_adj_for_capitalized_expenses">#REF!</definedName>
    <definedName name="Net_debt">#REF!</definedName>
    <definedName name="Net_Income">[10]NOPAT_VDF!$C$94:$AZ$94</definedName>
    <definedName name="Net_income_fore">#REF!</definedName>
    <definedName name="Net_income_growth_avg">[10]NOPAT_VDF!#REF!</definedName>
    <definedName name="Net_margin">[10]NOPAT_VDF!$C$113:$AU$113</definedName>
    <definedName name="Net_margin_fore">#REF!</definedName>
    <definedName name="Net_PPE_growth_fore">#REF!</definedName>
    <definedName name="Net_sales">[10]NOPAT_VDF!$C$8:$AE$8</definedName>
    <definedName name="Net_sales_DCF">[10]DCF_VDF!$C$9:$AZ$9</definedName>
    <definedName name="Net_sales_fore">#REF!</definedName>
    <definedName name="Net_sales_growth_fore">#REF!</definedName>
    <definedName name="Net_working_capital_turns">'[10]Invested capital_VDF'!$C$97:$AU$97</definedName>
    <definedName name="netdebt">#REF!</definedName>
    <definedName name="NetDebtPerShare">[9]projections!#REF!</definedName>
    <definedName name="NetWC_turns_fore">#REF!</definedName>
    <definedName name="Non_usage">#REF!</definedName>
    <definedName name="NONREG">#REF!</definedName>
    <definedName name="NOPAT">[10]NOPAT_VDF!$C$41:$AU$41</definedName>
    <definedName name="NOPAT_DCF">[10]DCF_VDF!$C$12:$AZ$12</definedName>
    <definedName name="NOPAT_fore">#REF!</definedName>
    <definedName name="NOPAT_growth_avg">[10]NOPAT_VDF!#REF!</definedName>
    <definedName name="NOPAT_margin">[10]NOPAT_VDF!$C$112:$AU$112</definedName>
    <definedName name="NOPAT_margin_fore">#REF!</definedName>
    <definedName name="NOPAT_Share">[10]NOPAT_VDF!#REF!</definedName>
    <definedName name="NOPBT">[10]NOPAT_VDF!$C$32:$AU$32</definedName>
    <definedName name="NOPBT_fore">#REF!</definedName>
    <definedName name="Norm_forecast_11_15">#REF!</definedName>
    <definedName name="Norm_forecast_16_25">#REF!</definedName>
    <definedName name="Norm_forecast_4_5">#REF!</definedName>
    <definedName name="Norm_forecast_6_10">#REF!</definedName>
    <definedName name="NPT_1">[10]NOPAT_VDF!$P$1:$P$65536</definedName>
    <definedName name="NPT_2">[10]NOPAT_VDF!$O$1:$O$65536</definedName>
    <definedName name="NPT_P">[10]NOPAT_VDF!$Q$1:$Q$65536</definedName>
    <definedName name="Number_ordinary_shares">'[17]Capital Structure'!$A$24:$IV$24</definedName>
    <definedName name="Off_B_S_Income">[10]NOPAT_VDF!$C$7:$AZ$7</definedName>
    <definedName name="Off_B_S_Income_DCF">[10]DCF_VDF!$C$8:$BZ$8</definedName>
    <definedName name="Off_B_S_Income_fore">#REF!</definedName>
    <definedName name="Off_B_S_Income_growth_fore">#REF!</definedName>
    <definedName name="Off_High_Cov">[11]Depreciation!$N$231</definedName>
    <definedName name="official_ARPU">[17]Revenues!$A$84:$IV$84</definedName>
    <definedName name="OL_1">'[10]PV of Op Leases_VDF'!$AD$1:$AD$65536</definedName>
    <definedName name="OL_P">'[10]PV of Op Leases_VDF'!$AF$1:$AF$65536</definedName>
    <definedName name="Operating_income_fore">#REF!</definedName>
    <definedName name="Operating_Lease_Expense">[10]NOPAT_VDF!$C$23:$AZ$23</definedName>
    <definedName name="Operating_Lease_Expense_fore">#REF!</definedName>
    <definedName name="Operating_Sys">'[16]DDETABLE '!$AD$9</definedName>
    <definedName name="opex_customer_retention">[17]Costs!$A$62:$IV$62</definedName>
    <definedName name="opex_network">[17]Costs!$A$39:$IV$39</definedName>
    <definedName name="opex_other">[17]Costs!$A$66:$IV$66</definedName>
    <definedName name="opex_rental">[17]Costs!$A$43:$IV$43</definedName>
    <definedName name="opex_salaries">[17]Costs!$A$50:$IV$50</definedName>
    <definedName name="opex_sales_marketing">[17]Costs!$A$56:$IV$56</definedName>
    <definedName name="OTHER">#REF!</definedName>
    <definedName name="Other_asset_turns">'[10]Invested capital_VDF'!$A$101:$Z$101</definedName>
    <definedName name="Other_asset_turns_fore">#REF!</definedName>
    <definedName name="Other_current_assets_growth_fore">#REF!</definedName>
    <definedName name="Other_current_liabilities_growth_fore">#REF!</definedName>
    <definedName name="Other_dividends">'[10]Invested capital_VDF'!#REF!</definedName>
    <definedName name="Other_Expenses">[10]NOPAT_VDF!$C$59:$AZ$59</definedName>
    <definedName name="Other_Expenses_fore">#REF!</definedName>
    <definedName name="Other_expenses_gains">[10]NOPAT_VDF!$C$14:$AZ$14</definedName>
    <definedName name="Other_expenses_gains_fore">#REF!</definedName>
    <definedName name="Other_expenses_growth_fore">#REF!</definedName>
    <definedName name="Other_fixed_asset_turns_fore">#REF!</definedName>
    <definedName name="Other_fixed_assets_growth_fore">#REF!</definedName>
    <definedName name="Other_growth_fore">#REF!</definedName>
    <definedName name="Other_inc_exp_fore">#REF!</definedName>
    <definedName name="Other_Income">[10]NOPAT_VDF!$C$58:$AZ$58</definedName>
    <definedName name="Other_income_growth_fore">#REF!</definedName>
    <definedName name="Other_liabilities_growth_fore">#REF!</definedName>
    <definedName name="Other_Segment_Revenues">[10]NOPAT_VDF!#REF!</definedName>
    <definedName name="OWN">'[1]teo model'!#REF!</definedName>
    <definedName name="P">'[1]teo model'!#REF!</definedName>
    <definedName name="Payout_ratio_on_underlying">[9]Figures!#REF!</definedName>
    <definedName name="PD">'[1]teo model'!#REF!</definedName>
    <definedName name="perf">#REF!</definedName>
    <definedName name="Perf_97">[11]Depreciation!$O$227</definedName>
    <definedName name="Perf_98">[11]Depreciation!$P$227</definedName>
    <definedName name="Perf_99">[11]Depreciation!$Q$227</definedName>
    <definedName name="Performance">#REF!</definedName>
    <definedName name="PerformanceDPS">#REF!</definedName>
    <definedName name="pl">#REF!</definedName>
    <definedName name="PLN">#REF!</definedName>
    <definedName name="PLR">'[1]teo model'!#REF!</definedName>
    <definedName name="PNL_extraordinary_items">[17]PNL!$A$29:$IV$29</definedName>
    <definedName name="PNL_other_income">[17]PNL!$A$36:$IV$36</definedName>
    <definedName name="Post_tax_stock_gains_losses">[9]Figures!#REF!</definedName>
    <definedName name="PPnE_turns_fore">#REF!</definedName>
    <definedName name="Preferred_stock_growth_fore">#REF!</definedName>
    <definedName name="Present_Value_Oper_lease">'[10]PV of Op Leases_VDF'!$C$51:$AW$51</definedName>
    <definedName name="Pretax_income">[10]NOPAT_VDF!$C$90:$AE$90</definedName>
    <definedName name="Pretax_income_fore">#REF!</definedName>
    <definedName name="price">#REF!</definedName>
    <definedName name="PriceDate">#REF!</definedName>
    <definedName name="Print_Area_MI">#REF!</definedName>
    <definedName name="_xlnm.Print_Titles" localSheetId="8">#REF!</definedName>
    <definedName name="_xlnm.Print_Titles" localSheetId="2">#REF!</definedName>
    <definedName name="_xlnm.Print_Titles">#REF!</definedName>
    <definedName name="ProClarityColumn">#REF!</definedName>
    <definedName name="ProClarityData">#REF!</definedName>
    <definedName name="ProClarityRow">#REF!</definedName>
    <definedName name="ProClarityTitle">#REF!</definedName>
    <definedName name="profit">#REF!</definedName>
    <definedName name="ProjectName" localSheetId="8">{"Client Name or Project Name"}</definedName>
    <definedName name="ProjectName" localSheetId="2">{"Client Name or Project Name"}</definedName>
    <definedName name="ProjectName">{"Client Name or Project Name"}</definedName>
    <definedName name="prolinks_56a58c1c0f1546f7a9744cc19eb3c45f" hidden="1">#REF!</definedName>
    <definedName name="prolinks_57143b04ef2e4040b5a53280d946a3b0" hidden="1">#REF!</definedName>
    <definedName name="prolinks_78e0bc49861c415ba2e2dd86ee4353a0" hidden="1">#REF!</definedName>
    <definedName name="prolinks_901f2d867ac347d289231e1f775fb6dd" hidden="1">#REF!</definedName>
    <definedName name="q">#REF!</definedName>
    <definedName name="qryEstimateSet">#REF!</definedName>
    <definedName name="qryTicker">#REF!</definedName>
    <definedName name="R_D_amort_years">'[10]Invested capital_VDF'!$A$34</definedName>
    <definedName name="R_D_Amortization">'[10]Invested capital_VDF'!$C$31:$AU$31</definedName>
    <definedName name="R_D_expense">'[10]Invested capital_VDF'!$C$28:$AZ$28</definedName>
    <definedName name="RAT">'[1]teo model'!#REF!</definedName>
    <definedName name="RATES">'[1]teo model'!#REF!</definedName>
    <definedName name="RATES2">'[1]teo model'!#REF!</definedName>
    <definedName name="Recorder">'[14]#REF'!$A$1:$A$65536</definedName>
    <definedName name="Reported_net_income">[9]Figures!#REF!</definedName>
    <definedName name="reqdetails">'[16]DDETABLE '!$O$15:$T$345</definedName>
    <definedName name="Required_cash_percent">'[10]Invested capital_VDF'!$A$9</definedName>
    <definedName name="Restructuring_charges">'[10]Invested capital_VDF'!#REF!</definedName>
    <definedName name="Restructuring_charges_growth_fore">#REF!</definedName>
    <definedName name="Results">#REF!</definedName>
    <definedName name="Revenue">#REF!</definedName>
    <definedName name="Revenue_2">'[28]Rev sum'!#REF!</definedName>
    <definedName name="revs_cellular_total">[17]Revenues!$A$80:$IV$80</definedName>
    <definedName name="revs_internet">[17]Revenues!$A$134:$IV$134</definedName>
    <definedName name="revs_other">[17]Revenues!$A$136:$IV$136</definedName>
    <definedName name="RnD_expense">'[10]Invested capital_VDF'!$C$28:$AZ$28</definedName>
    <definedName name="RnD_expense_fore">#REF!</definedName>
    <definedName name="RnD_expense_growth_fore">#REF!</definedName>
    <definedName name="RnD_expenses_fore">#REF!</definedName>
    <definedName name="rngInstruction1Header">#REF!</definedName>
    <definedName name="rngInstruction1Text">#REF!</definedName>
    <definedName name="rngInstruction2Header">#REF!</definedName>
    <definedName name="rngInstruction2Text">#REF!</definedName>
    <definedName name="rs">'[29]Dem-HH'!$I$13</definedName>
    <definedName name="Sales_growth_avg">#REF!</definedName>
    <definedName name="Schedule">'[16]DDETABLE '!$E$5</definedName>
    <definedName name="Schroder_exceptionals">[9]Figures!#REF!</definedName>
    <definedName name="Scroll_Data">OFFSET([18]Transform!$J$6,[18]Transform!$K$2,0,[18]Transform!$K$3,1)</definedName>
    <definedName name="Scroll_Data_y1">OFFSET([18]Transform!$K$6,[18]Transform!$K$2,0,[18]Transform!$K$3,1)</definedName>
    <definedName name="Scroll_Data_y2">OFFSET([18]Transform!$M$6,[18]Transform!$K$2,0,[18]Transform!$K$3,1)</definedName>
    <definedName name="Scroll_Data_y3">OFFSET([18]Transform!$O$6,[18]Transform!$K$2,0,[18]Transform!$K$3,1)</definedName>
    <definedName name="Segment1_income">[10]NOPAT_VDF!$C$5:$AZ$5</definedName>
    <definedName name="Segment1_income_DCF">[10]DCF_VDF!$C$6:$BZ$6</definedName>
    <definedName name="Segment1_income_fore">#REF!</definedName>
    <definedName name="Segment1_income_growth_fore">#REF!</definedName>
    <definedName name="Segment2_income">[10]NOPAT_VDF!$C$6:$AZ$6</definedName>
    <definedName name="Segment2_income_DCF">[10]DCF_VDF!$C$7:$BZ$7</definedName>
    <definedName name="Segment2_income_fore">#REF!</definedName>
    <definedName name="Segment2_income_growth_fore">#REF!</definedName>
    <definedName name="sencount" hidden="1">1</definedName>
    <definedName name="Setup">'[16]DDETABLE '!$AC$2</definedName>
    <definedName name="sFormat">'[16]DDETABLE '!$AQ$4</definedName>
    <definedName name="sFreq">'[16]DDETABLE '!$AQ$5</definedName>
    <definedName name="SGA">[10]NOPAT_VDF!$C$12:$AE$12</definedName>
    <definedName name="SGA_fore">#REF!</definedName>
    <definedName name="SGA_growth">[10]NOPAT_VDF!#REF!</definedName>
    <definedName name="SGA_growth_avg">#REF!</definedName>
    <definedName name="SGA_growth_fore">#REF!</definedName>
    <definedName name="SGA_margin_fore">#REF!</definedName>
    <definedName name="Share_Data">#REF!</definedName>
    <definedName name="Shares_DCF">[10]DCF_VDF!$C$37:$AZ$37</definedName>
    <definedName name="Shares_fore">#REF!</definedName>
    <definedName name="Shares_growth">[10]NOPAT_VDF!$M$151:$Q$151</definedName>
    <definedName name="Shares_growth_fore">#REF!</definedName>
    <definedName name="Shares_repurchase_liability">'[10]Invested capital_VDF'!#REF!</definedName>
    <definedName name="ShowDetails">'[16]DDETABLE '!$AH$13</definedName>
    <definedName name="sort_start">[13]Links!#REF!</definedName>
    <definedName name="ST_debt_growth_fore">#REF!</definedName>
    <definedName name="sTable">'[16]DDETABLE '!$AJ$2:$AQ$11</definedName>
    <definedName name="sTopic">'[16]DDETABLE '!$AQ$3</definedName>
    <definedName name="Subs_total">[17]Revenues!$A$25:$IV$25</definedName>
    <definedName name="sum">'[1]teo model'!#REF!</definedName>
    <definedName name="SUMMOD">#REF!</definedName>
    <definedName name="sYesNo">'[16]DDETABLE '!$AQ$2</definedName>
    <definedName name="TAB">'[1]teo model'!#REF!</definedName>
    <definedName name="Table">#REF!</definedName>
    <definedName name="Table2">#REF!</definedName>
    <definedName name="Table3">#REF!</definedName>
    <definedName name="TableName">'[16]DDETABLE '!$E$6</definedName>
    <definedName name="take_up">#REF!</definedName>
    <definedName name="Target_debt_to_capital">#REF!</definedName>
    <definedName name="tariff">[30]Revenue!#REF!</definedName>
    <definedName name="Tax_expense">[17]PNL!$A$38:$IV$38</definedName>
    <definedName name="Tax_rate_for_WACC">[10]WACC_VDF!#REF!</definedName>
    <definedName name="TECH">'[1]teo model'!#REF!</definedName>
    <definedName name="TestAdd">"Test RefersTo1"</definedName>
    <definedName name="threeg">[30]Revenue!#REF!</definedName>
    <definedName name="tim">#REF!</definedName>
    <definedName name="Title">'[16]DDETABLE '!$E$8</definedName>
    <definedName name="Topics">'[16]DDETABLE '!$AL$2:$AL$3</definedName>
    <definedName name="Total_amort_fore">#REF!</definedName>
    <definedName name="Total_Amortization">[10]NOPAT_VDF!$C$18:$AZ$18</definedName>
    <definedName name="Total_Amortization_fore">#REF!</definedName>
    <definedName name="Total_COS">[10]NOPAT_VDF!$C$9:$AZ$9</definedName>
    <definedName name="Total_COS_fore">#REF!</definedName>
    <definedName name="Total_COS_growth_fore">#REF!</definedName>
    <definedName name="Total_COS_net_DnA_fore">#REF!</definedName>
    <definedName name="Total_debt">'[10]Invested capital_VDF'!$C$61:$AU$61</definedName>
    <definedName name="Total_debt_DCF">[10]DCF_VDF!$C$35:$AZ$35</definedName>
    <definedName name="Total_debt_fore">#REF!</definedName>
    <definedName name="Total_debt_growth_fore">#REF!</definedName>
    <definedName name="Total_Increase_in_EEs_fore">#REF!</definedName>
    <definedName name="TotalReqs">'[16]DDETABLE '!$H$5</definedName>
    <definedName name="TotalTime">'[16]DDETABLE '!$H$7</definedName>
    <definedName name="TRSLTicker">#REF!</definedName>
    <definedName name="UniqueRange_0">[14]EVA1!#REF!</definedName>
    <definedName name="UniqueRange_1">[14]EVA1!#REF!</definedName>
    <definedName name="Usage">#REF!</definedName>
    <definedName name="USD_RMB_2005">'[31]Control Sheet'!$D$3</definedName>
    <definedName name="USD_RMB_2006">'[31]Control Sheet'!$D$4</definedName>
    <definedName name="USD_RMB_20071H">'[31]Control Sheet'!$D$5</definedName>
    <definedName name="USD_RMB_20072H">'[31]Control Sheet'!$D$6</definedName>
    <definedName name="VAL">#REF!</definedName>
    <definedName name="valu">#REF!</definedName>
    <definedName name="Valuation">#REF!</definedName>
    <definedName name="ValuationPE_Yield">#REF!,#REF!,#REF!,#REF!,#REF!,#REF!</definedName>
    <definedName name="VOL">'[1]teo model'!#REF!</definedName>
    <definedName name="WACC">[21]DCF!$G$45</definedName>
    <definedName name="WACC_fore">[10]WACC_VDF!$J$21</definedName>
    <definedName name="WACC_P">'[10]Income Statement_VDF'!$R$44</definedName>
    <definedName name="WACC_P_1">[10]WACC_VDF!$U$23</definedName>
    <definedName name="WACC_P_8">[10]WACC_VDF!#REF!</definedName>
    <definedName name="wk">[15]GS_DCF!$Y$9:$AH$9</definedName>
    <definedName name="WPI">'[1]teo model'!#REF!</definedName>
    <definedName name="Wrapper">#N/A</definedName>
    <definedName name="wsd" localSheetId="8"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wsd" localSheetId="2"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wsd" hidden="1">{"fdsup://directions/FAT%20Viewer?VAR:PED=LTM&amp;VAR:PERIOD=FIXED&amp;VAR:V=11.895150&amp;VAR:PCT=Y&amp;VAR:AUDIT_ID=00000117&amp;VAR:DATE=20100430&amp;action=UPDATE&amp;creator=factset&amp;DOC_NAME=FAT:FMA_audit_SUMMARY.fat&amp;DISPLAY_STRING=Display Audit for Return on Equity&amp;DYN_ARGS=TRUE","&amp;WINDOW=first_popup&amp;START_MAXIMIZED=FALSE&amp;WIDTH=500&amp;HEIGHT=525&amp;TITLEBAR=FactSet Market Aggregates&amp;VAR:MEASURE=ROE&amp;VAR:CALC_MODE=PORTFOLIO&amp;VAR:CHGPERIOD=NA&amp;VAR:FQLFORMULA=FMA_ROE&amp;VAR:CURRENCY=USD&amp;VAR:P=NA&amp;VAR:THRESH=||||&amp;VAR:null=.html"}</definedName>
    <definedName name="x">[14]EVA1!#REF!</definedName>
    <definedName name="x_axis">OFFSET([18]Transform!$J$7,0,0,[18]Transform!$J$5,1)</definedName>
    <definedName name="xaxislabels">OFFSET(#REF!,0,0,COUNTA(#REF!)+1,1)</definedName>
    <definedName name="y_axis1">OFFSET([18]Transform!$K$7,0,0,[18]Transform!$J$5,1)</definedName>
    <definedName name="y_axis2">OFFSET([18]Transform!$M$7,0,0,[18]Transform!$J$5,1)</definedName>
    <definedName name="y_axis3">OFFSET([18]Transform!$O$7,0,0,[18]Transform!$J$5,1)</definedName>
    <definedName name="YesNo">'[16]DDETABLE '!$AK$2:$AK$3</definedName>
  </definedNames>
  <calcPr calcId="191029"/>
</workbook>
</file>

<file path=xl/calcChain.xml><?xml version="1.0" encoding="utf-8"?>
<calcChain xmlns="http://schemas.openxmlformats.org/spreadsheetml/2006/main">
  <c r="AL184" i="14" l="1"/>
  <c r="AP184" i="14" s="1"/>
  <c r="AK184" i="14"/>
  <c r="AO184" i="14" s="1"/>
  <c r="AJ184" i="14"/>
  <c r="AI184" i="14"/>
  <c r="AM184" i="14"/>
  <c r="AN184" i="14"/>
  <c r="BJ201" i="14"/>
  <c r="BI201" i="14"/>
  <c r="BH201" i="14"/>
  <c r="BG201" i="14"/>
  <c r="BF201" i="14"/>
  <c r="BE201" i="14"/>
  <c r="BD201" i="14"/>
  <c r="AZ201" i="14"/>
  <c r="BA201" i="14"/>
  <c r="BB223" i="14"/>
  <c r="BC164" i="14" l="1"/>
  <c r="BB164" i="14"/>
  <c r="BA159" i="14"/>
  <c r="BA164" i="14"/>
  <c r="AZ164" i="14"/>
  <c r="L53" i="1" l="1"/>
  <c r="N53" i="1"/>
  <c r="AY171" i="14"/>
  <c r="AX64" i="14"/>
  <c r="AX65" i="14" s="1"/>
  <c r="AW64" i="14"/>
  <c r="S17" i="1" l="1"/>
  <c r="S18" i="1" s="1"/>
  <c r="BD90" i="3"/>
  <c r="AM90" i="3"/>
  <c r="BA7" i="14"/>
  <c r="S16" i="1" l="1"/>
  <c r="T17" i="1"/>
  <c r="BI17" i="2"/>
  <c r="BE286" i="14"/>
  <c r="BF286" i="14" s="1"/>
  <c r="BG286" i="14" s="1"/>
  <c r="BH286" i="14" s="1"/>
  <c r="BI286" i="14" s="1"/>
  <c r="BJ286" i="14" s="1"/>
  <c r="T16" i="1" l="1"/>
  <c r="T18" i="1"/>
  <c r="BC213" i="14"/>
  <c r="BC210" i="14"/>
  <c r="BD210" i="14" s="1"/>
  <c r="BE210" i="14" s="1"/>
  <c r="BF210" i="14" s="1"/>
  <c r="BG210" i="14" s="1"/>
  <c r="BH210" i="14" s="1"/>
  <c r="BI210" i="14" s="1"/>
  <c r="BJ210" i="14" s="1"/>
  <c r="BC222" i="14"/>
  <c r="BD222" i="14" s="1"/>
  <c r="BE222" i="14" s="1"/>
  <c r="BF222" i="14" s="1"/>
  <c r="BG222" i="14" s="1"/>
  <c r="BH222" i="14" s="1"/>
  <c r="BI222" i="14" s="1"/>
  <c r="BJ222" i="14" s="1"/>
  <c r="BD213" i="14" l="1"/>
  <c r="AA159" i="14"/>
  <c r="BD101" i="14"/>
  <c r="BE101" i="14" s="1"/>
  <c r="BF101" i="14" s="1"/>
  <c r="BG101" i="14" s="1"/>
  <c r="BH101" i="14" s="1"/>
  <c r="BI101" i="14" s="1"/>
  <c r="BJ101" i="14" s="1"/>
  <c r="BE213" i="14" l="1"/>
  <c r="BF213" i="14" l="1"/>
  <c r="AZ229" i="14"/>
  <c r="BC301" i="14"/>
  <c r="BB301" i="14"/>
  <c r="BA301" i="14"/>
  <c r="BC298" i="14"/>
  <c r="BB298" i="14"/>
  <c r="BA298" i="14"/>
  <c r="AZ298" i="14"/>
  <c r="BC297" i="14"/>
  <c r="BB297" i="14"/>
  <c r="BA297" i="14"/>
  <c r="BC291" i="14"/>
  <c r="BB291" i="14"/>
  <c r="BA291" i="14"/>
  <c r="AZ291" i="14"/>
  <c r="BC290" i="14"/>
  <c r="BB290" i="14"/>
  <c r="BA290" i="14"/>
  <c r="AZ290" i="14"/>
  <c r="BC289" i="14"/>
  <c r="BB289" i="14"/>
  <c r="BA289" i="14"/>
  <c r="BC288" i="14"/>
  <c r="BB288" i="14"/>
  <c r="BA288" i="14"/>
  <c r="AZ288" i="14"/>
  <c r="BC287" i="14"/>
  <c r="BB287" i="14"/>
  <c r="BA287" i="14"/>
  <c r="BC286" i="14"/>
  <c r="BB286" i="14"/>
  <c r="BA286" i="14"/>
  <c r="AZ286" i="14"/>
  <c r="BC285" i="14"/>
  <c r="BB285" i="14"/>
  <c r="BA285" i="14"/>
  <c r="AZ285" i="14"/>
  <c r="AZ284" i="14"/>
  <c r="BC274" i="14"/>
  <c r="BD274" i="14" s="1"/>
  <c r="BE274" i="14" s="1"/>
  <c r="BF274" i="14" s="1"/>
  <c r="BG274" i="14" s="1"/>
  <c r="BH274" i="14" s="1"/>
  <c r="BI274" i="14" s="1"/>
  <c r="BJ274" i="14" s="1"/>
  <c r="BB274" i="14"/>
  <c r="BA274" i="14"/>
  <c r="AZ274" i="14"/>
  <c r="AZ271" i="14"/>
  <c r="AZ270" i="14"/>
  <c r="AZ269" i="14"/>
  <c r="AZ268" i="14"/>
  <c r="AZ262" i="14"/>
  <c r="AZ261" i="14"/>
  <c r="AZ260" i="14"/>
  <c r="AZ256" i="14"/>
  <c r="AZ248" i="14"/>
  <c r="AZ242" i="14"/>
  <c r="AZ240" i="14"/>
  <c r="AZ237" i="14"/>
  <c r="AZ183" i="14"/>
  <c r="AZ180" i="14"/>
  <c r="BC180" i="14"/>
  <c r="BD180" i="14" s="1"/>
  <c r="BE180" i="14" s="1"/>
  <c r="BF180" i="14" s="1"/>
  <c r="BG180" i="14" s="1"/>
  <c r="BH180" i="14" s="1"/>
  <c r="BI180" i="14" s="1"/>
  <c r="BJ180" i="14" s="1"/>
  <c r="BB180" i="14"/>
  <c r="BC154" i="14"/>
  <c r="BB154" i="14"/>
  <c r="BA154" i="14"/>
  <c r="AZ154" i="14"/>
  <c r="AJ202" i="14"/>
  <c r="BI25" i="14"/>
  <c r="AP187" i="14"/>
  <c r="BD25" i="14"/>
  <c r="AM188" i="14"/>
  <c r="AM17" i="14"/>
  <c r="BI24" i="14"/>
  <c r="BH24" i="14"/>
  <c r="AM8" i="14"/>
  <c r="BF8" i="14"/>
  <c r="AO169" i="14"/>
  <c r="AO7" i="14"/>
  <c r="BD8" i="14"/>
  <c r="AM169" i="14"/>
  <c r="BC25" i="14"/>
  <c r="AM7" i="14"/>
  <c r="AP25" i="14"/>
  <c r="BH18" i="14"/>
  <c r="BI17" i="14"/>
  <c r="BH25" i="14"/>
  <c r="AK202" i="14"/>
  <c r="BC18" i="14"/>
  <c r="AP8" i="14"/>
  <c r="AN25" i="14"/>
  <c r="BE17" i="14"/>
  <c r="AN17" i="14"/>
  <c r="BC17" i="14"/>
  <c r="BI18" i="14"/>
  <c r="BH17" i="14"/>
  <c r="AM202" i="14"/>
  <c r="BF7" i="14"/>
  <c r="BE24" i="14"/>
  <c r="AL203" i="14"/>
  <c r="BD7" i="14"/>
  <c r="AN8" i="14"/>
  <c r="BC24" i="14"/>
  <c r="AJ203" i="14"/>
  <c r="AP18" i="14"/>
  <c r="BH8" i="14"/>
  <c r="BH7" i="14"/>
  <c r="AP24" i="14"/>
  <c r="BE18" i="14"/>
  <c r="BG18" i="14"/>
  <c r="AM187" i="14"/>
  <c r="AN18" i="14"/>
  <c r="BI8" i="14"/>
  <c r="AP17" i="14"/>
  <c r="BG7" i="14"/>
  <c r="AN202" i="14"/>
  <c r="AN24" i="14"/>
  <c r="BG25" i="14"/>
  <c r="AO187" i="14"/>
  <c r="BJ24" i="14"/>
  <c r="AP202" i="14"/>
  <c r="BI7" i="14"/>
  <c r="AO203" i="14"/>
  <c r="BF25" i="14"/>
  <c r="AP7" i="14"/>
  <c r="BE8" i="14"/>
  <c r="AN169" i="14"/>
  <c r="AN7" i="14"/>
  <c r="AM18" i="14"/>
  <c r="BC8" i="14"/>
  <c r="BJ18" i="14"/>
  <c r="AP188" i="14"/>
  <c r="BG24" i="14"/>
  <c r="AO8" i="14"/>
  <c r="BF18" i="14"/>
  <c r="BD18" i="14"/>
  <c r="AM24" i="14"/>
  <c r="AO202" i="14"/>
  <c r="BF17" i="14"/>
  <c r="BD17" i="14"/>
  <c r="AO188" i="14"/>
  <c r="AO25" i="14"/>
  <c r="AN188" i="14"/>
  <c r="BF24" i="14"/>
  <c r="AM203" i="14"/>
  <c r="BE7" i="14"/>
  <c r="BD24" i="14"/>
  <c r="AK203" i="14"/>
  <c r="AP169" i="14"/>
  <c r="BC7" i="14"/>
  <c r="BJ17" i="14"/>
  <c r="AO18" i="14"/>
  <c r="BG8" i="14"/>
  <c r="BJ25" i="14"/>
  <c r="BG17" i="14"/>
  <c r="AL202" i="14"/>
  <c r="AO24" i="14"/>
  <c r="BE25" i="14"/>
  <c r="BJ8" i="14"/>
  <c r="AN203" i="14"/>
  <c r="AP203" i="14"/>
  <c r="AM25" i="14"/>
  <c r="AO17" i="14"/>
  <c r="AN187" i="14"/>
  <c r="BJ7" i="14"/>
  <c r="AZ253" i="14" l="1"/>
  <c r="BA253" i="14" s="1"/>
  <c r="BG213" i="14"/>
  <c r="BB253" i="14" l="1"/>
  <c r="BH213" i="14"/>
  <c r="BC253" i="14" l="1"/>
  <c r="BI213" i="14"/>
  <c r="BD253" i="14" l="1"/>
  <c r="BE253" i="14" s="1"/>
  <c r="BF253" i="14" s="1"/>
  <c r="BG253" i="14" s="1"/>
  <c r="BH253" i="14" s="1"/>
  <c r="BI253" i="14" s="1"/>
  <c r="BJ253" i="14" s="1"/>
  <c r="BJ213" i="14"/>
  <c r="AP284" i="14" l="1"/>
  <c r="AO284" i="14"/>
  <c r="AN284" i="14"/>
  <c r="AM284" i="14"/>
  <c r="AL284" i="14"/>
  <c r="AK284" i="14"/>
  <c r="BJ284" i="14" s="1"/>
  <c r="AJ284" i="14"/>
  <c r="AJ264" i="14" s="1"/>
  <c r="AI284" i="14"/>
  <c r="AH284" i="14"/>
  <c r="AG284" i="14"/>
  <c r="AJ275" i="14"/>
  <c r="AN275" i="14" s="1"/>
  <c r="AI275" i="14"/>
  <c r="AH275" i="14"/>
  <c r="AL275" i="14" s="1"/>
  <c r="AP275" i="14" s="1"/>
  <c r="AG275" i="14"/>
  <c r="AJ273" i="14"/>
  <c r="AN273" i="14" s="1"/>
  <c r="AN283" i="14" s="1"/>
  <c r="AI273" i="14"/>
  <c r="AI283" i="14" s="1"/>
  <c r="AG273" i="14"/>
  <c r="AJ262" i="14"/>
  <c r="AN262" i="14" s="1"/>
  <c r="AI262" i="14"/>
  <c r="AH262" i="14"/>
  <c r="AL262" i="14" s="1"/>
  <c r="AP262" i="14" s="1"/>
  <c r="AG262" i="14"/>
  <c r="AJ261" i="14"/>
  <c r="AN261" i="14" s="1"/>
  <c r="AI261" i="14"/>
  <c r="AH261" i="14"/>
  <c r="AL261" i="14" s="1"/>
  <c r="AP261" i="14" s="1"/>
  <c r="AG261" i="14"/>
  <c r="AH257" i="14"/>
  <c r="AL257" i="14" s="1"/>
  <c r="AP257" i="14" s="1"/>
  <c r="AJ256" i="14"/>
  <c r="AN256" i="14" s="1"/>
  <c r="AI256" i="14"/>
  <c r="AH256" i="14"/>
  <c r="AL256" i="14" s="1"/>
  <c r="AP256" i="14" s="1"/>
  <c r="AG256" i="14"/>
  <c r="BA256" i="14" s="1"/>
  <c r="W250" i="14"/>
  <c r="AJ244" i="14"/>
  <c r="AN244" i="14" s="1"/>
  <c r="AI244" i="14"/>
  <c r="AH244" i="14"/>
  <c r="AL244" i="14" s="1"/>
  <c r="AP244" i="14" s="1"/>
  <c r="AG244" i="14"/>
  <c r="AF94" i="14"/>
  <c r="AG43" i="14"/>
  <c r="AI43" i="14"/>
  <c r="AH43" i="14"/>
  <c r="U17" i="1"/>
  <c r="BG169" i="14"/>
  <c r="BC187" i="14"/>
  <c r="BJ202" i="14"/>
  <c r="BI131" i="14"/>
  <c r="BD169" i="14"/>
  <c r="BC131" i="14"/>
  <c r="BC202" i="14"/>
  <c r="BC188" i="14"/>
  <c r="BJ203" i="14"/>
  <c r="BI188" i="14"/>
  <c r="BH203" i="14"/>
  <c r="BG203" i="14"/>
  <c r="BH131" i="14"/>
  <c r="BG131" i="14"/>
  <c r="BE131" i="14"/>
  <c r="BD131" i="14"/>
  <c r="BE203" i="14"/>
  <c r="BG187" i="14"/>
  <c r="BE169" i="14"/>
  <c r="BH187" i="14"/>
  <c r="BD188" i="14"/>
  <c r="BG188" i="14"/>
  <c r="BJ131" i="14"/>
  <c r="BI169" i="14"/>
  <c r="BH202" i="14"/>
  <c r="BE187" i="14"/>
  <c r="BD202" i="14"/>
  <c r="BF131" i="14"/>
  <c r="BC203" i="14"/>
  <c r="BJ188" i="14"/>
  <c r="BE202" i="14"/>
  <c r="BE188" i="14"/>
  <c r="BI187" i="14"/>
  <c r="BF169" i="14"/>
  <c r="BH169" i="14"/>
  <c r="AL25" i="14"/>
  <c r="AL24" i="14"/>
  <c r="BI202" i="14"/>
  <c r="BJ187" i="14"/>
  <c r="BF187" i="14"/>
  <c r="BH188" i="14"/>
  <c r="BC169" i="14"/>
  <c r="BJ169" i="14"/>
  <c r="BI203" i="14"/>
  <c r="BF203" i="14"/>
  <c r="BF188" i="14"/>
  <c r="BD203" i="14"/>
  <c r="BG202" i="14"/>
  <c r="BF202" i="14"/>
  <c r="BD187" i="14"/>
  <c r="BA43" i="14" l="1"/>
  <c r="BA244" i="14"/>
  <c r="AK256" i="14"/>
  <c r="AO256" i="14" s="1"/>
  <c r="AK275" i="14"/>
  <c r="AO275" i="14" s="1"/>
  <c r="BA275" i="14"/>
  <c r="AJ283" i="14"/>
  <c r="BB284" i="14"/>
  <c r="BH284" i="14"/>
  <c r="AM275" i="14"/>
  <c r="BI284" i="14"/>
  <c r="AK244" i="14"/>
  <c r="AO244" i="14" s="1"/>
  <c r="AK273" i="14"/>
  <c r="BC284" i="14"/>
  <c r="AM256" i="14"/>
  <c r="BC256" i="14" s="1"/>
  <c r="BB256" i="14"/>
  <c r="AG283" i="14"/>
  <c r="AM273" i="14"/>
  <c r="BA284" i="14"/>
  <c r="BF284" i="14"/>
  <c r="BE284" i="14"/>
  <c r="BD284" i="14"/>
  <c r="AH264" i="14"/>
  <c r="BG284" i="14"/>
  <c r="AM244" i="14"/>
  <c r="V17" i="1"/>
  <c r="U16" i="1"/>
  <c r="U18" i="1"/>
  <c r="BA261" i="14"/>
  <c r="AM262" i="14"/>
  <c r="AM261" i="14"/>
  <c r="AK261" i="14"/>
  <c r="AO261" i="14" s="1"/>
  <c r="AK262" i="14"/>
  <c r="AO262" i="14" s="1"/>
  <c r="BA262" i="14"/>
  <c r="AK264" i="14"/>
  <c r="AM264" i="14"/>
  <c r="AN264" i="14"/>
  <c r="AP264" i="14"/>
  <c r="AG264" i="14"/>
  <c r="AI264" i="14"/>
  <c r="AL264" i="14"/>
  <c r="BB244" i="14" l="1"/>
  <c r="BB275" i="14"/>
  <c r="BC244" i="14"/>
  <c r="BC275" i="14"/>
  <c r="BD275" i="14" s="1"/>
  <c r="BE275" i="14" s="1"/>
  <c r="BF275" i="14" s="1"/>
  <c r="BG275" i="14" s="1"/>
  <c r="BH275" i="14" s="1"/>
  <c r="BI275" i="14" s="1"/>
  <c r="BJ275" i="14" s="1"/>
  <c r="AO273" i="14"/>
  <c r="AO283" i="14" s="1"/>
  <c r="AK283" i="14"/>
  <c r="AM283" i="14"/>
  <c r="V16" i="1"/>
  <c r="V18" i="1"/>
  <c r="BC262" i="14"/>
  <c r="BB261" i="14"/>
  <c r="BC261" i="14"/>
  <c r="BD261" i="14" s="1"/>
  <c r="BE261" i="14" s="1"/>
  <c r="BF261" i="14" s="1"/>
  <c r="BG261" i="14" s="1"/>
  <c r="BH261" i="14" s="1"/>
  <c r="BI261" i="14" s="1"/>
  <c r="BJ261" i="14" s="1"/>
  <c r="BB262" i="14"/>
  <c r="BB264" i="14"/>
  <c r="AO264" i="14"/>
  <c r="AJ43" i="14"/>
  <c r="L86" i="1"/>
  <c r="M86" i="1"/>
  <c r="N86" i="1"/>
  <c r="L85" i="1"/>
  <c r="M85" i="1"/>
  <c r="N85" i="1"/>
  <c r="AC22" i="2"/>
  <c r="AC23" i="2"/>
  <c r="AC24" i="2"/>
  <c r="AC32" i="2"/>
  <c r="AC57" i="2"/>
  <c r="BM29" i="2"/>
  <c r="BN29" i="2" s="1"/>
  <c r="BO29" i="2" s="1"/>
  <c r="L65" i="1"/>
  <c r="M65" i="1"/>
  <c r="N65" i="1"/>
  <c r="L64" i="1"/>
  <c r="M64" i="1"/>
  <c r="N64" i="1"/>
  <c r="O64" i="1"/>
  <c r="L63" i="1"/>
  <c r="M63" i="1"/>
  <c r="N63" i="1"/>
  <c r="N60" i="1"/>
  <c r="M60" i="1"/>
  <c r="L60" i="1"/>
  <c r="N59" i="1"/>
  <c r="N58" i="1"/>
  <c r="M59" i="1"/>
  <c r="M58" i="1"/>
  <c r="L59" i="1"/>
  <c r="L58" i="1"/>
  <c r="N55" i="1"/>
  <c r="N54" i="1"/>
  <c r="M55" i="1"/>
  <c r="M54" i="1"/>
  <c r="M53" i="1"/>
  <c r="L55" i="1"/>
  <c r="L54" i="1"/>
  <c r="N50" i="1"/>
  <c r="N49" i="1"/>
  <c r="N48" i="1"/>
  <c r="M50" i="1"/>
  <c r="M49" i="1"/>
  <c r="M48" i="1"/>
  <c r="L50" i="1"/>
  <c r="L49" i="1"/>
  <c r="L48" i="1"/>
  <c r="N45" i="1"/>
  <c r="M45" i="1"/>
  <c r="N44" i="1"/>
  <c r="M44" i="1"/>
  <c r="N43" i="1"/>
  <c r="M43" i="1"/>
  <c r="BC264" i="14" l="1"/>
  <c r="AK43" i="14"/>
  <c r="BP29" i="2"/>
  <c r="AL43" i="14" l="1"/>
  <c r="BB43" i="14" s="1"/>
  <c r="BB44" i="14" s="1"/>
  <c r="BQ29" i="2"/>
  <c r="AM43" i="14" l="1"/>
  <c r="BR29" i="2"/>
  <c r="AN43" i="14" l="1"/>
  <c r="BS29" i="2"/>
  <c r="AP43" i="14" l="1"/>
  <c r="AO43" i="14"/>
  <c r="BC43" i="14" s="1"/>
  <c r="BC44" i="14" s="1"/>
  <c r="BD44" i="14" s="1"/>
  <c r="BE44" i="14" s="1"/>
  <c r="BF44" i="14" s="1"/>
  <c r="BG44" i="14" s="1"/>
  <c r="BH44" i="14" s="1"/>
  <c r="BI44" i="14" s="1"/>
  <c r="BJ44" i="14" s="1"/>
  <c r="L45" i="1"/>
  <c r="L44" i="1"/>
  <c r="L43" i="1"/>
  <c r="BN139" i="3" l="1"/>
  <c r="BO139" i="3"/>
  <c r="BP139" i="3"/>
  <c r="BQ139" i="3"/>
  <c r="BR139" i="3"/>
  <c r="BS139" i="3"/>
  <c r="BN133" i="3"/>
  <c r="BO133" i="3"/>
  <c r="BP133" i="3"/>
  <c r="BQ133" i="3"/>
  <c r="BR133" i="3"/>
  <c r="BS133" i="3"/>
  <c r="BN132" i="3"/>
  <c r="BO132" i="3"/>
  <c r="BP132" i="3"/>
  <c r="BQ132" i="3"/>
  <c r="BR132" i="3"/>
  <c r="BS132" i="3"/>
  <c r="BN131" i="3"/>
  <c r="BO131" i="3"/>
  <c r="BP131" i="3"/>
  <c r="BQ131" i="3"/>
  <c r="BR131" i="3"/>
  <c r="BS131" i="3"/>
  <c r="BN112" i="3"/>
  <c r="BO112" i="3"/>
  <c r="BP112" i="3"/>
  <c r="BQ112" i="3"/>
  <c r="BR112" i="3"/>
  <c r="BS112" i="3"/>
  <c r="BN106" i="3"/>
  <c r="BO106" i="3"/>
  <c r="BP106" i="3"/>
  <c r="BQ106" i="3"/>
  <c r="BR106" i="3"/>
  <c r="BS106" i="3"/>
  <c r="BN105" i="3"/>
  <c r="BO105" i="3"/>
  <c r="BP105" i="3"/>
  <c r="BQ105" i="3"/>
  <c r="BR105" i="3"/>
  <c r="BS105" i="3"/>
  <c r="BN104" i="3"/>
  <c r="BO104" i="3"/>
  <c r="BP104" i="3"/>
  <c r="BQ104" i="3"/>
  <c r="BR104" i="3"/>
  <c r="BS104" i="3"/>
  <c r="BS58" i="3" l="1"/>
  <c r="BS54" i="3"/>
  <c r="BI27" i="3"/>
  <c r="BH27" i="3"/>
  <c r="H31" i="1" l="1"/>
  <c r="I31" i="1"/>
  <c r="AD38" i="3"/>
  <c r="AD40" i="3"/>
  <c r="AC38" i="3"/>
  <c r="AC40" i="3"/>
  <c r="AE40" i="3" l="1"/>
  <c r="AE38" i="3"/>
  <c r="AF38" i="3" l="1"/>
  <c r="AF40" i="3"/>
  <c r="V44" i="3"/>
  <c r="W44" i="3"/>
  <c r="Z44" i="3"/>
  <c r="AA44" i="3"/>
  <c r="AB44" i="3"/>
  <c r="T27" i="3"/>
  <c r="U27" i="3"/>
  <c r="V27" i="3"/>
  <c r="W27" i="3"/>
  <c r="X27" i="3"/>
  <c r="Y27" i="3"/>
  <c r="Z27" i="3"/>
  <c r="AA27" i="3"/>
  <c r="AB27" i="3"/>
  <c r="S27" i="3"/>
  <c r="AG40" i="3" l="1"/>
  <c r="AG38" i="3"/>
  <c r="BM10" i="3"/>
  <c r="BN10" i="3"/>
  <c r="BO10" i="3"/>
  <c r="BP10" i="3"/>
  <c r="BQ10" i="3"/>
  <c r="BR10" i="3"/>
  <c r="BS10" i="3"/>
  <c r="BQ63" i="3" l="1"/>
  <c r="BQ8" i="4"/>
  <c r="BQ7" i="4" s="1"/>
  <c r="BQ8" i="2"/>
  <c r="BQ7" i="2" s="1"/>
  <c r="BN63" i="3"/>
  <c r="BN8" i="2"/>
  <c r="BN7" i="2" s="1"/>
  <c r="BN8" i="4"/>
  <c r="BN7" i="4" s="1"/>
  <c r="BP63" i="3"/>
  <c r="BP8" i="4"/>
  <c r="BP7" i="4" s="1"/>
  <c r="BP8" i="2"/>
  <c r="BP7" i="2" s="1"/>
  <c r="BR63" i="3"/>
  <c r="BR8" i="2"/>
  <c r="BR7" i="2" s="1"/>
  <c r="BR8" i="4"/>
  <c r="BR7" i="4" s="1"/>
  <c r="BO63" i="3"/>
  <c r="BO8" i="4"/>
  <c r="BO7" i="4" s="1"/>
  <c r="BO8" i="2"/>
  <c r="BO7" i="2" s="1"/>
  <c r="BM63" i="3"/>
  <c r="BM8" i="4"/>
  <c r="BM7" i="4" s="1"/>
  <c r="BM8" i="2"/>
  <c r="BM7" i="2" s="1"/>
  <c r="BS63" i="3"/>
  <c r="BS8" i="2"/>
  <c r="BS7" i="2" s="1"/>
  <c r="BS8" i="4"/>
  <c r="BS7" i="4" s="1"/>
  <c r="AH40" i="3"/>
  <c r="AH38" i="3"/>
  <c r="BR9" i="3"/>
  <c r="BQ9" i="3"/>
  <c r="BP9" i="3"/>
  <c r="BO9" i="3"/>
  <c r="BM9" i="3"/>
  <c r="N23" i="1"/>
  <c r="BS9" i="3"/>
  <c r="N22" i="1" s="1"/>
  <c r="BN9" i="3"/>
  <c r="M22" i="1" s="1"/>
  <c r="M23" i="1"/>
  <c r="AB16" i="3"/>
  <c r="AB58" i="3"/>
  <c r="AB51" i="3"/>
  <c r="AB49" i="3"/>
  <c r="AB60" i="3" s="1"/>
  <c r="AB48" i="3"/>
  <c r="AB57" i="3" s="1"/>
  <c r="AB41" i="3"/>
  <c r="AB40" i="3"/>
  <c r="AB39" i="3"/>
  <c r="AB38" i="3"/>
  <c r="AB37" i="3"/>
  <c r="AB35" i="3"/>
  <c r="AB34" i="3"/>
  <c r="AB33" i="3"/>
  <c r="AB32" i="3"/>
  <c r="AB31" i="3"/>
  <c r="AB24" i="3"/>
  <c r="AB23" i="3"/>
  <c r="AB22" i="3"/>
  <c r="AB21" i="3"/>
  <c r="AB20" i="3"/>
  <c r="AB19" i="3"/>
  <c r="AB17" i="3"/>
  <c r="AB12" i="3"/>
  <c r="AI158" i="14"/>
  <c r="AJ158" i="14" s="1"/>
  <c r="AK158" i="14" s="1"/>
  <c r="AL158" i="14" s="1"/>
  <c r="AM158" i="14" s="1"/>
  <c r="AN158" i="14" s="1"/>
  <c r="AO158" i="14" s="1"/>
  <c r="AP158" i="14" s="1"/>
  <c r="AI152" i="14"/>
  <c r="AJ152" i="14" s="1"/>
  <c r="AK152" i="14" s="1"/>
  <c r="AI142" i="14"/>
  <c r="AJ142" i="14" s="1"/>
  <c r="AK142" i="14" s="1"/>
  <c r="AL142" i="14" s="1"/>
  <c r="AM142" i="14" s="1"/>
  <c r="AN142" i="14" s="1"/>
  <c r="AO142" i="14" s="1"/>
  <c r="AP142" i="14" s="1"/>
  <c r="AI139" i="14"/>
  <c r="AJ139" i="14" s="1"/>
  <c r="AI136" i="14"/>
  <c r="AJ136" i="14" s="1"/>
  <c r="AK136" i="14" s="1"/>
  <c r="AL136" i="14" s="1"/>
  <c r="AM136" i="14" s="1"/>
  <c r="AN136" i="14" s="1"/>
  <c r="AO136" i="14" s="1"/>
  <c r="AP136" i="14" s="1"/>
  <c r="AI103" i="14"/>
  <c r="AI100" i="14"/>
  <c r="AI69" i="14"/>
  <c r="AI66" i="14"/>
  <c r="AI64" i="14"/>
  <c r="AI53" i="14"/>
  <c r="AI37" i="14"/>
  <c r="AI42" i="14"/>
  <c r="AJ42" i="14" s="1"/>
  <c r="AK42" i="14" s="1"/>
  <c r="AM42" i="14" s="1"/>
  <c r="AN42" i="14" s="1"/>
  <c r="AO42" i="14" s="1"/>
  <c r="AI40" i="14"/>
  <c r="AJ40" i="14" s="1"/>
  <c r="AK40" i="14" s="1"/>
  <c r="AM40" i="14" s="1"/>
  <c r="AN40" i="14" s="1"/>
  <c r="AO40" i="14" s="1"/>
  <c r="AN38" i="14"/>
  <c r="AO38" i="14" s="1"/>
  <c r="AP38" i="14" s="1"/>
  <c r="AZ331" i="14"/>
  <c r="AY331" i="14"/>
  <c r="AX331" i="14"/>
  <c r="AW331" i="14"/>
  <c r="AV331" i="14"/>
  <c r="AU331" i="14"/>
  <c r="AT331" i="14"/>
  <c r="AZ330" i="14"/>
  <c r="AY330" i="14"/>
  <c r="AX330" i="14"/>
  <c r="AW330" i="14"/>
  <c r="AV330" i="14"/>
  <c r="AU330" i="14"/>
  <c r="AT330" i="14"/>
  <c r="AZ329" i="14"/>
  <c r="AY329" i="14"/>
  <c r="AX329" i="14"/>
  <c r="AW329" i="14"/>
  <c r="AV329" i="14"/>
  <c r="AU329" i="14"/>
  <c r="AT329" i="14"/>
  <c r="AZ328" i="14"/>
  <c r="AY328" i="14"/>
  <c r="AX328" i="14"/>
  <c r="AW328" i="14"/>
  <c r="AV328" i="14"/>
  <c r="AU328" i="14"/>
  <c r="AT328" i="14"/>
  <c r="AZ327" i="14"/>
  <c r="AY327" i="14"/>
  <c r="AX327" i="14"/>
  <c r="AW327" i="14"/>
  <c r="AV327" i="14"/>
  <c r="AU327" i="14"/>
  <c r="AT327" i="14"/>
  <c r="AZ326" i="14"/>
  <c r="AY326" i="14"/>
  <c r="AX326" i="14"/>
  <c r="AW326" i="14"/>
  <c r="AV326" i="14"/>
  <c r="AU326" i="14"/>
  <c r="AT326" i="14"/>
  <c r="AZ325" i="14"/>
  <c r="AY325" i="14"/>
  <c r="AX325" i="14"/>
  <c r="AW325" i="14"/>
  <c r="AV325" i="14"/>
  <c r="AU325" i="14"/>
  <c r="AT325" i="14"/>
  <c r="AZ324" i="14"/>
  <c r="AY324" i="14"/>
  <c r="AX324" i="14"/>
  <c r="AW324" i="14"/>
  <c r="AV324" i="14"/>
  <c r="AU324" i="14"/>
  <c r="AT324" i="14"/>
  <c r="AZ323" i="14"/>
  <c r="AY323" i="14"/>
  <c r="AX323" i="14"/>
  <c r="AW323" i="14"/>
  <c r="AV323" i="14"/>
  <c r="AU323" i="14"/>
  <c r="AT323" i="14"/>
  <c r="AZ322" i="14"/>
  <c r="AY322" i="14"/>
  <c r="AX322" i="14"/>
  <c r="AW322" i="14"/>
  <c r="AV322" i="14"/>
  <c r="AU322" i="14"/>
  <c r="AT322" i="14"/>
  <c r="AZ321" i="14"/>
  <c r="AY321" i="14"/>
  <c r="AX321" i="14"/>
  <c r="AW321" i="14"/>
  <c r="AV321" i="14"/>
  <c r="AU321" i="14"/>
  <c r="AT321" i="14"/>
  <c r="AZ320" i="14"/>
  <c r="AY320" i="14"/>
  <c r="AX320" i="14"/>
  <c r="AW320" i="14"/>
  <c r="AV320" i="14"/>
  <c r="AU320" i="14"/>
  <c r="AT320" i="14"/>
  <c r="AZ319" i="14"/>
  <c r="AY319" i="14"/>
  <c r="AX319" i="14"/>
  <c r="AW319" i="14"/>
  <c r="AV319" i="14"/>
  <c r="AU319" i="14"/>
  <c r="AT319" i="14"/>
  <c r="AZ318" i="14"/>
  <c r="AY318" i="14"/>
  <c r="AX318" i="14"/>
  <c r="AW318" i="14"/>
  <c r="AV318" i="14"/>
  <c r="AU318" i="14"/>
  <c r="AT318" i="14"/>
  <c r="AZ317" i="14"/>
  <c r="AY317" i="14"/>
  <c r="AX317" i="14"/>
  <c r="AW317" i="14"/>
  <c r="AV317" i="14"/>
  <c r="AU317" i="14"/>
  <c r="AT317" i="14"/>
  <c r="AZ316" i="14"/>
  <c r="AY316" i="14"/>
  <c r="AX316" i="14"/>
  <c r="AW316" i="14"/>
  <c r="AV316" i="14"/>
  <c r="AU316" i="14"/>
  <c r="AT316" i="14"/>
  <c r="AZ315" i="14"/>
  <c r="AY315" i="14"/>
  <c r="AX315" i="14"/>
  <c r="AW315" i="14"/>
  <c r="AV315" i="14"/>
  <c r="AU315" i="14"/>
  <c r="AT315" i="14"/>
  <c r="AZ314" i="14"/>
  <c r="AY314" i="14"/>
  <c r="AX314" i="14"/>
  <c r="AW314" i="14"/>
  <c r="AV314" i="14"/>
  <c r="AU314" i="14"/>
  <c r="AT314" i="14"/>
  <c r="AZ313" i="14"/>
  <c r="AY313" i="14"/>
  <c r="AX313" i="14"/>
  <c r="AW313" i="14"/>
  <c r="AV313" i="14"/>
  <c r="AU313" i="14"/>
  <c r="AT313" i="14"/>
  <c r="AZ312" i="14"/>
  <c r="AY312" i="14"/>
  <c r="AX312" i="14"/>
  <c r="AW312" i="14"/>
  <c r="AV312" i="14"/>
  <c r="AU312" i="14"/>
  <c r="AT312" i="14"/>
  <c r="AZ311" i="14"/>
  <c r="AY311" i="14"/>
  <c r="AX311" i="14"/>
  <c r="AW311" i="14"/>
  <c r="AV311" i="14"/>
  <c r="AU311" i="14"/>
  <c r="AT311" i="14"/>
  <c r="AZ310" i="14"/>
  <c r="AY310" i="14"/>
  <c r="AX310" i="14"/>
  <c r="AW310" i="14"/>
  <c r="AV310" i="14"/>
  <c r="AU310" i="14"/>
  <c r="AT310" i="14"/>
  <c r="AZ309" i="14"/>
  <c r="AY309" i="14"/>
  <c r="AX309" i="14"/>
  <c r="AW309" i="14"/>
  <c r="AV309" i="14"/>
  <c r="AU309" i="14"/>
  <c r="AT309" i="14"/>
  <c r="AZ308" i="14"/>
  <c r="AY308" i="14"/>
  <c r="AX308" i="14"/>
  <c r="AW308" i="14"/>
  <c r="AV308" i="14"/>
  <c r="AU308" i="14"/>
  <c r="AT308" i="14"/>
  <c r="AA307" i="14"/>
  <c r="AY301" i="14"/>
  <c r="BD301" i="14" s="1"/>
  <c r="AX301" i="14"/>
  <c r="AW301" i="14"/>
  <c r="AV301" i="14"/>
  <c r="AU301" i="14"/>
  <c r="AT301" i="14"/>
  <c r="AA301" i="14"/>
  <c r="AZ301" i="14" s="1"/>
  <c r="W299" i="14"/>
  <c r="AY298" i="14"/>
  <c r="BD298" i="14" s="1"/>
  <c r="BE298" i="14" s="1"/>
  <c r="BF298" i="14" s="1"/>
  <c r="BG298" i="14" s="1"/>
  <c r="BH298" i="14" s="1"/>
  <c r="BI298" i="14" s="1"/>
  <c r="BJ298" i="14" s="1"/>
  <c r="AX298" i="14"/>
  <c r="AW298" i="14"/>
  <c r="AV298" i="14"/>
  <c r="AU298" i="14"/>
  <c r="AT298" i="14"/>
  <c r="AY297" i="14"/>
  <c r="BD297" i="14" s="1"/>
  <c r="BE297" i="14" s="1"/>
  <c r="BF297" i="14" s="1"/>
  <c r="BG297" i="14" s="1"/>
  <c r="BH297" i="14" s="1"/>
  <c r="BI297" i="14" s="1"/>
  <c r="BJ297" i="14" s="1"/>
  <c r="AX297" i="14"/>
  <c r="AW297" i="14"/>
  <c r="AV297" i="14"/>
  <c r="AU297" i="14"/>
  <c r="AT297" i="14"/>
  <c r="AA297" i="14"/>
  <c r="AZ297" i="14" s="1"/>
  <c r="AY290" i="14"/>
  <c r="AX290" i="14"/>
  <c r="AW290" i="14"/>
  <c r="AV290" i="14"/>
  <c r="AU290" i="14"/>
  <c r="AY289" i="14"/>
  <c r="AX289" i="14"/>
  <c r="AW289" i="14"/>
  <c r="AV289" i="14"/>
  <c r="AU289" i="14"/>
  <c r="AA289" i="14"/>
  <c r="AZ289" i="14" s="1"/>
  <c r="AY288" i="14"/>
  <c r="AX288" i="14"/>
  <c r="AW288" i="14"/>
  <c r="AV288" i="14"/>
  <c r="AU288" i="14"/>
  <c r="AX287" i="14"/>
  <c r="AW287" i="14"/>
  <c r="AV287" i="14"/>
  <c r="AU287" i="14"/>
  <c r="AA287" i="14"/>
  <c r="AZ287" i="14" s="1"/>
  <c r="X287" i="14"/>
  <c r="AY287" i="14" s="1"/>
  <c r="AY286" i="14"/>
  <c r="AX286" i="14"/>
  <c r="AW286" i="14"/>
  <c r="AV286" i="14"/>
  <c r="AU286" i="14"/>
  <c r="AY285" i="14"/>
  <c r="AX285" i="14"/>
  <c r="AW285" i="14"/>
  <c r="AV285" i="14"/>
  <c r="AU285" i="14"/>
  <c r="AY284" i="14"/>
  <c r="AX284" i="14"/>
  <c r="AW284" i="14"/>
  <c r="AV284" i="14"/>
  <c r="AU284" i="14"/>
  <c r="AY283" i="14"/>
  <c r="AX283" i="14"/>
  <c r="AW283" i="14"/>
  <c r="AV283" i="14"/>
  <c r="AU283" i="14"/>
  <c r="AC283" i="14"/>
  <c r="AZ283" i="14" s="1"/>
  <c r="AX282" i="14"/>
  <c r="AW282" i="14"/>
  <c r="AV282" i="14"/>
  <c r="AU282" i="14"/>
  <c r="X282" i="14"/>
  <c r="W282" i="14"/>
  <c r="W280" i="14" s="1"/>
  <c r="AT280" i="14"/>
  <c r="AF280" i="14"/>
  <c r="AE280" i="14"/>
  <c r="V280" i="14"/>
  <c r="U280" i="14"/>
  <c r="T280" i="14"/>
  <c r="S280" i="14"/>
  <c r="R280" i="14"/>
  <c r="Q280" i="14"/>
  <c r="P280" i="14"/>
  <c r="O280" i="14"/>
  <c r="N280" i="14"/>
  <c r="M280" i="14"/>
  <c r="L280" i="14"/>
  <c r="K280" i="14"/>
  <c r="J280" i="14"/>
  <c r="I280" i="14"/>
  <c r="H280" i="14"/>
  <c r="G280" i="14"/>
  <c r="F280" i="14"/>
  <c r="E280" i="14"/>
  <c r="D280" i="14"/>
  <c r="C280" i="14"/>
  <c r="AY275" i="14"/>
  <c r="AX275" i="14"/>
  <c r="AW275" i="14"/>
  <c r="AV275" i="14"/>
  <c r="AU275" i="14"/>
  <c r="AA275" i="14"/>
  <c r="AZ275" i="14" s="1"/>
  <c r="AY274" i="14"/>
  <c r="AX274" i="14"/>
  <c r="AW274" i="14"/>
  <c r="AV274" i="14"/>
  <c r="AU274" i="14"/>
  <c r="AX273" i="14"/>
  <c r="AW273" i="14"/>
  <c r="AV273" i="14"/>
  <c r="AU273" i="14"/>
  <c r="AD273" i="14"/>
  <c r="Z273" i="14"/>
  <c r="Y273" i="14"/>
  <c r="X273" i="14"/>
  <c r="W273" i="14"/>
  <c r="W244" i="14" s="1"/>
  <c r="AY244" i="14" s="1"/>
  <c r="AX271" i="14"/>
  <c r="AW271" i="14"/>
  <c r="AV271" i="14"/>
  <c r="AU271" i="14"/>
  <c r="AX270" i="14"/>
  <c r="AW270" i="14"/>
  <c r="AV270" i="14"/>
  <c r="AU270" i="14"/>
  <c r="AX269" i="14"/>
  <c r="AW269" i="14"/>
  <c r="AV269" i="14"/>
  <c r="AU269" i="14"/>
  <c r="AX268" i="14"/>
  <c r="AW268" i="14"/>
  <c r="AV268" i="14"/>
  <c r="AU268" i="14"/>
  <c r="AT267" i="14"/>
  <c r="V267" i="14"/>
  <c r="U267" i="14"/>
  <c r="T267" i="14"/>
  <c r="S267" i="14"/>
  <c r="R267" i="14"/>
  <c r="Q267" i="14"/>
  <c r="P267" i="14"/>
  <c r="O267" i="14"/>
  <c r="N267" i="14"/>
  <c r="M267" i="14"/>
  <c r="L267" i="14"/>
  <c r="K267" i="14"/>
  <c r="J267" i="14"/>
  <c r="I267" i="14"/>
  <c r="H267" i="14"/>
  <c r="G267" i="14"/>
  <c r="F267" i="14"/>
  <c r="E267" i="14"/>
  <c r="AX266" i="14"/>
  <c r="AW266" i="14"/>
  <c r="AW267" i="14" s="1"/>
  <c r="AV266" i="14"/>
  <c r="AV267" i="14" s="1"/>
  <c r="AU266" i="14"/>
  <c r="AU267" i="14" s="1"/>
  <c r="AF266" i="14"/>
  <c r="AF191" i="14" s="1"/>
  <c r="AE266" i="14"/>
  <c r="AE191" i="14" s="1"/>
  <c r="AD266" i="14"/>
  <c r="AD282" i="14" s="1"/>
  <c r="AD280" i="14" s="1"/>
  <c r="AC266" i="14"/>
  <c r="AC282" i="14" s="1"/>
  <c r="AB266" i="14"/>
  <c r="AB282" i="14" s="1"/>
  <c r="AB280" i="14" s="1"/>
  <c r="AA266" i="14"/>
  <c r="Y266" i="14"/>
  <c r="Y282" i="14" s="1"/>
  <c r="AX264" i="14"/>
  <c r="AW264" i="14"/>
  <c r="AV264" i="14"/>
  <c r="AU264" i="14"/>
  <c r="AF264" i="14"/>
  <c r="AE264" i="14"/>
  <c r="AD264" i="14"/>
  <c r="AD218" i="14" s="1"/>
  <c r="AD219" i="14" s="1"/>
  <c r="AD220" i="14" s="1"/>
  <c r="AC264" i="14"/>
  <c r="AB264" i="14"/>
  <c r="Z264" i="14"/>
  <c r="Z218" i="14" s="1"/>
  <c r="Z219" i="14" s="1"/>
  <c r="Z220" i="14" s="1"/>
  <c r="Y264" i="14"/>
  <c r="Y218" i="14" s="1"/>
  <c r="Y219" i="14" s="1"/>
  <c r="W264" i="14"/>
  <c r="BD262" i="14"/>
  <c r="AY262" i="14"/>
  <c r="AX262" i="14"/>
  <c r="AW262" i="14"/>
  <c r="AV262" i="14"/>
  <c r="AU262" i="14"/>
  <c r="AY261" i="14"/>
  <c r="AX261" i="14"/>
  <c r="AW261" i="14"/>
  <c r="AV261" i="14"/>
  <c r="AU261" i="14"/>
  <c r="AY260" i="14"/>
  <c r="AX260" i="14"/>
  <c r="AW260" i="14"/>
  <c r="AV260" i="14"/>
  <c r="AU260" i="14"/>
  <c r="W258" i="14"/>
  <c r="W259" i="14" s="1"/>
  <c r="AX257" i="14"/>
  <c r="AW257" i="14"/>
  <c r="AV257" i="14"/>
  <c r="AU257" i="14"/>
  <c r="AF257" i="14"/>
  <c r="AJ257" i="14" s="1"/>
  <c r="AN257" i="14" s="1"/>
  <c r="AE257" i="14"/>
  <c r="AC257" i="14"/>
  <c r="AG257" i="14" s="1"/>
  <c r="AK257" i="14" s="1"/>
  <c r="AO257" i="14" s="1"/>
  <c r="AB257" i="14"/>
  <c r="AA257" i="14"/>
  <c r="X257" i="14"/>
  <c r="AY257" i="14" s="1"/>
  <c r="BD256" i="14"/>
  <c r="AY256" i="14"/>
  <c r="AX256" i="14"/>
  <c r="AW256" i="14"/>
  <c r="AV256" i="14"/>
  <c r="AU256" i="14"/>
  <c r="AX244" i="14"/>
  <c r="AW244" i="14"/>
  <c r="AV244" i="14"/>
  <c r="AU244" i="14"/>
  <c r="AB244" i="14"/>
  <c r="AY242" i="14"/>
  <c r="AX242" i="14"/>
  <c r="AW242" i="14"/>
  <c r="AV242" i="14"/>
  <c r="AU242" i="14"/>
  <c r="AY240" i="14"/>
  <c r="AX240" i="14"/>
  <c r="AW240" i="14"/>
  <c r="AV240" i="14"/>
  <c r="AU240" i="14"/>
  <c r="AF239" i="14"/>
  <c r="AE239" i="14"/>
  <c r="AD239" i="14"/>
  <c r="AC239" i="14"/>
  <c r="AB239" i="14"/>
  <c r="AA239" i="14"/>
  <c r="Z239" i="14"/>
  <c r="Y239" i="14"/>
  <c r="X239" i="14"/>
  <c r="W239" i="14"/>
  <c r="V239" i="14"/>
  <c r="U239" i="14"/>
  <c r="T239" i="14"/>
  <c r="S239" i="14"/>
  <c r="R239" i="14"/>
  <c r="Q239" i="14"/>
  <c r="P239" i="14"/>
  <c r="O239" i="14"/>
  <c r="N239" i="14"/>
  <c r="M239" i="14"/>
  <c r="L239" i="14"/>
  <c r="K239" i="14"/>
  <c r="J239" i="14"/>
  <c r="I239" i="14"/>
  <c r="W238" i="14"/>
  <c r="AY237" i="14"/>
  <c r="AX237" i="14"/>
  <c r="AW237" i="14"/>
  <c r="AV237" i="14"/>
  <c r="AU237" i="14"/>
  <c r="AT235" i="14"/>
  <c r="AF235" i="14"/>
  <c r="AE235" i="14"/>
  <c r="AD235" i="14"/>
  <c r="AC235" i="14"/>
  <c r="AA235" i="14"/>
  <c r="Z235" i="14"/>
  <c r="Y235" i="14"/>
  <c r="X235" i="14"/>
  <c r="V235" i="14"/>
  <c r="U235" i="14"/>
  <c r="T235" i="14"/>
  <c r="S235" i="14"/>
  <c r="R235" i="14"/>
  <c r="Q235" i="14"/>
  <c r="P235" i="14"/>
  <c r="O235" i="14"/>
  <c r="N235" i="14"/>
  <c r="M235" i="14"/>
  <c r="L235" i="14"/>
  <c r="K235" i="14"/>
  <c r="J235" i="14"/>
  <c r="I235" i="14"/>
  <c r="H235" i="14"/>
  <c r="G235" i="14"/>
  <c r="F235" i="14"/>
  <c r="E235" i="14"/>
  <c r="W230" i="14"/>
  <c r="AY229" i="14"/>
  <c r="AX229" i="14"/>
  <c r="AW229" i="14"/>
  <c r="AV229" i="14"/>
  <c r="AU229" i="14"/>
  <c r="AW226" i="14"/>
  <c r="AW249" i="14" s="1"/>
  <c r="AV226" i="14"/>
  <c r="AV249" i="14" s="1"/>
  <c r="AU226" i="14"/>
  <c r="AU249" i="14" s="1"/>
  <c r="AT226" i="14"/>
  <c r="V226" i="14"/>
  <c r="U226" i="14"/>
  <c r="U241" i="14" s="1"/>
  <c r="T226" i="14"/>
  <c r="S226" i="14"/>
  <c r="R226" i="14"/>
  <c r="R230" i="14" s="1"/>
  <c r="Q226" i="14"/>
  <c r="P226" i="14"/>
  <c r="P232" i="14" s="1"/>
  <c r="O226" i="14"/>
  <c r="O230" i="14" s="1"/>
  <c r="N226" i="14"/>
  <c r="N230" i="14" s="1"/>
  <c r="M226" i="14"/>
  <c r="M241" i="14" s="1"/>
  <c r="L226" i="14"/>
  <c r="K226" i="14"/>
  <c r="K243" i="14" s="1"/>
  <c r="J226" i="14"/>
  <c r="J241" i="14" s="1"/>
  <c r="I226" i="14"/>
  <c r="I232" i="14" s="1"/>
  <c r="H226" i="14"/>
  <c r="H232" i="14" s="1"/>
  <c r="G226" i="14"/>
  <c r="G232" i="14" s="1"/>
  <c r="G233" i="14" s="1"/>
  <c r="F226" i="14"/>
  <c r="F230" i="14" s="1"/>
  <c r="E226" i="14"/>
  <c r="E241" i="14" s="1"/>
  <c r="D226" i="14"/>
  <c r="C226" i="14"/>
  <c r="V218" i="14"/>
  <c r="V219" i="14" s="1"/>
  <c r="V220" i="14" s="1"/>
  <c r="U218" i="14"/>
  <c r="U219" i="14" s="1"/>
  <c r="U220" i="14" s="1"/>
  <c r="T218" i="14"/>
  <c r="T219" i="14" s="1"/>
  <c r="T220" i="14" s="1"/>
  <c r="S218" i="14"/>
  <c r="S219" i="14" s="1"/>
  <c r="S220" i="14" s="1"/>
  <c r="AU206" i="14"/>
  <c r="AT206" i="14"/>
  <c r="AF199" i="14"/>
  <c r="AF205" i="14" s="1"/>
  <c r="W199" i="14"/>
  <c r="W205" i="14" s="1"/>
  <c r="W206" i="14" s="1"/>
  <c r="AZ195" i="14"/>
  <c r="AG195" i="14"/>
  <c r="AH195" i="14" s="1"/>
  <c r="AA195" i="14"/>
  <c r="W192" i="14"/>
  <c r="AF185" i="14"/>
  <c r="AE185" i="14"/>
  <c r="AD185" i="14"/>
  <c r="AC185" i="14"/>
  <c r="AB185" i="14"/>
  <c r="AA185" i="14"/>
  <c r="Z185" i="14"/>
  <c r="Y185" i="14"/>
  <c r="X185" i="14"/>
  <c r="W185" i="14"/>
  <c r="V185" i="14"/>
  <c r="U185" i="14"/>
  <c r="T185" i="14"/>
  <c r="S185" i="14"/>
  <c r="R185" i="14"/>
  <c r="Q185" i="14"/>
  <c r="P185" i="14"/>
  <c r="O185" i="14"/>
  <c r="N185" i="14"/>
  <c r="M185" i="14"/>
  <c r="L185" i="14"/>
  <c r="K185" i="14"/>
  <c r="J185" i="14"/>
  <c r="I185" i="14"/>
  <c r="H185" i="14"/>
  <c r="G185" i="14"/>
  <c r="V184" i="14"/>
  <c r="U184" i="14"/>
  <c r="T184" i="14"/>
  <c r="S184" i="14"/>
  <c r="R184" i="14"/>
  <c r="Q184" i="14"/>
  <c r="P184" i="14"/>
  <c r="O184" i="14"/>
  <c r="N184" i="14"/>
  <c r="M184" i="14"/>
  <c r="L184" i="14"/>
  <c r="K184" i="14"/>
  <c r="J184" i="14"/>
  <c r="I184" i="14"/>
  <c r="H184" i="14"/>
  <c r="G184" i="14"/>
  <c r="F184" i="14"/>
  <c r="E184" i="14"/>
  <c r="D184" i="14"/>
  <c r="C184" i="14"/>
  <c r="AY183" i="14"/>
  <c r="BP147" i="14" s="1"/>
  <c r="AX183" i="14"/>
  <c r="AW183" i="14"/>
  <c r="AW184" i="14" s="1"/>
  <c r="AV183" i="14"/>
  <c r="AV184" i="14" s="1"/>
  <c r="AU183" i="14"/>
  <c r="AU184" i="14" s="1"/>
  <c r="AT183" i="14"/>
  <c r="AT184" i="14" s="1"/>
  <c r="Y182" i="14"/>
  <c r="Y180" i="14" s="1"/>
  <c r="X182" i="14"/>
  <c r="X180" i="14" s="1"/>
  <c r="W182" i="14"/>
  <c r="W180" i="14" s="1"/>
  <c r="S182" i="14"/>
  <c r="S180" i="14" s="1"/>
  <c r="AE180" i="14"/>
  <c r="BA180" i="14" s="1"/>
  <c r="AF178" i="14"/>
  <c r="AD178" i="14"/>
  <c r="AC178" i="14"/>
  <c r="AB178" i="14"/>
  <c r="AA178" i="14"/>
  <c r="Z178" i="14"/>
  <c r="Y178" i="14"/>
  <c r="X178" i="14"/>
  <c r="W178" i="14"/>
  <c r="S178" i="14"/>
  <c r="AZ177" i="14"/>
  <c r="AY177" i="14"/>
  <c r="AE177" i="14"/>
  <c r="V177" i="14"/>
  <c r="U177" i="14"/>
  <c r="T177" i="14"/>
  <c r="R177" i="14"/>
  <c r="Q177" i="14"/>
  <c r="P177" i="14"/>
  <c r="O177" i="14"/>
  <c r="O180" i="14" s="1"/>
  <c r="N177" i="14"/>
  <c r="M177" i="14"/>
  <c r="L177" i="14"/>
  <c r="K177" i="14"/>
  <c r="AF175" i="14"/>
  <c r="AD175" i="14"/>
  <c r="AC175" i="14"/>
  <c r="AB175" i="14"/>
  <c r="AA175" i="14"/>
  <c r="Z175" i="14"/>
  <c r="Y175" i="14"/>
  <c r="X175" i="14"/>
  <c r="W175" i="14"/>
  <c r="S175" i="14"/>
  <c r="O175" i="14"/>
  <c r="AZ174" i="14"/>
  <c r="AY174" i="14"/>
  <c r="AX174" i="14"/>
  <c r="AW174" i="14"/>
  <c r="AV174" i="14"/>
  <c r="AE174" i="14"/>
  <c r="AE175" i="14" s="1"/>
  <c r="AF173" i="14"/>
  <c r="AD173" i="14"/>
  <c r="AC173" i="14"/>
  <c r="AB173" i="14"/>
  <c r="AA173" i="14"/>
  <c r="W173" i="14"/>
  <c r="S173" i="14"/>
  <c r="AF172" i="14"/>
  <c r="AD172" i="14"/>
  <c r="AC172" i="14"/>
  <c r="AB172" i="14"/>
  <c r="AA172" i="14"/>
  <c r="Z172" i="14"/>
  <c r="Y172" i="14"/>
  <c r="X172" i="14"/>
  <c r="W172" i="14"/>
  <c r="S172" i="14"/>
  <c r="O172" i="14"/>
  <c r="AZ171" i="14"/>
  <c r="AE171" i="14"/>
  <c r="V171" i="14"/>
  <c r="U171" i="14"/>
  <c r="T171" i="14"/>
  <c r="X173" i="14" s="1"/>
  <c r="R171" i="14"/>
  <c r="Q171" i="14"/>
  <c r="P171" i="14"/>
  <c r="N171" i="14"/>
  <c r="M171" i="14"/>
  <c r="L171" i="14"/>
  <c r="K171" i="14"/>
  <c r="Q167" i="14"/>
  <c r="AF166" i="14"/>
  <c r="AJ166" i="14" s="1"/>
  <c r="AN166" i="14" s="1"/>
  <c r="W166" i="14"/>
  <c r="R166" i="14"/>
  <c r="R167" i="14" s="1"/>
  <c r="P166" i="14"/>
  <c r="P167" i="14" s="1"/>
  <c r="AF165" i="14"/>
  <c r="AE165" i="14"/>
  <c r="AD165" i="14"/>
  <c r="AC165" i="14"/>
  <c r="AB165" i="14"/>
  <c r="AA165" i="14"/>
  <c r="Z165" i="14"/>
  <c r="Y165" i="14"/>
  <c r="X165" i="14"/>
  <c r="W165" i="14"/>
  <c r="V165" i="14"/>
  <c r="U165" i="14"/>
  <c r="T165" i="14"/>
  <c r="S165" i="14"/>
  <c r="R165" i="14"/>
  <c r="Q165" i="14"/>
  <c r="P165" i="14"/>
  <c r="AY164" i="14"/>
  <c r="AX164" i="14"/>
  <c r="AW164" i="14"/>
  <c r="AV164" i="14"/>
  <c r="AQ164" i="14"/>
  <c r="R162" i="14"/>
  <c r="P162" i="14"/>
  <c r="T161" i="14"/>
  <c r="T159" i="14" s="1"/>
  <c r="AF157" i="14"/>
  <c r="AF155" i="14"/>
  <c r="AE155" i="14"/>
  <c r="AD155" i="14"/>
  <c r="AC155" i="14"/>
  <c r="AB155" i="14"/>
  <c r="AA155" i="14"/>
  <c r="Z155" i="14"/>
  <c r="Y155" i="14"/>
  <c r="W154" i="14"/>
  <c r="AY154" i="14" s="1"/>
  <c r="AF151" i="14"/>
  <c r="AE151" i="14"/>
  <c r="AD151" i="14"/>
  <c r="AC151" i="14"/>
  <c r="AB151" i="14"/>
  <c r="AA151" i="14"/>
  <c r="Z151" i="14"/>
  <c r="Y151" i="14"/>
  <c r="X151" i="14"/>
  <c r="W151" i="14"/>
  <c r="V151" i="14"/>
  <c r="U151" i="14"/>
  <c r="AR146" i="14"/>
  <c r="AQ146" i="14"/>
  <c r="AE138" i="14"/>
  <c r="AD138" i="14"/>
  <c r="AC138" i="14"/>
  <c r="AB138" i="14"/>
  <c r="AA138" i="14"/>
  <c r="Z138" i="14"/>
  <c r="Y138" i="14"/>
  <c r="X138" i="14"/>
  <c r="W138" i="14"/>
  <c r="V138" i="14"/>
  <c r="U138" i="14"/>
  <c r="T138" i="14"/>
  <c r="S138" i="14"/>
  <c r="AE135" i="14"/>
  <c r="AD135" i="14"/>
  <c r="AC135" i="14"/>
  <c r="AB135" i="14"/>
  <c r="AA135" i="14"/>
  <c r="Z135" i="14"/>
  <c r="Y135" i="14"/>
  <c r="X135" i="14"/>
  <c r="W135" i="14"/>
  <c r="V135" i="14"/>
  <c r="U135" i="14"/>
  <c r="T135" i="14"/>
  <c r="S135" i="14"/>
  <c r="AF129" i="14"/>
  <c r="AE129" i="14"/>
  <c r="AD129" i="14"/>
  <c r="AC129" i="14"/>
  <c r="AB129" i="14"/>
  <c r="AA129" i="14"/>
  <c r="Z129" i="14"/>
  <c r="Y129" i="14"/>
  <c r="X129" i="14"/>
  <c r="AZ127" i="14"/>
  <c r="AY127" i="14"/>
  <c r="AX127" i="14"/>
  <c r="AW119" i="14"/>
  <c r="AV119" i="14"/>
  <c r="AU119" i="14"/>
  <c r="V119" i="14"/>
  <c r="U119" i="14"/>
  <c r="T119" i="14"/>
  <c r="S119" i="14"/>
  <c r="R119" i="14"/>
  <c r="Q119" i="14"/>
  <c r="P119" i="14"/>
  <c r="O119" i="14"/>
  <c r="N119" i="14"/>
  <c r="M119" i="14"/>
  <c r="L119" i="14"/>
  <c r="K119" i="14"/>
  <c r="J119" i="14"/>
  <c r="I119" i="14"/>
  <c r="H119" i="14"/>
  <c r="G119" i="14"/>
  <c r="W118" i="14"/>
  <c r="AW111" i="14"/>
  <c r="AV111" i="14"/>
  <c r="AU111" i="14"/>
  <c r="W111" i="14"/>
  <c r="V111" i="14"/>
  <c r="U111" i="14"/>
  <c r="T111" i="14"/>
  <c r="S111" i="14"/>
  <c r="R111" i="14"/>
  <c r="Q111" i="14"/>
  <c r="P111" i="14"/>
  <c r="O111" i="14"/>
  <c r="N111" i="14"/>
  <c r="M111" i="14"/>
  <c r="L111" i="14"/>
  <c r="K111" i="14"/>
  <c r="J111" i="14"/>
  <c r="I111" i="14"/>
  <c r="H111" i="14"/>
  <c r="G111" i="14"/>
  <c r="AW110" i="14"/>
  <c r="AV110" i="14"/>
  <c r="AU110" i="14"/>
  <c r="AT110" i="14"/>
  <c r="W110" i="14"/>
  <c r="V110" i="14"/>
  <c r="U110" i="14"/>
  <c r="T110" i="14"/>
  <c r="S110" i="14"/>
  <c r="R110" i="14"/>
  <c r="Q110" i="14"/>
  <c r="P110" i="14"/>
  <c r="O110" i="14"/>
  <c r="N110" i="14"/>
  <c r="M110" i="14"/>
  <c r="L110" i="14"/>
  <c r="K110" i="14"/>
  <c r="J110" i="14"/>
  <c r="I110" i="14"/>
  <c r="H110" i="14"/>
  <c r="G110" i="14"/>
  <c r="F110" i="14"/>
  <c r="E110" i="14"/>
  <c r="D110" i="14"/>
  <c r="C110" i="14"/>
  <c r="AX109" i="14"/>
  <c r="AX110" i="14" s="1"/>
  <c r="AF109" i="14"/>
  <c r="AD106" i="14"/>
  <c r="AC106" i="14"/>
  <c r="AB106" i="14"/>
  <c r="AA106" i="14"/>
  <c r="Z106" i="14"/>
  <c r="Y106" i="14"/>
  <c r="X106" i="14"/>
  <c r="W106" i="14"/>
  <c r="V106" i="14"/>
  <c r="U106" i="14"/>
  <c r="T106" i="14"/>
  <c r="S106" i="14"/>
  <c r="R106" i="14"/>
  <c r="Q106" i="14"/>
  <c r="P106" i="14"/>
  <c r="O106" i="14"/>
  <c r="N106" i="14"/>
  <c r="M106" i="14"/>
  <c r="L106" i="14"/>
  <c r="K106" i="14"/>
  <c r="AF104" i="14"/>
  <c r="AE104" i="14"/>
  <c r="AD104" i="14"/>
  <c r="AC104" i="14"/>
  <c r="AB104" i="14"/>
  <c r="AA104" i="14"/>
  <c r="Z104" i="14"/>
  <c r="Y104" i="14"/>
  <c r="X104" i="14"/>
  <c r="W104" i="14"/>
  <c r="V104" i="14"/>
  <c r="U104" i="14"/>
  <c r="T104" i="14"/>
  <c r="S104" i="14"/>
  <c r="R104" i="14"/>
  <c r="Q104" i="14"/>
  <c r="P104" i="14"/>
  <c r="O104" i="14"/>
  <c r="N104" i="14"/>
  <c r="M104" i="14"/>
  <c r="L104" i="14"/>
  <c r="K104" i="14"/>
  <c r="J104" i="14"/>
  <c r="I104" i="14"/>
  <c r="H104" i="14"/>
  <c r="G104" i="14"/>
  <c r="AZ103" i="14"/>
  <c r="AY103" i="14"/>
  <c r="AX103" i="14"/>
  <c r="AW103" i="14"/>
  <c r="AV103" i="14"/>
  <c r="AU103" i="14"/>
  <c r="AT103" i="14"/>
  <c r="AH103" i="14"/>
  <c r="AH177" i="14" s="1"/>
  <c r="AG103" i="14"/>
  <c r="AF101" i="14"/>
  <c r="AE101" i="14"/>
  <c r="AD101" i="14"/>
  <c r="AC101" i="14"/>
  <c r="AB101" i="14"/>
  <c r="AA101" i="14"/>
  <c r="Z101" i="14"/>
  <c r="Y101" i="14"/>
  <c r="X101" i="14"/>
  <c r="W101" i="14"/>
  <c r="V101" i="14"/>
  <c r="U101" i="14"/>
  <c r="T101" i="14"/>
  <c r="S101" i="14"/>
  <c r="R101" i="14"/>
  <c r="Q101" i="14"/>
  <c r="P101" i="14"/>
  <c r="O101" i="14"/>
  <c r="N101" i="14"/>
  <c r="M101" i="14"/>
  <c r="L101" i="14"/>
  <c r="K101" i="14"/>
  <c r="J101" i="14"/>
  <c r="I101" i="14"/>
  <c r="H101" i="14"/>
  <c r="G101" i="14"/>
  <c r="AZ100" i="14"/>
  <c r="AY100" i="14"/>
  <c r="AX100" i="14"/>
  <c r="AW100" i="14"/>
  <c r="AV100" i="14"/>
  <c r="AU100" i="14"/>
  <c r="AT100" i="14"/>
  <c r="AH100" i="14"/>
  <c r="AH174" i="14" s="1"/>
  <c r="AG100" i="14"/>
  <c r="BB98" i="14"/>
  <c r="BA98" i="14"/>
  <c r="AZ98" i="14"/>
  <c r="AY98" i="14"/>
  <c r="AX98" i="14"/>
  <c r="AW98" i="14"/>
  <c r="AV98" i="14"/>
  <c r="AT97" i="14"/>
  <c r="Z97" i="14"/>
  <c r="AD97" i="14" s="1"/>
  <c r="Y97" i="14"/>
  <c r="AC97" i="14" s="1"/>
  <c r="X97" i="14"/>
  <c r="AB97" i="14" s="1"/>
  <c r="W97" i="14"/>
  <c r="AA97" i="14" s="1"/>
  <c r="AD95" i="14"/>
  <c r="AC95" i="14"/>
  <c r="AA95" i="14"/>
  <c r="Z95" i="14"/>
  <c r="W95" i="14"/>
  <c r="V95" i="14"/>
  <c r="U95" i="14"/>
  <c r="T95" i="14"/>
  <c r="S95" i="14"/>
  <c r="R95" i="14"/>
  <c r="Q95" i="14"/>
  <c r="P95" i="14"/>
  <c r="O95" i="14"/>
  <c r="N95" i="14"/>
  <c r="M95" i="14"/>
  <c r="L95" i="14"/>
  <c r="K95" i="14"/>
  <c r="J95" i="14"/>
  <c r="I95" i="14"/>
  <c r="H95" i="14"/>
  <c r="G95" i="14"/>
  <c r="F95" i="14"/>
  <c r="E95" i="14"/>
  <c r="D95" i="14"/>
  <c r="C95"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AZ93" i="14"/>
  <c r="AY93" i="14"/>
  <c r="AY172" i="14" s="1"/>
  <c r="AX93" i="14"/>
  <c r="AX95" i="14" s="1"/>
  <c r="AW93" i="14"/>
  <c r="AW95" i="14" s="1"/>
  <c r="AV93" i="14"/>
  <c r="AU93" i="14"/>
  <c r="AT93" i="14"/>
  <c r="AT95" i="14" s="1"/>
  <c r="AH93" i="14"/>
  <c r="AH171" i="14" s="1"/>
  <c r="AG93" i="14"/>
  <c r="AY90" i="14"/>
  <c r="AX90" i="14"/>
  <c r="AW90" i="14"/>
  <c r="AZ89" i="14"/>
  <c r="BA89" i="14" s="1"/>
  <c r="BB89" i="14" s="1"/>
  <c r="X88" i="14"/>
  <c r="W88" i="14"/>
  <c r="R87" i="14"/>
  <c r="Q87" i="14"/>
  <c r="AF82" i="14"/>
  <c r="AE82" i="14"/>
  <c r="AD82" i="14"/>
  <c r="AC82" i="14"/>
  <c r="AB82" i="14"/>
  <c r="AA82" i="14"/>
  <c r="AF81" i="14"/>
  <c r="AE81" i="14"/>
  <c r="AD81" i="14"/>
  <c r="AC81" i="14"/>
  <c r="AB81" i="14"/>
  <c r="AA81" i="14"/>
  <c r="AZ80" i="14"/>
  <c r="AY80" i="14"/>
  <c r="AX80" i="14"/>
  <c r="AW80" i="14"/>
  <c r="AV80" i="14"/>
  <c r="AU80" i="14"/>
  <c r="AT80" i="14"/>
  <c r="AH80" i="14"/>
  <c r="AG80" i="14"/>
  <c r="AG155" i="14" s="1"/>
  <c r="AF78" i="14"/>
  <c r="AE78" i="14"/>
  <c r="AD78" i="14"/>
  <c r="AC78" i="14"/>
  <c r="AB78" i="14"/>
  <c r="AA78" i="14"/>
  <c r="Z78" i="14"/>
  <c r="Y78" i="14"/>
  <c r="AZ77" i="14"/>
  <c r="AY77" i="14"/>
  <c r="AX77" i="14"/>
  <c r="AW77" i="14"/>
  <c r="AV77" i="14"/>
  <c r="AU77" i="14"/>
  <c r="AT77" i="14"/>
  <c r="AH77" i="14"/>
  <c r="AH151" i="14" s="1"/>
  <c r="AG77" i="14"/>
  <c r="AF70" i="14"/>
  <c r="AE70" i="14"/>
  <c r="AD70" i="14"/>
  <c r="AC70" i="14"/>
  <c r="AB70" i="14"/>
  <c r="AA70" i="14"/>
  <c r="Z70" i="14"/>
  <c r="Y70" i="14"/>
  <c r="X70" i="14"/>
  <c r="W70" i="14"/>
  <c r="V70" i="14"/>
  <c r="U70" i="14"/>
  <c r="T70" i="14"/>
  <c r="S70" i="14"/>
  <c r="R70" i="14"/>
  <c r="Q70" i="14"/>
  <c r="P70" i="14"/>
  <c r="O70" i="14"/>
  <c r="AZ69" i="14"/>
  <c r="AY69" i="14"/>
  <c r="AX69" i="14"/>
  <c r="AW69" i="14"/>
  <c r="AV69" i="14"/>
  <c r="AH69" i="14"/>
  <c r="AG69" i="14"/>
  <c r="AE67" i="14"/>
  <c r="AD67" i="14"/>
  <c r="AC67" i="14"/>
  <c r="AB67" i="14"/>
  <c r="AA67" i="14"/>
  <c r="Z67" i="14"/>
  <c r="Y67" i="14"/>
  <c r="X67" i="14"/>
  <c r="W67" i="14"/>
  <c r="V67" i="14"/>
  <c r="U67" i="14"/>
  <c r="T67" i="14"/>
  <c r="S67" i="14"/>
  <c r="AZ66" i="14"/>
  <c r="AY66" i="14"/>
  <c r="AX66" i="14"/>
  <c r="AW66" i="14"/>
  <c r="AW158" i="14" s="1"/>
  <c r="AH66" i="14"/>
  <c r="AG66" i="14"/>
  <c r="AF66"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AZ64" i="14"/>
  <c r="AY64" i="14"/>
  <c r="AV64" i="14"/>
  <c r="AW65" i="14" s="1"/>
  <c r="AU64" i="14"/>
  <c r="AT64" i="14"/>
  <c r="AH64" i="14"/>
  <c r="AG64" i="14"/>
  <c r="AE61" i="14"/>
  <c r="AE157" i="14" s="1"/>
  <c r="AD61" i="14"/>
  <c r="AD157" i="14" s="1"/>
  <c r="AC61" i="14"/>
  <c r="AC157" i="14" s="1"/>
  <c r="AB61" i="14"/>
  <c r="AB157" i="14" s="1"/>
  <c r="AA61" i="14"/>
  <c r="Z61" i="14"/>
  <c r="Y61" i="14"/>
  <c r="X61" i="14"/>
  <c r="X157" i="14" s="1"/>
  <c r="X146" i="14" s="1"/>
  <c r="W61" i="14"/>
  <c r="W157" i="14" s="1"/>
  <c r="V61" i="14"/>
  <c r="V157" i="14" s="1"/>
  <c r="U61" i="14"/>
  <c r="U157" i="14" s="1"/>
  <c r="T61" i="14"/>
  <c r="T157" i="14" s="1"/>
  <c r="S61" i="14"/>
  <c r="R61" i="14"/>
  <c r="Q61" i="14"/>
  <c r="P61" i="14"/>
  <c r="O61" i="14"/>
  <c r="O56" i="14" s="1"/>
  <c r="O73" i="14" s="1"/>
  <c r="N61" i="14"/>
  <c r="N56" i="14" s="1"/>
  <c r="N73" i="14" s="1"/>
  <c r="M61" i="14"/>
  <c r="M56" i="14" s="1"/>
  <c r="M73" i="14" s="1"/>
  <c r="L61" i="14"/>
  <c r="L56" i="14" s="1"/>
  <c r="L73" i="14" s="1"/>
  <c r="K61" i="14"/>
  <c r="J61" i="14"/>
  <c r="I61" i="14"/>
  <c r="H61" i="14"/>
  <c r="G61" i="14"/>
  <c r="F61" i="14"/>
  <c r="F56" i="14" s="1"/>
  <c r="F73" i="14" s="1"/>
  <c r="E61" i="14"/>
  <c r="E56" i="14" s="1"/>
  <c r="E73" i="14" s="1"/>
  <c r="D61" i="14"/>
  <c r="D56" i="14" s="1"/>
  <c r="D73" i="14" s="1"/>
  <c r="C61"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AZ58" i="14"/>
  <c r="AY58" i="14"/>
  <c r="AX58" i="14"/>
  <c r="AW58" i="14"/>
  <c r="AV58" i="14"/>
  <c r="AU58" i="14"/>
  <c r="AT58" i="14"/>
  <c r="AH58" i="14"/>
  <c r="AG58" i="14"/>
  <c r="AF56" i="14"/>
  <c r="AF73" i="14" s="1"/>
  <c r="AE56" i="14"/>
  <c r="AE73" i="14" s="1"/>
  <c r="U56" i="14"/>
  <c r="U73" i="14" s="1"/>
  <c r="T56" i="14"/>
  <c r="T73" i="14" s="1"/>
  <c r="C56" i="14"/>
  <c r="C73" i="14" s="1"/>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AZ53" i="14"/>
  <c r="AY53" i="14"/>
  <c r="AX53" i="14"/>
  <c r="AW53" i="14"/>
  <c r="AV53" i="14"/>
  <c r="AU53" i="14"/>
  <c r="AT53" i="14"/>
  <c r="AH53" i="14"/>
  <c r="AG53" i="14"/>
  <c r="AZ43" i="14"/>
  <c r="AE41" i="14"/>
  <c r="AD41" i="14"/>
  <c r="AC41" i="14"/>
  <c r="AB41" i="14"/>
  <c r="AB141" i="14" s="1"/>
  <c r="AA41" i="14"/>
  <c r="AA141" i="14" s="1"/>
  <c r="Z41" i="14"/>
  <c r="Z141" i="14" s="1"/>
  <c r="Y41" i="14"/>
  <c r="Y141" i="14" s="1"/>
  <c r="X41" i="14"/>
  <c r="X141" i="14" s="1"/>
  <c r="W41" i="14"/>
  <c r="V41" i="14"/>
  <c r="U41" i="14"/>
  <c r="T41" i="14"/>
  <c r="S41" i="14"/>
  <c r="S141" i="14" s="1"/>
  <c r="R41" i="14"/>
  <c r="Q41" i="14"/>
  <c r="P41" i="14"/>
  <c r="O41" i="14"/>
  <c r="AE40" i="14"/>
  <c r="AD40" i="14"/>
  <c r="AC40" i="14"/>
  <c r="AB40" i="14"/>
  <c r="AA40" i="14"/>
  <c r="Z40" i="14"/>
  <c r="Y40" i="14"/>
  <c r="X40" i="14"/>
  <c r="W40" i="14"/>
  <c r="V40" i="14"/>
  <c r="U40" i="14"/>
  <c r="T40" i="14"/>
  <c r="S40" i="14"/>
  <c r="R40" i="14"/>
  <c r="Q40" i="14"/>
  <c r="P40" i="14"/>
  <c r="AZ39" i="14"/>
  <c r="AY39" i="14"/>
  <c r="AX39" i="14"/>
  <c r="AW39" i="14"/>
  <c r="AW41" i="14" s="1"/>
  <c r="AF39" i="14"/>
  <c r="AE38" i="14"/>
  <c r="AD38" i="14"/>
  <c r="AC38" i="14"/>
  <c r="AB38" i="14"/>
  <c r="AA38" i="14"/>
  <c r="Z38" i="14"/>
  <c r="Y38" i="14"/>
  <c r="X38" i="14"/>
  <c r="W38" i="14"/>
  <c r="AZ37" i="14"/>
  <c r="AY37" i="14"/>
  <c r="AX37" i="14"/>
  <c r="AH37" i="14"/>
  <c r="AH135" i="14" s="1"/>
  <c r="AG37" i="14"/>
  <c r="AF37" i="14"/>
  <c r="AF35" i="14"/>
  <c r="AE35" i="14"/>
  <c r="AD35" i="14"/>
  <c r="AC35" i="14"/>
  <c r="AB35" i="14"/>
  <c r="AA35" i="14"/>
  <c r="Z35" i="14"/>
  <c r="Y35" i="14"/>
  <c r="X35" i="14"/>
  <c r="W35" i="14"/>
  <c r="V35" i="14"/>
  <c r="U35" i="14"/>
  <c r="T35" i="14"/>
  <c r="S35" i="14"/>
  <c r="AZ34" i="14"/>
  <c r="AY34" i="14"/>
  <c r="AX34" i="14"/>
  <c r="AE31" i="14"/>
  <c r="AD31" i="14"/>
  <c r="AC31" i="14"/>
  <c r="AC49" i="14" s="1"/>
  <c r="AB31" i="14"/>
  <c r="AB49" i="14" s="1"/>
  <c r="AA31" i="14"/>
  <c r="AA49" i="14" s="1"/>
  <c r="AA50" i="14" s="1"/>
  <c r="Z31" i="14"/>
  <c r="Y31" i="14"/>
  <c r="X31" i="14"/>
  <c r="W31" i="14"/>
  <c r="V31" i="14"/>
  <c r="V49" i="14" s="1"/>
  <c r="U31" i="14"/>
  <c r="U49" i="14" s="1"/>
  <c r="T31" i="14"/>
  <c r="S31" i="14"/>
  <c r="S49" i="14" s="1"/>
  <c r="R31" i="14"/>
  <c r="Q31" i="14"/>
  <c r="P31" i="14"/>
  <c r="P49" i="14" s="1"/>
  <c r="O31" i="14"/>
  <c r="O49" i="14" s="1"/>
  <c r="N31" i="14"/>
  <c r="N49" i="14" s="1"/>
  <c r="M31" i="14"/>
  <c r="L31" i="14"/>
  <c r="K31" i="14"/>
  <c r="K49" i="14" s="1"/>
  <c r="J31" i="14"/>
  <c r="I31" i="14"/>
  <c r="H31" i="14"/>
  <c r="H49" i="14" s="1"/>
  <c r="G31" i="14"/>
  <c r="G49" i="14" s="1"/>
  <c r="F31" i="14"/>
  <c r="F49" i="14" s="1"/>
  <c r="E31" i="14"/>
  <c r="E49" i="14" s="1"/>
  <c r="D31" i="14"/>
  <c r="D49" i="14" s="1"/>
  <c r="C31" i="14"/>
  <c r="C49" i="14" s="1"/>
  <c r="AX28" i="14"/>
  <c r="Y27" i="14"/>
  <c r="X27" i="14"/>
  <c r="W27" i="14"/>
  <c r="AE22" i="14"/>
  <c r="AD22" i="14"/>
  <c r="AC22" i="14"/>
  <c r="AB22" i="14"/>
  <c r="AA22" i="14"/>
  <c r="Z22" i="14"/>
  <c r="Y22" i="14"/>
  <c r="X22" i="14"/>
  <c r="W22" i="14"/>
  <c r="AE21" i="14"/>
  <c r="AD21" i="14"/>
  <c r="AC21" i="14"/>
  <c r="AB21" i="14"/>
  <c r="AA21" i="14"/>
  <c r="Z21" i="14"/>
  <c r="Y21" i="14"/>
  <c r="X21" i="14"/>
  <c r="W21" i="14"/>
  <c r="V21" i="14"/>
  <c r="U21" i="14"/>
  <c r="T21" i="14"/>
  <c r="S21" i="14"/>
  <c r="R21" i="14"/>
  <c r="Q21" i="14"/>
  <c r="P21" i="14"/>
  <c r="O21" i="14"/>
  <c r="N21" i="14"/>
  <c r="M21" i="14"/>
  <c r="AZ20" i="14"/>
  <c r="AY20" i="14"/>
  <c r="AX20" i="14"/>
  <c r="AW20" i="14"/>
  <c r="AV20" i="14"/>
  <c r="AU20" i="14"/>
  <c r="AT20" i="14"/>
  <c r="AH20" i="14"/>
  <c r="BA20" i="14" s="1"/>
  <c r="BA22" i="14" s="1"/>
  <c r="AG20" i="14"/>
  <c r="AF20"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AE14" i="14"/>
  <c r="AD14" i="14"/>
  <c r="AC14" i="14"/>
  <c r="AB14" i="14"/>
  <c r="AA14" i="14"/>
  <c r="Z14" i="14"/>
  <c r="Y14" i="14"/>
  <c r="X14" i="14"/>
  <c r="W14" i="14"/>
  <c r="V14" i="14"/>
  <c r="U14" i="14"/>
  <c r="T14" i="14"/>
  <c r="S14" i="14"/>
  <c r="R14" i="14"/>
  <c r="Q14" i="14"/>
  <c r="P14" i="14"/>
  <c r="O14" i="14"/>
  <c r="N14" i="14"/>
  <c r="M14" i="14"/>
  <c r="AZ13" i="14"/>
  <c r="AY13" i="14"/>
  <c r="AX13" i="14"/>
  <c r="AW13" i="14"/>
  <c r="AV13" i="14"/>
  <c r="AU13" i="14"/>
  <c r="AT13" i="14"/>
  <c r="AH13" i="14"/>
  <c r="AG13" i="14"/>
  <c r="AF13" i="14"/>
  <c r="AF6" i="14"/>
  <c r="AE6" i="14"/>
  <c r="AD6" i="14"/>
  <c r="AC6" i="14"/>
  <c r="AB6" i="14"/>
  <c r="AZ5" i="14"/>
  <c r="W5" i="14"/>
  <c r="W293" i="14" s="1"/>
  <c r="V5" i="14"/>
  <c r="U5" i="14"/>
  <c r="T5" i="14"/>
  <c r="X6" i="14" s="1"/>
  <c r="S5" i="14"/>
  <c r="R5" i="14"/>
  <c r="Q5" i="14"/>
  <c r="P5" i="14"/>
  <c r="O5" i="14"/>
  <c r="N5" i="14"/>
  <c r="M5" i="14"/>
  <c r="L5" i="14"/>
  <c r="K5" i="14"/>
  <c r="J5" i="14"/>
  <c r="I5" i="14"/>
  <c r="H5" i="14"/>
  <c r="G5" i="14"/>
  <c r="F5" i="14"/>
  <c r="E5" i="14"/>
  <c r="D5" i="14"/>
  <c r="C5" i="14"/>
  <c r="AF4" i="14"/>
  <c r="AE3" i="14"/>
  <c r="AB3" i="14"/>
  <c r="AB95" i="14" s="1"/>
  <c r="Y3" i="14"/>
  <c r="Y95" i="14" s="1"/>
  <c r="X3" i="14"/>
  <c r="X95" i="14" s="1"/>
  <c r="W1" i="14"/>
  <c r="X1" i="14" s="1"/>
  <c r="Y1" i="14" s="1"/>
  <c r="Z1" i="14" s="1"/>
  <c r="AA1" i="14" s="1"/>
  <c r="AB1" i="14" s="1"/>
  <c r="AC1" i="14" s="1"/>
  <c r="AD1" i="14" s="1"/>
  <c r="AE1" i="14" s="1"/>
  <c r="AF1" i="14" s="1"/>
  <c r="AG1" i="14" s="1"/>
  <c r="AH1" i="14" s="1"/>
  <c r="AI1" i="14" s="1"/>
  <c r="AJ1" i="14" s="1"/>
  <c r="AK1" i="14" s="1"/>
  <c r="AL1" i="14" s="1"/>
  <c r="AM1" i="14" s="1"/>
  <c r="AN1" i="14" s="1"/>
  <c r="AO1" i="14" s="1"/>
  <c r="AP1" i="14" s="1"/>
  <c r="AQ680" i="13"/>
  <c r="G679" i="13"/>
  <c r="G680" i="13" s="1"/>
  <c r="AR674" i="13"/>
  <c r="AQ674" i="13"/>
  <c r="AQ678" i="13" s="1"/>
  <c r="Q674" i="13"/>
  <c r="Q676" i="13" s="1"/>
  <c r="P674" i="13"/>
  <c r="O674" i="13"/>
  <c r="O678" i="13" s="1"/>
  <c r="N674" i="13"/>
  <c r="J674" i="13"/>
  <c r="J678" i="13" s="1"/>
  <c r="I674" i="13"/>
  <c r="I678" i="13" s="1"/>
  <c r="H674" i="13"/>
  <c r="G674" i="13"/>
  <c r="G678" i="13" s="1"/>
  <c r="BA672" i="13"/>
  <c r="BB672" i="13" s="1"/>
  <c r="BC672" i="13" s="1"/>
  <c r="AY672" i="13"/>
  <c r="AY671" i="13"/>
  <c r="AR670" i="13"/>
  <c r="AQ670" i="13"/>
  <c r="AR669" i="13"/>
  <c r="AQ669" i="13"/>
  <c r="AR668" i="13"/>
  <c r="AQ668" i="13"/>
  <c r="AY667" i="13"/>
  <c r="AZ667" i="13" s="1"/>
  <c r="BA667" i="13" s="1"/>
  <c r="BB667" i="13" s="1"/>
  <c r="BC667" i="13" s="1"/>
  <c r="AS667" i="13"/>
  <c r="AR667" i="13"/>
  <c r="AQ667" i="13"/>
  <c r="AY666" i="13"/>
  <c r="AS666" i="13"/>
  <c r="AR666" i="13"/>
  <c r="AQ666" i="13"/>
  <c r="AR665" i="13"/>
  <c r="AQ665" i="13"/>
  <c r="AS661" i="13"/>
  <c r="AS660" i="13"/>
  <c r="AI660" i="13"/>
  <c r="AH660" i="13"/>
  <c r="AG660" i="13"/>
  <c r="AF660" i="13"/>
  <c r="AE660" i="13"/>
  <c r="AD660" i="13"/>
  <c r="AC660" i="13"/>
  <c r="AB660" i="13"/>
  <c r="AA660" i="13"/>
  <c r="Z660" i="13"/>
  <c r="Z662" i="13" s="1"/>
  <c r="AA661" i="13" s="1"/>
  <c r="AA662" i="13" s="1"/>
  <c r="AB661" i="13" s="1"/>
  <c r="Y660" i="13"/>
  <c r="X660" i="13"/>
  <c r="W660" i="13"/>
  <c r="W662" i="13" s="1"/>
  <c r="X661" i="13" s="1"/>
  <c r="V660" i="13"/>
  <c r="U660" i="13"/>
  <c r="T660" i="13"/>
  <c r="S660" i="13"/>
  <c r="R660" i="13"/>
  <c r="Q660" i="13"/>
  <c r="N660" i="13"/>
  <c r="M660" i="13"/>
  <c r="L660" i="13"/>
  <c r="L662" i="13" s="1"/>
  <c r="M661" i="13" s="1"/>
  <c r="J660" i="13"/>
  <c r="J662" i="13" s="1"/>
  <c r="I660" i="13"/>
  <c r="H660" i="13"/>
  <c r="H662" i="13" s="1"/>
  <c r="AY659" i="13"/>
  <c r="AY658" i="13"/>
  <c r="AX658" i="13"/>
  <c r="AW658" i="13"/>
  <c r="AT658" i="13"/>
  <c r="K658" i="13"/>
  <c r="G658" i="13"/>
  <c r="AZ656" i="13"/>
  <c r="AR649" i="13"/>
  <c r="AY633" i="13"/>
  <c r="AU633" i="13"/>
  <c r="AZ630" i="13"/>
  <c r="BA630" i="13" s="1"/>
  <c r="BB630" i="13" s="1"/>
  <c r="BC630" i="13" s="1"/>
  <c r="AZ627" i="13"/>
  <c r="BA627" i="13" s="1"/>
  <c r="BB627" i="13" s="1"/>
  <c r="BC627" i="13" s="1"/>
  <c r="AY624" i="13"/>
  <c r="AM624" i="13"/>
  <c r="AL624" i="13"/>
  <c r="AP624" i="13" s="1"/>
  <c r="AK624" i="13"/>
  <c r="AO624" i="13" s="1"/>
  <c r="AJ624" i="13"/>
  <c r="AA624" i="13"/>
  <c r="AA623" i="13" s="1"/>
  <c r="W624" i="13"/>
  <c r="AI623" i="13"/>
  <c r="AH623" i="13"/>
  <c r="AH674" i="13" s="1"/>
  <c r="AG623" i="13"/>
  <c r="AG674" i="13" s="1"/>
  <c r="AF623" i="13"/>
  <c r="AF674" i="13" s="1"/>
  <c r="AE623" i="13"/>
  <c r="AE674" i="13" s="1"/>
  <c r="AD623" i="13"/>
  <c r="AD674" i="13" s="1"/>
  <c r="AC623" i="13"/>
  <c r="AC674" i="13" s="1"/>
  <c r="AB623" i="13"/>
  <c r="AB674" i="13" s="1"/>
  <c r="Z623" i="13"/>
  <c r="Z674" i="13" s="1"/>
  <c r="Y623" i="13"/>
  <c r="Y674" i="13" s="1"/>
  <c r="X623" i="13"/>
  <c r="X674" i="13" s="1"/>
  <c r="W623" i="13"/>
  <c r="W674" i="13" s="1"/>
  <c r="V623" i="13"/>
  <c r="V674" i="13" s="1"/>
  <c r="V678" i="13" s="1"/>
  <c r="U623" i="13"/>
  <c r="U674" i="13" s="1"/>
  <c r="T623" i="13"/>
  <c r="T674" i="13" s="1"/>
  <c r="S623" i="13"/>
  <c r="R623" i="13"/>
  <c r="AU623" i="13" s="1"/>
  <c r="M623" i="13"/>
  <c r="M674" i="13" s="1"/>
  <c r="L623" i="13"/>
  <c r="AZ622" i="13"/>
  <c r="AY622" i="13"/>
  <c r="AV622" i="13"/>
  <c r="J622" i="13"/>
  <c r="I622" i="13"/>
  <c r="H622" i="13"/>
  <c r="AI620" i="13"/>
  <c r="AH620" i="13"/>
  <c r="AG620" i="13"/>
  <c r="AF620" i="13"/>
  <c r="AE620" i="13"/>
  <c r="AD620" i="13"/>
  <c r="AC620" i="13"/>
  <c r="AB620" i="13"/>
  <c r="AA620" i="13"/>
  <c r="Z620" i="13"/>
  <c r="Y620" i="13"/>
  <c r="X620" i="13"/>
  <c r="W620" i="13"/>
  <c r="V620" i="13"/>
  <c r="U620" i="13"/>
  <c r="T620" i="13"/>
  <c r="S620" i="13"/>
  <c r="AI619" i="13"/>
  <c r="AH619" i="13"/>
  <c r="AG619" i="13"/>
  <c r="AF619" i="13"/>
  <c r="AE619" i="13"/>
  <c r="AD619" i="13"/>
  <c r="AC619" i="13"/>
  <c r="AB619" i="13"/>
  <c r="AA619" i="13"/>
  <c r="Z619" i="13"/>
  <c r="Y619" i="13"/>
  <c r="X619" i="13"/>
  <c r="W619" i="13"/>
  <c r="V619" i="13"/>
  <c r="U619" i="13"/>
  <c r="T619" i="13"/>
  <c r="S619" i="13"/>
  <c r="AY618" i="13"/>
  <c r="AW618" i="13"/>
  <c r="AW633" i="13" s="1"/>
  <c r="AU618" i="13"/>
  <c r="AT618" i="13"/>
  <c r="AT633" i="13" s="1"/>
  <c r="AS618" i="13"/>
  <c r="AR618" i="13"/>
  <c r="AQ618" i="13"/>
  <c r="K618" i="13"/>
  <c r="K633" i="13" s="1"/>
  <c r="G618" i="13"/>
  <c r="G633" i="13" s="1"/>
  <c r="AZ616" i="13"/>
  <c r="BA616" i="13" s="1"/>
  <c r="BB616" i="13" s="1"/>
  <c r="BC616" i="13" s="1"/>
  <c r="J613" i="13"/>
  <c r="H613" i="13"/>
  <c r="H679" i="13" s="1"/>
  <c r="H680" i="13" s="1"/>
  <c r="AY610" i="13"/>
  <c r="Q608" i="13"/>
  <c r="AV603" i="13"/>
  <c r="K603" i="13"/>
  <c r="AZ600" i="13"/>
  <c r="BA600" i="13" s="1"/>
  <c r="BB600" i="13" s="1"/>
  <c r="BC600" i="13" s="1"/>
  <c r="AZ599" i="13"/>
  <c r="BA599" i="13" s="1"/>
  <c r="BB599" i="13" s="1"/>
  <c r="BC599" i="13" s="1"/>
  <c r="AZ597" i="13"/>
  <c r="BA597" i="13" s="1"/>
  <c r="BB597" i="13" s="1"/>
  <c r="BC597" i="13" s="1"/>
  <c r="BC593" i="13"/>
  <c r="BB593" i="13"/>
  <c r="BA593" i="13"/>
  <c r="AZ593" i="13"/>
  <c r="AZ591" i="13"/>
  <c r="BA591" i="13" s="1"/>
  <c r="BB591" i="13" s="1"/>
  <c r="BC591" i="13" s="1"/>
  <c r="BC585" i="13"/>
  <c r="BB585" i="13"/>
  <c r="AZ584" i="13"/>
  <c r="BA584" i="13" s="1"/>
  <c r="BB584" i="13" s="1"/>
  <c r="BC584" i="13" s="1"/>
  <c r="AZ583" i="13"/>
  <c r="AR581" i="13"/>
  <c r="AQ581" i="13"/>
  <c r="B581" i="13"/>
  <c r="BC579" i="13"/>
  <c r="BB579" i="13"/>
  <c r="BA579" i="13"/>
  <c r="AZ579" i="13"/>
  <c r="AY579" i="13"/>
  <c r="AX579" i="13"/>
  <c r="AW579" i="13"/>
  <c r="AV579" i="13"/>
  <c r="AU579" i="13"/>
  <c r="AT579" i="13"/>
  <c r="AS579" i="13"/>
  <c r="AR579" i="13"/>
  <c r="AQ579" i="13"/>
  <c r="AP579" i="13"/>
  <c r="AO579" i="13"/>
  <c r="AN579" i="13"/>
  <c r="AM579" i="13"/>
  <c r="AL579" i="13"/>
  <c r="AK579" i="13"/>
  <c r="AJ579" i="13"/>
  <c r="AI579" i="13"/>
  <c r="AH579" i="13"/>
  <c r="AG579" i="13"/>
  <c r="AF579" i="13"/>
  <c r="AE579" i="13"/>
  <c r="AD579" i="13"/>
  <c r="AC579" i="13"/>
  <c r="AB579" i="13"/>
  <c r="AA579" i="13"/>
  <c r="Z579" i="13"/>
  <c r="Y579" i="13"/>
  <c r="X579" i="13"/>
  <c r="W579" i="13"/>
  <c r="V579" i="13"/>
  <c r="U579" i="13"/>
  <c r="T579" i="13"/>
  <c r="S579" i="13"/>
  <c r="R579" i="13"/>
  <c r="Q579" i="13"/>
  <c r="P579" i="13"/>
  <c r="O579" i="13"/>
  <c r="N579" i="13"/>
  <c r="M579" i="13"/>
  <c r="L579" i="13"/>
  <c r="K579" i="13"/>
  <c r="J579" i="13"/>
  <c r="I579" i="13"/>
  <c r="H579" i="13"/>
  <c r="G579" i="13"/>
  <c r="F579" i="13"/>
  <c r="E579" i="13"/>
  <c r="D579" i="13"/>
  <c r="C579" i="13"/>
  <c r="AS575" i="13"/>
  <c r="AR575" i="13"/>
  <c r="AQ575" i="13"/>
  <c r="AR574" i="13"/>
  <c r="AQ574" i="13"/>
  <c r="AR573" i="13"/>
  <c r="AQ573" i="13"/>
  <c r="AR572" i="13"/>
  <c r="AQ572" i="13"/>
  <c r="BA571" i="13"/>
  <c r="BB571" i="13" s="1"/>
  <c r="AR571" i="13"/>
  <c r="AQ571" i="13"/>
  <c r="T568" i="13"/>
  <c r="S568" i="13"/>
  <c r="R568" i="13"/>
  <c r="Q568" i="13"/>
  <c r="P568" i="13"/>
  <c r="O568" i="13"/>
  <c r="N568" i="13"/>
  <c r="M568" i="13"/>
  <c r="L568" i="13"/>
  <c r="AX567" i="13"/>
  <c r="AW567" i="13"/>
  <c r="AV567" i="13"/>
  <c r="AU567" i="13"/>
  <c r="AT567" i="13"/>
  <c r="J567" i="13"/>
  <c r="AY566" i="13"/>
  <c r="AY568" i="13" s="1"/>
  <c r="AU566" i="13"/>
  <c r="AT566" i="13"/>
  <c r="AS566" i="13"/>
  <c r="AI566" i="13"/>
  <c r="AI568" i="13" s="1"/>
  <c r="AH566" i="13"/>
  <c r="AH568" i="13" s="1"/>
  <c r="AG566" i="13"/>
  <c r="AG568" i="13" s="1"/>
  <c r="AF566" i="13"/>
  <c r="AF568" i="13" s="1"/>
  <c r="AE566" i="13"/>
  <c r="AE568" i="13" s="1"/>
  <c r="AD566" i="13"/>
  <c r="AX566" i="13" s="1"/>
  <c r="AC566" i="13"/>
  <c r="AC568" i="13" s="1"/>
  <c r="AB566" i="13"/>
  <c r="AB568" i="13" s="1"/>
  <c r="AA566" i="13"/>
  <c r="AA568" i="13" s="1"/>
  <c r="Z566" i="13"/>
  <c r="Z568" i="13" s="1"/>
  <c r="AW568" i="13" s="1"/>
  <c r="Y566" i="13"/>
  <c r="Y568" i="13" s="1"/>
  <c r="X566" i="13"/>
  <c r="X568" i="13" s="1"/>
  <c r="W566" i="13"/>
  <c r="W568" i="13" s="1"/>
  <c r="V566" i="13"/>
  <c r="AV566" i="13" s="1"/>
  <c r="U566" i="13"/>
  <c r="U568" i="13" s="1"/>
  <c r="K566" i="13"/>
  <c r="K568" i="13" s="1"/>
  <c r="AX565" i="13"/>
  <c r="AW565" i="13"/>
  <c r="AV565" i="13"/>
  <c r="AU565" i="13"/>
  <c r="AT565" i="13"/>
  <c r="J565" i="13"/>
  <c r="AX564" i="13"/>
  <c r="AU564" i="13"/>
  <c r="AT564" i="13"/>
  <c r="J564" i="13"/>
  <c r="AX563" i="13"/>
  <c r="AU563" i="13"/>
  <c r="AT563" i="13"/>
  <c r="J563" i="13"/>
  <c r="AX562" i="13"/>
  <c r="AW562" i="13"/>
  <c r="AV562" i="13"/>
  <c r="AU562" i="13"/>
  <c r="AT562" i="13"/>
  <c r="AX561" i="13"/>
  <c r="AW561" i="13"/>
  <c r="AV561" i="13"/>
  <c r="AU561" i="13"/>
  <c r="AT561" i="13"/>
  <c r="J561" i="13"/>
  <c r="AX560" i="13"/>
  <c r="AW560" i="13"/>
  <c r="AV560" i="13"/>
  <c r="AU560" i="13"/>
  <c r="AT560" i="13"/>
  <c r="J560" i="13"/>
  <c r="AX559" i="13"/>
  <c r="AW559" i="13"/>
  <c r="AV559" i="13"/>
  <c r="AU559" i="13"/>
  <c r="AT559" i="13"/>
  <c r="AX558" i="13"/>
  <c r="AW558" i="13"/>
  <c r="AV558" i="13"/>
  <c r="AU558" i="13"/>
  <c r="AT558" i="13"/>
  <c r="J558" i="13"/>
  <c r="AX557" i="13"/>
  <c r="AW557" i="13"/>
  <c r="AV557" i="13"/>
  <c r="AU557" i="13"/>
  <c r="AT557" i="13"/>
  <c r="J557" i="13"/>
  <c r="AX556" i="13"/>
  <c r="AW556" i="13"/>
  <c r="AV556" i="13"/>
  <c r="AU556" i="13"/>
  <c r="AT556" i="13"/>
  <c r="J556" i="13"/>
  <c r="AX555" i="13"/>
  <c r="AW555" i="13"/>
  <c r="AV555" i="13"/>
  <c r="AU555" i="13"/>
  <c r="AT555" i="13"/>
  <c r="AX554" i="13"/>
  <c r="AW554" i="13"/>
  <c r="AV554" i="13"/>
  <c r="AU554" i="13"/>
  <c r="AT554" i="13"/>
  <c r="M554" i="13"/>
  <c r="L554" i="13"/>
  <c r="K554" i="13"/>
  <c r="J554" i="13"/>
  <c r="AX553" i="13"/>
  <c r="AW553" i="13"/>
  <c r="AV553" i="13"/>
  <c r="AU553" i="13"/>
  <c r="AT553" i="13"/>
  <c r="J553" i="13"/>
  <c r="AX552" i="13"/>
  <c r="AW552" i="13"/>
  <c r="AV552" i="13"/>
  <c r="AT552" i="13"/>
  <c r="J552" i="13"/>
  <c r="AX551" i="13"/>
  <c r="AW551" i="13"/>
  <c r="AV551" i="13"/>
  <c r="AT551" i="13"/>
  <c r="J551" i="13"/>
  <c r="AX550" i="13"/>
  <c r="AW550" i="13"/>
  <c r="AV550" i="13"/>
  <c r="AT550" i="13"/>
  <c r="J550" i="13"/>
  <c r="AZ548" i="13"/>
  <c r="BA548" i="13" s="1"/>
  <c r="BB548" i="13" s="1"/>
  <c r="BC548" i="13" s="1"/>
  <c r="AX548" i="13"/>
  <c r="AW548" i="13"/>
  <c r="AV548" i="13"/>
  <c r="AU548" i="13"/>
  <c r="AT548" i="13"/>
  <c r="J548" i="13"/>
  <c r="AZ547" i="13"/>
  <c r="BA547" i="13" s="1"/>
  <c r="BB547" i="13" s="1"/>
  <c r="BC547" i="13" s="1"/>
  <c r="AX547" i="13"/>
  <c r="AW547" i="13"/>
  <c r="AV547" i="13"/>
  <c r="AU547" i="13"/>
  <c r="AT547" i="13"/>
  <c r="AZ546" i="13"/>
  <c r="BA546" i="13" s="1"/>
  <c r="BB546" i="13" s="1"/>
  <c r="BC546" i="13" s="1"/>
  <c r="AX546" i="13"/>
  <c r="AW546" i="13"/>
  <c r="AV546" i="13"/>
  <c r="AU546" i="13"/>
  <c r="AT546" i="13"/>
  <c r="J546" i="13"/>
  <c r="AX545" i="13"/>
  <c r="AW545" i="13"/>
  <c r="AV545" i="13"/>
  <c r="AU545" i="13"/>
  <c r="AT545" i="13"/>
  <c r="J545" i="13"/>
  <c r="AX544" i="13"/>
  <c r="AW544" i="13"/>
  <c r="AV544" i="13"/>
  <c r="AU544" i="13"/>
  <c r="AT544" i="13"/>
  <c r="J544" i="13"/>
  <c r="AZ543" i="13"/>
  <c r="BA543" i="13" s="1"/>
  <c r="BB543" i="13" s="1"/>
  <c r="BC543" i="13" s="1"/>
  <c r="AX543" i="13"/>
  <c r="AW543" i="13"/>
  <c r="AV543" i="13"/>
  <c r="AU543" i="13"/>
  <c r="AT543" i="13"/>
  <c r="J543" i="13"/>
  <c r="AY542" i="13"/>
  <c r="AY549" i="13" s="1"/>
  <c r="AS542" i="13"/>
  <c r="AI542" i="13"/>
  <c r="AI549" i="13" s="1"/>
  <c r="AH542" i="13"/>
  <c r="AH549" i="13" s="1"/>
  <c r="AG542" i="13"/>
  <c r="AG549" i="13" s="1"/>
  <c r="AF542" i="13"/>
  <c r="AF549" i="13" s="1"/>
  <c r="AE542" i="13"/>
  <c r="AE549" i="13" s="1"/>
  <c r="AD542" i="13"/>
  <c r="AD549" i="13" s="1"/>
  <c r="AC542" i="13"/>
  <c r="AC549" i="13" s="1"/>
  <c r="AB542" i="13"/>
  <c r="AB549" i="13" s="1"/>
  <c r="AA542" i="13"/>
  <c r="AA549" i="13" s="1"/>
  <c r="Z542" i="13"/>
  <c r="AW542" i="13" s="1"/>
  <c r="Y542" i="13"/>
  <c r="Y549" i="13" s="1"/>
  <c r="X542" i="13"/>
  <c r="X549" i="13" s="1"/>
  <c r="W542" i="13"/>
  <c r="W549" i="13" s="1"/>
  <c r="V542" i="13"/>
  <c r="V549" i="13" s="1"/>
  <c r="U542" i="13"/>
  <c r="U549" i="13" s="1"/>
  <c r="T542" i="13"/>
  <c r="T549" i="13" s="1"/>
  <c r="T569" i="13" s="1"/>
  <c r="S542" i="13"/>
  <c r="S549" i="13" s="1"/>
  <c r="R542" i="13"/>
  <c r="R549" i="13" s="1"/>
  <c r="Q542" i="13"/>
  <c r="Q549" i="13" s="1"/>
  <c r="P542" i="13"/>
  <c r="P549" i="13" s="1"/>
  <c r="O542" i="13"/>
  <c r="O549" i="13" s="1"/>
  <c r="N542" i="13"/>
  <c r="N549" i="13" s="1"/>
  <c r="M542" i="13"/>
  <c r="M549" i="13" s="1"/>
  <c r="L542" i="13"/>
  <c r="L549" i="13" s="1"/>
  <c r="L569" i="13" s="1"/>
  <c r="K542" i="13"/>
  <c r="K549" i="13" s="1"/>
  <c r="AX541" i="13"/>
  <c r="AW541" i="13"/>
  <c r="AV541" i="13"/>
  <c r="AU541" i="13"/>
  <c r="AT541" i="13"/>
  <c r="J541" i="13"/>
  <c r="AZ540" i="13"/>
  <c r="AZ608" i="13" s="1"/>
  <c r="AX540" i="13"/>
  <c r="AW540" i="13"/>
  <c r="AV540" i="13"/>
  <c r="AU540" i="13"/>
  <c r="AT540" i="13"/>
  <c r="J540" i="13"/>
  <c r="AX539" i="13"/>
  <c r="AW539" i="13"/>
  <c r="AV539" i="13"/>
  <c r="AU539" i="13"/>
  <c r="AT539" i="13"/>
  <c r="J539" i="13"/>
  <c r="AZ538" i="13"/>
  <c r="AZ606" i="13" s="1"/>
  <c r="AX538" i="13"/>
  <c r="AW538" i="13"/>
  <c r="AV538" i="13"/>
  <c r="AU538" i="13"/>
  <c r="AT538" i="13"/>
  <c r="J538" i="13"/>
  <c r="AZ537" i="13"/>
  <c r="AZ605" i="13" s="1"/>
  <c r="AX537" i="13"/>
  <c r="AW537" i="13"/>
  <c r="AV537" i="13"/>
  <c r="AU537" i="13"/>
  <c r="AT537" i="13"/>
  <c r="J537" i="13"/>
  <c r="AZ536" i="13"/>
  <c r="BA536" i="13" s="1"/>
  <c r="AX536" i="13"/>
  <c r="AW536" i="13"/>
  <c r="AV536" i="13"/>
  <c r="AU536" i="13"/>
  <c r="AT536" i="13"/>
  <c r="J536" i="13"/>
  <c r="AX535" i="13"/>
  <c r="AW535" i="13"/>
  <c r="AV535" i="13"/>
  <c r="AZ534" i="13"/>
  <c r="BA534" i="13" s="1"/>
  <c r="AX534" i="13"/>
  <c r="AW534" i="13"/>
  <c r="AV534" i="13"/>
  <c r="AU534" i="13"/>
  <c r="AT534" i="13"/>
  <c r="J534" i="13"/>
  <c r="AZ530" i="13"/>
  <c r="BA530" i="13" s="1"/>
  <c r="BB530" i="13" s="1"/>
  <c r="BC530" i="13" s="1"/>
  <c r="AX530" i="13"/>
  <c r="AW530" i="13"/>
  <c r="AV530" i="13"/>
  <c r="AU530" i="13"/>
  <c r="AT530" i="13"/>
  <c r="J530" i="13"/>
  <c r="AZ529" i="13"/>
  <c r="BA529" i="13" s="1"/>
  <c r="BB529" i="13" s="1"/>
  <c r="BB590" i="13" s="1"/>
  <c r="AX529" i="13"/>
  <c r="AW529" i="13"/>
  <c r="AV529" i="13"/>
  <c r="AV666" i="13" s="1"/>
  <c r="AU529" i="13"/>
  <c r="AT529" i="13"/>
  <c r="J529" i="13"/>
  <c r="AX528" i="13"/>
  <c r="AW528" i="13"/>
  <c r="AV528" i="13"/>
  <c r="AU528" i="13"/>
  <c r="AT528" i="13"/>
  <c r="J528" i="13"/>
  <c r="AX527" i="13"/>
  <c r="AX667" i="13" s="1"/>
  <c r="AW527" i="13"/>
  <c r="AW667" i="13" s="1"/>
  <c r="AV527" i="13"/>
  <c r="AV667" i="13" s="1"/>
  <c r="AU527" i="13"/>
  <c r="AU667" i="13" s="1"/>
  <c r="AT527" i="13"/>
  <c r="AT667" i="13" s="1"/>
  <c r="J527" i="13"/>
  <c r="AX526" i="13"/>
  <c r="AW526" i="13"/>
  <c r="AV526" i="13"/>
  <c r="AU526" i="13"/>
  <c r="AT526" i="13"/>
  <c r="J526" i="13"/>
  <c r="AZ525" i="13"/>
  <c r="BA525" i="13" s="1"/>
  <c r="BB525" i="13" s="1"/>
  <c r="BC525" i="13" s="1"/>
  <c r="AX525" i="13"/>
  <c r="AW525" i="13"/>
  <c r="AV525" i="13"/>
  <c r="AU525" i="13"/>
  <c r="AT525" i="13"/>
  <c r="J525" i="13"/>
  <c r="AZ524" i="13"/>
  <c r="BA524" i="13" s="1"/>
  <c r="AX524" i="13"/>
  <c r="AW524" i="13"/>
  <c r="AV524" i="13"/>
  <c r="AU524" i="13"/>
  <c r="AT524" i="13"/>
  <c r="J524" i="13"/>
  <c r="AY523" i="13"/>
  <c r="AY531" i="13" s="1"/>
  <c r="AS523" i="13"/>
  <c r="AS531" i="13" s="1"/>
  <c r="J531" i="13" s="1"/>
  <c r="AR523" i="13"/>
  <c r="AQ523" i="13"/>
  <c r="AI523" i="13"/>
  <c r="AI531" i="13" s="1"/>
  <c r="AH523" i="13"/>
  <c r="AH531" i="13" s="1"/>
  <c r="AG523" i="13"/>
  <c r="AG531" i="13" s="1"/>
  <c r="AF523" i="13"/>
  <c r="AF531" i="13" s="1"/>
  <c r="AE523" i="13"/>
  <c r="AE531" i="13" s="1"/>
  <c r="AD523" i="13"/>
  <c r="AD531" i="13" s="1"/>
  <c r="AX531" i="13" s="1"/>
  <c r="AC523" i="13"/>
  <c r="AC531" i="13" s="1"/>
  <c r="AB523" i="13"/>
  <c r="AB531" i="13" s="1"/>
  <c r="AA523" i="13"/>
  <c r="AA531" i="13" s="1"/>
  <c r="Z523" i="13"/>
  <c r="AW523" i="13" s="1"/>
  <c r="Y523" i="13"/>
  <c r="Y531" i="13" s="1"/>
  <c r="X523" i="13"/>
  <c r="X531" i="13" s="1"/>
  <c r="W523" i="13"/>
  <c r="W531" i="13" s="1"/>
  <c r="V523" i="13"/>
  <c r="AV523" i="13" s="1"/>
  <c r="U523" i="13"/>
  <c r="U531" i="13" s="1"/>
  <c r="T523" i="13"/>
  <c r="T531" i="13" s="1"/>
  <c r="S523" i="13"/>
  <c r="S531" i="13" s="1"/>
  <c r="R523" i="13"/>
  <c r="R531" i="13" s="1"/>
  <c r="Q523" i="13"/>
  <c r="Q531" i="13" s="1"/>
  <c r="P523" i="13"/>
  <c r="P531" i="13" s="1"/>
  <c r="O523" i="13"/>
  <c r="O531" i="13" s="1"/>
  <c r="N523" i="13"/>
  <c r="N531" i="13" s="1"/>
  <c r="M523" i="13"/>
  <c r="M531" i="13" s="1"/>
  <c r="L523" i="13"/>
  <c r="L531" i="13" s="1"/>
  <c r="K523" i="13"/>
  <c r="K531" i="13" s="1"/>
  <c r="AZ522" i="13"/>
  <c r="BA522" i="13" s="1"/>
  <c r="BB522" i="13" s="1"/>
  <c r="AT522" i="13"/>
  <c r="J522" i="13"/>
  <c r="AW521" i="13"/>
  <c r="AV521" i="13"/>
  <c r="AU521" i="13"/>
  <c r="AT521" i="13"/>
  <c r="J521" i="13"/>
  <c r="AX520" i="13"/>
  <c r="AW520" i="13"/>
  <c r="AV520" i="13"/>
  <c r="AU520" i="13"/>
  <c r="P520" i="13"/>
  <c r="O520" i="13"/>
  <c r="N520" i="13"/>
  <c r="M520" i="13"/>
  <c r="L520" i="13"/>
  <c r="K520" i="13"/>
  <c r="I520" i="13"/>
  <c r="H520" i="13"/>
  <c r="AZ519" i="13"/>
  <c r="AZ614" i="13" s="1"/>
  <c r="AX519" i="13"/>
  <c r="AW519" i="13"/>
  <c r="AV519" i="13"/>
  <c r="AU519" i="13"/>
  <c r="AT519" i="13"/>
  <c r="J519" i="13"/>
  <c r="AZ518" i="13"/>
  <c r="BA518" i="13" s="1"/>
  <c r="BB518" i="13" s="1"/>
  <c r="BC518" i="13" s="1"/>
  <c r="AX518" i="13"/>
  <c r="AW518" i="13"/>
  <c r="AV518" i="13"/>
  <c r="AU518" i="13"/>
  <c r="AT518" i="13"/>
  <c r="J518" i="13"/>
  <c r="AZ517" i="13"/>
  <c r="BA517" i="13" s="1"/>
  <c r="BB517" i="13" s="1"/>
  <c r="AX517" i="13"/>
  <c r="AW517" i="13"/>
  <c r="AV517" i="13"/>
  <c r="AU517" i="13"/>
  <c r="AT517" i="13"/>
  <c r="J517" i="13"/>
  <c r="AX516" i="13"/>
  <c r="AW516" i="13"/>
  <c r="AV516" i="13"/>
  <c r="AU516" i="13"/>
  <c r="AT516" i="13"/>
  <c r="J516" i="13"/>
  <c r="BC513" i="13"/>
  <c r="BB513" i="13"/>
  <c r="BA513" i="13"/>
  <c r="AZ513" i="13"/>
  <c r="AY513" i="13"/>
  <c r="AX513" i="13"/>
  <c r="AW513" i="13"/>
  <c r="AV513" i="13"/>
  <c r="AU513" i="13"/>
  <c r="AT513" i="13"/>
  <c r="AS513" i="13"/>
  <c r="AR513" i="13"/>
  <c r="AQ513" i="13"/>
  <c r="AP513" i="13"/>
  <c r="AO513" i="13"/>
  <c r="AN513" i="13"/>
  <c r="AM513" i="13"/>
  <c r="AL513" i="13"/>
  <c r="AK513" i="13"/>
  <c r="AJ513" i="13"/>
  <c r="AI513" i="13"/>
  <c r="AH513" i="13"/>
  <c r="AG513" i="13"/>
  <c r="AF513" i="13"/>
  <c r="AE513" i="13"/>
  <c r="AD513" i="13"/>
  <c r="AC513" i="13"/>
  <c r="AB513" i="13"/>
  <c r="AA513" i="13"/>
  <c r="Z513" i="13"/>
  <c r="Y513" i="13"/>
  <c r="X513" i="13"/>
  <c r="W513" i="13"/>
  <c r="V513" i="13"/>
  <c r="U513" i="13"/>
  <c r="T513" i="13"/>
  <c r="S513" i="13"/>
  <c r="R513" i="13"/>
  <c r="Q513" i="13"/>
  <c r="P513" i="13"/>
  <c r="O513" i="13"/>
  <c r="N513" i="13"/>
  <c r="M513" i="13"/>
  <c r="L513" i="13"/>
  <c r="K513" i="13"/>
  <c r="J513" i="13"/>
  <c r="I513" i="13"/>
  <c r="H513" i="13"/>
  <c r="G513" i="13"/>
  <c r="F513" i="13"/>
  <c r="E513" i="13"/>
  <c r="D513" i="13"/>
  <c r="C513" i="13"/>
  <c r="AQ510" i="13"/>
  <c r="AQ511" i="13" s="1"/>
  <c r="AI510" i="13"/>
  <c r="AH510" i="13"/>
  <c r="AH511" i="13" s="1"/>
  <c r="AG510" i="13"/>
  <c r="AG511" i="13" s="1"/>
  <c r="AF510" i="13"/>
  <c r="AF511" i="13" s="1"/>
  <c r="AE510" i="13"/>
  <c r="AE511" i="13" s="1"/>
  <c r="AD510" i="13"/>
  <c r="AD511" i="13" s="1"/>
  <c r="AC510" i="13"/>
  <c r="AC511" i="13" s="1"/>
  <c r="AB510" i="13"/>
  <c r="AB511" i="13" s="1"/>
  <c r="AA510" i="13"/>
  <c r="AA511" i="13" s="1"/>
  <c r="Z510" i="13"/>
  <c r="Z511" i="13" s="1"/>
  <c r="Y510" i="13"/>
  <c r="Y511" i="13" s="1"/>
  <c r="X510" i="13"/>
  <c r="X511" i="13" s="1"/>
  <c r="W510" i="13"/>
  <c r="W511" i="13" s="1"/>
  <c r="V510" i="13"/>
  <c r="V511" i="13" s="1"/>
  <c r="U510" i="13"/>
  <c r="U511" i="13" s="1"/>
  <c r="T510" i="13"/>
  <c r="T511" i="13" s="1"/>
  <c r="S510" i="13"/>
  <c r="S511" i="13" s="1"/>
  <c r="R510" i="13"/>
  <c r="R511" i="13" s="1"/>
  <c r="Q510" i="13"/>
  <c r="Q511" i="13" s="1"/>
  <c r="P510" i="13"/>
  <c r="P511" i="13" s="1"/>
  <c r="O510" i="13"/>
  <c r="O511" i="13" s="1"/>
  <c r="N510" i="13"/>
  <c r="N511" i="13" s="1"/>
  <c r="M510" i="13"/>
  <c r="M511" i="13" s="1"/>
  <c r="L510" i="13"/>
  <c r="L511" i="13" s="1"/>
  <c r="K510" i="13"/>
  <c r="K511" i="13" s="1"/>
  <c r="I510" i="13"/>
  <c r="I511" i="13" s="1"/>
  <c r="H510" i="13"/>
  <c r="H511" i="13" s="1"/>
  <c r="G510" i="13"/>
  <c r="G511" i="13" s="1"/>
  <c r="F510" i="13"/>
  <c r="F511" i="13" s="1"/>
  <c r="E510" i="13"/>
  <c r="E511" i="13" s="1"/>
  <c r="D510" i="13"/>
  <c r="D511" i="13" s="1"/>
  <c r="C510" i="13"/>
  <c r="C511" i="13" s="1"/>
  <c r="F508" i="13"/>
  <c r="E508" i="13"/>
  <c r="D508" i="13"/>
  <c r="C508" i="13"/>
  <c r="F507" i="13"/>
  <c r="E507" i="13"/>
  <c r="D507" i="13"/>
  <c r="C507" i="13"/>
  <c r="F504" i="13"/>
  <c r="E504" i="13"/>
  <c r="D504" i="13"/>
  <c r="C504" i="13"/>
  <c r="F503" i="13"/>
  <c r="E503" i="13"/>
  <c r="D503" i="13"/>
  <c r="C503" i="13"/>
  <c r="F502" i="13"/>
  <c r="E502" i="13"/>
  <c r="D502" i="13"/>
  <c r="C502" i="13"/>
  <c r="J494" i="13"/>
  <c r="I494" i="13"/>
  <c r="H494" i="13"/>
  <c r="G494" i="13"/>
  <c r="F494" i="13"/>
  <c r="E494" i="13"/>
  <c r="D494" i="13"/>
  <c r="I492" i="13"/>
  <c r="H492" i="13"/>
  <c r="G492" i="13"/>
  <c r="F492" i="13"/>
  <c r="E492" i="13"/>
  <c r="D492" i="13"/>
  <c r="AI491" i="13"/>
  <c r="AH491" i="13"/>
  <c r="AG491" i="13"/>
  <c r="AF491" i="13"/>
  <c r="AE491" i="13"/>
  <c r="AD491" i="13"/>
  <c r="AC491" i="13"/>
  <c r="AB491" i="13"/>
  <c r="AA491" i="13"/>
  <c r="Z491" i="13"/>
  <c r="Y491" i="13"/>
  <c r="X491" i="13"/>
  <c r="W491" i="13"/>
  <c r="V491" i="13"/>
  <c r="U491" i="13"/>
  <c r="T491" i="13"/>
  <c r="S491" i="13"/>
  <c r="AI490" i="13"/>
  <c r="AH490" i="13"/>
  <c r="AG490" i="13"/>
  <c r="AF490" i="13"/>
  <c r="AE490" i="13"/>
  <c r="AD490" i="13"/>
  <c r="AC490" i="13"/>
  <c r="AB490" i="13"/>
  <c r="AA490" i="13"/>
  <c r="Z490" i="13"/>
  <c r="Y490" i="13"/>
  <c r="X490" i="13"/>
  <c r="W490" i="13"/>
  <c r="V490" i="13"/>
  <c r="U490" i="13"/>
  <c r="T490" i="13"/>
  <c r="S490" i="13"/>
  <c r="AI489" i="13"/>
  <c r="AH489" i="13"/>
  <c r="AG489" i="13"/>
  <c r="AF489" i="13"/>
  <c r="AE489" i="13"/>
  <c r="AD489" i="13"/>
  <c r="AC489" i="13"/>
  <c r="AB489" i="13"/>
  <c r="AA489" i="13"/>
  <c r="Z489" i="13"/>
  <c r="Y489" i="13"/>
  <c r="X489" i="13"/>
  <c r="W489" i="13"/>
  <c r="V489" i="13"/>
  <c r="U489" i="13"/>
  <c r="T489" i="13"/>
  <c r="S489" i="13"/>
  <c r="R489" i="13"/>
  <c r="Q489" i="13"/>
  <c r="P489" i="13"/>
  <c r="O489" i="13"/>
  <c r="N489" i="13"/>
  <c r="M489" i="13"/>
  <c r="L489" i="13"/>
  <c r="K489" i="13"/>
  <c r="J489" i="13"/>
  <c r="I489" i="13"/>
  <c r="H489" i="13"/>
  <c r="G489" i="13"/>
  <c r="F489" i="13"/>
  <c r="E489" i="13"/>
  <c r="D489" i="13"/>
  <c r="N488" i="13"/>
  <c r="K488" i="13"/>
  <c r="J488" i="13"/>
  <c r="I488" i="13"/>
  <c r="H488" i="13"/>
  <c r="G488" i="13"/>
  <c r="F488" i="13"/>
  <c r="E488" i="13"/>
  <c r="D488" i="13"/>
  <c r="AI487" i="13"/>
  <c r="AH487" i="13"/>
  <c r="AG487" i="13"/>
  <c r="AF487" i="13"/>
  <c r="AE487" i="13"/>
  <c r="AD487" i="13"/>
  <c r="AC487" i="13"/>
  <c r="AB487" i="13"/>
  <c r="AA487" i="13"/>
  <c r="Z487" i="13"/>
  <c r="Y487" i="13"/>
  <c r="X487" i="13"/>
  <c r="W487" i="13"/>
  <c r="V487" i="13"/>
  <c r="U487" i="13"/>
  <c r="T487" i="13"/>
  <c r="S487" i="13"/>
  <c r="R487" i="13"/>
  <c r="Q487" i="13"/>
  <c r="P487" i="13"/>
  <c r="O487" i="13"/>
  <c r="N487" i="13"/>
  <c r="M487" i="13"/>
  <c r="AI486" i="13"/>
  <c r="AH486" i="13"/>
  <c r="AG486" i="13"/>
  <c r="AF486" i="13"/>
  <c r="AE486" i="13"/>
  <c r="AD486" i="13"/>
  <c r="AC486" i="13"/>
  <c r="AB486" i="13"/>
  <c r="AA486" i="13"/>
  <c r="Z486" i="13"/>
  <c r="Y486" i="13"/>
  <c r="X486" i="13"/>
  <c r="W486" i="13"/>
  <c r="V486" i="13"/>
  <c r="U486" i="13"/>
  <c r="T486" i="13"/>
  <c r="AI485" i="13"/>
  <c r="AH485" i="13"/>
  <c r="AG485" i="13"/>
  <c r="AF485" i="13"/>
  <c r="AE485" i="13"/>
  <c r="AD485" i="13"/>
  <c r="AC485" i="13"/>
  <c r="AB485" i="13"/>
  <c r="AA485" i="13"/>
  <c r="Z485" i="13"/>
  <c r="Y485" i="13"/>
  <c r="X485" i="13"/>
  <c r="W485" i="13"/>
  <c r="V485" i="13"/>
  <c r="U485" i="13"/>
  <c r="T485" i="13"/>
  <c r="AI484" i="13"/>
  <c r="AH484" i="13"/>
  <c r="AG484" i="13"/>
  <c r="AF484" i="13"/>
  <c r="AE484" i="13"/>
  <c r="AD484" i="13"/>
  <c r="AC484" i="13"/>
  <c r="AB484" i="13"/>
  <c r="AA484" i="13"/>
  <c r="Z484" i="13"/>
  <c r="Y484" i="13"/>
  <c r="X484" i="13"/>
  <c r="W484" i="13"/>
  <c r="V484" i="13"/>
  <c r="U484" i="13"/>
  <c r="T484" i="13"/>
  <c r="S484" i="13"/>
  <c r="R484" i="13"/>
  <c r="Q484" i="13"/>
  <c r="P484" i="13"/>
  <c r="V483" i="13"/>
  <c r="U483" i="13"/>
  <c r="T483" i="13"/>
  <c r="S483" i="13"/>
  <c r="R483" i="13"/>
  <c r="Q483" i="13"/>
  <c r="P483" i="13"/>
  <c r="O483" i="13"/>
  <c r="N483" i="13"/>
  <c r="M483" i="13"/>
  <c r="L483" i="13"/>
  <c r="K483" i="13"/>
  <c r="J483" i="13"/>
  <c r="I483" i="13"/>
  <c r="H483" i="13"/>
  <c r="G483" i="13"/>
  <c r="F483" i="13"/>
  <c r="E483" i="13"/>
  <c r="D483" i="13"/>
  <c r="N482" i="13"/>
  <c r="M482" i="13"/>
  <c r="L482" i="13"/>
  <c r="K482" i="13"/>
  <c r="J482" i="13"/>
  <c r="I482" i="13"/>
  <c r="H482" i="13"/>
  <c r="G482" i="13"/>
  <c r="F482" i="13"/>
  <c r="E482" i="13"/>
  <c r="D482" i="13"/>
  <c r="AR473" i="13"/>
  <c r="AR472" i="13"/>
  <c r="J472" i="13"/>
  <c r="I472" i="13"/>
  <c r="H472" i="13"/>
  <c r="G472" i="13"/>
  <c r="AR469" i="13"/>
  <c r="AR324" i="13" s="1"/>
  <c r="L469" i="13"/>
  <c r="L324" i="13" s="1"/>
  <c r="I469" i="13"/>
  <c r="I324" i="13" s="1"/>
  <c r="H469" i="13"/>
  <c r="H324" i="13" s="1"/>
  <c r="G469" i="13"/>
  <c r="AI468" i="13"/>
  <c r="AH468" i="13"/>
  <c r="AG468" i="13"/>
  <c r="AF468" i="13"/>
  <c r="AE468" i="13"/>
  <c r="AD468" i="13"/>
  <c r="AC468" i="13"/>
  <c r="AB468" i="13"/>
  <c r="AA468" i="13"/>
  <c r="Z468" i="13"/>
  <c r="Y468" i="13"/>
  <c r="X468" i="13"/>
  <c r="W468" i="13"/>
  <c r="V468" i="13"/>
  <c r="T468" i="13"/>
  <c r="S468" i="13"/>
  <c r="AI467" i="13"/>
  <c r="AH467" i="13"/>
  <c r="AG467" i="13"/>
  <c r="AF467" i="13"/>
  <c r="AE467" i="13"/>
  <c r="AD467" i="13"/>
  <c r="AC467" i="13"/>
  <c r="AB467" i="13"/>
  <c r="AA467" i="13"/>
  <c r="Z467" i="13"/>
  <c r="Y467" i="13"/>
  <c r="X467" i="13"/>
  <c r="W467" i="13"/>
  <c r="V467" i="13"/>
  <c r="U467" i="13"/>
  <c r="T467" i="13"/>
  <c r="S467" i="13"/>
  <c r="AR466" i="13"/>
  <c r="R466" i="13"/>
  <c r="Q466" i="13"/>
  <c r="P466" i="13"/>
  <c r="O466" i="13"/>
  <c r="N466" i="13"/>
  <c r="M466" i="13"/>
  <c r="L466" i="13"/>
  <c r="K466" i="13"/>
  <c r="J466" i="13"/>
  <c r="I466" i="13"/>
  <c r="H466" i="13"/>
  <c r="G466" i="13"/>
  <c r="AR465" i="13"/>
  <c r="AI465" i="13"/>
  <c r="AH465" i="13"/>
  <c r="AG465" i="13"/>
  <c r="AF465" i="13"/>
  <c r="AE465" i="13"/>
  <c r="AD465" i="13"/>
  <c r="AC465" i="13"/>
  <c r="AB465" i="13"/>
  <c r="AA465" i="13"/>
  <c r="Z465" i="13"/>
  <c r="Y465" i="13"/>
  <c r="X465" i="13"/>
  <c r="W465" i="13"/>
  <c r="V465" i="13"/>
  <c r="U465" i="13"/>
  <c r="T465" i="13"/>
  <c r="S465" i="13"/>
  <c r="R465" i="13"/>
  <c r="Q465" i="13"/>
  <c r="P465" i="13"/>
  <c r="O465" i="13"/>
  <c r="N465" i="13"/>
  <c r="M465" i="13"/>
  <c r="L465" i="13"/>
  <c r="K465" i="13"/>
  <c r="J465" i="13"/>
  <c r="I465" i="13"/>
  <c r="H465" i="13"/>
  <c r="G465" i="13"/>
  <c r="AI463" i="13"/>
  <c r="AH463" i="13"/>
  <c r="AG463" i="13"/>
  <c r="AF463" i="13"/>
  <c r="AE463" i="13"/>
  <c r="AI462" i="13"/>
  <c r="AH462" i="13"/>
  <c r="AG462" i="13"/>
  <c r="AF462" i="13"/>
  <c r="AE462" i="13"/>
  <c r="AD462" i="13"/>
  <c r="AC462" i="13"/>
  <c r="AR461" i="13"/>
  <c r="N461" i="13"/>
  <c r="M461" i="13"/>
  <c r="K461" i="13"/>
  <c r="J461" i="13"/>
  <c r="I461" i="13"/>
  <c r="H461" i="13"/>
  <c r="G461" i="13"/>
  <c r="AR460" i="13"/>
  <c r="AI460" i="13"/>
  <c r="AH460" i="13"/>
  <c r="AG460" i="13"/>
  <c r="AF460" i="13"/>
  <c r="AE460" i="13"/>
  <c r="AD460" i="13"/>
  <c r="AC460" i="13"/>
  <c r="AB460" i="13"/>
  <c r="AA460" i="13"/>
  <c r="Z460" i="13"/>
  <c r="Y460" i="13"/>
  <c r="X460" i="13"/>
  <c r="W460" i="13"/>
  <c r="V460" i="13"/>
  <c r="U460" i="13"/>
  <c r="T460" i="13"/>
  <c r="S460" i="13"/>
  <c r="R460" i="13"/>
  <c r="Q460" i="13"/>
  <c r="P460" i="13"/>
  <c r="AS459" i="13"/>
  <c r="AR459" i="13"/>
  <c r="AI459" i="13"/>
  <c r="AH459" i="13"/>
  <c r="AG459" i="13"/>
  <c r="AF459" i="13"/>
  <c r="AE459" i="13"/>
  <c r="AD459" i="13"/>
  <c r="AC459" i="13"/>
  <c r="AB459" i="13"/>
  <c r="AA459" i="13"/>
  <c r="Z459" i="13"/>
  <c r="Y459" i="13"/>
  <c r="X459" i="13"/>
  <c r="W459" i="13"/>
  <c r="AT458" i="13"/>
  <c r="AS458" i="13"/>
  <c r="AR458" i="13"/>
  <c r="AI458" i="13"/>
  <c r="AH458" i="13"/>
  <c r="AG458" i="13"/>
  <c r="AF458" i="13"/>
  <c r="AE458" i="13"/>
  <c r="AD458" i="13"/>
  <c r="AC458" i="13"/>
  <c r="AB458" i="13"/>
  <c r="AA458" i="13"/>
  <c r="Z458" i="13"/>
  <c r="Y458" i="13"/>
  <c r="X458" i="13"/>
  <c r="W458" i="13"/>
  <c r="AT457" i="13"/>
  <c r="AT34" i="13" s="1"/>
  <c r="AS457" i="13"/>
  <c r="AS34" i="13" s="1"/>
  <c r="AR457" i="13"/>
  <c r="AR34" i="13" s="1"/>
  <c r="AI457" i="13"/>
  <c r="AH457" i="13"/>
  <c r="AG457" i="13"/>
  <c r="AF457" i="13"/>
  <c r="AF34" i="13" s="1"/>
  <c r="AE457" i="13"/>
  <c r="AD457" i="13"/>
  <c r="AD34" i="13" s="1"/>
  <c r="AC457" i="13"/>
  <c r="AB457" i="13"/>
  <c r="AB34" i="13" s="1"/>
  <c r="AA457" i="13"/>
  <c r="Z457" i="13"/>
  <c r="Y457" i="13"/>
  <c r="X457" i="13"/>
  <c r="X34" i="13" s="1"/>
  <c r="W457" i="13"/>
  <c r="AT456" i="13"/>
  <c r="AS456" i="13"/>
  <c r="AR456" i="13"/>
  <c r="AI456" i="13"/>
  <c r="AH456" i="13"/>
  <c r="AG456" i="13"/>
  <c r="AF456" i="13"/>
  <c r="AE456" i="13"/>
  <c r="AD456" i="13"/>
  <c r="AC456" i="13"/>
  <c r="AB456" i="13"/>
  <c r="AA456" i="13"/>
  <c r="Z456" i="13"/>
  <c r="Y456" i="13"/>
  <c r="X456" i="13"/>
  <c r="W456" i="13"/>
  <c r="V456" i="13"/>
  <c r="U456" i="13"/>
  <c r="T456" i="13"/>
  <c r="S456" i="13"/>
  <c r="AR455" i="13"/>
  <c r="V455" i="13"/>
  <c r="U455" i="13"/>
  <c r="T455" i="13"/>
  <c r="S455" i="13"/>
  <c r="R455" i="13"/>
  <c r="Q455" i="13"/>
  <c r="P455" i="13"/>
  <c r="O455" i="13"/>
  <c r="N455" i="13"/>
  <c r="M455" i="13"/>
  <c r="L455" i="13"/>
  <c r="K455" i="13"/>
  <c r="J455" i="13"/>
  <c r="I455" i="13"/>
  <c r="H455" i="13"/>
  <c r="G455" i="13"/>
  <c r="V454" i="13"/>
  <c r="G451" i="13"/>
  <c r="AR446" i="13"/>
  <c r="AQ446" i="13"/>
  <c r="I446" i="13"/>
  <c r="H446" i="13"/>
  <c r="G446" i="13"/>
  <c r="F446" i="13"/>
  <c r="E446" i="13"/>
  <c r="D446" i="13"/>
  <c r="C446" i="13"/>
  <c r="AR445" i="13"/>
  <c r="AQ445" i="13"/>
  <c r="I445" i="13"/>
  <c r="H445" i="13"/>
  <c r="G445" i="13"/>
  <c r="F445" i="13"/>
  <c r="E445" i="13"/>
  <c r="D445" i="13"/>
  <c r="C445" i="13"/>
  <c r="L440" i="13"/>
  <c r="L439" i="13"/>
  <c r="L438" i="13"/>
  <c r="L437" i="13"/>
  <c r="L447" i="13" s="1"/>
  <c r="AR429" i="13"/>
  <c r="F429" i="13" s="1"/>
  <c r="AQ429" i="13"/>
  <c r="I429" i="13"/>
  <c r="AR428" i="13"/>
  <c r="I428" i="13"/>
  <c r="AR426" i="13"/>
  <c r="AR440" i="13" s="1"/>
  <c r="AQ426" i="13"/>
  <c r="AQ440" i="13" s="1"/>
  <c r="L426" i="13"/>
  <c r="I426" i="13"/>
  <c r="I440" i="13" s="1"/>
  <c r="H426" i="13"/>
  <c r="H440" i="13" s="1"/>
  <c r="G426" i="13"/>
  <c r="G440" i="13" s="1"/>
  <c r="F426" i="13"/>
  <c r="F440" i="13" s="1"/>
  <c r="E426" i="13"/>
  <c r="E440" i="13" s="1"/>
  <c r="D426" i="13"/>
  <c r="D440" i="13" s="1"/>
  <c r="C426" i="13"/>
  <c r="C440" i="13" s="1"/>
  <c r="AR425" i="13"/>
  <c r="AR439" i="13" s="1"/>
  <c r="AQ425" i="13"/>
  <c r="AQ439" i="13" s="1"/>
  <c r="L425" i="13"/>
  <c r="I425" i="13"/>
  <c r="I439" i="13" s="1"/>
  <c r="H425" i="13"/>
  <c r="H439" i="13" s="1"/>
  <c r="G425" i="13"/>
  <c r="G439" i="13" s="1"/>
  <c r="F425" i="13"/>
  <c r="F439" i="13" s="1"/>
  <c r="E425" i="13"/>
  <c r="E439" i="13" s="1"/>
  <c r="D425" i="13"/>
  <c r="D439" i="13" s="1"/>
  <c r="C425" i="13"/>
  <c r="C439" i="13" s="1"/>
  <c r="AR424" i="13"/>
  <c r="AR438" i="13" s="1"/>
  <c r="AQ424" i="13"/>
  <c r="AQ438" i="13" s="1"/>
  <c r="L424" i="13"/>
  <c r="I424" i="13"/>
  <c r="I438" i="13" s="1"/>
  <c r="H424" i="13"/>
  <c r="H438" i="13" s="1"/>
  <c r="G424" i="13"/>
  <c r="F424" i="13"/>
  <c r="E424" i="13"/>
  <c r="E438" i="13" s="1"/>
  <c r="D424" i="13"/>
  <c r="D438" i="13" s="1"/>
  <c r="C424" i="13"/>
  <c r="C438" i="13" s="1"/>
  <c r="AR423" i="13"/>
  <c r="AR437" i="13" s="1"/>
  <c r="AR447" i="13" s="1"/>
  <c r="AQ423" i="13"/>
  <c r="AQ437" i="13" s="1"/>
  <c r="AQ447" i="13" s="1"/>
  <c r="L423" i="13"/>
  <c r="I423" i="13"/>
  <c r="I437" i="13" s="1"/>
  <c r="I447" i="13" s="1"/>
  <c r="H423" i="13"/>
  <c r="H437" i="13" s="1"/>
  <c r="H447" i="13" s="1"/>
  <c r="G423" i="13"/>
  <c r="G437" i="13" s="1"/>
  <c r="G447" i="13" s="1"/>
  <c r="F423" i="13"/>
  <c r="F437" i="13" s="1"/>
  <c r="E423" i="13"/>
  <c r="E437" i="13" s="1"/>
  <c r="D423" i="13"/>
  <c r="D437" i="13" s="1"/>
  <c r="C423" i="13"/>
  <c r="C437" i="13" s="1"/>
  <c r="AR421" i="13"/>
  <c r="AQ421" i="13"/>
  <c r="L421" i="13"/>
  <c r="I421" i="13"/>
  <c r="H421" i="13"/>
  <c r="G421" i="13"/>
  <c r="F421" i="13"/>
  <c r="E421" i="13"/>
  <c r="D421" i="13"/>
  <c r="C421" i="13"/>
  <c r="B420" i="13"/>
  <c r="B419" i="13"/>
  <c r="AR418" i="13"/>
  <c r="AQ418" i="13"/>
  <c r="L418" i="13"/>
  <c r="I418" i="13"/>
  <c r="H418" i="13"/>
  <c r="G418" i="13"/>
  <c r="F418" i="13"/>
  <c r="E418" i="13"/>
  <c r="D418" i="13"/>
  <c r="C418" i="13"/>
  <c r="AR417" i="13"/>
  <c r="AQ417" i="13"/>
  <c r="I417" i="13"/>
  <c r="H417" i="13"/>
  <c r="G417" i="13"/>
  <c r="F417" i="13"/>
  <c r="E417" i="13"/>
  <c r="D417" i="13"/>
  <c r="C417" i="13"/>
  <c r="AR416" i="13"/>
  <c r="AQ416" i="13"/>
  <c r="L416" i="13"/>
  <c r="AR415" i="13"/>
  <c r="AQ415" i="13"/>
  <c r="L415" i="13"/>
  <c r="I415" i="13"/>
  <c r="H415" i="13"/>
  <c r="G415" i="13"/>
  <c r="F415" i="13"/>
  <c r="E415" i="13"/>
  <c r="D415" i="13"/>
  <c r="C415" i="13"/>
  <c r="AR414" i="13"/>
  <c r="AQ414" i="13"/>
  <c r="E414" i="13"/>
  <c r="D414" i="13"/>
  <c r="C414" i="13"/>
  <c r="AR413" i="13"/>
  <c r="AQ413" i="13"/>
  <c r="E413" i="13"/>
  <c r="D413" i="13"/>
  <c r="C413" i="13"/>
  <c r="AR412" i="13"/>
  <c r="AQ412" i="13"/>
  <c r="L412" i="13"/>
  <c r="I412" i="13"/>
  <c r="H412" i="13"/>
  <c r="G412" i="13"/>
  <c r="F412" i="13"/>
  <c r="E412" i="13"/>
  <c r="D412" i="13"/>
  <c r="C412" i="13"/>
  <c r="AR411" i="13"/>
  <c r="AQ411" i="13"/>
  <c r="I411" i="13"/>
  <c r="H411" i="13"/>
  <c r="G411" i="13"/>
  <c r="F411" i="13"/>
  <c r="E411" i="13"/>
  <c r="D411" i="13"/>
  <c r="C411" i="13"/>
  <c r="G408" i="13"/>
  <c r="AR404" i="13"/>
  <c r="AQ404" i="13"/>
  <c r="I404" i="13"/>
  <c r="I406" i="13" s="1"/>
  <c r="I409" i="13" s="1"/>
  <c r="F404" i="13"/>
  <c r="F406" i="13" s="1"/>
  <c r="F409" i="13" s="1"/>
  <c r="E404" i="13"/>
  <c r="D404" i="13"/>
  <c r="C404" i="13"/>
  <c r="AR403" i="13"/>
  <c r="AQ403" i="13"/>
  <c r="AR401" i="13"/>
  <c r="AQ401" i="13"/>
  <c r="AR400" i="13"/>
  <c r="AQ400" i="13"/>
  <c r="AQ450" i="13" s="1"/>
  <c r="J400" i="13"/>
  <c r="I400" i="13"/>
  <c r="H400" i="13"/>
  <c r="G400" i="13"/>
  <c r="F400" i="13"/>
  <c r="E400" i="13"/>
  <c r="D400" i="13"/>
  <c r="C400" i="13"/>
  <c r="C450" i="13" s="1"/>
  <c r="AR398" i="13"/>
  <c r="AR399" i="13" s="1"/>
  <c r="AR449" i="13" s="1"/>
  <c r="AQ398" i="13"/>
  <c r="AQ448" i="13" s="1"/>
  <c r="J398" i="13"/>
  <c r="I398" i="13"/>
  <c r="H398" i="13"/>
  <c r="G398" i="13"/>
  <c r="G407" i="13" s="1"/>
  <c r="AT397" i="13"/>
  <c r="Q397" i="13"/>
  <c r="R397" i="13" s="1"/>
  <c r="AY396" i="13"/>
  <c r="AX396" i="13"/>
  <c r="AW396" i="13"/>
  <c r="AM396" i="13"/>
  <c r="AL396" i="13"/>
  <c r="AP396" i="13" s="1"/>
  <c r="AK396" i="13"/>
  <c r="AO396" i="13" s="1"/>
  <c r="AJ396" i="13"/>
  <c r="AN396" i="13" s="1"/>
  <c r="O396" i="13"/>
  <c r="BA395" i="13"/>
  <c r="AZ395" i="13"/>
  <c r="AY395" i="13"/>
  <c r="AX395" i="13"/>
  <c r="AV395" i="13"/>
  <c r="AU395" i="13"/>
  <c r="AW394" i="13"/>
  <c r="AU394" i="13"/>
  <c r="AT394" i="13"/>
  <c r="AS394" i="13"/>
  <c r="AH394" i="13"/>
  <c r="AI394" i="13" s="1"/>
  <c r="AB394" i="13"/>
  <c r="AC394" i="13" s="1"/>
  <c r="AD394" i="13" s="1"/>
  <c r="T394" i="13"/>
  <c r="AV394" i="13" s="1"/>
  <c r="BA393" i="13"/>
  <c r="AZ393" i="13"/>
  <c r="BA392" i="13"/>
  <c r="AZ392" i="13"/>
  <c r="AY392" i="13"/>
  <c r="BA391" i="13"/>
  <c r="AZ391" i="13"/>
  <c r="AY391" i="13"/>
  <c r="AX391" i="13"/>
  <c r="AW391" i="13"/>
  <c r="AV391" i="13"/>
  <c r="AU391" i="13"/>
  <c r="AT391" i="13"/>
  <c r="AS391" i="13"/>
  <c r="AY390" i="13"/>
  <c r="AX390" i="13"/>
  <c r="AW390" i="13"/>
  <c r="AV390" i="13"/>
  <c r="AU390" i="13"/>
  <c r="AT390" i="13"/>
  <c r="AT389" i="13"/>
  <c r="AS389" i="13"/>
  <c r="AV388" i="13"/>
  <c r="AT388" i="13"/>
  <c r="AS388" i="13"/>
  <c r="AY387" i="13"/>
  <c r="AX387" i="13"/>
  <c r="AW387" i="13"/>
  <c r="AV387" i="13"/>
  <c r="AT387" i="13"/>
  <c r="AS387" i="13"/>
  <c r="AJ387" i="13"/>
  <c r="AK387" i="13" s="1"/>
  <c r="AL387" i="13" s="1"/>
  <c r="AM387" i="13" s="1"/>
  <c r="R387" i="13"/>
  <c r="AU387" i="13" s="1"/>
  <c r="C387" i="13"/>
  <c r="D387" i="13" s="1"/>
  <c r="AY386" i="13"/>
  <c r="AX386" i="13"/>
  <c r="AW386" i="13"/>
  <c r="AV386" i="13"/>
  <c r="AU386" i="13"/>
  <c r="K386" i="13"/>
  <c r="AT386" i="13" s="1"/>
  <c r="G386" i="13"/>
  <c r="AS386" i="13" s="1"/>
  <c r="AY385" i="13"/>
  <c r="AX385" i="13"/>
  <c r="AW385" i="13"/>
  <c r="AV385" i="13"/>
  <c r="AU385" i="13"/>
  <c r="K385" i="13"/>
  <c r="AT385" i="13" s="1"/>
  <c r="G385" i="13"/>
  <c r="AS385" i="13" s="1"/>
  <c r="AY384" i="13"/>
  <c r="AX384" i="13"/>
  <c r="AW384" i="13"/>
  <c r="AV384" i="13"/>
  <c r="AU384" i="13"/>
  <c r="K384" i="13"/>
  <c r="AT384" i="13" s="1"/>
  <c r="G384" i="13"/>
  <c r="AS384" i="13" s="1"/>
  <c r="AY383" i="13"/>
  <c r="AX383" i="13"/>
  <c r="AW383" i="13"/>
  <c r="AV383" i="13"/>
  <c r="AU383" i="13"/>
  <c r="AU381" i="13" s="1"/>
  <c r="AU592" i="13" s="1"/>
  <c r="AT383" i="13"/>
  <c r="K383" i="13"/>
  <c r="G383" i="13"/>
  <c r="AS383" i="13" s="1"/>
  <c r="AT382" i="13"/>
  <c r="AS382" i="13"/>
  <c r="AR382" i="13"/>
  <c r="AQ382" i="13"/>
  <c r="AT381" i="13"/>
  <c r="AS381" i="13"/>
  <c r="AI381" i="13"/>
  <c r="AH381" i="13"/>
  <c r="AG381" i="13"/>
  <c r="AF381" i="13"/>
  <c r="AE381" i="13"/>
  <c r="AD381" i="13"/>
  <c r="AC381" i="13"/>
  <c r="AB381" i="13"/>
  <c r="AA381" i="13"/>
  <c r="Z381" i="13"/>
  <c r="Y381" i="13"/>
  <c r="X381" i="13"/>
  <c r="W381" i="13"/>
  <c r="V381" i="13"/>
  <c r="U381" i="13"/>
  <c r="T381" i="13"/>
  <c r="S381" i="13"/>
  <c r="R381" i="13"/>
  <c r="Q381" i="13"/>
  <c r="P381" i="13"/>
  <c r="AI379" i="13"/>
  <c r="AI511" i="13" s="1"/>
  <c r="AQ378" i="13"/>
  <c r="AF378" i="13"/>
  <c r="AD378" i="13"/>
  <c r="AC378" i="13"/>
  <c r="AB378" i="13"/>
  <c r="AA378" i="13"/>
  <c r="Z378" i="13"/>
  <c r="Y378" i="13"/>
  <c r="X378" i="13"/>
  <c r="W378" i="13"/>
  <c r="V378" i="13"/>
  <c r="U378" i="13"/>
  <c r="T378" i="13"/>
  <c r="S378" i="13"/>
  <c r="R378" i="13"/>
  <c r="Q378" i="13"/>
  <c r="P378" i="13"/>
  <c r="O378" i="13"/>
  <c r="N378" i="13"/>
  <c r="M378" i="13"/>
  <c r="L378" i="13"/>
  <c r="K378" i="13"/>
  <c r="J378" i="13"/>
  <c r="I378" i="13"/>
  <c r="I405" i="13" s="1"/>
  <c r="H378" i="13"/>
  <c r="G378" i="13"/>
  <c r="F378" i="13"/>
  <c r="E378" i="13"/>
  <c r="D378" i="13"/>
  <c r="C378" i="13"/>
  <c r="AY377" i="13"/>
  <c r="AX377" i="13"/>
  <c r="AW377" i="13"/>
  <c r="AV377" i="13"/>
  <c r="AU377" i="13"/>
  <c r="AT377" i="13"/>
  <c r="AI377" i="13"/>
  <c r="AJ377" i="13" s="1"/>
  <c r="AK377" i="13" s="1"/>
  <c r="AL377" i="13" s="1"/>
  <c r="AM377" i="13" s="1"/>
  <c r="AR372" i="13"/>
  <c r="AR374" i="13" s="1"/>
  <c r="AQ372" i="13"/>
  <c r="AQ374" i="13" s="1"/>
  <c r="J372" i="13"/>
  <c r="I372" i="13"/>
  <c r="I376" i="13" s="1"/>
  <c r="H372" i="13"/>
  <c r="H376" i="13" s="1"/>
  <c r="G372" i="13"/>
  <c r="F372" i="13"/>
  <c r="E372" i="13"/>
  <c r="E375" i="13" s="1"/>
  <c r="D372" i="13"/>
  <c r="D374" i="13" s="1"/>
  <c r="C372" i="13"/>
  <c r="C374" i="13" s="1"/>
  <c r="AY371" i="13"/>
  <c r="AX371" i="13"/>
  <c r="AW371" i="13"/>
  <c r="AU371" i="13"/>
  <c r="AM371" i="13"/>
  <c r="AL371" i="13"/>
  <c r="AP371" i="13" s="1"/>
  <c r="AK371" i="13"/>
  <c r="AO371" i="13" s="1"/>
  <c r="AJ371" i="13"/>
  <c r="AN371" i="13" s="1"/>
  <c r="AU370" i="13"/>
  <c r="AU369" i="13"/>
  <c r="AY367" i="13"/>
  <c r="AX367" i="13"/>
  <c r="AW367" i="13"/>
  <c r="AV367" i="13"/>
  <c r="AU367" i="13"/>
  <c r="AM367" i="13"/>
  <c r="AL367" i="13"/>
  <c r="AP367" i="13" s="1"/>
  <c r="AK367" i="13"/>
  <c r="AO367" i="13" s="1"/>
  <c r="AJ367" i="13"/>
  <c r="AT366" i="13"/>
  <c r="O366" i="13"/>
  <c r="P366" i="13" s="1"/>
  <c r="Q366" i="13" s="1"/>
  <c r="R366" i="13" s="1"/>
  <c r="S366" i="13" s="1"/>
  <c r="BA365" i="13"/>
  <c r="AZ365" i="13"/>
  <c r="AY365" i="13"/>
  <c r="AX365" i="13"/>
  <c r="AW365" i="13"/>
  <c r="AV365" i="13"/>
  <c r="AU365" i="13"/>
  <c r="AT365" i="13"/>
  <c r="AY363" i="13"/>
  <c r="AX363" i="13"/>
  <c r="AW363" i="13"/>
  <c r="AV363" i="13"/>
  <c r="AU363" i="13"/>
  <c r="AT363" i="13"/>
  <c r="AM363" i="13"/>
  <c r="AL363" i="13"/>
  <c r="AP363" i="13" s="1"/>
  <c r="AK363" i="13"/>
  <c r="AO363" i="13" s="1"/>
  <c r="AJ363" i="13"/>
  <c r="F363" i="13"/>
  <c r="E363" i="13"/>
  <c r="D363" i="13"/>
  <c r="C363" i="13"/>
  <c r="I362" i="13"/>
  <c r="I403" i="13" s="1"/>
  <c r="AY361" i="13"/>
  <c r="AX361" i="13"/>
  <c r="AW361" i="13"/>
  <c r="AM361" i="13"/>
  <c r="AL361" i="13"/>
  <c r="AP361" i="13" s="1"/>
  <c r="AK361" i="13"/>
  <c r="AO361" i="13" s="1"/>
  <c r="AJ361" i="13"/>
  <c r="AN361" i="13" s="1"/>
  <c r="S361" i="13"/>
  <c r="AV361" i="13" s="1"/>
  <c r="R361" i="13"/>
  <c r="P361" i="13"/>
  <c r="O361" i="13"/>
  <c r="AY360" i="13"/>
  <c r="AX360" i="13"/>
  <c r="AW360" i="13"/>
  <c r="AV360" i="13"/>
  <c r="AU360" i="13"/>
  <c r="AJ360" i="13"/>
  <c r="BA359" i="13"/>
  <c r="BB359" i="13" s="1"/>
  <c r="BC359" i="13" s="1"/>
  <c r="AZ359" i="13"/>
  <c r="AY359" i="13"/>
  <c r="AX359" i="13"/>
  <c r="AW359" i="13"/>
  <c r="AV359" i="13"/>
  <c r="AU359" i="13"/>
  <c r="BA358" i="13"/>
  <c r="BB358" i="13" s="1"/>
  <c r="BC358" i="13" s="1"/>
  <c r="AZ358" i="13"/>
  <c r="AY358" i="13"/>
  <c r="AX358" i="13"/>
  <c r="AW358" i="13"/>
  <c r="AV358" i="13"/>
  <c r="AU358" i="13"/>
  <c r="BA357" i="13"/>
  <c r="AZ357" i="13"/>
  <c r="AY357" i="13"/>
  <c r="AX357" i="13"/>
  <c r="AW357" i="13"/>
  <c r="AV357" i="13"/>
  <c r="AU357" i="13"/>
  <c r="BA356" i="13"/>
  <c r="AZ356" i="13"/>
  <c r="AY356" i="13"/>
  <c r="AX356" i="13"/>
  <c r="AW356" i="13"/>
  <c r="AV356" i="13"/>
  <c r="AU356" i="13"/>
  <c r="AW355" i="13"/>
  <c r="AV355" i="13"/>
  <c r="AU355" i="13"/>
  <c r="AG355" i="13"/>
  <c r="AK355" i="13" s="1"/>
  <c r="AF355" i="13"/>
  <c r="AE355" i="13"/>
  <c r="AI355" i="13" s="1"/>
  <c r="AD355" i="13"/>
  <c r="AX355" i="13" s="1"/>
  <c r="BA354" i="13"/>
  <c r="BB354" i="13" s="1"/>
  <c r="BC354" i="13" s="1"/>
  <c r="AZ354" i="13"/>
  <c r="AY354" i="13"/>
  <c r="AT354" i="13"/>
  <c r="AV353" i="13"/>
  <c r="AV598" i="13" s="1"/>
  <c r="AU353" i="13"/>
  <c r="AU598" i="13" s="1"/>
  <c r="AT353" i="13"/>
  <c r="AD353" i="13"/>
  <c r="AC353" i="13"/>
  <c r="AB353" i="13"/>
  <c r="AA353" i="13"/>
  <c r="Z353" i="13"/>
  <c r="Y353" i="13"/>
  <c r="F353" i="13"/>
  <c r="E353" i="13"/>
  <c r="D353" i="13"/>
  <c r="C353" i="13"/>
  <c r="AY352" i="13"/>
  <c r="AY232" i="13" s="1"/>
  <c r="AX352" i="13"/>
  <c r="AX232" i="13" s="1"/>
  <c r="AW352" i="13"/>
  <c r="AW232" i="13" s="1"/>
  <c r="AV352" i="13"/>
  <c r="AU352" i="13"/>
  <c r="AT352" i="13"/>
  <c r="F352" i="13"/>
  <c r="E352" i="13"/>
  <c r="C352" i="13"/>
  <c r="J351" i="13"/>
  <c r="J429" i="13" s="1"/>
  <c r="H351" i="13"/>
  <c r="G351" i="13"/>
  <c r="AI350" i="13"/>
  <c r="AM350" i="13" s="1"/>
  <c r="AH350" i="13"/>
  <c r="AL350" i="13" s="1"/>
  <c r="AG350" i="13"/>
  <c r="AK350" i="13" s="1"/>
  <c r="AF350" i="13"/>
  <c r="AJ350" i="13" s="1"/>
  <c r="AE350" i="13"/>
  <c r="AD350" i="13"/>
  <c r="AC350" i="13"/>
  <c r="AB350" i="13"/>
  <c r="AA350" i="13"/>
  <c r="Z350" i="13"/>
  <c r="Y350" i="13"/>
  <c r="X350" i="13"/>
  <c r="W350" i="13"/>
  <c r="V350" i="13"/>
  <c r="U350" i="13"/>
  <c r="T350" i="13"/>
  <c r="S350" i="13"/>
  <c r="R350" i="13"/>
  <c r="Q350" i="13"/>
  <c r="P350" i="13"/>
  <c r="O350" i="13"/>
  <c r="N350" i="13"/>
  <c r="M350" i="13"/>
  <c r="L350" i="13"/>
  <c r="K350" i="13"/>
  <c r="J350" i="13"/>
  <c r="AY349" i="13"/>
  <c r="AX349" i="13"/>
  <c r="AW349" i="13"/>
  <c r="AV349" i="13"/>
  <c r="AU349" i="13"/>
  <c r="AT349" i="13"/>
  <c r="AW348" i="13"/>
  <c r="AV348" i="13"/>
  <c r="AU348" i="13"/>
  <c r="AT348" i="13"/>
  <c r="AM348" i="13"/>
  <c r="F348" i="13"/>
  <c r="E348" i="13"/>
  <c r="D348" i="13"/>
  <c r="C348" i="13"/>
  <c r="AY347" i="13"/>
  <c r="AX347" i="13"/>
  <c r="AW347" i="13"/>
  <c r="AV347" i="13"/>
  <c r="AU347" i="13"/>
  <c r="AT347" i="13"/>
  <c r="AM347" i="13"/>
  <c r="AL347" i="13"/>
  <c r="AP347" i="13" s="1"/>
  <c r="AK347" i="13"/>
  <c r="AO347" i="13" s="1"/>
  <c r="AJ347" i="13"/>
  <c r="F347" i="13"/>
  <c r="E347" i="13"/>
  <c r="D347" i="13"/>
  <c r="C347" i="13"/>
  <c r="BA346" i="13"/>
  <c r="BB346" i="13" s="1"/>
  <c r="BC346" i="13" s="1"/>
  <c r="AZ346" i="13"/>
  <c r="AY346" i="13"/>
  <c r="AX346" i="13"/>
  <c r="AW346" i="13"/>
  <c r="AV346" i="13"/>
  <c r="AU346" i="13"/>
  <c r="AT346" i="13"/>
  <c r="AS346" i="13"/>
  <c r="AR346" i="13"/>
  <c r="AQ346" i="13"/>
  <c r="AS345" i="13"/>
  <c r="AR344" i="13"/>
  <c r="AQ344" i="13"/>
  <c r="X344" i="13"/>
  <c r="W344" i="13"/>
  <c r="V344" i="13"/>
  <c r="T344" i="13"/>
  <c r="S344" i="13"/>
  <c r="R344" i="13"/>
  <c r="Q344" i="13"/>
  <c r="P344" i="13"/>
  <c r="O344" i="13"/>
  <c r="N344" i="13"/>
  <c r="M344" i="13"/>
  <c r="L344" i="13"/>
  <c r="K344" i="13"/>
  <c r="J344" i="13"/>
  <c r="I344" i="13"/>
  <c r="H344" i="13"/>
  <c r="G344" i="13"/>
  <c r="F344" i="13"/>
  <c r="E344" i="13"/>
  <c r="D344" i="13"/>
  <c r="C344" i="13"/>
  <c r="AZ343" i="13"/>
  <c r="AY343" i="13"/>
  <c r="AX343" i="13"/>
  <c r="AW343" i="13"/>
  <c r="AV343" i="13"/>
  <c r="AT343" i="13"/>
  <c r="AS343" i="13"/>
  <c r="AS674" i="13" s="1"/>
  <c r="AH342" i="13"/>
  <c r="AI342" i="13" s="1"/>
  <c r="AA342" i="13"/>
  <c r="AB342" i="13" s="1"/>
  <c r="W342" i="13"/>
  <c r="X342" i="13" s="1"/>
  <c r="AW342" i="13" s="1"/>
  <c r="S342" i="13"/>
  <c r="O342" i="13"/>
  <c r="L342" i="13"/>
  <c r="AT342" i="13" s="1"/>
  <c r="AY341" i="13"/>
  <c r="AX341" i="13"/>
  <c r="AW341" i="13"/>
  <c r="AU341" i="13"/>
  <c r="AT341" i="13"/>
  <c r="AY340" i="13"/>
  <c r="AX340" i="13"/>
  <c r="AW340" i="13"/>
  <c r="AV340" i="13"/>
  <c r="AU340" i="13"/>
  <c r="AT340" i="13"/>
  <c r="AS340" i="13"/>
  <c r="AY339" i="13"/>
  <c r="AX339" i="13"/>
  <c r="AW339" i="13"/>
  <c r="AV339" i="13"/>
  <c r="AU339" i="13"/>
  <c r="AT339" i="13"/>
  <c r="AS339" i="13"/>
  <c r="AY338" i="13"/>
  <c r="AX338" i="13"/>
  <c r="AW338" i="13"/>
  <c r="AV338" i="13"/>
  <c r="AU338" i="13"/>
  <c r="AT338" i="13"/>
  <c r="AS338" i="13"/>
  <c r="AR337" i="13"/>
  <c r="AQ337" i="13"/>
  <c r="AQ444" i="13" s="1"/>
  <c r="L337" i="13"/>
  <c r="I337" i="13"/>
  <c r="H337" i="13"/>
  <c r="G337" i="13"/>
  <c r="F337" i="13"/>
  <c r="E337" i="13"/>
  <c r="D337" i="13"/>
  <c r="C337" i="13"/>
  <c r="C444" i="13" s="1"/>
  <c r="AY336" i="13"/>
  <c r="AX336" i="13"/>
  <c r="AW336" i="13"/>
  <c r="AV336" i="13"/>
  <c r="AU336" i="13"/>
  <c r="AT336" i="13"/>
  <c r="AS336" i="13"/>
  <c r="AQ335" i="13"/>
  <c r="L335" i="13"/>
  <c r="I335" i="13"/>
  <c r="H335" i="13"/>
  <c r="G335" i="13"/>
  <c r="F335" i="13"/>
  <c r="E335" i="13"/>
  <c r="D335" i="13"/>
  <c r="C335" i="13"/>
  <c r="AI332" i="13"/>
  <c r="AI399" i="13" s="1"/>
  <c r="AH332" i="13"/>
  <c r="AH333" i="13" s="1"/>
  <c r="AG332" i="13"/>
  <c r="AG333" i="13" s="1"/>
  <c r="AF332" i="13"/>
  <c r="AF333" i="13" s="1"/>
  <c r="AE332" i="13"/>
  <c r="AD332" i="13"/>
  <c r="AC332" i="13"/>
  <c r="AB332" i="13"/>
  <c r="AB333" i="13" s="1"/>
  <c r="AA332" i="13"/>
  <c r="AA333" i="13" s="1"/>
  <c r="Z332" i="13"/>
  <c r="Z333" i="13" s="1"/>
  <c r="Y332" i="13"/>
  <c r="Y333" i="13" s="1"/>
  <c r="AD331" i="13"/>
  <c r="AI330" i="13"/>
  <c r="AH330" i="13"/>
  <c r="AG330" i="13"/>
  <c r="AF330" i="13"/>
  <c r="AE330" i="13"/>
  <c r="AD330" i="13"/>
  <c r="AC330" i="13"/>
  <c r="AA330" i="13"/>
  <c r="Z330" i="13"/>
  <c r="X330" i="13"/>
  <c r="W330" i="13"/>
  <c r="V330" i="13"/>
  <c r="U330" i="13"/>
  <c r="U341" i="13" s="1"/>
  <c r="T330" i="13"/>
  <c r="S330" i="13"/>
  <c r="R330" i="13"/>
  <c r="Q330" i="13"/>
  <c r="P330" i="13"/>
  <c r="O330" i="13"/>
  <c r="AI329" i="13"/>
  <c r="AI382" i="13" s="1"/>
  <c r="AH329" i="13"/>
  <c r="AH382" i="13" s="1"/>
  <c r="AG329" i="13"/>
  <c r="AG382" i="13" s="1"/>
  <c r="AF329" i="13"/>
  <c r="AF382" i="13" s="1"/>
  <c r="AE329" i="13"/>
  <c r="AE382" i="13" s="1"/>
  <c r="AD329" i="13"/>
  <c r="AD382" i="13" s="1"/>
  <c r="AC329" i="13"/>
  <c r="AC382" i="13" s="1"/>
  <c r="AB329" i="13"/>
  <c r="AB382" i="13" s="1"/>
  <c r="AA329" i="13"/>
  <c r="AA382" i="13" s="1"/>
  <c r="Z329" i="13"/>
  <c r="Z382" i="13" s="1"/>
  <c r="X329" i="13"/>
  <c r="W329" i="13"/>
  <c r="W382" i="13" s="1"/>
  <c r="V329" i="13"/>
  <c r="V382" i="13" s="1"/>
  <c r="U329" i="13"/>
  <c r="U382" i="13" s="1"/>
  <c r="T329" i="13"/>
  <c r="T382" i="13" s="1"/>
  <c r="S329" i="13"/>
  <c r="S382" i="13" s="1"/>
  <c r="R329" i="13"/>
  <c r="Q329" i="13"/>
  <c r="P329" i="13"/>
  <c r="O329" i="13"/>
  <c r="X328" i="13"/>
  <c r="W328" i="13"/>
  <c r="U328" i="13"/>
  <c r="T328" i="13"/>
  <c r="S328" i="13"/>
  <c r="R328" i="13"/>
  <c r="Q328" i="13"/>
  <c r="P328" i="13"/>
  <c r="O328" i="13"/>
  <c r="AQ324" i="13"/>
  <c r="G324" i="13"/>
  <c r="V323" i="13"/>
  <c r="V48" i="13" s="1"/>
  <c r="U323" i="13"/>
  <c r="U48" i="13" s="1"/>
  <c r="T323" i="13"/>
  <c r="T337" i="13" s="1"/>
  <c r="M323" i="13"/>
  <c r="K323" i="13"/>
  <c r="K337" i="13" s="1"/>
  <c r="K345" i="13" s="1"/>
  <c r="J323" i="13"/>
  <c r="J337" i="13" s="1"/>
  <c r="AY321" i="13"/>
  <c r="AX321" i="13"/>
  <c r="X321" i="13"/>
  <c r="W321" i="13"/>
  <c r="U321" i="13"/>
  <c r="T321" i="13"/>
  <c r="S321" i="13"/>
  <c r="R321" i="13"/>
  <c r="Q321" i="13"/>
  <c r="P321" i="13"/>
  <c r="O321" i="13"/>
  <c r="AX319" i="13"/>
  <c r="AW319" i="13"/>
  <c r="AV319" i="13"/>
  <c r="AU319" i="13"/>
  <c r="AY318" i="13"/>
  <c r="AX318" i="13"/>
  <c r="AV318" i="13"/>
  <c r="AU318" i="13"/>
  <c r="AM318" i="13"/>
  <c r="AL318" i="13"/>
  <c r="AP318" i="13" s="1"/>
  <c r="AK318" i="13"/>
  <c r="AO318" i="13" s="1"/>
  <c r="AJ318" i="13"/>
  <c r="AN318" i="13" s="1"/>
  <c r="Y318" i="13"/>
  <c r="AY317" i="13"/>
  <c r="AX317" i="13"/>
  <c r="AV317" i="13"/>
  <c r="AU317" i="13"/>
  <c r="AJ317" i="13"/>
  <c r="AK317" i="13" s="1"/>
  <c r="AL317" i="13" s="1"/>
  <c r="AM317" i="13" s="1"/>
  <c r="Y317" i="13"/>
  <c r="AW317" i="13" s="1"/>
  <c r="AU316" i="13"/>
  <c r="AI316" i="13"/>
  <c r="AH316" i="13"/>
  <c r="AG316" i="13"/>
  <c r="AF316" i="13"/>
  <c r="AE316" i="13"/>
  <c r="AD316" i="13"/>
  <c r="AC316" i="13"/>
  <c r="AB316" i="13"/>
  <c r="AA316" i="13"/>
  <c r="Z316" i="13"/>
  <c r="AU313" i="13"/>
  <c r="AT313" i="13"/>
  <c r="AS313" i="13"/>
  <c r="AI312" i="13"/>
  <c r="AH312" i="13"/>
  <c r="AG312" i="13"/>
  <c r="AF312" i="13"/>
  <c r="AE312" i="13"/>
  <c r="AD312" i="13"/>
  <c r="AC312" i="13"/>
  <c r="AB312" i="13"/>
  <c r="AA312" i="13"/>
  <c r="Z312" i="13"/>
  <c r="Y312" i="13"/>
  <c r="AI311" i="13"/>
  <c r="AH311" i="13"/>
  <c r="AG311" i="13"/>
  <c r="AF311" i="13"/>
  <c r="AE311" i="13"/>
  <c r="AD311" i="13"/>
  <c r="AC311" i="13"/>
  <c r="AB311" i="13"/>
  <c r="AA311" i="13"/>
  <c r="Z311" i="13"/>
  <c r="Y311" i="13"/>
  <c r="AY310" i="13"/>
  <c r="AX310" i="13"/>
  <c r="X310" i="13"/>
  <c r="X311" i="13" s="1"/>
  <c r="W310" i="13"/>
  <c r="V310" i="13"/>
  <c r="V311" i="13" s="1"/>
  <c r="U310" i="13"/>
  <c r="U312" i="13" s="1"/>
  <c r="T310" i="13"/>
  <c r="S310" i="13"/>
  <c r="S312" i="13" s="1"/>
  <c r="R310" i="13"/>
  <c r="R311" i="13" s="1"/>
  <c r="Q310" i="13"/>
  <c r="Q311" i="13" s="1"/>
  <c r="P310" i="13"/>
  <c r="P311" i="13" s="1"/>
  <c r="O310" i="13"/>
  <c r="O312" i="13" s="1"/>
  <c r="AY309" i="13"/>
  <c r="AX309" i="13"/>
  <c r="AV309" i="13"/>
  <c r="AU309" i="13"/>
  <c r="AJ309" i="13"/>
  <c r="AK309" i="13" s="1"/>
  <c r="AL309" i="13" s="1"/>
  <c r="AM309" i="13" s="1"/>
  <c r="AN309" i="13" s="1"/>
  <c r="AO309" i="13" s="1"/>
  <c r="Y309" i="13"/>
  <c r="AW309" i="13" s="1"/>
  <c r="AY308" i="13"/>
  <c r="AX308" i="13"/>
  <c r="AV308" i="13"/>
  <c r="AU308" i="13"/>
  <c r="AM308" i="13"/>
  <c r="AL308" i="13"/>
  <c r="AP308" i="13" s="1"/>
  <c r="AK308" i="13"/>
  <c r="AO308" i="13" s="1"/>
  <c r="AJ308" i="13"/>
  <c r="Y308" i="13"/>
  <c r="AW308" i="13" s="1"/>
  <c r="AV307" i="13"/>
  <c r="AU307" i="13"/>
  <c r="AI307" i="13"/>
  <c r="AH307" i="13"/>
  <c r="AG307" i="13"/>
  <c r="AF307" i="13"/>
  <c r="AE307" i="13"/>
  <c r="AD307" i="13"/>
  <c r="AC307" i="13"/>
  <c r="AB307" i="13"/>
  <c r="AA307" i="13"/>
  <c r="Z307" i="13"/>
  <c r="AY306" i="13"/>
  <c r="AX306" i="13"/>
  <c r="AW306" i="13"/>
  <c r="AV306" i="13"/>
  <c r="AM306" i="13"/>
  <c r="AM310" i="13" s="1"/>
  <c r="AL306" i="13"/>
  <c r="AK306" i="13"/>
  <c r="AJ306" i="13"/>
  <c r="AJ310" i="13" s="1"/>
  <c r="AJ311" i="13" s="1"/>
  <c r="Q306" i="13"/>
  <c r="U468" i="13" s="1"/>
  <c r="AA304" i="13"/>
  <c r="W304" i="13"/>
  <c r="AC302" i="13"/>
  <c r="AD302" i="13" s="1"/>
  <c r="Z302" i="13"/>
  <c r="X302" i="13"/>
  <c r="V302" i="13"/>
  <c r="T302" i="13"/>
  <c r="AB300" i="13"/>
  <c r="Z300" i="13"/>
  <c r="X300" i="13"/>
  <c r="V300" i="13"/>
  <c r="AI299" i="13"/>
  <c r="AI295" i="13" s="1"/>
  <c r="AE299" i="13"/>
  <c r="AY299" i="13" s="1"/>
  <c r="AA296" i="13"/>
  <c r="W296" i="13"/>
  <c r="AI286" i="13"/>
  <c r="AI287" i="13" s="1"/>
  <c r="AH286" i="13"/>
  <c r="AH287" i="13" s="1"/>
  <c r="AG286" i="13"/>
  <c r="AG287" i="13" s="1"/>
  <c r="AF286" i="13"/>
  <c r="AF287" i="13" s="1"/>
  <c r="AE286" i="13"/>
  <c r="AE287" i="13" s="1"/>
  <c r="AD286" i="13"/>
  <c r="AD287" i="13" s="1"/>
  <c r="AC286" i="13"/>
  <c r="AC287" i="13" s="1"/>
  <c r="AB286" i="13"/>
  <c r="AB287" i="13" s="1"/>
  <c r="AA286" i="13"/>
  <c r="AA287" i="13" s="1"/>
  <c r="Z286" i="13"/>
  <c r="Z287" i="13" s="1"/>
  <c r="Y286" i="13"/>
  <c r="Y287" i="13" s="1"/>
  <c r="T286" i="13"/>
  <c r="T287" i="13" s="1"/>
  <c r="P286" i="13"/>
  <c r="AI285" i="13"/>
  <c r="AH285" i="13"/>
  <c r="AG285" i="13"/>
  <c r="AF285" i="13"/>
  <c r="AE285" i="13"/>
  <c r="AD285" i="13"/>
  <c r="AC285" i="13"/>
  <c r="AB285" i="13"/>
  <c r="AA285" i="13"/>
  <c r="Z285" i="13"/>
  <c r="Y285" i="13"/>
  <c r="T285" i="13"/>
  <c r="AY284" i="13"/>
  <c r="AX284" i="13"/>
  <c r="X284" i="13"/>
  <c r="X285" i="13" s="1"/>
  <c r="W284" i="13"/>
  <c r="V284" i="13"/>
  <c r="V285" i="13" s="1"/>
  <c r="U284" i="13"/>
  <c r="U285" i="13" s="1"/>
  <c r="S284" i="13"/>
  <c r="R284" i="13"/>
  <c r="R286" i="13" s="1"/>
  <c r="R287" i="13" s="1"/>
  <c r="Q284" i="13"/>
  <c r="O284" i="13"/>
  <c r="O286" i="13" s="1"/>
  <c r="AY283" i="13"/>
  <c r="AX283" i="13"/>
  <c r="AV283" i="13"/>
  <c r="AU283" i="13"/>
  <c r="AJ283" i="13"/>
  <c r="AK283" i="13" s="1"/>
  <c r="AL283" i="13" s="1"/>
  <c r="AM283" i="13" s="1"/>
  <c r="Y283" i="13"/>
  <c r="AW283" i="13" s="1"/>
  <c r="AY282" i="13"/>
  <c r="AX282" i="13"/>
  <c r="AV282" i="13"/>
  <c r="AU282" i="13"/>
  <c r="AJ282" i="13"/>
  <c r="AK282" i="13" s="1"/>
  <c r="AL282" i="13" s="1"/>
  <c r="AM282" i="13" s="1"/>
  <c r="Y282" i="13"/>
  <c r="AW282" i="13" s="1"/>
  <c r="AV281" i="13"/>
  <c r="AU281" i="13"/>
  <c r="AI281" i="13"/>
  <c r="AH281" i="13"/>
  <c r="AG281" i="13"/>
  <c r="AF281" i="13"/>
  <c r="AE281" i="13"/>
  <c r="AD281" i="13"/>
  <c r="AC281" i="13"/>
  <c r="AB281" i="13"/>
  <c r="AA281" i="13"/>
  <c r="Z281" i="13"/>
  <c r="AA280" i="13"/>
  <c r="AE278" i="13"/>
  <c r="AI278" i="13" s="1"/>
  <c r="AB278" i="13"/>
  <c r="Z278" i="13"/>
  <c r="X278" i="13"/>
  <c r="X279" i="13" s="1"/>
  <c r="V278" i="13"/>
  <c r="AJ275" i="13"/>
  <c r="AE275" i="13"/>
  <c r="AE303" i="13" s="1"/>
  <c r="R272" i="13"/>
  <c r="R294" i="13" s="1"/>
  <c r="Q272" i="13"/>
  <c r="P272" i="13"/>
  <c r="O272" i="13"/>
  <c r="V270" i="13"/>
  <c r="U270" i="13"/>
  <c r="AV269" i="13"/>
  <c r="W269" i="13"/>
  <c r="X269" i="13" s="1"/>
  <c r="S266" i="13"/>
  <c r="T266" i="13" s="1"/>
  <c r="R264" i="13"/>
  <c r="Q264" i="13"/>
  <c r="P264" i="13"/>
  <c r="AU263" i="13"/>
  <c r="AU262" i="13"/>
  <c r="S262" i="13"/>
  <c r="T262" i="13" s="1"/>
  <c r="U262" i="13" s="1"/>
  <c r="V262" i="13" s="1"/>
  <c r="W262" i="13" s="1"/>
  <c r="AI261" i="13"/>
  <c r="AH261" i="13"/>
  <c r="AG261" i="13"/>
  <c r="AF261" i="13"/>
  <c r="AE261" i="13"/>
  <c r="AD261" i="13"/>
  <c r="AC261" i="13"/>
  <c r="AB261" i="13"/>
  <c r="AA261" i="13"/>
  <c r="Z261" i="13"/>
  <c r="Y261" i="13"/>
  <c r="X261" i="13"/>
  <c r="W261" i="13"/>
  <c r="V261" i="13"/>
  <c r="U261" i="13"/>
  <c r="T261" i="13"/>
  <c r="S261" i="13"/>
  <c r="AX260" i="13"/>
  <c r="AW260" i="13"/>
  <c r="AV260" i="13"/>
  <c r="AU260" i="13"/>
  <c r="AT259" i="13"/>
  <c r="AS259" i="13"/>
  <c r="AR259" i="13"/>
  <c r="AQ259" i="13"/>
  <c r="AI258" i="13"/>
  <c r="AH258" i="13"/>
  <c r="AG258" i="13"/>
  <c r="AF258" i="13"/>
  <c r="AE258" i="13"/>
  <c r="AD258" i="13"/>
  <c r="AC258" i="13"/>
  <c r="AB258" i="13"/>
  <c r="AA258" i="13"/>
  <c r="Z258" i="13"/>
  <c r="Y258" i="13"/>
  <c r="AI257" i="13"/>
  <c r="AH257" i="13"/>
  <c r="AG257" i="13"/>
  <c r="AF257" i="13"/>
  <c r="AE257" i="13"/>
  <c r="AD257" i="13"/>
  <c r="AC257" i="13"/>
  <c r="AB257" i="13"/>
  <c r="AA257" i="13"/>
  <c r="Z257" i="13"/>
  <c r="Y257" i="13"/>
  <c r="AY256" i="13"/>
  <c r="AX256" i="13"/>
  <c r="X256" i="13"/>
  <c r="X257" i="13" s="1"/>
  <c r="W256" i="13"/>
  <c r="V256" i="13"/>
  <c r="V257" i="13" s="1"/>
  <c r="U256" i="13"/>
  <c r="U258" i="13" s="1"/>
  <c r="T256" i="13"/>
  <c r="S256" i="13"/>
  <c r="S257" i="13" s="1"/>
  <c r="R256" i="13"/>
  <c r="R258" i="13" s="1"/>
  <c r="Q256" i="13"/>
  <c r="Q258" i="13" s="1"/>
  <c r="P256" i="13"/>
  <c r="P258" i="13" s="1"/>
  <c r="O256" i="13"/>
  <c r="AY255" i="13"/>
  <c r="AV255" i="13"/>
  <c r="AU255" i="13"/>
  <c r="AJ255" i="13"/>
  <c r="AB255" i="13"/>
  <c r="AB330" i="13" s="1"/>
  <c r="Y255" i="13"/>
  <c r="AY254" i="13"/>
  <c r="AX254" i="13"/>
  <c r="AV254" i="13"/>
  <c r="AU254" i="13"/>
  <c r="AJ254" i="13"/>
  <c r="Y254" i="13"/>
  <c r="AW254" i="13" s="1"/>
  <c r="AV253" i="13"/>
  <c r="AU253" i="13"/>
  <c r="AI253" i="13"/>
  <c r="AH253" i="13"/>
  <c r="AG253" i="13"/>
  <c r="AF253" i="13"/>
  <c r="AE253" i="13"/>
  <c r="AD253" i="13"/>
  <c r="AC253" i="13"/>
  <c r="AA253" i="13"/>
  <c r="Z253" i="13"/>
  <c r="AX251" i="13"/>
  <c r="AW251" i="13"/>
  <c r="AV251" i="13"/>
  <c r="AV122" i="13" s="1"/>
  <c r="AU251" i="13"/>
  <c r="AT251" i="13"/>
  <c r="AS251" i="13"/>
  <c r="AS122" i="13" s="1"/>
  <c r="AI232" i="13"/>
  <c r="AI231" i="13" s="1"/>
  <c r="AH232" i="13"/>
  <c r="AH231" i="13" s="1"/>
  <c r="AG232" i="13"/>
  <c r="AF232" i="13"/>
  <c r="AF231" i="13" s="1"/>
  <c r="AE232" i="13"/>
  <c r="AE231" i="13" s="1"/>
  <c r="AD232" i="13"/>
  <c r="AD231" i="13" s="1"/>
  <c r="AC232" i="13"/>
  <c r="AB232" i="13"/>
  <c r="AB231" i="13" s="1"/>
  <c r="AA232" i="13"/>
  <c r="AA231" i="13" s="1"/>
  <c r="Z232" i="13"/>
  <c r="Z231" i="13" s="1"/>
  <c r="Y232" i="13"/>
  <c r="Y231" i="13" s="1"/>
  <c r="X232" i="13"/>
  <c r="W232" i="13"/>
  <c r="AG231" i="13"/>
  <c r="AC231" i="13"/>
  <c r="T230" i="13"/>
  <c r="AI229" i="13"/>
  <c r="AH229" i="13"/>
  <c r="AG229" i="13"/>
  <c r="AF229" i="13"/>
  <c r="AE229" i="13"/>
  <c r="AD229" i="13"/>
  <c r="AC229" i="13"/>
  <c r="AI228" i="13"/>
  <c r="AH228" i="13"/>
  <c r="AG228" i="13"/>
  <c r="AF228" i="13"/>
  <c r="AE228" i="13"/>
  <c r="AD228" i="13"/>
  <c r="AC228" i="13"/>
  <c r="AB228" i="13"/>
  <c r="AA228" i="13"/>
  <c r="Z228" i="13"/>
  <c r="Y228" i="13"/>
  <c r="T228" i="13"/>
  <c r="S228" i="13"/>
  <c r="X227" i="13"/>
  <c r="W227" i="13"/>
  <c r="V227" i="13"/>
  <c r="V228" i="13" s="1"/>
  <c r="U227" i="13"/>
  <c r="R227" i="13"/>
  <c r="Q227" i="13"/>
  <c r="P227" i="13"/>
  <c r="T229" i="13" s="1"/>
  <c r="O227" i="13"/>
  <c r="S229" i="13" s="1"/>
  <c r="AP223" i="13"/>
  <c r="AO223" i="13"/>
  <c r="AN223" i="13"/>
  <c r="AM223" i="13"/>
  <c r="AL223" i="13"/>
  <c r="AK223" i="13"/>
  <c r="AJ223" i="13"/>
  <c r="AI223" i="13"/>
  <c r="AH223" i="13"/>
  <c r="AH224" i="13" s="1"/>
  <c r="AG223" i="13"/>
  <c r="AF223" i="13"/>
  <c r="AF224" i="13" s="1"/>
  <c r="AE223" i="13"/>
  <c r="AD223" i="13"/>
  <c r="AD224" i="13" s="1"/>
  <c r="AC223" i="13"/>
  <c r="AB223" i="13"/>
  <c r="AA223" i="13"/>
  <c r="AI221" i="13"/>
  <c r="AH221" i="13"/>
  <c r="AG221" i="13"/>
  <c r="AF221" i="13"/>
  <c r="AE221" i="13"/>
  <c r="AD221" i="13"/>
  <c r="AC221" i="13"/>
  <c r="AB221" i="13"/>
  <c r="AA221" i="13"/>
  <c r="Z221" i="13"/>
  <c r="Y221" i="13"/>
  <c r="Y219" i="13"/>
  <c r="X219" i="13"/>
  <c r="AJ218" i="13"/>
  <c r="AK218" i="13" s="1"/>
  <c r="BC217" i="13"/>
  <c r="BB217" i="13"/>
  <c r="BA217" i="13"/>
  <c r="AZ217" i="13"/>
  <c r="AY217" i="13"/>
  <c r="AX217" i="13"/>
  <c r="AO217" i="13"/>
  <c r="AN217" i="13"/>
  <c r="AM217" i="13"/>
  <c r="AI217" i="13"/>
  <c r="BC215" i="13"/>
  <c r="BB215" i="13"/>
  <c r="BA215" i="13"/>
  <c r="AZ215" i="13"/>
  <c r="AY215" i="13"/>
  <c r="AX215" i="13"/>
  <c r="AW215" i="13"/>
  <c r="Y215" i="13"/>
  <c r="X215" i="13"/>
  <c r="W215" i="13"/>
  <c r="AJ213" i="13"/>
  <c r="AI213" i="13"/>
  <c r="AH213" i="13"/>
  <c r="Z211" i="13"/>
  <c r="Y211" i="13"/>
  <c r="X211" i="13"/>
  <c r="W211" i="13"/>
  <c r="V211" i="13"/>
  <c r="V210" i="13" s="1"/>
  <c r="U211" i="13"/>
  <c r="U210" i="13" s="1"/>
  <c r="T211" i="13"/>
  <c r="T210" i="13" s="1"/>
  <c r="S211" i="13"/>
  <c r="AI205" i="13"/>
  <c r="AH205" i="13"/>
  <c r="AG205" i="13"/>
  <c r="AF205" i="13"/>
  <c r="AD205" i="13"/>
  <c r="AC205" i="13"/>
  <c r="AB205" i="13"/>
  <c r="AY203" i="13"/>
  <c r="AA203" i="13"/>
  <c r="AE205" i="13" s="1"/>
  <c r="W203" i="13"/>
  <c r="AW203" i="13" s="1"/>
  <c r="AY200" i="13"/>
  <c r="AX200" i="13"/>
  <c r="AV200" i="13"/>
  <c r="AM200" i="13"/>
  <c r="AL200" i="13"/>
  <c r="AP200" i="13" s="1"/>
  <c r="AK200" i="13"/>
  <c r="AO200" i="13" s="1"/>
  <c r="AJ200" i="13"/>
  <c r="Y200" i="13"/>
  <c r="AY199" i="13"/>
  <c r="AX199" i="13"/>
  <c r="AV199" i="13"/>
  <c r="AM199" i="13"/>
  <c r="AL199" i="13"/>
  <c r="AP199" i="13" s="1"/>
  <c r="AK199" i="13"/>
  <c r="AO199" i="13" s="1"/>
  <c r="AJ199" i="13"/>
  <c r="Y199" i="13"/>
  <c r="AV198" i="13"/>
  <c r="AU198" i="13"/>
  <c r="AI198" i="13"/>
  <c r="AH198" i="13"/>
  <c r="AG198" i="13"/>
  <c r="AF198" i="13"/>
  <c r="AE198" i="13"/>
  <c r="AD198" i="13"/>
  <c r="AC198" i="13"/>
  <c r="AB198" i="13"/>
  <c r="AA198" i="13"/>
  <c r="Z198" i="13"/>
  <c r="AY197" i="13"/>
  <c r="AX197" i="13"/>
  <c r="AW197" i="13"/>
  <c r="AV197" i="13"/>
  <c r="AU197" i="13"/>
  <c r="AM197" i="13"/>
  <c r="AL197" i="13"/>
  <c r="AP197" i="13" s="1"/>
  <c r="AK197" i="13"/>
  <c r="AO197" i="13" s="1"/>
  <c r="AJ197" i="13"/>
  <c r="AN197" i="13" s="1"/>
  <c r="AY196" i="13"/>
  <c r="AX196" i="13"/>
  <c r="AP196" i="13"/>
  <c r="AO196" i="13"/>
  <c r="AN196" i="13"/>
  <c r="AM196" i="13"/>
  <c r="AM463" i="13" s="1"/>
  <c r="AL196" i="13"/>
  <c r="AL463" i="13" s="1"/>
  <c r="AK196" i="13"/>
  <c r="AK463" i="13" s="1"/>
  <c r="AJ196" i="13"/>
  <c r="AJ463" i="13" s="1"/>
  <c r="AY195" i="13"/>
  <c r="AX195" i="13"/>
  <c r="AW195" i="13"/>
  <c r="AM195" i="13"/>
  <c r="AM221" i="13" s="1"/>
  <c r="AL195" i="13"/>
  <c r="AK195" i="13"/>
  <c r="AO195" i="13" s="1"/>
  <c r="AO221" i="13" s="1"/>
  <c r="AJ195" i="13"/>
  <c r="AJ221" i="13" s="1"/>
  <c r="AI194" i="13"/>
  <c r="AH194" i="13"/>
  <c r="AG194" i="13"/>
  <c r="AF194" i="13"/>
  <c r="AE194" i="13"/>
  <c r="AD194" i="13"/>
  <c r="AC194" i="13"/>
  <c r="AB194" i="13"/>
  <c r="AA194" i="13"/>
  <c r="Z194" i="13"/>
  <c r="Y194" i="13"/>
  <c r="X194" i="13"/>
  <c r="W194" i="13"/>
  <c r="V194" i="13"/>
  <c r="U194" i="13"/>
  <c r="T194" i="13"/>
  <c r="S194" i="13"/>
  <c r="R194" i="13"/>
  <c r="Q194" i="13"/>
  <c r="P194" i="13"/>
  <c r="O194" i="13"/>
  <c r="N194" i="13"/>
  <c r="M194" i="13"/>
  <c r="L194" i="13"/>
  <c r="K194" i="13"/>
  <c r="J194" i="13"/>
  <c r="I194" i="13"/>
  <c r="H194" i="13"/>
  <c r="AI193" i="13"/>
  <c r="AH193" i="13"/>
  <c r="AG193" i="13"/>
  <c r="AF193" i="13"/>
  <c r="AE193" i="13"/>
  <c r="AD193" i="13"/>
  <c r="AC193" i="13"/>
  <c r="AB193" i="13"/>
  <c r="AA193" i="13"/>
  <c r="Z193" i="13"/>
  <c r="Y193" i="13"/>
  <c r="X193" i="13"/>
  <c r="W193" i="13"/>
  <c r="V193" i="13"/>
  <c r="U193" i="13"/>
  <c r="T193" i="13"/>
  <c r="S193" i="13"/>
  <c r="R193" i="13"/>
  <c r="Q193" i="13"/>
  <c r="P193" i="13"/>
  <c r="O193" i="13"/>
  <c r="N193" i="13"/>
  <c r="M193" i="13"/>
  <c r="L193" i="13"/>
  <c r="K193" i="13"/>
  <c r="AY192" i="13"/>
  <c r="AX192" i="13"/>
  <c r="AW192" i="13"/>
  <c r="AV192" i="13"/>
  <c r="AU192" i="13"/>
  <c r="AT192" i="13"/>
  <c r="AM192" i="13"/>
  <c r="AL192" i="13"/>
  <c r="AK192" i="13"/>
  <c r="AJ192" i="13"/>
  <c r="AJ194" i="13" s="1"/>
  <c r="AS189" i="13"/>
  <c r="AR189" i="13"/>
  <c r="AQ189" i="13"/>
  <c r="R189" i="13"/>
  <c r="R114" i="13" s="1"/>
  <c r="Q189" i="13"/>
  <c r="P189" i="13"/>
  <c r="O189" i="13"/>
  <c r="N189" i="13"/>
  <c r="N114" i="13" s="1"/>
  <c r="M189" i="13"/>
  <c r="L189" i="13"/>
  <c r="L114" i="13" s="1"/>
  <c r="K189" i="13"/>
  <c r="J189" i="13"/>
  <c r="J114" i="13" s="1"/>
  <c r="J110" i="13" s="1"/>
  <c r="I189" i="13"/>
  <c r="H189" i="13"/>
  <c r="G189" i="13"/>
  <c r="AX185" i="13"/>
  <c r="AW185" i="13"/>
  <c r="AV185" i="13"/>
  <c r="AU185" i="13"/>
  <c r="AU189" i="13" s="1"/>
  <c r="AT185" i="13"/>
  <c r="AT189" i="13" s="1"/>
  <c r="AS184" i="13"/>
  <c r="AI184" i="13"/>
  <c r="AH184" i="13"/>
  <c r="AG184" i="13"/>
  <c r="AF184" i="13"/>
  <c r="AE184" i="13"/>
  <c r="AD184" i="13"/>
  <c r="AC184" i="13"/>
  <c r="AB184" i="13"/>
  <c r="AA184" i="13"/>
  <c r="Z184" i="13"/>
  <c r="Y184" i="13"/>
  <c r="X184" i="13"/>
  <c r="W184" i="13"/>
  <c r="V184" i="13"/>
  <c r="U184" i="13"/>
  <c r="T184" i="13"/>
  <c r="S184" i="13"/>
  <c r="R184" i="13"/>
  <c r="Q184" i="13"/>
  <c r="P184" i="13"/>
  <c r="O184" i="13"/>
  <c r="L184" i="13"/>
  <c r="AT184" i="13" s="1"/>
  <c r="AY183" i="13"/>
  <c r="AX183" i="13"/>
  <c r="AW183" i="13"/>
  <c r="AV183" i="13"/>
  <c r="AU183" i="13"/>
  <c r="AM183" i="13"/>
  <c r="AL183" i="13"/>
  <c r="AP183" i="13" s="1"/>
  <c r="AK183" i="13"/>
  <c r="AJ183" i="13"/>
  <c r="K183" i="13"/>
  <c r="AT183" i="13" s="1"/>
  <c r="J183" i="13"/>
  <c r="I183" i="13"/>
  <c r="H183" i="13"/>
  <c r="G183" i="13"/>
  <c r="F183" i="13"/>
  <c r="E183" i="13"/>
  <c r="D183" i="13"/>
  <c r="C183" i="13"/>
  <c r="C416" i="13" s="1"/>
  <c r="Y182" i="13"/>
  <c r="X182" i="13"/>
  <c r="V182" i="13"/>
  <c r="U182" i="13"/>
  <c r="T182" i="13"/>
  <c r="S182" i="13"/>
  <c r="N182" i="13"/>
  <c r="M182" i="13"/>
  <c r="L182" i="13"/>
  <c r="K182" i="13"/>
  <c r="J182" i="13"/>
  <c r="I182" i="13"/>
  <c r="H182" i="13"/>
  <c r="G182" i="13"/>
  <c r="F182" i="13"/>
  <c r="AO181" i="13"/>
  <c r="AN181" i="13"/>
  <c r="AM181" i="13"/>
  <c r="AK181" i="13"/>
  <c r="AJ181" i="13"/>
  <c r="AI181" i="13"/>
  <c r="AG181" i="13"/>
  <c r="AF181" i="13"/>
  <c r="AE181" i="13"/>
  <c r="BC180" i="13"/>
  <c r="BB180" i="13"/>
  <c r="BA180" i="13"/>
  <c r="AP180" i="13" s="1"/>
  <c r="AP217" i="13" s="1"/>
  <c r="AZ180" i="13"/>
  <c r="AY180" i="13"/>
  <c r="AX180" i="13"/>
  <c r="AD180" i="13" s="1"/>
  <c r="BC178" i="13"/>
  <c r="BB178" i="13"/>
  <c r="BA178" i="13"/>
  <c r="AZ178" i="13"/>
  <c r="AY178" i="13"/>
  <c r="AX178" i="13"/>
  <c r="AC178" i="13"/>
  <c r="AB178" i="13"/>
  <c r="AB215" i="13" s="1"/>
  <c r="AA178" i="13"/>
  <c r="AE178" i="13" s="1"/>
  <c r="AE215" i="13" s="1"/>
  <c r="Z178" i="13"/>
  <c r="AC176" i="13"/>
  <c r="AG176" i="13" s="1"/>
  <c r="AB176" i="13"/>
  <c r="AB219" i="13" s="1"/>
  <c r="Z176" i="13"/>
  <c r="Z219" i="13" s="1"/>
  <c r="W176" i="13"/>
  <c r="AN174" i="13"/>
  <c r="AN213" i="13" s="1"/>
  <c r="AM174" i="13"/>
  <c r="AM213" i="13" s="1"/>
  <c r="AL174" i="13"/>
  <c r="AP174" i="13" s="1"/>
  <c r="AP213" i="13" s="1"/>
  <c r="Z173" i="13"/>
  <c r="Y173" i="13"/>
  <c r="X173" i="13"/>
  <c r="W173" i="13"/>
  <c r="AW172" i="13"/>
  <c r="AV172" i="13"/>
  <c r="AD172" i="13"/>
  <c r="AC172" i="13"/>
  <c r="AG172" i="13" s="1"/>
  <c r="AK172" i="13" s="1"/>
  <c r="AB172" i="13"/>
  <c r="AB211" i="13" s="1"/>
  <c r="AA172" i="13"/>
  <c r="AE172" i="13" s="1"/>
  <c r="AY171" i="13"/>
  <c r="AX171" i="13"/>
  <c r="AW171" i="13"/>
  <c r="AV171" i="13"/>
  <c r="AY170" i="13"/>
  <c r="AX170" i="13"/>
  <c r="AW170" i="13"/>
  <c r="AV170" i="13"/>
  <c r="AM170" i="13"/>
  <c r="AL170" i="13"/>
  <c r="AP170" i="13" s="1"/>
  <c r="AK170" i="13"/>
  <c r="AO170" i="13" s="1"/>
  <c r="AJ170" i="13"/>
  <c r="AN170" i="13" s="1"/>
  <c r="R170" i="13"/>
  <c r="Q170" i="13"/>
  <c r="Q171" i="13" s="1"/>
  <c r="P170" i="13"/>
  <c r="P89" i="13" s="1"/>
  <c r="O170" i="13"/>
  <c r="O171" i="13" s="1"/>
  <c r="N170" i="13"/>
  <c r="N89" i="13" s="1"/>
  <c r="M170" i="13"/>
  <c r="M169" i="13" s="1"/>
  <c r="M93" i="13" s="1"/>
  <c r="L170" i="13"/>
  <c r="L169" i="13" s="1"/>
  <c r="L93" i="13" s="1"/>
  <c r="K170" i="13"/>
  <c r="K169" i="13" s="1"/>
  <c r="J170" i="13"/>
  <c r="J89" i="13" s="1"/>
  <c r="I170" i="13"/>
  <c r="I169" i="13" s="1"/>
  <c r="H170" i="13"/>
  <c r="H89" i="13" s="1"/>
  <c r="G170" i="13"/>
  <c r="G414" i="13" s="1"/>
  <c r="F170" i="13"/>
  <c r="F414" i="13" s="1"/>
  <c r="AY169" i="13"/>
  <c r="AY86" i="13" s="1"/>
  <c r="AX169" i="13"/>
  <c r="AX86" i="13" s="1"/>
  <c r="AW169" i="13"/>
  <c r="AV169" i="13"/>
  <c r="AU169" i="13"/>
  <c r="AM169" i="13"/>
  <c r="AL169" i="13"/>
  <c r="AL93" i="13" s="1"/>
  <c r="AK169" i="13"/>
  <c r="AO169" i="13" s="1"/>
  <c r="AJ169" i="13"/>
  <c r="AJ93" i="13" s="1"/>
  <c r="AJ91" i="13" s="1"/>
  <c r="AV168" i="13"/>
  <c r="AU168" i="13"/>
  <c r="AU36" i="13" s="1"/>
  <c r="AT168" i="13"/>
  <c r="AS168" i="13"/>
  <c r="AI168" i="13"/>
  <c r="AH168" i="13"/>
  <c r="AH36" i="13" s="1"/>
  <c r="AG168" i="13"/>
  <c r="AF168" i="13"/>
  <c r="AF36" i="13" s="1"/>
  <c r="AE168" i="13"/>
  <c r="AE167" i="13" s="1"/>
  <c r="AD168" i="13"/>
  <c r="AC168" i="13"/>
  <c r="AC36" i="13" s="1"/>
  <c r="AB168" i="13"/>
  <c r="AB167" i="13" s="1"/>
  <c r="AB165" i="13" s="1"/>
  <c r="AB166" i="13" s="1"/>
  <c r="AA168" i="13"/>
  <c r="AA36" i="13" s="1"/>
  <c r="Z168" i="13"/>
  <c r="Z167" i="13" s="1"/>
  <c r="Y168" i="13"/>
  <c r="X168" i="13"/>
  <c r="X167" i="13" s="1"/>
  <c r="W168" i="13"/>
  <c r="W167" i="13" s="1"/>
  <c r="AS167" i="13"/>
  <c r="AA167" i="13"/>
  <c r="AA165" i="13" s="1"/>
  <c r="V167" i="13"/>
  <c r="U167" i="13"/>
  <c r="T167" i="13"/>
  <c r="S167" i="13"/>
  <c r="S165" i="13" s="1"/>
  <c r="R167" i="13"/>
  <c r="Q167" i="13"/>
  <c r="P167" i="13"/>
  <c r="O167" i="13"/>
  <c r="N167" i="13"/>
  <c r="N165" i="13" s="1"/>
  <c r="L167" i="13"/>
  <c r="V166" i="13"/>
  <c r="U166" i="13"/>
  <c r="T166" i="13"/>
  <c r="AR165" i="13"/>
  <c r="AQ165" i="13"/>
  <c r="AQ201" i="13" s="1"/>
  <c r="M165" i="13"/>
  <c r="K165" i="13"/>
  <c r="J165" i="13"/>
  <c r="I165" i="13"/>
  <c r="H165" i="13"/>
  <c r="G165" i="13"/>
  <c r="F165" i="13"/>
  <c r="E165" i="13"/>
  <c r="D165" i="13"/>
  <c r="C165" i="13"/>
  <c r="BC164" i="13"/>
  <c r="BB164" i="13"/>
  <c r="BA164" i="13"/>
  <c r="AZ164" i="13"/>
  <c r="AY164" i="13"/>
  <c r="AX164" i="13"/>
  <c r="AW164" i="13"/>
  <c r="AV164" i="13"/>
  <c r="AU164" i="13"/>
  <c r="AT164" i="13"/>
  <c r="AS164" i="13"/>
  <c r="AP164" i="13"/>
  <c r="AO164" i="13"/>
  <c r="AN164" i="13"/>
  <c r="AM164" i="13"/>
  <c r="AL164" i="13"/>
  <c r="AK164" i="13"/>
  <c r="AJ164" i="13"/>
  <c r="AI164" i="13"/>
  <c r="AH164" i="13"/>
  <c r="AG164" i="13"/>
  <c r="AF164" i="13"/>
  <c r="AE164" i="13"/>
  <c r="AD164" i="13"/>
  <c r="AC164" i="13"/>
  <c r="AB164" i="13"/>
  <c r="AA164" i="13"/>
  <c r="Z164" i="13"/>
  <c r="Y164" i="13"/>
  <c r="X164" i="13"/>
  <c r="W164" i="13"/>
  <c r="V164" i="13"/>
  <c r="U164" i="13"/>
  <c r="T164" i="13"/>
  <c r="S164" i="13"/>
  <c r="R164" i="13"/>
  <c r="Q164" i="13"/>
  <c r="P164" i="13"/>
  <c r="O164" i="13"/>
  <c r="N164" i="13"/>
  <c r="M164" i="13"/>
  <c r="L164" i="13"/>
  <c r="K164" i="13"/>
  <c r="J164" i="13"/>
  <c r="AX156" i="13"/>
  <c r="AX158" i="13" s="1"/>
  <c r="AX153" i="13"/>
  <c r="AW153" i="13"/>
  <c r="AV153" i="13"/>
  <c r="T150" i="13"/>
  <c r="R149" i="13"/>
  <c r="AW147" i="13"/>
  <c r="AW145" i="13"/>
  <c r="W135" i="13"/>
  <c r="AX134" i="13"/>
  <c r="AW134" i="13"/>
  <c r="AV134" i="13"/>
  <c r="AU134" i="13"/>
  <c r="AU122" i="13"/>
  <c r="AT122" i="13"/>
  <c r="AR122" i="13"/>
  <c r="AA122" i="13"/>
  <c r="Z122" i="13"/>
  <c r="Z123" i="13" s="1"/>
  <c r="Y122" i="13"/>
  <c r="Y123" i="13" s="1"/>
  <c r="X122" i="13"/>
  <c r="W122" i="13"/>
  <c r="W123" i="13" s="1"/>
  <c r="V122" i="13"/>
  <c r="U122" i="13"/>
  <c r="T122" i="13"/>
  <c r="S122" i="13"/>
  <c r="R122" i="13"/>
  <c r="Q122" i="13"/>
  <c r="P122" i="13"/>
  <c r="O122" i="13"/>
  <c r="W119" i="13"/>
  <c r="V119" i="13"/>
  <c r="U119" i="13"/>
  <c r="T119" i="13"/>
  <c r="S119" i="13"/>
  <c r="R119" i="13"/>
  <c r="O119" i="13"/>
  <c r="W118" i="13"/>
  <c r="V118" i="13"/>
  <c r="U118" i="13"/>
  <c r="T118" i="13"/>
  <c r="W117" i="13"/>
  <c r="V117" i="13"/>
  <c r="AV116" i="13"/>
  <c r="X116" i="13"/>
  <c r="X119" i="13" s="1"/>
  <c r="Q116" i="13"/>
  <c r="Q119" i="13" s="1"/>
  <c r="P116" i="13"/>
  <c r="P119" i="13" s="1"/>
  <c r="Q114" i="13"/>
  <c r="P114" i="13"/>
  <c r="K113" i="13"/>
  <c r="L113" i="13" s="1"/>
  <c r="M113" i="13" s="1"/>
  <c r="U104" i="13"/>
  <c r="R104" i="13"/>
  <c r="R106" i="13" s="1"/>
  <c r="P104" i="13"/>
  <c r="Q106" i="13" s="1"/>
  <c r="O104" i="13"/>
  <c r="M104" i="13"/>
  <c r="J104" i="13"/>
  <c r="S95" i="13"/>
  <c r="R95" i="13"/>
  <c r="Q95" i="13"/>
  <c r="P95" i="13"/>
  <c r="O95" i="13"/>
  <c r="N95" i="13"/>
  <c r="M95" i="13"/>
  <c r="L95" i="13"/>
  <c r="J95" i="13"/>
  <c r="I95" i="13"/>
  <c r="H95" i="13"/>
  <c r="G95" i="13"/>
  <c r="F95" i="13"/>
  <c r="E95" i="13"/>
  <c r="D95" i="13"/>
  <c r="C95" i="13"/>
  <c r="AT93" i="13"/>
  <c r="AT91" i="13" s="1"/>
  <c r="AS93" i="13"/>
  <c r="AS91" i="13" s="1"/>
  <c r="AR93" i="13"/>
  <c r="AR91" i="13" s="1"/>
  <c r="AQ93" i="13"/>
  <c r="AQ91" i="13" s="1"/>
  <c r="AQ87" i="13" s="1"/>
  <c r="AO93" i="13"/>
  <c r="AO91" i="13" s="1"/>
  <c r="AM93" i="13"/>
  <c r="AK93" i="13"/>
  <c r="AK91" i="13" s="1"/>
  <c r="AI93" i="13"/>
  <c r="AI91" i="13" s="1"/>
  <c r="AH93" i="13"/>
  <c r="AH91" i="13" s="1"/>
  <c r="AG93" i="13"/>
  <c r="AG91" i="13" s="1"/>
  <c r="AF93" i="13"/>
  <c r="AF91" i="13" s="1"/>
  <c r="AE93" i="13"/>
  <c r="AD93" i="13"/>
  <c r="AD91" i="13" s="1"/>
  <c r="AC93" i="13"/>
  <c r="AB93" i="13"/>
  <c r="AB91" i="13" s="1"/>
  <c r="AA93" i="13"/>
  <c r="AA91" i="13" s="1"/>
  <c r="Z93" i="13"/>
  <c r="Z91" i="13" s="1"/>
  <c r="Y93" i="13"/>
  <c r="Y91" i="13" s="1"/>
  <c r="X93" i="13"/>
  <c r="X91" i="13" s="1"/>
  <c r="W93" i="13"/>
  <c r="V93" i="13"/>
  <c r="V91" i="13" s="1"/>
  <c r="U93" i="13"/>
  <c r="U91" i="13" s="1"/>
  <c r="T93" i="13"/>
  <c r="T91" i="13" s="1"/>
  <c r="S93" i="13"/>
  <c r="S90" i="13" s="1"/>
  <c r="R93" i="13"/>
  <c r="R91" i="13" s="1"/>
  <c r="R87" i="13" s="1"/>
  <c r="Q93" i="13"/>
  <c r="P93" i="13"/>
  <c r="P90" i="13" s="1"/>
  <c r="O93" i="13"/>
  <c r="BC92" i="13"/>
  <c r="BB92" i="13"/>
  <c r="AT92" i="13"/>
  <c r="AS92" i="13"/>
  <c r="AR92" i="13"/>
  <c r="AQ92" i="13"/>
  <c r="AP92" i="13"/>
  <c r="AO92" i="13"/>
  <c r="AN92" i="13"/>
  <c r="AM92" i="13"/>
  <c r="AL92" i="13"/>
  <c r="AK92" i="13"/>
  <c r="AJ92" i="13"/>
  <c r="AI92" i="13"/>
  <c r="AH92" i="13"/>
  <c r="AG92" i="13"/>
  <c r="AF92" i="13"/>
  <c r="AE92" i="13"/>
  <c r="AD92" i="13"/>
  <c r="AC92" i="13"/>
  <c r="AB92" i="13"/>
  <c r="AA92" i="13"/>
  <c r="Z92" i="13"/>
  <c r="Y92" i="13"/>
  <c r="X92" i="13"/>
  <c r="W92" i="13"/>
  <c r="V92" i="13"/>
  <c r="U92" i="13"/>
  <c r="T92" i="13"/>
  <c r="S92" i="13"/>
  <c r="R92" i="13"/>
  <c r="Q92" i="13"/>
  <c r="P92" i="13"/>
  <c r="O92" i="13"/>
  <c r="N92" i="13"/>
  <c r="M92" i="13"/>
  <c r="L92" i="13"/>
  <c r="K92" i="13"/>
  <c r="J92" i="13"/>
  <c r="I92" i="13"/>
  <c r="H92" i="13"/>
  <c r="G92" i="13"/>
  <c r="F92" i="13"/>
  <c r="AC91" i="13"/>
  <c r="R90" i="13"/>
  <c r="AQ89" i="13"/>
  <c r="S89" i="13"/>
  <c r="R89" i="13"/>
  <c r="Q89" i="13"/>
  <c r="O89" i="13"/>
  <c r="M89" i="13"/>
  <c r="I89" i="13"/>
  <c r="G89" i="13"/>
  <c r="E88" i="13"/>
  <c r="D88" i="13"/>
  <c r="C88" i="13"/>
  <c r="S86" i="13"/>
  <c r="R86" i="13"/>
  <c r="Q86" i="13"/>
  <c r="S85" i="13"/>
  <c r="N85" i="13"/>
  <c r="M85" i="13"/>
  <c r="J85" i="13"/>
  <c r="I85" i="13"/>
  <c r="H85" i="13"/>
  <c r="G85" i="13"/>
  <c r="F85" i="13"/>
  <c r="E85" i="13"/>
  <c r="D85" i="13"/>
  <c r="C85" i="13"/>
  <c r="AS81" i="13"/>
  <c r="K81" i="13"/>
  <c r="AS79" i="13"/>
  <c r="K79" i="13"/>
  <c r="S75" i="13"/>
  <c r="R75" i="13"/>
  <c r="Q75" i="13"/>
  <c r="P75" i="13"/>
  <c r="O75" i="13"/>
  <c r="N75" i="13"/>
  <c r="M75" i="13"/>
  <c r="L75" i="13"/>
  <c r="J75" i="13"/>
  <c r="I75" i="13"/>
  <c r="H75" i="13"/>
  <c r="BC74" i="13"/>
  <c r="AP74" i="13"/>
  <c r="AO74" i="13"/>
  <c r="AN74" i="13"/>
  <c r="AM74" i="13"/>
  <c r="AL74" i="13"/>
  <c r="AK74" i="13"/>
  <c r="AJ74" i="13"/>
  <c r="AI74" i="13"/>
  <c r="AH74" i="13"/>
  <c r="AG74" i="13"/>
  <c r="AF74" i="13"/>
  <c r="AE74" i="13"/>
  <c r="AD74" i="13"/>
  <c r="AC74" i="13"/>
  <c r="AB74" i="13"/>
  <c r="AA74" i="13"/>
  <c r="R74" i="13"/>
  <c r="Q74" i="13"/>
  <c r="P74" i="13"/>
  <c r="O74" i="13"/>
  <c r="N74" i="13"/>
  <c r="AU73" i="13"/>
  <c r="AT73" i="13"/>
  <c r="AS73" i="13"/>
  <c r="V73" i="13"/>
  <c r="AV73" i="13" s="1"/>
  <c r="U73" i="13"/>
  <c r="U74" i="13" s="1"/>
  <c r="T73" i="13"/>
  <c r="T74" i="13" s="1"/>
  <c r="S73" i="13"/>
  <c r="S74" i="13" s="1"/>
  <c r="R72" i="13"/>
  <c r="Q72" i="13"/>
  <c r="P72" i="13"/>
  <c r="O72" i="13"/>
  <c r="N72" i="13"/>
  <c r="AU71" i="13"/>
  <c r="AT71" i="13"/>
  <c r="AS71" i="13"/>
  <c r="AI69" i="13"/>
  <c r="AH69" i="13"/>
  <c r="AG69" i="13"/>
  <c r="AF69" i="13"/>
  <c r="AE69" i="13"/>
  <c r="AD69" i="13"/>
  <c r="AC69" i="13"/>
  <c r="AB69" i="13"/>
  <c r="AA69" i="13"/>
  <c r="Z69" i="13"/>
  <c r="Y69" i="13"/>
  <c r="X69" i="13"/>
  <c r="W69" i="13"/>
  <c r="V69" i="13"/>
  <c r="U69" i="13"/>
  <c r="T69" i="13"/>
  <c r="S69" i="13"/>
  <c r="AI68" i="13"/>
  <c r="AH68" i="13"/>
  <c r="AG68" i="13"/>
  <c r="AF68" i="13"/>
  <c r="AE68" i="13"/>
  <c r="AD68" i="13"/>
  <c r="AC68" i="13"/>
  <c r="AB68" i="13"/>
  <c r="AA68" i="13"/>
  <c r="Z68" i="13"/>
  <c r="Y68" i="13"/>
  <c r="X68" i="13"/>
  <c r="W68" i="13"/>
  <c r="V68" i="13"/>
  <c r="U68" i="13"/>
  <c r="T68" i="13"/>
  <c r="S68" i="13"/>
  <c r="R68" i="13"/>
  <c r="Q68" i="13"/>
  <c r="P68" i="13"/>
  <c r="O68" i="13"/>
  <c r="N68" i="13"/>
  <c r="M68" i="13"/>
  <c r="L68" i="13"/>
  <c r="K68" i="13"/>
  <c r="J68" i="13"/>
  <c r="I68" i="13"/>
  <c r="H68" i="13"/>
  <c r="AI67" i="13"/>
  <c r="AH67" i="13"/>
  <c r="AG67" i="13"/>
  <c r="AF67" i="13"/>
  <c r="AE67" i="13"/>
  <c r="AD67" i="13"/>
  <c r="AC67" i="13"/>
  <c r="AB67" i="13"/>
  <c r="AA67" i="13"/>
  <c r="Z67" i="13"/>
  <c r="Y67" i="13"/>
  <c r="X67" i="13"/>
  <c r="W67" i="13"/>
  <c r="V67" i="13"/>
  <c r="U67" i="13"/>
  <c r="T67" i="13"/>
  <c r="S67" i="13"/>
  <c r="R67" i="13"/>
  <c r="Q67" i="13"/>
  <c r="P67" i="13"/>
  <c r="O67" i="13"/>
  <c r="N67" i="13"/>
  <c r="M67" i="13"/>
  <c r="L67" i="13"/>
  <c r="AI66" i="13"/>
  <c r="AH66" i="13"/>
  <c r="AG66" i="13"/>
  <c r="AF66" i="13"/>
  <c r="AE66" i="13"/>
  <c r="AD66" i="13"/>
  <c r="AC66" i="13"/>
  <c r="AB66" i="13"/>
  <c r="AA66" i="13"/>
  <c r="Z66" i="13"/>
  <c r="Y66" i="13"/>
  <c r="X66" i="13"/>
  <c r="W66" i="13"/>
  <c r="V66" i="13"/>
  <c r="U66" i="13"/>
  <c r="T66" i="13"/>
  <c r="S66" i="13"/>
  <c r="R66" i="13"/>
  <c r="Q66" i="13"/>
  <c r="P66" i="13"/>
  <c r="O66" i="13"/>
  <c r="N66" i="13"/>
  <c r="M66" i="13"/>
  <c r="L66" i="13"/>
  <c r="K66" i="13"/>
  <c r="AI65" i="13"/>
  <c r="AH65" i="13"/>
  <c r="AG65" i="13"/>
  <c r="AF65" i="13"/>
  <c r="AE65" i="13"/>
  <c r="AD65" i="13"/>
  <c r="AC65" i="13"/>
  <c r="AB65" i="13"/>
  <c r="AA65" i="13"/>
  <c r="Z65" i="13"/>
  <c r="Y65" i="13"/>
  <c r="X65" i="13"/>
  <c r="W65" i="13"/>
  <c r="V65" i="13"/>
  <c r="U65" i="13"/>
  <c r="T65" i="13"/>
  <c r="S65" i="13"/>
  <c r="R65" i="13"/>
  <c r="Q65" i="13"/>
  <c r="P65" i="13"/>
  <c r="O65" i="13"/>
  <c r="N65" i="13"/>
  <c r="M65" i="13"/>
  <c r="L65" i="13"/>
  <c r="K65" i="13"/>
  <c r="J65" i="13"/>
  <c r="I65" i="13"/>
  <c r="H65" i="13"/>
  <c r="G65" i="13"/>
  <c r="F65" i="13"/>
  <c r="E65" i="13"/>
  <c r="D65" i="13"/>
  <c r="AY64" i="13"/>
  <c r="AX64" i="13"/>
  <c r="AW64" i="13"/>
  <c r="AV64" i="13"/>
  <c r="AU64" i="13"/>
  <c r="AT64" i="13"/>
  <c r="AS64" i="13"/>
  <c r="AS68" i="13" s="1"/>
  <c r="AM64" i="13"/>
  <c r="AM69" i="13" s="1"/>
  <c r="AL64" i="13"/>
  <c r="AK64" i="13"/>
  <c r="AK69" i="13" s="1"/>
  <c r="AJ64" i="13"/>
  <c r="AS60" i="13"/>
  <c r="AI60" i="13"/>
  <c r="AH60" i="13"/>
  <c r="AG60" i="13"/>
  <c r="AF60" i="13"/>
  <c r="AE60" i="13"/>
  <c r="AD60" i="13"/>
  <c r="AC60" i="13"/>
  <c r="AB60" i="13"/>
  <c r="AA60" i="13"/>
  <c r="Z60" i="13"/>
  <c r="Y60" i="13"/>
  <c r="X60" i="13"/>
  <c r="W60" i="13"/>
  <c r="V60" i="13"/>
  <c r="U60" i="13"/>
  <c r="T60" i="13"/>
  <c r="S60" i="13"/>
  <c r="R60" i="13"/>
  <c r="Q60" i="13"/>
  <c r="P60" i="13"/>
  <c r="O60" i="13"/>
  <c r="N60" i="13"/>
  <c r="M60" i="13"/>
  <c r="L60" i="13"/>
  <c r="K60" i="13"/>
  <c r="J60" i="13"/>
  <c r="I60" i="13"/>
  <c r="H60" i="13"/>
  <c r="G60" i="13"/>
  <c r="AI59" i="13"/>
  <c r="AH59" i="13"/>
  <c r="AG59" i="13"/>
  <c r="AF59" i="13"/>
  <c r="AE59" i="13"/>
  <c r="AD59" i="13"/>
  <c r="AC59" i="13"/>
  <c r="AB59" i="13"/>
  <c r="AA59" i="13"/>
  <c r="Z59" i="13"/>
  <c r="Y59" i="13"/>
  <c r="X59" i="13"/>
  <c r="W59" i="13"/>
  <c r="V59" i="13"/>
  <c r="U59" i="13"/>
  <c r="T59" i="13"/>
  <c r="S59" i="13"/>
  <c r="R59" i="13"/>
  <c r="Q59" i="13"/>
  <c r="P59" i="13"/>
  <c r="O59" i="13"/>
  <c r="N59" i="13"/>
  <c r="M59" i="13"/>
  <c r="L59" i="13"/>
  <c r="K59" i="13"/>
  <c r="J59" i="13"/>
  <c r="I59" i="13"/>
  <c r="H59" i="13"/>
  <c r="G59" i="13"/>
  <c r="F59" i="13"/>
  <c r="E59" i="13"/>
  <c r="D59" i="13"/>
  <c r="AS58" i="13"/>
  <c r="AI58" i="13"/>
  <c r="AI61" i="13" s="1"/>
  <c r="AH58" i="13"/>
  <c r="AH61" i="13" s="1"/>
  <c r="AG58" i="13"/>
  <c r="AG61" i="13" s="1"/>
  <c r="AF58" i="13"/>
  <c r="AF61" i="13" s="1"/>
  <c r="AE58" i="13"/>
  <c r="AE61" i="13" s="1"/>
  <c r="AD58" i="13"/>
  <c r="AD61" i="13" s="1"/>
  <c r="AC58" i="13"/>
  <c r="AC61" i="13" s="1"/>
  <c r="AB58" i="13"/>
  <c r="AB61" i="13" s="1"/>
  <c r="AA58" i="13"/>
  <c r="AA61" i="13" s="1"/>
  <c r="Z58" i="13"/>
  <c r="Z61" i="13" s="1"/>
  <c r="Y58" i="13"/>
  <c r="Y61" i="13" s="1"/>
  <c r="X58" i="13"/>
  <c r="X61" i="13" s="1"/>
  <c r="W58" i="13"/>
  <c r="W61" i="13" s="1"/>
  <c r="V58" i="13"/>
  <c r="V61" i="13" s="1"/>
  <c r="U58" i="13"/>
  <c r="U61" i="13" s="1"/>
  <c r="T58" i="13"/>
  <c r="T61" i="13" s="1"/>
  <c r="S58" i="13"/>
  <c r="S61" i="13" s="1"/>
  <c r="R58" i="13"/>
  <c r="R61" i="13" s="1"/>
  <c r="Q58" i="13"/>
  <c r="Q61" i="13" s="1"/>
  <c r="P58" i="13"/>
  <c r="P61" i="13" s="1"/>
  <c r="O58" i="13"/>
  <c r="O61" i="13" s="1"/>
  <c r="N58" i="13"/>
  <c r="N61" i="13" s="1"/>
  <c r="M58" i="13"/>
  <c r="M61" i="13" s="1"/>
  <c r="L58" i="13"/>
  <c r="L61" i="13" s="1"/>
  <c r="K58" i="13"/>
  <c r="K61" i="13" s="1"/>
  <c r="J58" i="13"/>
  <c r="J61" i="13" s="1"/>
  <c r="I58" i="13"/>
  <c r="I61" i="13" s="1"/>
  <c r="H58" i="13"/>
  <c r="H61" i="13" s="1"/>
  <c r="G58" i="13"/>
  <c r="G61" i="13" s="1"/>
  <c r="F58" i="13"/>
  <c r="F61" i="13" s="1"/>
  <c r="E58" i="13"/>
  <c r="E61" i="13" s="1"/>
  <c r="D58" i="13"/>
  <c r="D61" i="13" s="1"/>
  <c r="AY57" i="13"/>
  <c r="AX57" i="13"/>
  <c r="AW57" i="13"/>
  <c r="AV57" i="13"/>
  <c r="AU57" i="13"/>
  <c r="AU78" i="13" s="1"/>
  <c r="AT57" i="13"/>
  <c r="AT58" i="13" s="1"/>
  <c r="AT61" i="13" s="1"/>
  <c r="AJ57" i="13"/>
  <c r="V53" i="13"/>
  <c r="V56" i="13" s="1"/>
  <c r="U53" i="13"/>
  <c r="T53" i="13"/>
  <c r="S53" i="13"/>
  <c r="O53" i="13"/>
  <c r="N53" i="13"/>
  <c r="M53" i="13"/>
  <c r="M56" i="13" s="1"/>
  <c r="L53" i="13"/>
  <c r="K53" i="13"/>
  <c r="J53" i="13"/>
  <c r="J56" i="13" s="1"/>
  <c r="I53" i="13"/>
  <c r="H53" i="13"/>
  <c r="G53" i="13"/>
  <c r="F53" i="13"/>
  <c r="F56" i="13" s="1"/>
  <c r="E53" i="13"/>
  <c r="E56" i="13" s="1"/>
  <c r="D53" i="13"/>
  <c r="C53" i="13"/>
  <c r="S49" i="13"/>
  <c r="R49" i="13"/>
  <c r="R52" i="13" s="1"/>
  <c r="Q49" i="13"/>
  <c r="N49" i="13"/>
  <c r="N52" i="13" s="1"/>
  <c r="M49" i="13"/>
  <c r="J49" i="13"/>
  <c r="J52" i="13" s="1"/>
  <c r="I49" i="13"/>
  <c r="H49" i="13"/>
  <c r="H52" i="13" s="1"/>
  <c r="G49" i="13"/>
  <c r="G52" i="13" s="1"/>
  <c r="F49" i="13"/>
  <c r="F52" i="13" s="1"/>
  <c r="E49" i="13"/>
  <c r="D49" i="13"/>
  <c r="D52" i="13" s="1"/>
  <c r="C49" i="13"/>
  <c r="M48" i="13"/>
  <c r="L48" i="13"/>
  <c r="K48" i="13"/>
  <c r="J48" i="13"/>
  <c r="I48" i="13"/>
  <c r="H48" i="13"/>
  <c r="G48" i="13"/>
  <c r="F48" i="13"/>
  <c r="E48" i="13"/>
  <c r="D48" i="13"/>
  <c r="C48" i="13"/>
  <c r="V47" i="13"/>
  <c r="U47" i="13"/>
  <c r="T47" i="13"/>
  <c r="R47" i="13"/>
  <c r="Q47" i="13"/>
  <c r="P47" i="13"/>
  <c r="O47" i="13"/>
  <c r="N47" i="13"/>
  <c r="M47" i="13"/>
  <c r="L47" i="13"/>
  <c r="K47" i="13"/>
  <c r="J47" i="13"/>
  <c r="I47" i="13"/>
  <c r="H47" i="13"/>
  <c r="G47" i="13"/>
  <c r="F47" i="13"/>
  <c r="E47" i="13"/>
  <c r="D47" i="13"/>
  <c r="C47" i="13"/>
  <c r="V46" i="13"/>
  <c r="U46" i="13"/>
  <c r="T46" i="13"/>
  <c r="S46" i="13"/>
  <c r="R46" i="13"/>
  <c r="Q46" i="13"/>
  <c r="P46" i="13"/>
  <c r="O46" i="13"/>
  <c r="N46" i="13"/>
  <c r="M46" i="13"/>
  <c r="L46" i="13"/>
  <c r="K46" i="13"/>
  <c r="J46" i="13"/>
  <c r="I46" i="13"/>
  <c r="H46" i="13"/>
  <c r="G46" i="13"/>
  <c r="V45" i="13"/>
  <c r="U45" i="13"/>
  <c r="T45" i="13"/>
  <c r="S45" i="13"/>
  <c r="R45" i="13"/>
  <c r="Q45" i="13"/>
  <c r="P45" i="13"/>
  <c r="O45" i="13"/>
  <c r="N45" i="13"/>
  <c r="M45" i="13"/>
  <c r="L45" i="13"/>
  <c r="K45" i="13"/>
  <c r="J45" i="13"/>
  <c r="I45" i="13"/>
  <c r="H45" i="13"/>
  <c r="G45" i="13"/>
  <c r="F45" i="13"/>
  <c r="E45" i="13"/>
  <c r="D45" i="13"/>
  <c r="AV44" i="13"/>
  <c r="AU44" i="13"/>
  <c r="AT44" i="13"/>
  <c r="AS44" i="13"/>
  <c r="AR44" i="13"/>
  <c r="AR48" i="13" s="1"/>
  <c r="W44" i="13"/>
  <c r="S42" i="13"/>
  <c r="R42" i="13"/>
  <c r="Q42" i="13"/>
  <c r="N42" i="13"/>
  <c r="M42" i="13"/>
  <c r="J42" i="13"/>
  <c r="I42" i="13"/>
  <c r="H42" i="13"/>
  <c r="G42" i="13"/>
  <c r="F42" i="13"/>
  <c r="E42" i="13"/>
  <c r="D42" i="13"/>
  <c r="C42" i="13"/>
  <c r="S41" i="13"/>
  <c r="R41" i="13"/>
  <c r="Q41" i="13"/>
  <c r="P41" i="13"/>
  <c r="N41" i="13"/>
  <c r="M41" i="13"/>
  <c r="L41" i="13"/>
  <c r="J41" i="13"/>
  <c r="I41" i="13"/>
  <c r="H41" i="13"/>
  <c r="G41" i="13"/>
  <c r="S40" i="13"/>
  <c r="R40" i="13"/>
  <c r="Q40" i="13"/>
  <c r="P40" i="13"/>
  <c r="O40" i="13"/>
  <c r="N40" i="13"/>
  <c r="M40" i="13"/>
  <c r="J40" i="13"/>
  <c r="I40" i="13"/>
  <c r="H40" i="13"/>
  <c r="G40" i="13"/>
  <c r="F40" i="13"/>
  <c r="E40" i="13"/>
  <c r="D40" i="13"/>
  <c r="AU39" i="13"/>
  <c r="AS39" i="13"/>
  <c r="AS75" i="13" s="1"/>
  <c r="AR39" i="13"/>
  <c r="AS36" i="13"/>
  <c r="AR36" i="13"/>
  <c r="AQ36" i="13"/>
  <c r="AG36" i="13"/>
  <c r="AD36" i="13"/>
  <c r="AB36" i="13"/>
  <c r="Y36" i="13"/>
  <c r="X36" i="13"/>
  <c r="V36" i="13"/>
  <c r="U36" i="13"/>
  <c r="T36" i="13"/>
  <c r="S36" i="13"/>
  <c r="Q36" i="13"/>
  <c r="O36" i="13"/>
  <c r="N36" i="13"/>
  <c r="M36" i="13"/>
  <c r="L36" i="13"/>
  <c r="K36" i="13"/>
  <c r="J36" i="13"/>
  <c r="I36" i="13"/>
  <c r="H36" i="13"/>
  <c r="G36" i="13"/>
  <c r="F36" i="13"/>
  <c r="E36" i="13"/>
  <c r="D36" i="13"/>
  <c r="C36" i="13"/>
  <c r="AY35" i="13"/>
  <c r="S35" i="13"/>
  <c r="R35" i="13"/>
  <c r="Q35" i="13"/>
  <c r="N35" i="13"/>
  <c r="M35" i="13"/>
  <c r="J35" i="13"/>
  <c r="I35" i="13"/>
  <c r="H35" i="13"/>
  <c r="G35" i="13"/>
  <c r="F35" i="13"/>
  <c r="E35" i="13"/>
  <c r="D35" i="13"/>
  <c r="C35" i="13"/>
  <c r="BC34" i="13"/>
  <c r="BB34" i="13"/>
  <c r="AP34" i="13"/>
  <c r="AO34" i="13"/>
  <c r="AN34" i="13"/>
  <c r="AM34" i="13"/>
  <c r="AL34" i="13"/>
  <c r="AK34" i="13"/>
  <c r="AJ34" i="13"/>
  <c r="AI34" i="13"/>
  <c r="AH34" i="13"/>
  <c r="AG34" i="13"/>
  <c r="AE34" i="13"/>
  <c r="AC34" i="13"/>
  <c r="AA34" i="13"/>
  <c r="Z34" i="13"/>
  <c r="Y34" i="13"/>
  <c r="W34" i="13"/>
  <c r="S34" i="13"/>
  <c r="S32" i="13"/>
  <c r="R32" i="13"/>
  <c r="Q32" i="13"/>
  <c r="P32" i="13"/>
  <c r="O32" i="13"/>
  <c r="N32" i="13"/>
  <c r="M32" i="13"/>
  <c r="L32" i="13"/>
  <c r="K32" i="13"/>
  <c r="J32" i="13"/>
  <c r="I32" i="13"/>
  <c r="H32" i="13"/>
  <c r="G32" i="13"/>
  <c r="S31" i="13"/>
  <c r="R31" i="13"/>
  <c r="Q31" i="13"/>
  <c r="P31" i="13"/>
  <c r="O31" i="13"/>
  <c r="N31" i="13"/>
  <c r="M31" i="13"/>
  <c r="L31" i="13"/>
  <c r="K31" i="13"/>
  <c r="J31" i="13"/>
  <c r="I31" i="13"/>
  <c r="H31" i="13"/>
  <c r="G31" i="13"/>
  <c r="F31" i="13"/>
  <c r="E31" i="13"/>
  <c r="D31" i="13"/>
  <c r="AU30" i="13"/>
  <c r="AT30" i="13"/>
  <c r="AS30" i="13"/>
  <c r="AS89" i="13" s="1"/>
  <c r="AR30" i="13"/>
  <c r="AR32" i="13" s="1"/>
  <c r="W30" i="13"/>
  <c r="AA30" i="13" s="1"/>
  <c r="V30" i="13"/>
  <c r="U30" i="13"/>
  <c r="U89" i="13" s="1"/>
  <c r="T30" i="13"/>
  <c r="X30" i="13" s="1"/>
  <c r="L28" i="13"/>
  <c r="L27" i="13" s="1"/>
  <c r="S27" i="13"/>
  <c r="R27" i="13"/>
  <c r="Q27" i="13"/>
  <c r="P27" i="13"/>
  <c r="O27" i="13"/>
  <c r="N27" i="13"/>
  <c r="K27" i="13"/>
  <c r="K28" i="13" s="1"/>
  <c r="S25" i="13"/>
  <c r="R25" i="13"/>
  <c r="P25" i="13"/>
  <c r="O25" i="13"/>
  <c r="N25" i="13"/>
  <c r="L25" i="13"/>
  <c r="K25" i="13"/>
  <c r="J25" i="13"/>
  <c r="I25" i="13"/>
  <c r="H25" i="13"/>
  <c r="G25" i="13"/>
  <c r="S24" i="13"/>
  <c r="R24" i="13"/>
  <c r="Q24" i="13"/>
  <c r="P24" i="13"/>
  <c r="O24" i="13"/>
  <c r="L24" i="13"/>
  <c r="K24" i="13"/>
  <c r="J24" i="13"/>
  <c r="I24" i="13"/>
  <c r="H24" i="13"/>
  <c r="G24" i="13"/>
  <c r="F24" i="13"/>
  <c r="E24" i="13"/>
  <c r="D24" i="13"/>
  <c r="AU23" i="13"/>
  <c r="AS23" i="13"/>
  <c r="AR23" i="13"/>
  <c r="AR25" i="13" s="1"/>
  <c r="W23" i="13"/>
  <c r="W15" i="13" s="1"/>
  <c r="W21" i="13" s="1"/>
  <c r="V23" i="13"/>
  <c r="U23" i="13"/>
  <c r="U15" i="13" s="1"/>
  <c r="U16" i="13" s="1"/>
  <c r="T23" i="13"/>
  <c r="T24" i="13" s="1"/>
  <c r="M23" i="13"/>
  <c r="S21" i="13"/>
  <c r="R21" i="13"/>
  <c r="AI20" i="13"/>
  <c r="AH20" i="13"/>
  <c r="AG20" i="13"/>
  <c r="AF20" i="13"/>
  <c r="AE20" i="13"/>
  <c r="AD20" i="13"/>
  <c r="AC20" i="13"/>
  <c r="AB20" i="13"/>
  <c r="AA20" i="13"/>
  <c r="Z20" i="13"/>
  <c r="Y20" i="13"/>
  <c r="X20" i="13"/>
  <c r="W20" i="13"/>
  <c r="V20" i="13"/>
  <c r="AY19" i="13"/>
  <c r="AY21" i="13" s="1"/>
  <c r="AX19" i="13"/>
  <c r="AW19" i="13"/>
  <c r="AV19" i="13"/>
  <c r="AY18" i="13"/>
  <c r="R18" i="13"/>
  <c r="N18" i="13"/>
  <c r="M18" i="13"/>
  <c r="J18" i="13"/>
  <c r="I18" i="13"/>
  <c r="H18" i="13"/>
  <c r="G18" i="13"/>
  <c r="S17" i="13"/>
  <c r="R17" i="13"/>
  <c r="N17" i="13"/>
  <c r="J17" i="13"/>
  <c r="I17" i="13"/>
  <c r="H17" i="13"/>
  <c r="G17" i="13"/>
  <c r="F17" i="13"/>
  <c r="E17" i="13"/>
  <c r="D17" i="13"/>
  <c r="R16" i="13"/>
  <c r="Q16" i="13"/>
  <c r="N16" i="13"/>
  <c r="M16" i="13"/>
  <c r="J16" i="13"/>
  <c r="I16" i="13"/>
  <c r="H16" i="13"/>
  <c r="G16" i="13"/>
  <c r="AS15" i="13"/>
  <c r="AS63" i="13" s="1"/>
  <c r="AR15" i="13"/>
  <c r="AQ15" i="13" s="1"/>
  <c r="P15" i="13"/>
  <c r="O15" i="13"/>
  <c r="L15" i="13"/>
  <c r="L18" i="13" s="1"/>
  <c r="K15" i="13"/>
  <c r="K17" i="13" s="1"/>
  <c r="AY11" i="13"/>
  <c r="BA6" i="13"/>
  <c r="AZ6" i="13"/>
  <c r="AY6" i="13"/>
  <c r="AX6" i="13"/>
  <c r="AW6" i="13"/>
  <c r="AV6" i="13"/>
  <c r="AU6" i="13"/>
  <c r="AT6" i="13"/>
  <c r="AT680" i="13" s="1"/>
  <c r="AS6" i="13"/>
  <c r="AR6" i="13"/>
  <c r="Q3" i="13"/>
  <c r="M3" i="13"/>
  <c r="I3" i="13"/>
  <c r="I2" i="13"/>
  <c r="AZ25" i="14"/>
  <c r="AZ18" i="14"/>
  <c r="AI187" i="14"/>
  <c r="AH202" i="14"/>
  <c r="AG17" i="14"/>
  <c r="BA25" i="14"/>
  <c r="AE17" i="14"/>
  <c r="BB202" i="14"/>
  <c r="AI25" i="14"/>
  <c r="AZ17" i="14"/>
  <c r="BA8" i="14"/>
  <c r="AE25" i="14"/>
  <c r="BA202" i="14"/>
  <c r="AI202" i="14"/>
  <c r="AZ187" i="14"/>
  <c r="AJ25" i="14"/>
  <c r="AK24" i="14"/>
  <c r="AZ7" i="14"/>
  <c r="AH17" i="14"/>
  <c r="BA24" i="14"/>
  <c r="AF24" i="14"/>
  <c r="AI7" i="14"/>
  <c r="AE203" i="14"/>
  <c r="AF187" i="14"/>
  <c r="AE188" i="14"/>
  <c r="AF202" i="14"/>
  <c r="AG25" i="14"/>
  <c r="AK18" i="14"/>
  <c r="BB18" i="14"/>
  <c r="AK25" i="14"/>
  <c r="AG188" i="14"/>
  <c r="AH188" i="14"/>
  <c r="AI203" i="14"/>
  <c r="AK187" i="14"/>
  <c r="BA131" i="14"/>
  <c r="AI17" i="14"/>
  <c r="AF25" i="14"/>
  <c r="AE131" i="14"/>
  <c r="AH8" i="14"/>
  <c r="AL188" i="14"/>
  <c r="BB25" i="14"/>
  <c r="AL169" i="14"/>
  <c r="AZ8" i="14"/>
  <c r="AJ18" i="14"/>
  <c r="AL8" i="14"/>
  <c r="BA18" i="14"/>
  <c r="AH7" i="14"/>
  <c r="BB7" i="14"/>
  <c r="BA188" i="14"/>
  <c r="AE187" i="14"/>
  <c r="AL131" i="14"/>
  <c r="AG8" i="14"/>
  <c r="AZ203" i="14"/>
  <c r="AL17" i="14"/>
  <c r="AG203" i="14"/>
  <c r="AE8" i="14"/>
  <c r="AE18" i="14"/>
  <c r="AK188" i="14"/>
  <c r="AL187" i="14"/>
  <c r="BB24" i="14"/>
  <c r="AL7" i="14"/>
  <c r="BB131" i="14"/>
  <c r="BB187" i="14"/>
  <c r="AK7" i="14"/>
  <c r="AF169" i="14"/>
  <c r="AI18" i="14"/>
  <c r="AJ188" i="14"/>
  <c r="AF8" i="14"/>
  <c r="AZ202" i="14"/>
  <c r="BB8" i="14"/>
  <c r="AJ187" i="14"/>
  <c r="AG24" i="14"/>
  <c r="AH18" i="14"/>
  <c r="AI24" i="14"/>
  <c r="AH203" i="14"/>
  <c r="AF131" i="14"/>
  <c r="AZ131" i="14"/>
  <c r="AK17" i="14"/>
  <c r="AI8" i="14"/>
  <c r="BB169" i="14"/>
  <c r="BB203" i="14"/>
  <c r="AJ131" i="14"/>
  <c r="AG131" i="14"/>
  <c r="AI169" i="14"/>
  <c r="AF17" i="14"/>
  <c r="AG202" i="14"/>
  <c r="AF188" i="14"/>
  <c r="AJ8" i="14"/>
  <c r="AK131" i="14"/>
  <c r="AG7" i="14"/>
  <c r="AH187" i="14"/>
  <c r="AK8" i="14"/>
  <c r="AF203" i="14"/>
  <c r="BB188" i="14"/>
  <c r="AH169" i="14"/>
  <c r="AI188" i="14"/>
  <c r="AZ188" i="14"/>
  <c r="AE7" i="14"/>
  <c r="AG18" i="14"/>
  <c r="AK169" i="14"/>
  <c r="BA203" i="14"/>
  <c r="BB17" i="14"/>
  <c r="AG187" i="14"/>
  <c r="AF18" i="14"/>
  <c r="BA169" i="14"/>
  <c r="AG169" i="14"/>
  <c r="AL18" i="14"/>
  <c r="BA187" i="14"/>
  <c r="AH25" i="14"/>
  <c r="AJ169" i="14"/>
  <c r="AJ7" i="14"/>
  <c r="AH131" i="14"/>
  <c r="AJ17" i="14"/>
  <c r="AF7" i="14"/>
  <c r="AH24" i="14"/>
  <c r="AZ24" i="14"/>
  <c r="AI131" i="14"/>
  <c r="BA17" i="14"/>
  <c r="AE24" i="14"/>
  <c r="AE202" i="14"/>
  <c r="AE169" i="14"/>
  <c r="AZ169" i="14"/>
  <c r="AJ24" i="14"/>
  <c r="P569" i="13" l="1"/>
  <c r="AJ217" i="13"/>
  <c r="BA13" i="14"/>
  <c r="BA15" i="14" s="1"/>
  <c r="AZ257" i="14"/>
  <c r="BA264" i="14"/>
  <c r="AV36" i="13"/>
  <c r="AE165" i="13"/>
  <c r="L89" i="13"/>
  <c r="AF167" i="13"/>
  <c r="F496" i="13"/>
  <c r="D429" i="13"/>
  <c r="S569" i="13"/>
  <c r="X31" i="13"/>
  <c r="AY381" i="13"/>
  <c r="J523" i="13"/>
  <c r="M569" i="13"/>
  <c r="AY569" i="13"/>
  <c r="T48" i="13"/>
  <c r="BA69" i="14"/>
  <c r="AZ151" i="14"/>
  <c r="BA53" i="14"/>
  <c r="BA54" i="14" s="1"/>
  <c r="BA58" i="14"/>
  <c r="BA59" i="14" s="1"/>
  <c r="E429" i="13"/>
  <c r="T15" i="13"/>
  <c r="AU167" i="13"/>
  <c r="AG171" i="14"/>
  <c r="BA171" i="14" s="1"/>
  <c r="BA172" i="14" s="1"/>
  <c r="BA93" i="14"/>
  <c r="BA94" i="14" s="1"/>
  <c r="AE141" i="14"/>
  <c r="BA70" i="14"/>
  <c r="AI174" i="14"/>
  <c r="BD43" i="14"/>
  <c r="BE43" i="14" s="1"/>
  <c r="BF43" i="14" s="1"/>
  <c r="BG43" i="14" s="1"/>
  <c r="BH43" i="14" s="1"/>
  <c r="BI43" i="14" s="1"/>
  <c r="BJ43" i="14" s="1"/>
  <c r="BA44" i="14"/>
  <c r="AG177" i="14"/>
  <c r="BA177" i="14" s="1"/>
  <c r="BA103" i="14"/>
  <c r="BA104" i="14" s="1"/>
  <c r="AY165" i="14"/>
  <c r="AY182" i="14"/>
  <c r="AT241" i="14"/>
  <c r="AT249" i="14"/>
  <c r="AA191" i="14"/>
  <c r="AZ266" i="14"/>
  <c r="AI177" i="14"/>
  <c r="AZ152" i="14"/>
  <c r="BP151" i="14"/>
  <c r="AY253" i="14"/>
  <c r="AZ273" i="14"/>
  <c r="AH273" i="14"/>
  <c r="AF138" i="14"/>
  <c r="AE178" i="14"/>
  <c r="BA195" i="14"/>
  <c r="AI195" i="14"/>
  <c r="AJ195" i="14" s="1"/>
  <c r="AG174" i="14"/>
  <c r="BA174" i="14" s="1"/>
  <c r="BA100" i="14"/>
  <c r="AB235" i="14"/>
  <c r="AZ244" i="14"/>
  <c r="BA37" i="14"/>
  <c r="BA38" i="14" s="1"/>
  <c r="BA66" i="14"/>
  <c r="BA67" i="14" s="1"/>
  <c r="AZ138" i="14"/>
  <c r="AZ139" i="14" s="1"/>
  <c r="BA257" i="14"/>
  <c r="AI257" i="14"/>
  <c r="AB90" i="3"/>
  <c r="BE301" i="14"/>
  <c r="BD264" i="14"/>
  <c r="AG151" i="14"/>
  <c r="BA151" i="14" s="1"/>
  <c r="BA77" i="14"/>
  <c r="BA78" i="14" s="1"/>
  <c r="AH155" i="14"/>
  <c r="AI155" i="14" s="1"/>
  <c r="AJ155" i="14" s="1"/>
  <c r="AK155" i="14" s="1"/>
  <c r="AL155" i="14" s="1"/>
  <c r="AM155" i="14" s="1"/>
  <c r="AN155" i="14" s="1"/>
  <c r="AO155" i="14" s="1"/>
  <c r="AP155" i="14" s="1"/>
  <c r="BA80" i="14"/>
  <c r="AH61" i="14"/>
  <c r="AH56" i="14" s="1"/>
  <c r="AH73" i="14" s="1"/>
  <c r="M90" i="13"/>
  <c r="M88" i="13" s="1"/>
  <c r="M91" i="13"/>
  <c r="M87" i="13" s="1"/>
  <c r="M86" i="13"/>
  <c r="AL91" i="13"/>
  <c r="AN169" i="13"/>
  <c r="AN93" i="13" s="1"/>
  <c r="AW211" i="13"/>
  <c r="F89" i="13"/>
  <c r="J169" i="13"/>
  <c r="L55" i="13"/>
  <c r="Y210" i="13"/>
  <c r="Y208" i="13" s="1"/>
  <c r="Y225" i="13" s="1"/>
  <c r="Y226" i="13" s="1"/>
  <c r="Q569" i="13"/>
  <c r="H37" i="13"/>
  <c r="AX135" i="13"/>
  <c r="N169" i="13"/>
  <c r="N93" i="13" s="1"/>
  <c r="N90" i="13" s="1"/>
  <c r="N88" i="13" s="1"/>
  <c r="AE328" i="13"/>
  <c r="Q165" i="13"/>
  <c r="AX307" i="13"/>
  <c r="AX286" i="13"/>
  <c r="N383" i="13"/>
  <c r="F169" i="13"/>
  <c r="AZ38" i="14"/>
  <c r="AC218" i="14"/>
  <c r="AC219" i="14" s="1"/>
  <c r="AC220" i="14" s="1"/>
  <c r="AV46" i="13"/>
  <c r="S91" i="13"/>
  <c r="S87" i="13" s="1"/>
  <c r="Z165" i="13"/>
  <c r="Z166" i="13" s="1"/>
  <c r="Q332" i="13"/>
  <c r="Q333" i="13" s="1"/>
  <c r="AU329" i="13"/>
  <c r="AU382" i="13" s="1"/>
  <c r="BA585" i="13"/>
  <c r="V296" i="13"/>
  <c r="S88" i="13"/>
  <c r="C429" i="13"/>
  <c r="BA519" i="13"/>
  <c r="X569" i="13"/>
  <c r="AF569" i="13"/>
  <c r="Y116" i="13"/>
  <c r="AW310" i="13"/>
  <c r="T322" i="13"/>
  <c r="F375" i="13"/>
  <c r="AS662" i="13"/>
  <c r="AT661" i="13" s="1"/>
  <c r="AV205" i="14"/>
  <c r="AV206" i="14" s="1"/>
  <c r="K93" i="13"/>
  <c r="K90" i="13" s="1"/>
  <c r="K88" i="13" s="1"/>
  <c r="AT47" i="13"/>
  <c r="K89" i="13"/>
  <c r="P190" i="13"/>
  <c r="AR402" i="13"/>
  <c r="Y569" i="13"/>
  <c r="AG569" i="13"/>
  <c r="AU74" i="13"/>
  <c r="AC328" i="13"/>
  <c r="AZ585" i="13"/>
  <c r="AV381" i="13"/>
  <c r="AV592" i="13" s="1"/>
  <c r="S98" i="13"/>
  <c r="AJ330" i="13"/>
  <c r="AJ341" i="13" s="1"/>
  <c r="AT671" i="13"/>
  <c r="AY206" i="13"/>
  <c r="M191" i="13"/>
  <c r="AS190" i="13"/>
  <c r="AV671" i="13"/>
  <c r="N98" i="13"/>
  <c r="Z125" i="13"/>
  <c r="BB181" i="13"/>
  <c r="AY193" i="13"/>
  <c r="AV378" i="13"/>
  <c r="AX378" i="13"/>
  <c r="O569" i="13"/>
  <c r="Z464" i="13"/>
  <c r="H191" i="13"/>
  <c r="AI328" i="13"/>
  <c r="AY54" i="14"/>
  <c r="AD191" i="14"/>
  <c r="AI38" i="3"/>
  <c r="Q180" i="14"/>
  <c r="AF135" i="14"/>
  <c r="AI40" i="3"/>
  <c r="AY40" i="14"/>
  <c r="AC34" i="3"/>
  <c r="BE262" i="14"/>
  <c r="BM40" i="3"/>
  <c r="L32" i="14"/>
  <c r="T32" i="14"/>
  <c r="V182" i="14"/>
  <c r="V180" i="14" s="1"/>
  <c r="BM38" i="3"/>
  <c r="AI20" i="14"/>
  <c r="BE256" i="14"/>
  <c r="AK194" i="13"/>
  <c r="AW67" i="13"/>
  <c r="S76" i="13"/>
  <c r="AU272" i="13"/>
  <c r="Q2" i="13"/>
  <c r="W24" i="13"/>
  <c r="AD37" i="13"/>
  <c r="E54" i="13"/>
  <c r="I191" i="13"/>
  <c r="AU330" i="13"/>
  <c r="AZ363" i="13"/>
  <c r="AG38" i="13"/>
  <c r="N55" i="13"/>
  <c r="I454" i="13"/>
  <c r="AW312" i="13"/>
  <c r="L38" i="13"/>
  <c r="AS46" i="13"/>
  <c r="P91" i="13"/>
  <c r="P87" i="13" s="1"/>
  <c r="M98" i="13"/>
  <c r="AV193" i="13"/>
  <c r="R257" i="13"/>
  <c r="AU257" i="13" s="1"/>
  <c r="G399" i="13"/>
  <c r="G449" i="13" s="1"/>
  <c r="H55" i="13"/>
  <c r="X304" i="13"/>
  <c r="L427" i="13"/>
  <c r="AU671" i="13"/>
  <c r="T27" i="13"/>
  <c r="AU67" i="13"/>
  <c r="AV211" i="13"/>
  <c r="AV210" i="13" s="1"/>
  <c r="S263" i="13"/>
  <c r="S292" i="13" s="1"/>
  <c r="L441" i="13"/>
  <c r="AW239" i="14"/>
  <c r="AX239" i="14"/>
  <c r="X280" i="14"/>
  <c r="G62" i="14"/>
  <c r="AZ67" i="14"/>
  <c r="AJ20" i="14"/>
  <c r="AN20" i="14" s="1"/>
  <c r="AZ239" i="14"/>
  <c r="AI77" i="14"/>
  <c r="AI151" i="14" s="1"/>
  <c r="R180" i="14"/>
  <c r="AC280" i="14"/>
  <c r="X264" i="14"/>
  <c r="AY264" i="14" s="1"/>
  <c r="M9" i="1"/>
  <c r="U4" i="1"/>
  <c r="M15" i="1"/>
  <c r="AB53" i="3"/>
  <c r="AB56" i="3"/>
  <c r="N15" i="1"/>
  <c r="V4" i="1"/>
  <c r="N9" i="1"/>
  <c r="BA179" i="13"/>
  <c r="AX22" i="14"/>
  <c r="AX205" i="14"/>
  <c r="AX206" i="14" s="1"/>
  <c r="AV252" i="13"/>
  <c r="M76" i="13"/>
  <c r="O98" i="13"/>
  <c r="J454" i="13"/>
  <c r="BB179" i="13"/>
  <c r="BC181" i="13"/>
  <c r="M190" i="13"/>
  <c r="AY462" i="13"/>
  <c r="AZ199" i="13"/>
  <c r="Y316" i="13"/>
  <c r="R332" i="13"/>
  <c r="AX381" i="13"/>
  <c r="C398" i="13"/>
  <c r="C448" i="13" s="1"/>
  <c r="AT568" i="13"/>
  <c r="Y74" i="13"/>
  <c r="S120" i="13"/>
  <c r="AH167" i="13"/>
  <c r="AH165" i="13" s="1"/>
  <c r="AH166" i="13" s="1"/>
  <c r="AM307" i="13"/>
  <c r="AZ594" i="13"/>
  <c r="AT32" i="13"/>
  <c r="M38" i="13"/>
  <c r="G51" i="13"/>
  <c r="G54" i="13"/>
  <c r="AL66" i="13"/>
  <c r="Z74" i="13"/>
  <c r="Q98" i="13"/>
  <c r="X117" i="13"/>
  <c r="T120" i="13"/>
  <c r="S124" i="13"/>
  <c r="AA124" i="13"/>
  <c r="AY168" i="13"/>
  <c r="AY36" i="13" s="1"/>
  <c r="AY71" i="13" s="1"/>
  <c r="AX216" i="13"/>
  <c r="AB296" i="13"/>
  <c r="Y307" i="13"/>
  <c r="AW307" i="13" s="1"/>
  <c r="H374" i="13"/>
  <c r="AJ379" i="13"/>
  <c r="J510" i="13"/>
  <c r="J511" i="13" s="1"/>
  <c r="V568" i="13"/>
  <c r="AV568" i="13" s="1"/>
  <c r="Y38" i="13"/>
  <c r="J51" i="13"/>
  <c r="H54" i="13"/>
  <c r="AY65" i="13"/>
  <c r="P77" i="13"/>
  <c r="P121" i="13"/>
  <c r="T124" i="13"/>
  <c r="AS165" i="13"/>
  <c r="AS454" i="13" s="1"/>
  <c r="AQ375" i="13"/>
  <c r="AU649" i="13"/>
  <c r="AU658" i="13" s="1"/>
  <c r="I613" i="13"/>
  <c r="I679" i="13" s="1"/>
  <c r="I680" i="13" s="1"/>
  <c r="AX623" i="13"/>
  <c r="AX618" i="13" s="1"/>
  <c r="AX633" i="13" s="1"/>
  <c r="AW20" i="13"/>
  <c r="AA23" i="13"/>
  <c r="AA15" i="13" s="1"/>
  <c r="AA21" i="13" s="1"/>
  <c r="G37" i="13"/>
  <c r="O37" i="13"/>
  <c r="Z36" i="13"/>
  <c r="Z38" i="13" s="1"/>
  <c r="R51" i="13"/>
  <c r="N56" i="13"/>
  <c r="AO64" i="13"/>
  <c r="AO69" i="13" s="1"/>
  <c r="AS65" i="13"/>
  <c r="Q76" i="13"/>
  <c r="AV38" i="13"/>
  <c r="AT190" i="13"/>
  <c r="J191" i="13"/>
  <c r="R191" i="13"/>
  <c r="AL194" i="13"/>
  <c r="U311" i="13"/>
  <c r="AG353" i="13"/>
  <c r="G375" i="13"/>
  <c r="AD675" i="13"/>
  <c r="Q38" i="13"/>
  <c r="AS61" i="13"/>
  <c r="AQ90" i="13"/>
  <c r="AQ88" i="13" s="1"/>
  <c r="W121" i="13"/>
  <c r="AY221" i="13"/>
  <c r="AY222" i="13" s="1"/>
  <c r="AB662" i="13"/>
  <c r="AC661" i="13" s="1"/>
  <c r="AC662" i="13" s="1"/>
  <c r="AD661" i="13" s="1"/>
  <c r="AD662" i="13" s="1"/>
  <c r="AE661" i="13" s="1"/>
  <c r="P88" i="13"/>
  <c r="AS87" i="13"/>
  <c r="AR47" i="13"/>
  <c r="AT68" i="13"/>
  <c r="AM66" i="13"/>
  <c r="M114" i="13"/>
  <c r="M110" i="13" s="1"/>
  <c r="AU184" i="13"/>
  <c r="AO192" i="13"/>
  <c r="Z215" i="13"/>
  <c r="Z216" i="13" s="1"/>
  <c r="AW353" i="13"/>
  <c r="AU361" i="13"/>
  <c r="G660" i="13"/>
  <c r="G662" i="13" s="1"/>
  <c r="AH31" i="14"/>
  <c r="AH32" i="14" s="1"/>
  <c r="AY65" i="14"/>
  <c r="AU207" i="14"/>
  <c r="AX111" i="14"/>
  <c r="Z173" i="14"/>
  <c r="AU54" i="14"/>
  <c r="AZ54" i="14"/>
  <c r="AZ81" i="14"/>
  <c r="P173" i="14"/>
  <c r="BB195" i="14"/>
  <c r="BB216" i="14" s="1"/>
  <c r="AI80" i="14"/>
  <c r="AU31" i="14"/>
  <c r="AU49" i="14" s="1"/>
  <c r="AZ40" i="14"/>
  <c r="G56" i="14"/>
  <c r="G73" i="14" s="1"/>
  <c r="AV101" i="14"/>
  <c r="AI93" i="14"/>
  <c r="AZ178" i="14"/>
  <c r="U173" i="14"/>
  <c r="AU230" i="14"/>
  <c r="L17" i="13"/>
  <c r="K18" i="13"/>
  <c r="X23" i="13"/>
  <c r="M55" i="13"/>
  <c r="M54" i="13"/>
  <c r="AI36" i="13"/>
  <c r="AI167" i="13"/>
  <c r="AI165" i="13" s="1"/>
  <c r="AI230" i="13" s="1"/>
  <c r="Q85" i="13"/>
  <c r="Q97" i="13" s="1"/>
  <c r="Q53" i="13"/>
  <c r="Q56" i="13" s="1"/>
  <c r="V312" i="13"/>
  <c r="G438" i="13"/>
  <c r="G427" i="13"/>
  <c r="G441" i="13" s="1"/>
  <c r="BC529" i="13"/>
  <c r="BC590" i="13" s="1"/>
  <c r="BA651" i="13"/>
  <c r="BA658" i="13" s="1"/>
  <c r="BB534" i="13"/>
  <c r="BB651" i="13" s="1"/>
  <c r="BB658" i="13" s="1"/>
  <c r="W569" i="13"/>
  <c r="AE569" i="13"/>
  <c r="AZ624" i="13"/>
  <c r="AN624" i="13"/>
  <c r="AV119" i="13"/>
  <c r="AV124" i="13"/>
  <c r="V37" i="13"/>
  <c r="S50" i="13"/>
  <c r="S52" i="13"/>
  <c r="AV60" i="13"/>
  <c r="AV58" i="13"/>
  <c r="AV61" i="13" s="1"/>
  <c r="Q77" i="13"/>
  <c r="Q91" i="13"/>
  <c r="Q87" i="13" s="1"/>
  <c r="Q90" i="13"/>
  <c r="Q88" i="13" s="1"/>
  <c r="U108" i="13"/>
  <c r="U186" i="13" s="1"/>
  <c r="U208" i="13" s="1"/>
  <c r="O191" i="13"/>
  <c r="O114" i="13"/>
  <c r="AE662" i="13"/>
  <c r="AF661" i="13" s="1"/>
  <c r="AF662" i="13" s="1"/>
  <c r="AG661" i="13" s="1"/>
  <c r="AG662" i="13" s="1"/>
  <c r="AH661" i="13" s="1"/>
  <c r="AH662" i="13" s="1"/>
  <c r="AI661" i="13" s="1"/>
  <c r="AI662" i="13" s="1"/>
  <c r="AS568" i="13"/>
  <c r="J568" i="13" s="1"/>
  <c r="J566" i="13"/>
  <c r="J86" i="13"/>
  <c r="J93" i="13"/>
  <c r="J90" i="13" s="1"/>
  <c r="J88" i="13" s="1"/>
  <c r="L16" i="13"/>
  <c r="L91" i="13"/>
  <c r="L87" i="13" s="1"/>
  <c r="L90" i="13"/>
  <c r="L88" i="13" s="1"/>
  <c r="AK310" i="13"/>
  <c r="AO306" i="13"/>
  <c r="AO310" i="13" s="1"/>
  <c r="AO311" i="13" s="1"/>
  <c r="O86" i="13"/>
  <c r="O18" i="13"/>
  <c r="O17" i="13"/>
  <c r="I55" i="13"/>
  <c r="I56" i="13"/>
  <c r="AN91" i="13"/>
  <c r="W219" i="13"/>
  <c r="AW219" i="13" s="1"/>
  <c r="AW176" i="13"/>
  <c r="AA176" i="13"/>
  <c r="AE176" i="13" s="1"/>
  <c r="AE182" i="13" s="1"/>
  <c r="AY181" i="13"/>
  <c r="AH180" i="13"/>
  <c r="AH217" i="13" s="1"/>
  <c r="AL218" i="13"/>
  <c r="AK217" i="13"/>
  <c r="W285" i="13"/>
  <c r="AW285" i="13" s="1"/>
  <c r="AW284" i="13"/>
  <c r="AW286" i="13" s="1"/>
  <c r="AU542" i="13"/>
  <c r="AU549" i="13" s="1"/>
  <c r="O29" i="13"/>
  <c r="D50" i="13"/>
  <c r="C52" i="13"/>
  <c r="AH38" i="13"/>
  <c r="U3" i="13"/>
  <c r="AU15" i="13"/>
  <c r="AU35" i="13" s="1"/>
  <c r="U35" i="13"/>
  <c r="AR35" i="13"/>
  <c r="W36" i="13"/>
  <c r="W37" i="13" s="1"/>
  <c r="AE36" i="13"/>
  <c r="AE37" i="13" s="1"/>
  <c r="W53" i="13"/>
  <c r="W54" i="13" s="1"/>
  <c r="H51" i="13"/>
  <c r="J55" i="13"/>
  <c r="AW58" i="13"/>
  <c r="AW61" i="13" s="1"/>
  <c r="AV67" i="13"/>
  <c r="AV65" i="13"/>
  <c r="AT72" i="13"/>
  <c r="P98" i="13"/>
  <c r="AR454" i="13"/>
  <c r="BC179" i="13"/>
  <c r="BA181" i="13"/>
  <c r="N190" i="13"/>
  <c r="AM194" i="13"/>
  <c r="AY463" i="13"/>
  <c r="AD328" i="13"/>
  <c r="Y329" i="13"/>
  <c r="Y382" i="13" s="1"/>
  <c r="P273" i="13"/>
  <c r="AX281" i="13"/>
  <c r="AZ309" i="13"/>
  <c r="AY311" i="13"/>
  <c r="AX316" i="13"/>
  <c r="AV350" i="13"/>
  <c r="I374" i="13"/>
  <c r="AY394" i="13"/>
  <c r="I401" i="13"/>
  <c r="I402" i="13" s="1"/>
  <c r="I442" i="13" s="1"/>
  <c r="E405" i="13"/>
  <c r="J520" i="13"/>
  <c r="AT542" i="13"/>
  <c r="AT549" i="13" s="1"/>
  <c r="Q679" i="13"/>
  <c r="Q680" i="13" s="1"/>
  <c r="F37" i="13"/>
  <c r="N37" i="13"/>
  <c r="W45" i="13"/>
  <c r="E50" i="13"/>
  <c r="AX58" i="13"/>
  <c r="AX61" i="13" s="1"/>
  <c r="AV93" i="13"/>
  <c r="AV91" i="13" s="1"/>
  <c r="AX93" i="13"/>
  <c r="AX91" i="13" s="1"/>
  <c r="AZ93" i="13"/>
  <c r="L110" i="13"/>
  <c r="S125" i="13"/>
  <c r="H454" i="13"/>
  <c r="Q190" i="13"/>
  <c r="R190" i="13"/>
  <c r="AN192" i="13"/>
  <c r="AN194" i="13" s="1"/>
  <c r="AZ192" i="13"/>
  <c r="AZ193" i="13" s="1"/>
  <c r="AJ329" i="13"/>
  <c r="AJ382" i="13" s="1"/>
  <c r="Y330" i="13"/>
  <c r="AZ200" i="13"/>
  <c r="AL224" i="13"/>
  <c r="AX228" i="13"/>
  <c r="Q273" i="13"/>
  <c r="AU311" i="13"/>
  <c r="W311" i="13"/>
  <c r="AW316" i="13"/>
  <c r="AU328" i="13"/>
  <c r="AI333" i="13"/>
  <c r="J335" i="13"/>
  <c r="AS335" i="13" s="1"/>
  <c r="AU350" i="13"/>
  <c r="AW350" i="13"/>
  <c r="AX353" i="13"/>
  <c r="C375" i="13"/>
  <c r="G474" i="13" s="1"/>
  <c r="AT523" i="13"/>
  <c r="AT531" i="13" s="1"/>
  <c r="AT569" i="13" s="1"/>
  <c r="AS95" i="13"/>
  <c r="W46" i="13"/>
  <c r="N51" i="13"/>
  <c r="D96" i="13"/>
  <c r="U56" i="13"/>
  <c r="AY60" i="13"/>
  <c r="AX65" i="13"/>
  <c r="AU72" i="13"/>
  <c r="R98" i="13"/>
  <c r="T104" i="13"/>
  <c r="U124" i="13"/>
  <c r="AT124" i="13"/>
  <c r="AA125" i="13"/>
  <c r="AF328" i="13"/>
  <c r="S268" i="13"/>
  <c r="AW318" i="13"/>
  <c r="AV330" i="13"/>
  <c r="L345" i="13"/>
  <c r="L351" i="13" s="1"/>
  <c r="L429" i="13" s="1"/>
  <c r="T342" i="13"/>
  <c r="U342" i="13" s="1"/>
  <c r="H375" i="13"/>
  <c r="AS378" i="13"/>
  <c r="AU378" i="13"/>
  <c r="AW378" i="13"/>
  <c r="AU523" i="13"/>
  <c r="AU531" i="13" s="1"/>
  <c r="AU569" i="13" s="1"/>
  <c r="AX523" i="13"/>
  <c r="Z531" i="13"/>
  <c r="AW531" i="13" s="1"/>
  <c r="R569" i="13"/>
  <c r="AZ651" i="13"/>
  <c r="AZ658" i="13" s="1"/>
  <c r="N678" i="13"/>
  <c r="K459" i="13"/>
  <c r="AZ197" i="13"/>
  <c r="AG328" i="13"/>
  <c r="S258" i="13"/>
  <c r="U87" i="13"/>
  <c r="T31" i="13"/>
  <c r="AS35" i="13"/>
  <c r="I38" i="13"/>
  <c r="S38" i="13"/>
  <c r="AU95" i="13"/>
  <c r="F50" i="13"/>
  <c r="AU58" i="13"/>
  <c r="AU61" i="13" s="1"/>
  <c r="AP64" i="13"/>
  <c r="AZ64" i="13"/>
  <c r="AZ67" i="13" s="1"/>
  <c r="AX67" i="13"/>
  <c r="AV74" i="13"/>
  <c r="AY89" i="13"/>
  <c r="AV135" i="13"/>
  <c r="K454" i="13"/>
  <c r="AF176" i="13"/>
  <c r="AF219" i="13" s="1"/>
  <c r="L459" i="13"/>
  <c r="L190" i="13"/>
  <c r="AR190" i="13"/>
  <c r="P191" i="13"/>
  <c r="Z328" i="13"/>
  <c r="AH328" i="13"/>
  <c r="T332" i="13"/>
  <c r="T257" i="13"/>
  <c r="X258" i="13"/>
  <c r="AY281" i="13"/>
  <c r="AV284" i="13"/>
  <c r="AV286" i="13" s="1"/>
  <c r="R285" i="13"/>
  <c r="AX285" i="13"/>
  <c r="AX311" i="13"/>
  <c r="AY316" i="13"/>
  <c r="AY330" i="13"/>
  <c r="AS344" i="13"/>
  <c r="C376" i="13"/>
  <c r="AV649" i="13"/>
  <c r="AV658" i="13" s="1"/>
  <c r="BA540" i="13"/>
  <c r="BB540" i="13" s="1"/>
  <c r="AB569" i="13"/>
  <c r="AV623" i="13"/>
  <c r="AV618" i="13" s="1"/>
  <c r="AV633" i="13" s="1"/>
  <c r="W35" i="13"/>
  <c r="J38" i="13"/>
  <c r="N50" i="13"/>
  <c r="AL65" i="13"/>
  <c r="N97" i="13"/>
  <c r="R88" i="13"/>
  <c r="V120" i="13"/>
  <c r="Y125" i="13"/>
  <c r="M454" i="13"/>
  <c r="AA328" i="13"/>
  <c r="AZ216" i="13"/>
  <c r="AK221" i="13"/>
  <c r="V229" i="13"/>
  <c r="AX255" i="13"/>
  <c r="AX253" i="13" s="1"/>
  <c r="U257" i="13"/>
  <c r="S285" i="13"/>
  <c r="AV285" i="13" s="1"/>
  <c r="U286" i="13"/>
  <c r="U287" i="13" s="1"/>
  <c r="AY312" i="13"/>
  <c r="R312" i="13"/>
  <c r="BA318" i="13"/>
  <c r="BB318" i="13" s="1"/>
  <c r="BC318" i="13" s="1"/>
  <c r="AZ318" i="13"/>
  <c r="AE353" i="13"/>
  <c r="AW381" i="13"/>
  <c r="AQ399" i="13"/>
  <c r="AQ449" i="13" s="1"/>
  <c r="F405" i="13"/>
  <c r="U569" i="13"/>
  <c r="AX542" i="13"/>
  <c r="AU568" i="13"/>
  <c r="K38" i="13"/>
  <c r="X71" i="13"/>
  <c r="H96" i="13"/>
  <c r="U54" i="13"/>
  <c r="AY58" i="13"/>
  <c r="AY61" i="13" s="1"/>
  <c r="V74" i="13"/>
  <c r="P76" i="13"/>
  <c r="T123" i="13"/>
  <c r="Z182" i="13"/>
  <c r="N459" i="13"/>
  <c r="AZ183" i="13"/>
  <c r="AZ460" i="13" s="1"/>
  <c r="N191" i="13"/>
  <c r="AX193" i="13"/>
  <c r="AP463" i="13"/>
  <c r="S210" i="13"/>
  <c r="BA216" i="13"/>
  <c r="AB280" i="13"/>
  <c r="S311" i="13"/>
  <c r="AH355" i="13"/>
  <c r="AZ367" i="13"/>
  <c r="BA371" i="13"/>
  <c r="BB371" i="13" s="1"/>
  <c r="BC371" i="13" s="1"/>
  <c r="E374" i="13"/>
  <c r="AQ376" i="13"/>
  <c r="AT378" i="13"/>
  <c r="BA538" i="13"/>
  <c r="BA606" i="13" s="1"/>
  <c r="N569" i="13"/>
  <c r="AD568" i="13"/>
  <c r="AX568" i="13" s="1"/>
  <c r="AK37" i="14"/>
  <c r="AK135" i="14" s="1"/>
  <c r="AI61" i="14"/>
  <c r="AJ80" i="14"/>
  <c r="AL152" i="14"/>
  <c r="AM37" i="14"/>
  <c r="AM94" i="14"/>
  <c r="AN94" i="14" s="1"/>
  <c r="AO94" i="14" s="1"/>
  <c r="AJ93" i="14"/>
  <c r="AJ171" i="14" s="1"/>
  <c r="AK139" i="14"/>
  <c r="AJ58" i="14"/>
  <c r="AX31" i="14"/>
  <c r="AG21" i="14"/>
  <c r="AZ22" i="14"/>
  <c r="AZ35" i="14"/>
  <c r="AU59" i="14"/>
  <c r="AW70" i="14"/>
  <c r="AY101" i="14"/>
  <c r="AY167" i="14"/>
  <c r="AV230" i="14"/>
  <c r="W235" i="14"/>
  <c r="AY235" i="14" s="1"/>
  <c r="AJ37" i="14"/>
  <c r="AJ77" i="14"/>
  <c r="AJ151" i="14" s="1"/>
  <c r="AI135" i="14"/>
  <c r="AW59" i="14"/>
  <c r="AY70" i="14"/>
  <c r="AF218" i="14"/>
  <c r="AF219" i="14" s="1"/>
  <c r="AI41" i="14"/>
  <c r="AH14" i="14"/>
  <c r="AU22" i="14"/>
  <c r="AV65" i="14"/>
  <c r="AY104" i="14"/>
  <c r="V173" i="14"/>
  <c r="AU185" i="14"/>
  <c r="AY273" i="14"/>
  <c r="AA264" i="14"/>
  <c r="AZ264" i="14" s="1"/>
  <c r="AL20" i="14"/>
  <c r="AJ101" i="14"/>
  <c r="AT31" i="14"/>
  <c r="AT49" i="14" s="1"/>
  <c r="AZ59" i="14"/>
  <c r="AY78" i="14"/>
  <c r="AU94" i="14"/>
  <c r="AU101" i="14"/>
  <c r="AY155" i="14"/>
  <c r="N180" i="14"/>
  <c r="W191" i="14"/>
  <c r="W193" i="14" s="1"/>
  <c r="P246" i="14"/>
  <c r="P258" i="14" s="1"/>
  <c r="P295" i="14" s="1"/>
  <c r="P299" i="14" s="1"/>
  <c r="P302" i="14" s="1"/>
  <c r="P199" i="14" s="1"/>
  <c r="P205" i="14" s="1"/>
  <c r="P206" i="14" s="1"/>
  <c r="AU241" i="14"/>
  <c r="AW205" i="14"/>
  <c r="AW206" i="14" s="1"/>
  <c r="AK20" i="14"/>
  <c r="AZ172" i="14"/>
  <c r="AE32" i="14"/>
  <c r="AV54" i="14"/>
  <c r="AW101" i="14"/>
  <c r="AV207" i="14"/>
  <c r="AJ13" i="14"/>
  <c r="AM20" i="14"/>
  <c r="AI21" i="14"/>
  <c r="AL37" i="14"/>
  <c r="AI58" i="14"/>
  <c r="AL77" i="14"/>
  <c r="AY22" i="14"/>
  <c r="AW54" i="14"/>
  <c r="AZ65" i="14"/>
  <c r="AI13" i="14"/>
  <c r="AI31" i="14" s="1"/>
  <c r="AI32" i="14" s="1"/>
  <c r="AK77" i="14"/>
  <c r="AB85" i="3"/>
  <c r="AB59" i="3"/>
  <c r="AB68" i="3"/>
  <c r="AB36" i="3"/>
  <c r="AB84" i="3"/>
  <c r="AB86" i="3"/>
  <c r="AB78" i="3"/>
  <c r="AB87" i="3"/>
  <c r="AB67" i="3"/>
  <c r="AB70" i="3"/>
  <c r="AB79" i="3"/>
  <c r="AB88" i="3"/>
  <c r="AB76" i="3"/>
  <c r="AB77" i="3"/>
  <c r="AB71" i="3"/>
  <c r="AB81" i="3"/>
  <c r="AB89" i="3"/>
  <c r="AB72" i="3"/>
  <c r="AB82" i="3"/>
  <c r="AB66" i="3"/>
  <c r="AB74" i="3"/>
  <c r="AB83" i="3"/>
  <c r="AB65" i="3"/>
  <c r="AB75" i="3"/>
  <c r="AC56" i="14"/>
  <c r="AC73" i="14" s="1"/>
  <c r="AC84" i="14" s="1"/>
  <c r="AX70" i="14"/>
  <c r="O178" i="14"/>
  <c r="AV185" i="14"/>
  <c r="W302" i="14"/>
  <c r="S44" i="3" s="1"/>
  <c r="AY41" i="14"/>
  <c r="AD56" i="14"/>
  <c r="AD73" i="14" s="1"/>
  <c r="AV59" i="14"/>
  <c r="AG61" i="14"/>
  <c r="AG157" i="14" s="1"/>
  <c r="AH82" i="14"/>
  <c r="AU95" i="14"/>
  <c r="AX118" i="14"/>
  <c r="AV175" i="14"/>
  <c r="AV239" i="14"/>
  <c r="AY3" i="14"/>
  <c r="AY95" i="14" s="1"/>
  <c r="AV22" i="14"/>
  <c r="AX54" i="14"/>
  <c r="AX59" i="14"/>
  <c r="AY59" i="14"/>
  <c r="U62" i="14"/>
  <c r="AY67" i="14"/>
  <c r="AZ70" i="14"/>
  <c r="BA81" i="14"/>
  <c r="AZ95" i="14"/>
  <c r="AV104" i="14"/>
  <c r="AU104" i="14"/>
  <c r="AX175" i="14"/>
  <c r="AV177" i="14"/>
  <c r="AV178" i="14" s="1"/>
  <c r="AX177" i="14"/>
  <c r="AX178" i="14" s="1"/>
  <c r="X191" i="14"/>
  <c r="AU243" i="14"/>
  <c r="X218" i="14"/>
  <c r="X219" i="14" s="1"/>
  <c r="X220" i="14" s="1"/>
  <c r="X221" i="14" s="1"/>
  <c r="AZ104" i="14"/>
  <c r="AC191" i="14"/>
  <c r="AB218" i="14"/>
  <c r="AB219" i="14" s="1"/>
  <c r="AB220" i="14" s="1"/>
  <c r="AV31" i="14"/>
  <c r="S62" i="14"/>
  <c r="AA62" i="14"/>
  <c r="AZ78" i="14"/>
  <c r="BP144" i="14"/>
  <c r="L180" i="14"/>
  <c r="R173" i="14"/>
  <c r="P180" i="14"/>
  <c r="AI14" i="14"/>
  <c r="AX101" i="14"/>
  <c r="AW177" i="14"/>
  <c r="AW178" i="14" s="1"/>
  <c r="AY239" i="14"/>
  <c r="AE218" i="14"/>
  <c r="AE219" i="14" s="1"/>
  <c r="AE220" i="14" s="1"/>
  <c r="AB32" i="14"/>
  <c r="K62" i="14"/>
  <c r="Q236" i="14"/>
  <c r="AT61" i="14"/>
  <c r="AD221" i="14"/>
  <c r="AX135" i="14"/>
  <c r="AX136" i="14" s="1"/>
  <c r="Q6" i="14"/>
  <c r="M32" i="14"/>
  <c r="AY151" i="14"/>
  <c r="AY152" i="14" s="1"/>
  <c r="R236" i="14"/>
  <c r="AY180" i="14"/>
  <c r="AA32" i="14"/>
  <c r="M49" i="14"/>
  <c r="M84" i="14" s="1"/>
  <c r="M161" i="14" s="1"/>
  <c r="J6" i="14"/>
  <c r="N6" i="14"/>
  <c r="V6" i="14"/>
  <c r="AZ135" i="14"/>
  <c r="S6" i="14"/>
  <c r="P236" i="14"/>
  <c r="L49" i="14"/>
  <c r="P50" i="14" s="1"/>
  <c r="V62" i="14"/>
  <c r="AB147" i="14"/>
  <c r="AB161" i="14" s="1"/>
  <c r="AB159" i="14" s="1"/>
  <c r="AW280" i="14"/>
  <c r="AD32" i="14"/>
  <c r="W56" i="14"/>
  <c r="W73" i="14" s="1"/>
  <c r="Q230" i="14"/>
  <c r="E243" i="14"/>
  <c r="W32" i="14"/>
  <c r="AB56" i="14"/>
  <c r="AB73" i="14" s="1"/>
  <c r="AF74" i="14" s="1"/>
  <c r="W42" i="14"/>
  <c r="AX235" i="14"/>
  <c r="AC32" i="14"/>
  <c r="L62" i="14"/>
  <c r="T62" i="14"/>
  <c r="H6" i="14"/>
  <c r="AW5" i="14"/>
  <c r="H50" i="14"/>
  <c r="X32" i="14"/>
  <c r="K32" i="14"/>
  <c r="X42" i="14"/>
  <c r="T49" i="14"/>
  <c r="T50" i="14" s="1"/>
  <c r="K56" i="14"/>
  <c r="V56" i="14"/>
  <c r="V73" i="14" s="1"/>
  <c r="V84" i="14" s="1"/>
  <c r="N62" i="14"/>
  <c r="H241" i="14"/>
  <c r="O6" i="14"/>
  <c r="AE42" i="14"/>
  <c r="AB146" i="14"/>
  <c r="R6" i="14"/>
  <c r="T42" i="14"/>
  <c r="AA56" i="14"/>
  <c r="AA73" i="14" s="1"/>
  <c r="AE74" i="14" s="1"/>
  <c r="AB191" i="14"/>
  <c r="G230" i="14"/>
  <c r="AX280" i="14"/>
  <c r="G6" i="14"/>
  <c r="K6" i="14"/>
  <c r="K50" i="14"/>
  <c r="S32" i="14"/>
  <c r="AG39" i="14"/>
  <c r="AD49" i="14"/>
  <c r="H230" i="14"/>
  <c r="O232" i="14"/>
  <c r="O246" i="14" s="1"/>
  <c r="AT5" i="14"/>
  <c r="AA6" i="14"/>
  <c r="D84" i="14"/>
  <c r="I230" i="14"/>
  <c r="I6" i="14"/>
  <c r="M6" i="14"/>
  <c r="U6" i="14"/>
  <c r="E84" i="14"/>
  <c r="S56" i="14"/>
  <c r="Q232" i="14"/>
  <c r="Q246" i="14" s="1"/>
  <c r="U238" i="14"/>
  <c r="AU280" i="14"/>
  <c r="F84" i="14"/>
  <c r="AX138" i="14"/>
  <c r="AX139" i="14" s="1"/>
  <c r="AZ235" i="14"/>
  <c r="AZ191" i="14"/>
  <c r="AA282" i="14"/>
  <c r="AZ4" i="14"/>
  <c r="AX5" i="14"/>
  <c r="AY31" i="14"/>
  <c r="AY32" i="14" s="1"/>
  <c r="AY15" i="14"/>
  <c r="AZ15" i="14"/>
  <c r="W50" i="14"/>
  <c r="S50" i="14"/>
  <c r="C84" i="14"/>
  <c r="AT73" i="14"/>
  <c r="Q173" i="14"/>
  <c r="M180" i="14"/>
  <c r="AE173" i="14"/>
  <c r="AE172" i="14"/>
  <c r="AW238" i="14"/>
  <c r="AW243" i="14"/>
  <c r="AY5" i="14"/>
  <c r="W6" i="14"/>
  <c r="AG14" i="14"/>
  <c r="U141" i="14"/>
  <c r="U147" i="14" s="1"/>
  <c r="U42" i="14"/>
  <c r="AC141" i="14"/>
  <c r="AC146" i="14" s="1"/>
  <c r="AC42" i="14"/>
  <c r="AG41" i="14"/>
  <c r="AK41" i="14" s="1"/>
  <c r="AW61" i="14"/>
  <c r="AF14" i="14"/>
  <c r="AF15" i="14"/>
  <c r="AF118" i="14"/>
  <c r="AF267" i="14" s="1"/>
  <c r="AJ267" i="14" s="1"/>
  <c r="AN267" i="14" s="1"/>
  <c r="Y6" i="14"/>
  <c r="I62" i="14"/>
  <c r="I56" i="14"/>
  <c r="I73" i="14" s="1"/>
  <c r="Q62" i="14"/>
  <c r="Q56" i="14"/>
  <c r="Q73" i="14" s="1"/>
  <c r="Y157" i="14"/>
  <c r="Y62" i="14"/>
  <c r="Y56" i="14"/>
  <c r="Y73" i="14" s="1"/>
  <c r="AC62" i="14"/>
  <c r="N84" i="14"/>
  <c r="AZ129" i="14"/>
  <c r="AX185" i="14"/>
  <c r="AX184" i="14"/>
  <c r="G84" i="14"/>
  <c r="G74" i="14"/>
  <c r="P6" i="14"/>
  <c r="Z6" i="14"/>
  <c r="AH21" i="14"/>
  <c r="G50" i="14"/>
  <c r="O50" i="14"/>
  <c r="J62" i="14"/>
  <c r="J56" i="14"/>
  <c r="J73" i="14" s="1"/>
  <c r="N74" i="14" s="1"/>
  <c r="R62" i="14"/>
  <c r="R56" i="14"/>
  <c r="R73" i="14" s="1"/>
  <c r="Z157" i="14"/>
  <c r="Z62" i="14"/>
  <c r="Z56" i="14"/>
  <c r="Z73" i="14" s="1"/>
  <c r="AD62" i="14"/>
  <c r="U84" i="14"/>
  <c r="AW138" i="14"/>
  <c r="AD141" i="14"/>
  <c r="AD146" i="14" s="1"/>
  <c r="AD42" i="14"/>
  <c r="AH41" i="14"/>
  <c r="AF3" i="14"/>
  <c r="AH3" i="14" s="1"/>
  <c r="AI3" i="14" s="1"/>
  <c r="AJ3" i="14" s="1"/>
  <c r="AK3" i="14" s="1"/>
  <c r="AL3" i="14" s="1"/>
  <c r="AM3" i="14" s="1"/>
  <c r="AN3" i="14" s="1"/>
  <c r="AO3" i="14" s="1"/>
  <c r="AP3" i="14" s="1"/>
  <c r="AU5" i="14"/>
  <c r="AG31" i="14"/>
  <c r="AG32" i="14" s="1"/>
  <c r="AX41" i="14"/>
  <c r="AY35" i="14"/>
  <c r="AX35" i="14"/>
  <c r="AX49" i="14"/>
  <c r="AZ41" i="14"/>
  <c r="AZ42" i="14" s="1"/>
  <c r="AF64" i="14"/>
  <c r="BA64" i="14" s="1"/>
  <c r="BA65" i="14" s="1"/>
  <c r="AW175" i="14"/>
  <c r="V141" i="14"/>
  <c r="V147" i="14" s="1"/>
  <c r="V42" i="14"/>
  <c r="L6" i="14"/>
  <c r="T6" i="14"/>
  <c r="AV5" i="14"/>
  <c r="AW31" i="14"/>
  <c r="AW15" i="14"/>
  <c r="AF31" i="14"/>
  <c r="I49" i="14"/>
  <c r="I50" i="14" s="1"/>
  <c r="I32" i="14"/>
  <c r="Q49" i="14"/>
  <c r="Q32" i="14"/>
  <c r="Y32" i="14"/>
  <c r="Y49" i="14"/>
  <c r="Y50" i="14" s="1"/>
  <c r="U32" i="14"/>
  <c r="AT56" i="14"/>
  <c r="AV95" i="14"/>
  <c r="AV94" i="14"/>
  <c r="AW94" i="14"/>
  <c r="J49" i="14"/>
  <c r="J50" i="14" s="1"/>
  <c r="J32" i="14"/>
  <c r="R49" i="14"/>
  <c r="R50" i="14" s="1"/>
  <c r="R32" i="14"/>
  <c r="Z32" i="14"/>
  <c r="Z49" i="14"/>
  <c r="Z50" i="14" s="1"/>
  <c r="AZ31" i="14"/>
  <c r="O84" i="14"/>
  <c r="M62" i="14"/>
  <c r="N32" i="14"/>
  <c r="V32" i="14"/>
  <c r="W141" i="14"/>
  <c r="AY141" i="14" s="1"/>
  <c r="AY142" i="14" s="1"/>
  <c r="W124" i="14"/>
  <c r="Y42" i="14"/>
  <c r="AE49" i="14"/>
  <c r="AU61" i="14"/>
  <c r="O62" i="14"/>
  <c r="W62" i="14"/>
  <c r="AE62" i="14"/>
  <c r="AX94" i="14"/>
  <c r="AY175" i="14"/>
  <c r="L241" i="14"/>
  <c r="L232" i="14"/>
  <c r="L230" i="14"/>
  <c r="L238" i="14"/>
  <c r="L243" i="14"/>
  <c r="T241" i="14"/>
  <c r="T230" i="14"/>
  <c r="T243" i="14"/>
  <c r="T232" i="14"/>
  <c r="T238" i="14"/>
  <c r="AU15" i="14"/>
  <c r="G32" i="14"/>
  <c r="O32" i="14"/>
  <c r="AF41" i="14"/>
  <c r="BA41" i="14" s="1"/>
  <c r="BA42" i="14" s="1"/>
  <c r="Z42" i="14"/>
  <c r="X49" i="14"/>
  <c r="H56" i="14"/>
  <c r="P56" i="14"/>
  <c r="X56" i="14"/>
  <c r="X73" i="14" s="1"/>
  <c r="AV61" i="14"/>
  <c r="H62" i="14"/>
  <c r="P62" i="14"/>
  <c r="X62" i="14"/>
  <c r="AF62" i="14"/>
  <c r="AY94" i="14"/>
  <c r="AX151" i="14"/>
  <c r="AX152" i="14" s="1"/>
  <c r="S157" i="14"/>
  <c r="AX157" i="14" s="1"/>
  <c r="AX158" i="14" s="1"/>
  <c r="AZ175" i="14"/>
  <c r="AZ185" i="14"/>
  <c r="AV15" i="14"/>
  <c r="AW22" i="14"/>
  <c r="H32" i="14"/>
  <c r="P32" i="14"/>
  <c r="AG135" i="14"/>
  <c r="S42" i="14"/>
  <c r="AA42" i="14"/>
  <c r="AG82" i="14"/>
  <c r="AZ94" i="14"/>
  <c r="AE147" i="14"/>
  <c r="Y280" i="14"/>
  <c r="AB42" i="14"/>
  <c r="AX61" i="14"/>
  <c r="AV106" i="14"/>
  <c r="AX267" i="14"/>
  <c r="AX226" i="14"/>
  <c r="AX119" i="14"/>
  <c r="AA157" i="14"/>
  <c r="AZ157" i="14" s="1"/>
  <c r="AX15" i="14"/>
  <c r="AF21" i="14"/>
  <c r="AY61" i="14"/>
  <c r="AW106" i="14"/>
  <c r="AW104" i="14"/>
  <c r="T148" i="14"/>
  <c r="T141" i="14"/>
  <c r="X147" i="14"/>
  <c r="AZ61" i="14"/>
  <c r="AB62" i="14"/>
  <c r="AX106" i="14"/>
  <c r="AX104" i="14"/>
  <c r="AY135" i="14"/>
  <c r="AY138" i="14"/>
  <c r="AY139" i="14" s="1"/>
  <c r="O173" i="14"/>
  <c r="K180" i="14"/>
  <c r="AV171" i="14"/>
  <c r="AV172" i="14" s="1"/>
  <c r="Y173" i="14"/>
  <c r="U182" i="14"/>
  <c r="U180" i="14" s="1"/>
  <c r="W146" i="14"/>
  <c r="AE146" i="14"/>
  <c r="T173" i="14"/>
  <c r="AY178" i="14"/>
  <c r="AW185" i="14"/>
  <c r="K232" i="14"/>
  <c r="K241" i="14"/>
  <c r="K230" i="14"/>
  <c r="K238" i="14"/>
  <c r="S232" i="14"/>
  <c r="S241" i="14"/>
  <c r="S238" i="14"/>
  <c r="S243" i="14"/>
  <c r="S230" i="14"/>
  <c r="AV238" i="14"/>
  <c r="AV243" i="14"/>
  <c r="BD244" i="14"/>
  <c r="T182" i="14"/>
  <c r="T180" i="14" s="1"/>
  <c r="W267" i="14"/>
  <c r="W226" i="14"/>
  <c r="W184" i="14"/>
  <c r="AW171" i="14"/>
  <c r="AW172" i="14" s="1"/>
  <c r="G236" i="14"/>
  <c r="AU235" i="14"/>
  <c r="AU236" i="14" s="1"/>
  <c r="O236" i="14"/>
  <c r="AW235" i="14"/>
  <c r="AW236" i="14" s="1"/>
  <c r="W119" i="14"/>
  <c r="AX171" i="14"/>
  <c r="AX172" i="14" s="1"/>
  <c r="AW230" i="14"/>
  <c r="Z221" i="14"/>
  <c r="Y220" i="14"/>
  <c r="Y221" i="14" s="1"/>
  <c r="H246" i="14"/>
  <c r="H233" i="14"/>
  <c r="P233" i="14"/>
  <c r="W218" i="14"/>
  <c r="Y191" i="14"/>
  <c r="AV280" i="14"/>
  <c r="I246" i="14"/>
  <c r="I233" i="14"/>
  <c r="E232" i="14"/>
  <c r="F232" i="14"/>
  <c r="F241" i="14"/>
  <c r="F243" i="14"/>
  <c r="F238" i="14"/>
  <c r="N232" i="14"/>
  <c r="N241" i="14"/>
  <c r="N243" i="14"/>
  <c r="N238" i="14"/>
  <c r="V232" i="14"/>
  <c r="V241" i="14"/>
  <c r="V243" i="14"/>
  <c r="V238" i="14"/>
  <c r="G246" i="14"/>
  <c r="AU239" i="14"/>
  <c r="AU238" i="14"/>
  <c r="E238" i="14"/>
  <c r="I241" i="14"/>
  <c r="M243" i="14"/>
  <c r="AY185" i="14"/>
  <c r="G241" i="14"/>
  <c r="G243" i="14"/>
  <c r="G238" i="14"/>
  <c r="O241" i="14"/>
  <c r="O243" i="14"/>
  <c r="O238" i="14"/>
  <c r="J230" i="14"/>
  <c r="U232" i="14"/>
  <c r="AT232" i="14"/>
  <c r="AV235" i="14"/>
  <c r="AV236" i="14" s="1"/>
  <c r="S236" i="14"/>
  <c r="H243" i="14"/>
  <c r="H238" i="14"/>
  <c r="P230" i="14"/>
  <c r="P243" i="14"/>
  <c r="P238" i="14"/>
  <c r="U230" i="14"/>
  <c r="L236" i="14"/>
  <c r="T236" i="14"/>
  <c r="H236" i="14"/>
  <c r="AV241" i="14"/>
  <c r="P241" i="14"/>
  <c r="I243" i="14"/>
  <c r="I238" i="14"/>
  <c r="Q243" i="14"/>
  <c r="Q238" i="14"/>
  <c r="AT243" i="14"/>
  <c r="AT238" i="14"/>
  <c r="V230" i="14"/>
  <c r="AT230" i="14"/>
  <c r="E236" i="14"/>
  <c r="M236" i="14"/>
  <c r="U236" i="14"/>
  <c r="I236" i="14"/>
  <c r="M238" i="14"/>
  <c r="AW241" i="14"/>
  <c r="Q241" i="14"/>
  <c r="U243" i="14"/>
  <c r="J243" i="14"/>
  <c r="J238" i="14"/>
  <c r="J232" i="14"/>
  <c r="R243" i="14"/>
  <c r="R238" i="14"/>
  <c r="R232" i="14"/>
  <c r="E230" i="14"/>
  <c r="M230" i="14"/>
  <c r="M232" i="14"/>
  <c r="F236" i="14"/>
  <c r="N236" i="14"/>
  <c r="V236" i="14"/>
  <c r="J236" i="14"/>
  <c r="AT236" i="14"/>
  <c r="R241" i="14"/>
  <c r="K236" i="14"/>
  <c r="J76" i="13"/>
  <c r="N77" i="13"/>
  <c r="P49" i="13"/>
  <c r="P35" i="13"/>
  <c r="P42" i="13"/>
  <c r="P18" i="13"/>
  <c r="P86" i="13"/>
  <c r="Q17" i="13"/>
  <c r="P17" i="13"/>
  <c r="P16" i="13"/>
  <c r="AV23" i="13"/>
  <c r="AV25" i="13" s="1"/>
  <c r="E37" i="13"/>
  <c r="D37" i="13"/>
  <c r="M37" i="13"/>
  <c r="L37" i="13"/>
  <c r="Q51" i="13"/>
  <c r="R50" i="13"/>
  <c r="Q52" i="13"/>
  <c r="C96" i="13"/>
  <c r="D54" i="13"/>
  <c r="C56" i="13"/>
  <c r="K55" i="13"/>
  <c r="L54" i="13"/>
  <c r="K54" i="13"/>
  <c r="K56" i="13"/>
  <c r="AT53" i="13"/>
  <c r="V89" i="13"/>
  <c r="V90" i="13"/>
  <c r="V31" i="13"/>
  <c r="AJ66" i="13"/>
  <c r="AN64" i="13"/>
  <c r="AJ69" i="13"/>
  <c r="AJ65" i="13"/>
  <c r="T86" i="13"/>
  <c r="T85" i="13"/>
  <c r="T17" i="13"/>
  <c r="T39" i="13"/>
  <c r="T16" i="13"/>
  <c r="T21" i="13"/>
  <c r="U2" i="13"/>
  <c r="Z30" i="13"/>
  <c r="AA31" i="13" s="1"/>
  <c r="AS38" i="13"/>
  <c r="AJ68" i="13"/>
  <c r="Q121" i="13"/>
  <c r="R121" i="13"/>
  <c r="AE71" i="13"/>
  <c r="AC37" i="13"/>
  <c r="AB37" i="13"/>
  <c r="T18" i="13"/>
  <c r="V15" i="13"/>
  <c r="AV15" i="13" s="1"/>
  <c r="V87" i="13"/>
  <c r="V27" i="13"/>
  <c r="V24" i="13"/>
  <c r="AU32" i="13"/>
  <c r="X38" i="13"/>
  <c r="AF38" i="13"/>
  <c r="AS49" i="13"/>
  <c r="W86" i="13"/>
  <c r="W85" i="13"/>
  <c r="W97" i="13" s="1"/>
  <c r="W39" i="13"/>
  <c r="W49" i="13" s="1"/>
  <c r="W16" i="13"/>
  <c r="W18" i="13"/>
  <c r="AQ86" i="13"/>
  <c r="AQ85" i="13"/>
  <c r="AQ35" i="13"/>
  <c r="AQ16" i="13"/>
  <c r="W71" i="13"/>
  <c r="U37" i="13"/>
  <c r="T37" i="13"/>
  <c r="AX261" i="13"/>
  <c r="AX16" i="13"/>
  <c r="AR86" i="13"/>
  <c r="AR85" i="13"/>
  <c r="AR63" i="13"/>
  <c r="AR16" i="13"/>
  <c r="T35" i="13"/>
  <c r="H38" i="13"/>
  <c r="AR42" i="13"/>
  <c r="I51" i="13"/>
  <c r="J50" i="13"/>
  <c r="I50" i="13"/>
  <c r="I52" i="13"/>
  <c r="AR53" i="13"/>
  <c r="AX20" i="13"/>
  <c r="AX21" i="13"/>
  <c r="S96" i="13"/>
  <c r="S55" i="13"/>
  <c r="T54" i="13"/>
  <c r="AV53" i="13"/>
  <c r="S56" i="13"/>
  <c r="AY20" i="13"/>
  <c r="AK66" i="13"/>
  <c r="AY510" i="13"/>
  <c r="AY511" i="13" s="1"/>
  <c r="AY9" i="13"/>
  <c r="AY16" i="13"/>
  <c r="Z23" i="13"/>
  <c r="AB38" i="13"/>
  <c r="AT67" i="13"/>
  <c r="AT65" i="13"/>
  <c r="O91" i="13"/>
  <c r="O87" i="13" s="1"/>
  <c r="O90" i="13"/>
  <c r="O88" i="13" s="1"/>
  <c r="AU93" i="13"/>
  <c r="W91" i="13"/>
  <c r="W87" i="13" s="1"/>
  <c r="AW93" i="13"/>
  <c r="W90" i="13"/>
  <c r="AY93" i="13"/>
  <c r="AE91" i="13"/>
  <c r="AM91" i="13"/>
  <c r="K86" i="13"/>
  <c r="K85" i="13"/>
  <c r="K97" i="13" s="1"/>
  <c r="U18" i="13"/>
  <c r="M24" i="13"/>
  <c r="U24" i="13"/>
  <c r="Q25" i="13"/>
  <c r="M27" i="13"/>
  <c r="U27" i="13"/>
  <c r="AE30" i="13"/>
  <c r="AV30" i="13"/>
  <c r="U31" i="13"/>
  <c r="I37" i="13"/>
  <c r="Y37" i="13"/>
  <c r="AG37" i="13"/>
  <c r="U38" i="13"/>
  <c r="AC38" i="13"/>
  <c r="AS41" i="13"/>
  <c r="AT46" i="13"/>
  <c r="G50" i="13"/>
  <c r="AS53" i="13"/>
  <c r="I54" i="13"/>
  <c r="AY67" i="13"/>
  <c r="AU68" i="13"/>
  <c r="AP69" i="13"/>
  <c r="Z71" i="13"/>
  <c r="AH71" i="13"/>
  <c r="AT74" i="13"/>
  <c r="L77" i="13"/>
  <c r="AT78" i="13"/>
  <c r="W89" i="13"/>
  <c r="X121" i="13"/>
  <c r="X120" i="13"/>
  <c r="AW135" i="13"/>
  <c r="I413" i="13"/>
  <c r="I93" i="13"/>
  <c r="I90" i="13" s="1"/>
  <c r="I88" i="13" s="1"/>
  <c r="I86" i="13"/>
  <c r="S459" i="13"/>
  <c r="O182" i="13"/>
  <c r="O459" i="13" s="1"/>
  <c r="O85" i="13"/>
  <c r="K190" i="13"/>
  <c r="L191" i="13"/>
  <c r="K191" i="13"/>
  <c r="K114" i="13"/>
  <c r="K110" i="13" s="1"/>
  <c r="L86" i="13"/>
  <c r="L85" i="13"/>
  <c r="L97" i="13" s="1"/>
  <c r="U21" i="13"/>
  <c r="N24" i="13"/>
  <c r="X90" i="13"/>
  <c r="X89" i="13"/>
  <c r="K35" i="13"/>
  <c r="J37" i="13"/>
  <c r="AH37" i="13"/>
  <c r="N38" i="13"/>
  <c r="K39" i="13"/>
  <c r="K49" i="13" s="1"/>
  <c r="AS42" i="13"/>
  <c r="AU46" i="13"/>
  <c r="AR49" i="13"/>
  <c r="AR52" i="13" s="1"/>
  <c r="H50" i="13"/>
  <c r="E96" i="13"/>
  <c r="M96" i="13"/>
  <c r="J54" i="13"/>
  <c r="AJ60" i="13"/>
  <c r="AT60" i="13"/>
  <c r="AX63" i="13"/>
  <c r="AV68" i="13"/>
  <c r="AV69" i="13"/>
  <c r="W74" i="13"/>
  <c r="AU75" i="13"/>
  <c r="M77" i="13"/>
  <c r="U90" i="13"/>
  <c r="U88" i="13" s="1"/>
  <c r="Y117" i="13"/>
  <c r="Y119" i="13"/>
  <c r="Z116" i="13"/>
  <c r="AW116" i="13" s="1"/>
  <c r="AW117" i="13" s="1"/>
  <c r="V123" i="13"/>
  <c r="V125" i="13"/>
  <c r="AR123" i="13"/>
  <c r="O482" i="13"/>
  <c r="O323" i="13"/>
  <c r="O415" i="13" s="1"/>
  <c r="O165" i="13"/>
  <c r="O454" i="13" s="1"/>
  <c r="W482" i="13"/>
  <c r="W165" i="13"/>
  <c r="K16" i="13"/>
  <c r="Y23" i="13"/>
  <c r="Y30" i="13"/>
  <c r="W31" i="13"/>
  <c r="L35" i="13"/>
  <c r="K37" i="13"/>
  <c r="G38" i="13"/>
  <c r="O38" i="13"/>
  <c r="W38" i="13"/>
  <c r="AE38" i="13"/>
  <c r="AS47" i="13"/>
  <c r="L49" i="13"/>
  <c r="L96" i="13" s="1"/>
  <c r="M51" i="13"/>
  <c r="F96" i="13"/>
  <c r="N96" i="13"/>
  <c r="G55" i="13"/>
  <c r="O55" i="13"/>
  <c r="D56" i="13"/>
  <c r="L56" i="13"/>
  <c r="T56" i="13"/>
  <c r="AK57" i="13"/>
  <c r="AK68" i="13" s="1"/>
  <c r="AJ58" i="13"/>
  <c r="AU60" i="13"/>
  <c r="AY63" i="13"/>
  <c r="AK65" i="13"/>
  <c r="AU65" i="13"/>
  <c r="AW68" i="13"/>
  <c r="AW69" i="13"/>
  <c r="X74" i="13"/>
  <c r="N76" i="13"/>
  <c r="U39" i="13"/>
  <c r="O42" i="13"/>
  <c r="AX68" i="13"/>
  <c r="AX69" i="13"/>
  <c r="AC71" i="13"/>
  <c r="O76" i="13"/>
  <c r="AZ91" i="13"/>
  <c r="AR87" i="13"/>
  <c r="AR95" i="13"/>
  <c r="P106" i="13"/>
  <c r="K104" i="13"/>
  <c r="O106" i="13"/>
  <c r="AU104" i="13"/>
  <c r="S104" i="13"/>
  <c r="AT123" i="13"/>
  <c r="Q454" i="13"/>
  <c r="U454" i="13"/>
  <c r="AU165" i="13"/>
  <c r="M25" i="13"/>
  <c r="AA90" i="13"/>
  <c r="AA89" i="13"/>
  <c r="AR90" i="13"/>
  <c r="AR89" i="13"/>
  <c r="AS32" i="13"/>
  <c r="AU47" i="13"/>
  <c r="AW60" i="13"/>
  <c r="AM65" i="13"/>
  <c r="AW65" i="13"/>
  <c r="AY68" i="13"/>
  <c r="AL69" i="13"/>
  <c r="AY69" i="13"/>
  <c r="V71" i="13"/>
  <c r="AD71" i="13"/>
  <c r="T87" i="13"/>
  <c r="AU124" i="13"/>
  <c r="AU123" i="13"/>
  <c r="V124" i="13"/>
  <c r="U488" i="13"/>
  <c r="U461" i="13"/>
  <c r="U417" i="13"/>
  <c r="AC488" i="13"/>
  <c r="AC461" i="13"/>
  <c r="AR680" i="13"/>
  <c r="AR678" i="13"/>
  <c r="AR510" i="13"/>
  <c r="AR511" i="13" s="1"/>
  <c r="U86" i="13"/>
  <c r="U85" i="13"/>
  <c r="AS86" i="13"/>
  <c r="AS85" i="13"/>
  <c r="M17" i="13"/>
  <c r="U17" i="13"/>
  <c r="AB23" i="13"/>
  <c r="AS25" i="13"/>
  <c r="T90" i="13"/>
  <c r="T89" i="13"/>
  <c r="AB30" i="13"/>
  <c r="O35" i="13"/>
  <c r="X44" i="13"/>
  <c r="Y44" i="13" s="1"/>
  <c r="W47" i="13"/>
  <c r="AV47" i="13"/>
  <c r="O49" i="13"/>
  <c r="S51" i="13" s="1"/>
  <c r="E52" i="13"/>
  <c r="M52" i="13"/>
  <c r="I96" i="13"/>
  <c r="F54" i="13"/>
  <c r="N54" i="13"/>
  <c r="V54" i="13"/>
  <c r="G56" i="13"/>
  <c r="O56" i="13"/>
  <c r="AX60" i="13"/>
  <c r="M97" i="13"/>
  <c r="AS90" i="13"/>
  <c r="AS88" i="13" s="1"/>
  <c r="G96" i="13"/>
  <c r="V121" i="13"/>
  <c r="U121" i="13"/>
  <c r="U120" i="13"/>
  <c r="AZ218" i="13"/>
  <c r="M2" i="13"/>
  <c r="AS510" i="13"/>
  <c r="AS511" i="13" s="1"/>
  <c r="AS680" i="13"/>
  <c r="AS123" i="13"/>
  <c r="AT15" i="13"/>
  <c r="O16" i="13"/>
  <c r="S18" i="13"/>
  <c r="AS18" i="13"/>
  <c r="AT23" i="13"/>
  <c r="AT89" i="13"/>
  <c r="AT90" i="13"/>
  <c r="J96" i="13"/>
  <c r="O54" i="13"/>
  <c r="H56" i="13"/>
  <c r="I76" i="13"/>
  <c r="R76" i="13"/>
  <c r="R77" i="13"/>
  <c r="N113" i="13"/>
  <c r="O113" i="13" s="1"/>
  <c r="Y104" i="13"/>
  <c r="S121" i="13"/>
  <c r="S123" i="13"/>
  <c r="AA123" i="13"/>
  <c r="W124" i="13"/>
  <c r="T125" i="13"/>
  <c r="S323" i="13"/>
  <c r="S411" i="13" s="1"/>
  <c r="S230" i="13"/>
  <c r="S166" i="13"/>
  <c r="AE454" i="13"/>
  <c r="AE323" i="13"/>
  <c r="AE411" i="13" s="1"/>
  <c r="AE230" i="13"/>
  <c r="AE166" i="13"/>
  <c r="P482" i="13"/>
  <c r="P323" i="13"/>
  <c r="T469" i="13" s="1"/>
  <c r="T324" i="13" s="1"/>
  <c r="X482" i="13"/>
  <c r="X165" i="13"/>
  <c r="X230" i="13" s="1"/>
  <c r="AC483" i="13"/>
  <c r="AC455" i="13"/>
  <c r="AX168" i="13"/>
  <c r="H485" i="13"/>
  <c r="H414" i="13"/>
  <c r="H169" i="13"/>
  <c r="I484" i="13" s="1"/>
  <c r="P485" i="13"/>
  <c r="P457" i="13"/>
  <c r="P34" i="13" s="1"/>
  <c r="T458" i="13"/>
  <c r="P458" i="13"/>
  <c r="T457" i="13"/>
  <c r="T34" i="13" s="1"/>
  <c r="P171" i="13"/>
  <c r="AO485" i="13"/>
  <c r="AO172" i="13"/>
  <c r="AO211" i="13" s="1"/>
  <c r="AK211" i="13"/>
  <c r="AB182" i="13"/>
  <c r="S77" i="13"/>
  <c r="AU116" i="13"/>
  <c r="AV117" i="13" s="1"/>
  <c r="T121" i="13"/>
  <c r="AW122" i="13"/>
  <c r="X124" i="13"/>
  <c r="U125" i="13"/>
  <c r="Y505" i="13"/>
  <c r="X505" i="13"/>
  <c r="W505" i="13"/>
  <c r="Z505" i="13"/>
  <c r="AW459" i="13"/>
  <c r="AG219" i="13"/>
  <c r="AK176" i="13"/>
  <c r="AC215" i="13"/>
  <c r="AG178" i="13"/>
  <c r="AC182" i="13"/>
  <c r="AU461" i="13"/>
  <c r="AP195" i="13"/>
  <c r="AP221" i="13" s="1"/>
  <c r="AL221" i="13"/>
  <c r="AZ221" i="13" s="1"/>
  <c r="AV212" i="13"/>
  <c r="AG224" i="13"/>
  <c r="BA223" i="13"/>
  <c r="AO224" i="13"/>
  <c r="AN317" i="13"/>
  <c r="AO317" i="13" s="1"/>
  <c r="AP317" i="13" s="1"/>
  <c r="W120" i="13"/>
  <c r="U123" i="13"/>
  <c r="Y124" i="13"/>
  <c r="AV182" i="13"/>
  <c r="AU460" i="13"/>
  <c r="AY207" i="13"/>
  <c r="X210" i="13"/>
  <c r="X208" i="13" s="1"/>
  <c r="Z124" i="13"/>
  <c r="W125" i="13"/>
  <c r="AB482" i="13"/>
  <c r="X506" i="13"/>
  <c r="W506" i="13"/>
  <c r="Z506" i="13"/>
  <c r="Y506" i="13"/>
  <c r="AW173" i="13"/>
  <c r="AN463" i="13"/>
  <c r="AN224" i="13"/>
  <c r="BB216" i="13"/>
  <c r="AV123" i="13"/>
  <c r="AS124" i="13"/>
  <c r="X125" i="13"/>
  <c r="R454" i="13"/>
  <c r="N454" i="13"/>
  <c r="T482" i="13"/>
  <c r="T411" i="13"/>
  <c r="AC167" i="13"/>
  <c r="Y483" i="13"/>
  <c r="Y455" i="13"/>
  <c r="Y167" i="13"/>
  <c r="Z482" i="13" s="1"/>
  <c r="AG502" i="13"/>
  <c r="AG483" i="13"/>
  <c r="AG455" i="13"/>
  <c r="AG167" i="13"/>
  <c r="AB503" i="13"/>
  <c r="AA503" i="13"/>
  <c r="AD503" i="13"/>
  <c r="AC503" i="13"/>
  <c r="AX456" i="13"/>
  <c r="AX458" i="13"/>
  <c r="L484" i="13"/>
  <c r="P456" i="13"/>
  <c r="L413" i="13"/>
  <c r="AI172" i="13"/>
  <c r="AE211" i="13"/>
  <c r="BA197" i="13"/>
  <c r="BB197" i="13" s="1"/>
  <c r="BC197" i="13" s="1"/>
  <c r="V104" i="13"/>
  <c r="X123" i="13"/>
  <c r="AB323" i="13"/>
  <c r="AB411" i="13" s="1"/>
  <c r="AB230" i="13"/>
  <c r="L411" i="13"/>
  <c r="L165" i="13"/>
  <c r="L454" i="13" s="1"/>
  <c r="U482" i="13"/>
  <c r="U411" i="13"/>
  <c r="AY167" i="13"/>
  <c r="AO484" i="13"/>
  <c r="AO458" i="13"/>
  <c r="AP485" i="13"/>
  <c r="BA170" i="13"/>
  <c r="AF172" i="13"/>
  <c r="AZ179" i="13"/>
  <c r="AY179" i="13"/>
  <c r="E487" i="13"/>
  <c r="E416" i="13"/>
  <c r="AK487" i="13"/>
  <c r="AO183" i="13"/>
  <c r="AV184" i="13"/>
  <c r="AU190" i="13"/>
  <c r="X332" i="13"/>
  <c r="AB475" i="13" s="1"/>
  <c r="X231" i="13"/>
  <c r="AB229" i="13"/>
  <c r="X229" i="13"/>
  <c r="X228" i="13"/>
  <c r="G454" i="13"/>
  <c r="P165" i="13"/>
  <c r="AF482" i="13"/>
  <c r="AF165" i="13"/>
  <c r="AT167" i="13"/>
  <c r="AL484" i="13"/>
  <c r="AL458" i="13"/>
  <c r="AP169" i="13"/>
  <c r="AX184" i="13"/>
  <c r="AZ195" i="13"/>
  <c r="AZ462" i="13" s="1"/>
  <c r="AN282" i="13"/>
  <c r="AO282" i="13" s="1"/>
  <c r="AP282" i="13" s="1"/>
  <c r="AY287" i="13"/>
  <c r="AA454" i="13"/>
  <c r="AA323" i="13"/>
  <c r="AA417" i="13" s="1"/>
  <c r="AA230" i="13"/>
  <c r="AI323" i="13"/>
  <c r="AI412" i="13" s="1"/>
  <c r="Q482" i="13"/>
  <c r="Q323" i="13"/>
  <c r="Q414" i="13" s="1"/>
  <c r="Z483" i="13"/>
  <c r="Z455" i="13"/>
  <c r="AH483" i="13"/>
  <c r="AH455" i="13"/>
  <c r="J484" i="13"/>
  <c r="J456" i="13"/>
  <c r="J458" i="13"/>
  <c r="J413" i="13"/>
  <c r="AM484" i="13"/>
  <c r="AM458" i="13"/>
  <c r="AI503" i="13"/>
  <c r="AG503" i="13"/>
  <c r="AF503" i="13"/>
  <c r="AE503" i="13"/>
  <c r="AH503" i="13"/>
  <c r="AY458" i="13"/>
  <c r="AY456" i="13"/>
  <c r="I485" i="13"/>
  <c r="I414" i="13"/>
  <c r="Q485" i="13"/>
  <c r="Q457" i="13"/>
  <c r="Q34" i="13" s="1"/>
  <c r="U458" i="13"/>
  <c r="Q458" i="13"/>
  <c r="U457" i="13"/>
  <c r="U34" i="13" s="1"/>
  <c r="AB505" i="13"/>
  <c r="AA505" i="13"/>
  <c r="AD505" i="13"/>
  <c r="AC505" i="13"/>
  <c r="AX459" i="13"/>
  <c r="AX172" i="13"/>
  <c r="AX173" i="13" s="1"/>
  <c r="AJ176" i="13"/>
  <c r="AD178" i="13"/>
  <c r="AL180" i="13"/>
  <c r="AL217" i="13" s="1"/>
  <c r="M459" i="13"/>
  <c r="F487" i="13"/>
  <c r="F416" i="13"/>
  <c r="AL487" i="13"/>
  <c r="AV460" i="13"/>
  <c r="L503" i="13"/>
  <c r="M488" i="13"/>
  <c r="L488" i="13"/>
  <c r="L461" i="13"/>
  <c r="L417" i="13"/>
  <c r="V488" i="13"/>
  <c r="V461" i="13"/>
  <c r="V417" i="13"/>
  <c r="AD488" i="13"/>
  <c r="AD461" i="13"/>
  <c r="O190" i="13"/>
  <c r="Q191" i="13"/>
  <c r="AP192" i="13"/>
  <c r="AO463" i="13"/>
  <c r="Y198" i="13"/>
  <c r="AN199" i="13"/>
  <c r="AN200" i="13"/>
  <c r="BA200" i="13" s="1"/>
  <c r="AX203" i="13"/>
  <c r="AY205" i="13" s="1"/>
  <c r="AC211" i="13"/>
  <c r="AY216" i="13"/>
  <c r="BA218" i="13"/>
  <c r="AE224" i="13"/>
  <c r="AM224" i="13"/>
  <c r="X266" i="13"/>
  <c r="T268" i="13"/>
  <c r="U266" i="13"/>
  <c r="T263" i="13"/>
  <c r="AL491" i="13"/>
  <c r="AL310" i="13"/>
  <c r="AP306" i="13"/>
  <c r="R482" i="13"/>
  <c r="R323" i="13"/>
  <c r="R414" i="13" s="1"/>
  <c r="AA483" i="13"/>
  <c r="AA455" i="13"/>
  <c r="AI502" i="13"/>
  <c r="AI483" i="13"/>
  <c r="AI455" i="13"/>
  <c r="AS455" i="13"/>
  <c r="K484" i="13"/>
  <c r="O456" i="13"/>
  <c r="K413" i="13"/>
  <c r="AN484" i="13"/>
  <c r="AN458" i="13"/>
  <c r="AZ169" i="13"/>
  <c r="AJ503" i="13" s="1"/>
  <c r="J485" i="13"/>
  <c r="J457" i="13"/>
  <c r="J414" i="13"/>
  <c r="S485" i="13"/>
  <c r="R485" i="13"/>
  <c r="V458" i="13"/>
  <c r="V457" i="13"/>
  <c r="V34" i="13" s="1"/>
  <c r="R457" i="13"/>
  <c r="R34" i="13" s="1"/>
  <c r="AU170" i="13"/>
  <c r="P504" i="13" s="1"/>
  <c r="AI505" i="13"/>
  <c r="AG505" i="13"/>
  <c r="AF505" i="13"/>
  <c r="AE505" i="13"/>
  <c r="AH505" i="13"/>
  <c r="AY459" i="13"/>
  <c r="G487" i="13"/>
  <c r="G460" i="13"/>
  <c r="G416" i="13"/>
  <c r="AM487" i="13"/>
  <c r="AW460" i="13"/>
  <c r="O488" i="13"/>
  <c r="O461" i="13"/>
  <c r="W488" i="13"/>
  <c r="W461" i="13"/>
  <c r="AE488" i="13"/>
  <c r="AE461" i="13"/>
  <c r="AW184" i="13"/>
  <c r="AN195" i="13"/>
  <c r="AN221" i="13" s="1"/>
  <c r="AD211" i="13"/>
  <c r="AL213" i="13"/>
  <c r="BB218" i="13"/>
  <c r="AC219" i="13"/>
  <c r="AX223" i="13"/>
  <c r="X271" i="13"/>
  <c r="AB269" i="13"/>
  <c r="Z296" i="13"/>
  <c r="Z304" i="13" s="1"/>
  <c r="Z280" i="13"/>
  <c r="AA279" i="13"/>
  <c r="S482" i="13"/>
  <c r="AA482" i="13"/>
  <c r="H502" i="13"/>
  <c r="G502" i="13"/>
  <c r="J502" i="13"/>
  <c r="I502" i="13"/>
  <c r="AB483" i="13"/>
  <c r="AB455" i="13"/>
  <c r="M502" i="13"/>
  <c r="L502" i="13"/>
  <c r="K502" i="13"/>
  <c r="N502" i="13"/>
  <c r="AT455" i="13"/>
  <c r="K485" i="13"/>
  <c r="K457" i="13"/>
  <c r="K34" i="13" s="1"/>
  <c r="K414" i="13"/>
  <c r="AJ485" i="13"/>
  <c r="U504" i="13"/>
  <c r="T504" i="13"/>
  <c r="S504" i="13"/>
  <c r="V504" i="13"/>
  <c r="AD176" i="13"/>
  <c r="AD219" i="13" s="1"/>
  <c r="AF178" i="13"/>
  <c r="AH178" i="13" s="1"/>
  <c r="W182" i="13"/>
  <c r="H487" i="13"/>
  <c r="H460" i="13"/>
  <c r="H416" i="13"/>
  <c r="L460" i="13"/>
  <c r="AN183" i="13"/>
  <c r="AX460" i="13"/>
  <c r="P488" i="13"/>
  <c r="P461" i="13"/>
  <c r="X488" i="13"/>
  <c r="X461" i="13"/>
  <c r="AF488" i="13"/>
  <c r="AF461" i="13"/>
  <c r="AA205" i="13"/>
  <c r="AA215" i="13"/>
  <c r="BC218" i="13"/>
  <c r="AY223" i="13"/>
  <c r="Y253" i="13"/>
  <c r="AW255" i="13"/>
  <c r="O258" i="13"/>
  <c r="AU256" i="13"/>
  <c r="AU258" i="13" s="1"/>
  <c r="W257" i="13"/>
  <c r="W258" i="13"/>
  <c r="AW256" i="13"/>
  <c r="Y269" i="13"/>
  <c r="AZ283" i="13"/>
  <c r="Q285" i="13"/>
  <c r="AU284" i="13"/>
  <c r="Q286" i="13"/>
  <c r="M492" i="13"/>
  <c r="M469" i="13"/>
  <c r="M324" i="13" s="1"/>
  <c r="M438" i="13"/>
  <c r="M439" i="13"/>
  <c r="M437" i="13"/>
  <c r="M447" i="13" s="1"/>
  <c r="M440" i="13"/>
  <c r="M424" i="13"/>
  <c r="M415" i="13"/>
  <c r="M418" i="13"/>
  <c r="M421" i="13"/>
  <c r="M425" i="13"/>
  <c r="M416" i="13"/>
  <c r="M411" i="13"/>
  <c r="M423" i="13"/>
  <c r="M426" i="13"/>
  <c r="M417" i="13"/>
  <c r="M412" i="13"/>
  <c r="M337" i="13"/>
  <c r="F346" i="13"/>
  <c r="F351" i="13" s="1"/>
  <c r="F362" i="13" s="1"/>
  <c r="E346" i="13"/>
  <c r="E351" i="13" s="1"/>
  <c r="E362" i="13" s="1"/>
  <c r="I473" i="13" s="1"/>
  <c r="D346" i="13"/>
  <c r="D351" i="13" s="1"/>
  <c r="C346" i="13"/>
  <c r="C351" i="13" s="1"/>
  <c r="C362" i="13" s="1"/>
  <c r="AZ347" i="13"/>
  <c r="AN347" i="13"/>
  <c r="BA347" i="13" s="1"/>
  <c r="BB347" i="13" s="1"/>
  <c r="BC347" i="13" s="1"/>
  <c r="P502" i="13"/>
  <c r="O502" i="13"/>
  <c r="R502" i="13"/>
  <c r="Q502" i="13"/>
  <c r="AU455" i="13"/>
  <c r="M484" i="13"/>
  <c r="M456" i="13"/>
  <c r="M458" i="13"/>
  <c r="Q456" i="13"/>
  <c r="M413" i="13"/>
  <c r="L485" i="13"/>
  <c r="L457" i="13"/>
  <c r="L34" i="13" s="1"/>
  <c r="L414" i="13"/>
  <c r="AK485" i="13"/>
  <c r="X504" i="13"/>
  <c r="W504" i="13"/>
  <c r="Z504" i="13"/>
  <c r="Y504" i="13"/>
  <c r="AW457" i="13"/>
  <c r="AW34" i="13" s="1"/>
  <c r="I487" i="13"/>
  <c r="M460" i="13"/>
  <c r="I460" i="13"/>
  <c r="I416" i="13"/>
  <c r="AY460" i="13"/>
  <c r="Q488" i="13"/>
  <c r="Q461" i="13"/>
  <c r="Y488" i="13"/>
  <c r="Y461" i="13"/>
  <c r="AG488" i="13"/>
  <c r="AG461" i="13"/>
  <c r="AZ223" i="13"/>
  <c r="AP224" i="13"/>
  <c r="R230" i="13"/>
  <c r="AN283" i="13"/>
  <c r="AO283" i="13" s="1"/>
  <c r="AP283" i="13" s="1"/>
  <c r="AX287" i="13"/>
  <c r="AD483" i="13"/>
  <c r="AD502" i="13"/>
  <c r="AD455" i="13"/>
  <c r="U502" i="13"/>
  <c r="T502" i="13"/>
  <c r="S502" i="13"/>
  <c r="V502" i="13"/>
  <c r="AV455" i="13"/>
  <c r="N484" i="13"/>
  <c r="O484" i="13"/>
  <c r="Q503" i="13"/>
  <c r="P503" i="13"/>
  <c r="O503" i="13"/>
  <c r="R503" i="13"/>
  <c r="AU458" i="13"/>
  <c r="AU456" i="13"/>
  <c r="M485" i="13"/>
  <c r="M457" i="13"/>
  <c r="M34" i="13" s="1"/>
  <c r="M414" i="13"/>
  <c r="AL485" i="13"/>
  <c r="AC504" i="13"/>
  <c r="AB504" i="13"/>
  <c r="AA504" i="13"/>
  <c r="AD504" i="13"/>
  <c r="AX457" i="13"/>
  <c r="AX34" i="13" s="1"/>
  <c r="U459" i="13"/>
  <c r="Q182" i="13"/>
  <c r="Q459" i="13" s="1"/>
  <c r="J487" i="13"/>
  <c r="N460" i="13"/>
  <c r="J460" i="13"/>
  <c r="J416" i="13"/>
  <c r="AP487" i="13"/>
  <c r="R488" i="13"/>
  <c r="R461" i="13"/>
  <c r="Z488" i="13"/>
  <c r="Z461" i="13"/>
  <c r="AH488" i="13"/>
  <c r="AH461" i="13"/>
  <c r="AZ196" i="13"/>
  <c r="AZ463" i="13" s="1"/>
  <c r="AJ386" i="13"/>
  <c r="AJ384" i="13"/>
  <c r="AJ385" i="13"/>
  <c r="AJ383" i="13"/>
  <c r="AW199" i="13"/>
  <c r="AW200" i="13"/>
  <c r="AW206" i="13" s="1"/>
  <c r="AW207" i="13" s="1"/>
  <c r="AR201" i="13"/>
  <c r="AR202" i="13" s="1"/>
  <c r="AG211" i="13"/>
  <c r="BC216" i="13"/>
  <c r="AI224" i="13"/>
  <c r="U229" i="13"/>
  <c r="U332" i="13"/>
  <c r="Y229" i="13"/>
  <c r="AK254" i="13"/>
  <c r="AL254" i="13" s="1"/>
  <c r="AM254" i="13" s="1"/>
  <c r="AM329" i="13" s="1"/>
  <c r="AM382" i="13" s="1"/>
  <c r="AI300" i="13"/>
  <c r="AM278" i="13"/>
  <c r="AP309" i="13"/>
  <c r="BA309" i="13" s="1"/>
  <c r="BB309" i="13" s="1"/>
  <c r="BC309" i="13" s="1"/>
  <c r="AA166" i="13"/>
  <c r="N323" i="13"/>
  <c r="AT323" i="13" s="1"/>
  <c r="V482" i="13"/>
  <c r="V411" i="13"/>
  <c r="AD167" i="13"/>
  <c r="AE482" i="13" s="1"/>
  <c r="AV167" i="13"/>
  <c r="W483" i="13"/>
  <c r="W455" i="13"/>
  <c r="AE483" i="13"/>
  <c r="AE455" i="13"/>
  <c r="AE412" i="13"/>
  <c r="AW168" i="13"/>
  <c r="X502" i="13" s="1"/>
  <c r="G169" i="13"/>
  <c r="AJ484" i="13"/>
  <c r="AJ458" i="13"/>
  <c r="T503" i="13"/>
  <c r="S503" i="13"/>
  <c r="V503" i="13"/>
  <c r="U503" i="13"/>
  <c r="AV456" i="13"/>
  <c r="AV458" i="13"/>
  <c r="N457" i="13"/>
  <c r="N34" i="13" s="1"/>
  <c r="N485" i="13"/>
  <c r="AM485" i="13"/>
  <c r="AF504" i="13"/>
  <c r="AE504" i="13"/>
  <c r="AI504" i="13"/>
  <c r="AH504" i="13"/>
  <c r="AG504" i="13"/>
  <c r="AY457" i="13"/>
  <c r="AY34" i="13" s="1"/>
  <c r="R171" i="13"/>
  <c r="AT171" i="13"/>
  <c r="AH172" i="13"/>
  <c r="AI178" i="13"/>
  <c r="AW178" i="13"/>
  <c r="AX179" i="13" s="1"/>
  <c r="AZ181" i="13"/>
  <c r="J459" i="13"/>
  <c r="L487" i="13"/>
  <c r="K487" i="13"/>
  <c r="K460" i="13"/>
  <c r="O460" i="13"/>
  <c r="K416" i="13"/>
  <c r="AS183" i="13"/>
  <c r="AT460" i="13" s="1"/>
  <c r="S488" i="13"/>
  <c r="S461" i="13"/>
  <c r="AA488" i="13"/>
  <c r="AA461" i="13"/>
  <c r="AI488" i="13"/>
  <c r="AI461" i="13"/>
  <c r="I503" i="13"/>
  <c r="H503" i="13"/>
  <c r="G503" i="13"/>
  <c r="J503" i="13"/>
  <c r="AS461" i="13"/>
  <c r="AW193" i="13"/>
  <c r="AX462" i="13"/>
  <c r="BA196" i="13"/>
  <c r="AX198" i="13"/>
  <c r="AD215" i="13"/>
  <c r="AX218" i="13"/>
  <c r="AA218" i="13" s="1"/>
  <c r="AW221" i="13"/>
  <c r="AJ224" i="13"/>
  <c r="V230" i="13"/>
  <c r="Z229" i="13"/>
  <c r="U230" i="13"/>
  <c r="AX257" i="13"/>
  <c r="AX127" i="13" s="1"/>
  <c r="X455" i="13"/>
  <c r="X483" i="13"/>
  <c r="AF502" i="13"/>
  <c r="AF483" i="13"/>
  <c r="AF455" i="13"/>
  <c r="AK484" i="13"/>
  <c r="AK458" i="13"/>
  <c r="Y503" i="13"/>
  <c r="X503" i="13"/>
  <c r="W503" i="13"/>
  <c r="Z503" i="13"/>
  <c r="AW456" i="13"/>
  <c r="AW458" i="13"/>
  <c r="O485" i="13"/>
  <c r="O457" i="13"/>
  <c r="O34" i="13" s="1"/>
  <c r="S458" i="13"/>
  <c r="O458" i="13"/>
  <c r="AN485" i="13"/>
  <c r="AZ170" i="13"/>
  <c r="AL504" i="13" s="1"/>
  <c r="T505" i="13"/>
  <c r="S505" i="13"/>
  <c r="V505" i="13"/>
  <c r="U505" i="13"/>
  <c r="AV459" i="13"/>
  <c r="AA506" i="13"/>
  <c r="V506" i="13"/>
  <c r="U506" i="13"/>
  <c r="T506" i="13"/>
  <c r="S506" i="13"/>
  <c r="D487" i="13"/>
  <c r="D416" i="13"/>
  <c r="AJ487" i="13"/>
  <c r="T488" i="13"/>
  <c r="T461" i="13"/>
  <c r="T417" i="13"/>
  <c r="AB461" i="13"/>
  <c r="AB488" i="13"/>
  <c r="K503" i="13"/>
  <c r="N503" i="13"/>
  <c r="M503" i="13"/>
  <c r="AT461" i="13"/>
  <c r="AY198" i="13"/>
  <c r="AA211" i="13"/>
  <c r="AY218" i="13"/>
  <c r="AE218" i="13" s="1"/>
  <c r="AX221" i="13"/>
  <c r="AK224" i="13"/>
  <c r="W332" i="13"/>
  <c r="W231" i="13"/>
  <c r="W230" i="13"/>
  <c r="W229" i="13"/>
  <c r="W228" i="13"/>
  <c r="U228" i="13"/>
  <c r="AV228" i="13" s="1"/>
  <c r="AA229" i="13"/>
  <c r="H504" i="13"/>
  <c r="G504" i="13"/>
  <c r="J504" i="13"/>
  <c r="I504" i="13"/>
  <c r="AS465" i="13"/>
  <c r="AV257" i="13"/>
  <c r="AV127" i="13" s="1"/>
  <c r="AY257" i="13"/>
  <c r="AY127" i="13" s="1"/>
  <c r="AV262" i="13"/>
  <c r="AY285" i="13"/>
  <c r="M504" i="13"/>
  <c r="L504" i="13"/>
  <c r="K504" i="13"/>
  <c r="N504" i="13"/>
  <c r="AT465" i="13"/>
  <c r="T258" i="13"/>
  <c r="V286" i="13"/>
  <c r="V287" i="13" s="1"/>
  <c r="T444" i="13"/>
  <c r="T345" i="13"/>
  <c r="X382" i="13"/>
  <c r="AW329" i="13"/>
  <c r="AW382" i="13" s="1"/>
  <c r="AX330" i="13"/>
  <c r="AC475" i="13"/>
  <c r="AC399" i="13"/>
  <c r="AC333" i="13"/>
  <c r="K494" i="13"/>
  <c r="K472" i="13"/>
  <c r="K445" i="13"/>
  <c r="K400" i="13"/>
  <c r="K398" i="13"/>
  <c r="K351" i="13"/>
  <c r="AN377" i="13"/>
  <c r="AO377" i="13" s="1"/>
  <c r="AP377" i="13" s="1"/>
  <c r="AU465" i="13"/>
  <c r="AY253" i="13"/>
  <c r="AV256" i="13"/>
  <c r="AV258" i="13" s="1"/>
  <c r="AA269" i="13"/>
  <c r="Y281" i="13"/>
  <c r="AW281" i="13" s="1"/>
  <c r="AZ282" i="13"/>
  <c r="W286" i="13"/>
  <c r="W287" i="13" s="1"/>
  <c r="AB304" i="13"/>
  <c r="AZ308" i="13"/>
  <c r="AM311" i="13"/>
  <c r="U492" i="13"/>
  <c r="U438" i="13"/>
  <c r="U439" i="13"/>
  <c r="U437" i="13"/>
  <c r="U447" i="13" s="1"/>
  <c r="U424" i="13"/>
  <c r="U415" i="13"/>
  <c r="U418" i="13"/>
  <c r="U420" i="13"/>
  <c r="U413" i="13"/>
  <c r="U425" i="13"/>
  <c r="U419" i="13"/>
  <c r="U416" i="13"/>
  <c r="U423" i="13"/>
  <c r="U414" i="13"/>
  <c r="U426" i="13"/>
  <c r="U440" i="13"/>
  <c r="U412" i="13"/>
  <c r="U335" i="13"/>
  <c r="U337" i="13"/>
  <c r="AJ348" i="13"/>
  <c r="AZ350" i="13"/>
  <c r="AZ348" i="13" s="1"/>
  <c r="AN350" i="13"/>
  <c r="AN348" i="13" s="1"/>
  <c r="D398" i="13"/>
  <c r="H476" i="13" s="1"/>
  <c r="E387" i="13"/>
  <c r="AV465" i="13"/>
  <c r="AU252" i="13"/>
  <c r="AK255" i="13"/>
  <c r="AL255" i="13" s="1"/>
  <c r="AM255" i="13" s="1"/>
  <c r="AM330" i="13" s="1"/>
  <c r="AM341" i="13" s="1"/>
  <c r="V258" i="13"/>
  <c r="R273" i="13"/>
  <c r="AY275" i="13"/>
  <c r="AY303" i="13" s="1"/>
  <c r="AB279" i="13"/>
  <c r="X286" i="13"/>
  <c r="X287" i="13" s="1"/>
  <c r="AX312" i="13"/>
  <c r="U322" i="13"/>
  <c r="AC342" i="13"/>
  <c r="AD342" i="13" s="1"/>
  <c r="AE342" i="13" s="1"/>
  <c r="AY342" i="13" s="1"/>
  <c r="X435" i="13"/>
  <c r="X431" i="13"/>
  <c r="X434" i="13"/>
  <c r="X433" i="13"/>
  <c r="X432" i="13"/>
  <c r="AK348" i="13"/>
  <c r="AO350" i="13"/>
  <c r="AO348" i="13" s="1"/>
  <c r="AI400" i="13"/>
  <c r="AI398" i="13"/>
  <c r="AW465" i="13"/>
  <c r="AX258" i="13"/>
  <c r="AJ299" i="13"/>
  <c r="AE300" i="13"/>
  <c r="AE296" i="13" s="1"/>
  <c r="X296" i="13"/>
  <c r="T312" i="13"/>
  <c r="AV310" i="13"/>
  <c r="AV312" i="13" s="1"/>
  <c r="T311" i="13"/>
  <c r="AV341" i="13"/>
  <c r="U344" i="13"/>
  <c r="I493" i="13"/>
  <c r="I471" i="13"/>
  <c r="I444" i="13"/>
  <c r="AS337" i="13"/>
  <c r="AJ342" i="13"/>
  <c r="AK342" i="13" s="1"/>
  <c r="AL342" i="13" s="1"/>
  <c r="AM342" i="13" s="1"/>
  <c r="AN342" i="13" s="1"/>
  <c r="AO342" i="13" s="1"/>
  <c r="AP342" i="13" s="1"/>
  <c r="H435" i="13"/>
  <c r="H431" i="13"/>
  <c r="H434" i="13"/>
  <c r="H433" i="13"/>
  <c r="H432" i="13"/>
  <c r="P435" i="13"/>
  <c r="P431" i="13"/>
  <c r="P434" i="13"/>
  <c r="P433" i="13"/>
  <c r="P432" i="13"/>
  <c r="AR408" i="13"/>
  <c r="AX465" i="13"/>
  <c r="AW252" i="13"/>
  <c r="T333" i="13"/>
  <c r="T334" i="13"/>
  <c r="AW467" i="13"/>
  <c r="AK275" i="13"/>
  <c r="AF278" i="13"/>
  <c r="AW321" i="13"/>
  <c r="P332" i="13"/>
  <c r="T475" i="13" s="1"/>
  <c r="L494" i="13"/>
  <c r="L472" i="13"/>
  <c r="L445" i="13"/>
  <c r="L400" i="13"/>
  <c r="L398" i="13"/>
  <c r="P342" i="13"/>
  <c r="AU342" i="13" s="1"/>
  <c r="AS472" i="13"/>
  <c r="AS398" i="13"/>
  <c r="AS351" i="13"/>
  <c r="AT350" i="13"/>
  <c r="AX350" i="13"/>
  <c r="AX348" i="13" s="1"/>
  <c r="I451" i="13"/>
  <c r="I408" i="13"/>
  <c r="AX252" i="13"/>
  <c r="AX467" i="13"/>
  <c r="W279" i="13"/>
  <c r="S286" i="13"/>
  <c r="S287" i="13" s="1"/>
  <c r="AE295" i="13"/>
  <c r="AY295" i="13" s="1"/>
  <c r="AZ306" i="13"/>
  <c r="AX468" i="13"/>
  <c r="AU321" i="13"/>
  <c r="J493" i="13"/>
  <c r="J471" i="13"/>
  <c r="J444" i="13"/>
  <c r="AW330" i="13"/>
  <c r="AS435" i="13"/>
  <c r="AS350" i="13"/>
  <c r="AS433" i="13"/>
  <c r="AL348" i="13"/>
  <c r="AP350" i="13"/>
  <c r="AP348" i="13" s="1"/>
  <c r="AJ355" i="13"/>
  <c r="AF353" i="13"/>
  <c r="AB253" i="13"/>
  <c r="AB328" i="13" s="1"/>
  <c r="AX328" i="13" s="1"/>
  <c r="Y278" i="13"/>
  <c r="Y300" i="13"/>
  <c r="V304" i="13"/>
  <c r="AK311" i="13"/>
  <c r="AK307" i="13"/>
  <c r="AY307" i="13"/>
  <c r="AW311" i="13"/>
  <c r="K493" i="13"/>
  <c r="K471" i="13"/>
  <c r="K444" i="13"/>
  <c r="AT344" i="13"/>
  <c r="AT431" i="13" s="1"/>
  <c r="AO355" i="13"/>
  <c r="G496" i="13"/>
  <c r="AM491" i="13"/>
  <c r="AY468" i="13"/>
  <c r="AJ307" i="13"/>
  <c r="AZ310" i="13"/>
  <c r="W312" i="13"/>
  <c r="AZ317" i="13"/>
  <c r="V492" i="13"/>
  <c r="V438" i="13"/>
  <c r="V439" i="13"/>
  <c r="V437" i="13"/>
  <c r="V447" i="13" s="1"/>
  <c r="V440" i="13"/>
  <c r="V418" i="13"/>
  <c r="V420" i="13"/>
  <c r="V413" i="13"/>
  <c r="V425" i="13"/>
  <c r="V419" i="13"/>
  <c r="V416" i="13"/>
  <c r="V423" i="13"/>
  <c r="V414" i="13"/>
  <c r="V426" i="13"/>
  <c r="V412" i="13"/>
  <c r="V424" i="13"/>
  <c r="V415" i="13"/>
  <c r="AD475" i="13"/>
  <c r="AD399" i="13"/>
  <c r="K335" i="13"/>
  <c r="AU573" i="13"/>
  <c r="I434" i="13"/>
  <c r="I433" i="13"/>
  <c r="I432" i="13"/>
  <c r="I435" i="13"/>
  <c r="I431" i="13"/>
  <c r="Q434" i="13"/>
  <c r="Q433" i="13"/>
  <c r="Q432" i="13"/>
  <c r="Q431" i="13"/>
  <c r="Q435" i="13"/>
  <c r="AY575" i="13"/>
  <c r="J362" i="13"/>
  <c r="AU397" i="13"/>
  <c r="S397" i="13"/>
  <c r="H497" i="13"/>
  <c r="H448" i="13"/>
  <c r="H399" i="13"/>
  <c r="H449" i="13" s="1"/>
  <c r="H407" i="13"/>
  <c r="AN306" i="13"/>
  <c r="P312" i="13"/>
  <c r="X312" i="13"/>
  <c r="O332" i="13"/>
  <c r="AE475" i="13"/>
  <c r="AE399" i="13"/>
  <c r="AS434" i="13"/>
  <c r="J434" i="13"/>
  <c r="J433" i="13"/>
  <c r="J432" i="13"/>
  <c r="J435" i="13"/>
  <c r="J431" i="13"/>
  <c r="R434" i="13"/>
  <c r="R433" i="13"/>
  <c r="R432" i="13"/>
  <c r="R435" i="13"/>
  <c r="R431" i="13"/>
  <c r="C428" i="13"/>
  <c r="AJ394" i="13"/>
  <c r="AK394" i="13" s="1"/>
  <c r="AL394" i="13" s="1"/>
  <c r="AM394" i="13" s="1"/>
  <c r="C405" i="13"/>
  <c r="C406" i="13"/>
  <c r="C409" i="13" s="1"/>
  <c r="Q312" i="13"/>
  <c r="AF475" i="13"/>
  <c r="AF399" i="13"/>
  <c r="D493" i="13"/>
  <c r="D444" i="13"/>
  <c r="L493" i="13"/>
  <c r="L471" i="13"/>
  <c r="L444" i="13"/>
  <c r="AR471" i="13"/>
  <c r="AR444" i="13"/>
  <c r="C434" i="13"/>
  <c r="C432" i="13"/>
  <c r="C435" i="13"/>
  <c r="C431" i="13"/>
  <c r="C433" i="13"/>
  <c r="K434" i="13"/>
  <c r="K433" i="13"/>
  <c r="K432" i="13"/>
  <c r="K435" i="13"/>
  <c r="K431" i="13"/>
  <c r="S434" i="13"/>
  <c r="S433" i="13"/>
  <c r="S432" i="13"/>
  <c r="S435" i="13"/>
  <c r="S431" i="13"/>
  <c r="AQ434" i="13"/>
  <c r="AQ433" i="13"/>
  <c r="AQ435" i="13"/>
  <c r="AQ432" i="13"/>
  <c r="AQ431" i="13"/>
  <c r="AY350" i="13"/>
  <c r="AY348" i="13" s="1"/>
  <c r="AZ361" i="13"/>
  <c r="J376" i="13"/>
  <c r="J374" i="13"/>
  <c r="J375" i="13"/>
  <c r="AN387" i="13"/>
  <c r="AO387" i="13" s="1"/>
  <c r="AP387" i="13" s="1"/>
  <c r="BA396" i="13"/>
  <c r="BB396" i="13" s="1"/>
  <c r="BC396" i="13" s="1"/>
  <c r="D405" i="13"/>
  <c r="AQ405" i="13"/>
  <c r="AQ406" i="13"/>
  <c r="AQ409" i="13" s="1"/>
  <c r="AU310" i="13"/>
  <c r="AV329" i="13"/>
  <c r="AV382" i="13" s="1"/>
  <c r="Y475" i="13"/>
  <c r="Y399" i="13"/>
  <c r="AG475" i="13"/>
  <c r="AG399" i="13"/>
  <c r="E493" i="13"/>
  <c r="E444" i="13"/>
  <c r="AS678" i="13"/>
  <c r="D434" i="13"/>
  <c r="D433" i="13"/>
  <c r="D435" i="13"/>
  <c r="D431" i="13"/>
  <c r="D432" i="13"/>
  <c r="L434" i="13"/>
  <c r="L433" i="13"/>
  <c r="L435" i="13"/>
  <c r="L431" i="13"/>
  <c r="L432" i="13"/>
  <c r="T434" i="13"/>
  <c r="T433" i="13"/>
  <c r="T435" i="13"/>
  <c r="T431" i="13"/>
  <c r="T432" i="13"/>
  <c r="AR434" i="13"/>
  <c r="AR433" i="13"/>
  <c r="AR435" i="13"/>
  <c r="AR432" i="13"/>
  <c r="AR431" i="13"/>
  <c r="G429" i="13"/>
  <c r="G428" i="13"/>
  <c r="AT575" i="13"/>
  <c r="AK360" i="13"/>
  <c r="AL360" i="13" s="1"/>
  <c r="AU306" i="13"/>
  <c r="J507" i="13"/>
  <c r="I507" i="13"/>
  <c r="H507" i="13"/>
  <c r="G507" i="13"/>
  <c r="AS466" i="13"/>
  <c r="Z399" i="13"/>
  <c r="AH475" i="13"/>
  <c r="AH399" i="13"/>
  <c r="AY573" i="13"/>
  <c r="F493" i="13"/>
  <c r="F444" i="13"/>
  <c r="V337" i="13"/>
  <c r="E434" i="13"/>
  <c r="E433" i="13"/>
  <c r="E432" i="13"/>
  <c r="E435" i="13"/>
  <c r="E431" i="13"/>
  <c r="M434" i="13"/>
  <c r="M433" i="13"/>
  <c r="M432" i="13"/>
  <c r="M435" i="13"/>
  <c r="M431" i="13"/>
  <c r="H429" i="13"/>
  <c r="H428" i="13"/>
  <c r="H362" i="13"/>
  <c r="I495" i="13" s="1"/>
  <c r="BA361" i="13"/>
  <c r="BB361" i="13" s="1"/>
  <c r="BC361" i="13" s="1"/>
  <c r="AU366" i="13"/>
  <c r="D496" i="13"/>
  <c r="AR378" i="13"/>
  <c r="AR375" i="13" s="1"/>
  <c r="AR474" i="13" s="1"/>
  <c r="D375" i="13"/>
  <c r="AJ378" i="13"/>
  <c r="AK379" i="13"/>
  <c r="AJ491" i="13"/>
  <c r="AN308" i="13"/>
  <c r="BA308" i="13" s="1"/>
  <c r="BB308" i="13" s="1"/>
  <c r="BC308" i="13" s="1"/>
  <c r="L507" i="13"/>
  <c r="K507" i="13"/>
  <c r="N507" i="13"/>
  <c r="M507" i="13"/>
  <c r="AT466" i="13"/>
  <c r="J492" i="13"/>
  <c r="J469" i="13"/>
  <c r="J324" i="13" s="1"/>
  <c r="J445" i="13"/>
  <c r="J423" i="13"/>
  <c r="J437" i="13" s="1"/>
  <c r="J447" i="13" s="1"/>
  <c r="J426" i="13"/>
  <c r="J440" i="13" s="1"/>
  <c r="J417" i="13"/>
  <c r="J412" i="13"/>
  <c r="J424" i="13"/>
  <c r="J415" i="13"/>
  <c r="J418" i="13"/>
  <c r="J421" i="13"/>
  <c r="J425" i="13"/>
  <c r="J439" i="13" s="1"/>
  <c r="J411" i="13"/>
  <c r="AS323" i="13"/>
  <c r="AS423" i="13" s="1"/>
  <c r="AX329" i="13"/>
  <c r="AX382" i="13" s="1"/>
  <c r="S332" i="13"/>
  <c r="AA475" i="13"/>
  <c r="AI475" i="13"/>
  <c r="AD333" i="13"/>
  <c r="G471" i="13"/>
  <c r="G493" i="13"/>
  <c r="G444" i="13"/>
  <c r="AS432" i="13"/>
  <c r="F433" i="13"/>
  <c r="F432" i="13"/>
  <c r="F435" i="13"/>
  <c r="F431" i="13"/>
  <c r="F434" i="13"/>
  <c r="N433" i="13"/>
  <c r="N432" i="13"/>
  <c r="N435" i="13"/>
  <c r="N431" i="13"/>
  <c r="N434" i="13"/>
  <c r="V433" i="13"/>
  <c r="V432" i="13"/>
  <c r="V435" i="13"/>
  <c r="V431" i="13"/>
  <c r="V434" i="13"/>
  <c r="T366" i="13"/>
  <c r="U366" i="13" s="1"/>
  <c r="V366" i="13" s="1"/>
  <c r="W366" i="13" s="1"/>
  <c r="F498" i="13"/>
  <c r="F450" i="13"/>
  <c r="F500" i="13"/>
  <c r="AK491" i="13"/>
  <c r="AW468" i="13"/>
  <c r="R507" i="13"/>
  <c r="Q507" i="13"/>
  <c r="P507" i="13"/>
  <c r="O507" i="13"/>
  <c r="AU466" i="13"/>
  <c r="L492" i="13"/>
  <c r="K492" i="13"/>
  <c r="K469" i="13"/>
  <c r="K324" i="13" s="1"/>
  <c r="K426" i="13"/>
  <c r="K440" i="13" s="1"/>
  <c r="K417" i="13"/>
  <c r="K412" i="13"/>
  <c r="K424" i="13"/>
  <c r="K415" i="13"/>
  <c r="K418" i="13"/>
  <c r="K421" i="13"/>
  <c r="K425" i="13"/>
  <c r="K439" i="13" s="1"/>
  <c r="K411" i="13"/>
  <c r="K423" i="13"/>
  <c r="K437" i="13" s="1"/>
  <c r="K447" i="13" s="1"/>
  <c r="T440" i="13"/>
  <c r="T438" i="13"/>
  <c r="T439" i="13"/>
  <c r="T412" i="13"/>
  <c r="T424" i="13"/>
  <c r="T415" i="13"/>
  <c r="T418" i="13"/>
  <c r="T420" i="13"/>
  <c r="T425" i="13"/>
  <c r="T419" i="13"/>
  <c r="T416" i="13"/>
  <c r="T437" i="13"/>
  <c r="T447" i="13" s="1"/>
  <c r="T423" i="13"/>
  <c r="T414" i="13"/>
  <c r="T426" i="13"/>
  <c r="T413" i="13"/>
  <c r="AY329" i="13"/>
  <c r="AY382" i="13" s="1"/>
  <c r="AB399" i="13"/>
  <c r="AE333" i="13"/>
  <c r="V335" i="13"/>
  <c r="AS573" i="13"/>
  <c r="AS431" i="13"/>
  <c r="H493" i="13"/>
  <c r="H471" i="13"/>
  <c r="H444" i="13"/>
  <c r="G432" i="13"/>
  <c r="G435" i="13"/>
  <c r="G431" i="13"/>
  <c r="G434" i="13"/>
  <c r="G433" i="13"/>
  <c r="O432" i="13"/>
  <c r="O435" i="13"/>
  <c r="O431" i="13"/>
  <c r="O434" i="13"/>
  <c r="O433" i="13"/>
  <c r="W432" i="13"/>
  <c r="W435" i="13"/>
  <c r="W431" i="13"/>
  <c r="W434" i="13"/>
  <c r="W433" i="13"/>
  <c r="AU344" i="13"/>
  <c r="AU431" i="13" s="1"/>
  <c r="AM355" i="13"/>
  <c r="AI353" i="13"/>
  <c r="G362" i="13"/>
  <c r="AN363" i="13"/>
  <c r="BA363" i="13" s="1"/>
  <c r="BB363" i="13" s="1"/>
  <c r="BC363" i="13" s="1"/>
  <c r="AA399" i="13"/>
  <c r="J428" i="13"/>
  <c r="AN367" i="13"/>
  <c r="BA367" i="13" s="1"/>
  <c r="BB367" i="13" s="1"/>
  <c r="BC367" i="13" s="1"/>
  <c r="F374" i="13"/>
  <c r="I375" i="13"/>
  <c r="D376" i="13"/>
  <c r="AR376" i="13"/>
  <c r="E496" i="13"/>
  <c r="I497" i="13"/>
  <c r="I448" i="13"/>
  <c r="G498" i="13"/>
  <c r="G450" i="13"/>
  <c r="G477" i="13"/>
  <c r="G374" i="13"/>
  <c r="E376" i="13"/>
  <c r="AZ387" i="13"/>
  <c r="J497" i="13"/>
  <c r="J448" i="13"/>
  <c r="H498" i="13"/>
  <c r="H477" i="13"/>
  <c r="H450" i="13"/>
  <c r="F376" i="13"/>
  <c r="AZ377" i="13"/>
  <c r="AZ396" i="13"/>
  <c r="I498" i="13"/>
  <c r="I477" i="13"/>
  <c r="I450" i="13"/>
  <c r="AQ451" i="13"/>
  <c r="AQ408" i="13"/>
  <c r="D406" i="13"/>
  <c r="D409" i="13" s="1"/>
  <c r="AR406" i="13"/>
  <c r="AR409" i="13" s="1"/>
  <c r="AQ407" i="13"/>
  <c r="G376" i="13"/>
  <c r="AX394" i="13"/>
  <c r="AR476" i="13"/>
  <c r="AR448" i="13"/>
  <c r="J498" i="13"/>
  <c r="J477" i="13"/>
  <c r="J450" i="13"/>
  <c r="AR478" i="13"/>
  <c r="AR451" i="13"/>
  <c r="E406" i="13"/>
  <c r="E409" i="13" s="1"/>
  <c r="I479" i="13" s="1"/>
  <c r="AR407" i="13"/>
  <c r="AZ371" i="13"/>
  <c r="I407" i="13"/>
  <c r="I399" i="13"/>
  <c r="I449" i="13" s="1"/>
  <c r="D498" i="13"/>
  <c r="D450" i="13"/>
  <c r="AR477" i="13"/>
  <c r="AR450" i="13"/>
  <c r="J407" i="13"/>
  <c r="F438" i="13"/>
  <c r="F427" i="13"/>
  <c r="F441" i="13" s="1"/>
  <c r="I581" i="13"/>
  <c r="G448" i="13"/>
  <c r="J399" i="13"/>
  <c r="J449" i="13" s="1"/>
  <c r="E498" i="13"/>
  <c r="E450" i="13"/>
  <c r="AS400" i="13"/>
  <c r="AQ402" i="13"/>
  <c r="H427" i="13"/>
  <c r="H441" i="13" s="1"/>
  <c r="I427" i="13"/>
  <c r="I441" i="13" s="1"/>
  <c r="C427" i="13"/>
  <c r="C441" i="13" s="1"/>
  <c r="AQ427" i="13"/>
  <c r="AQ441" i="13" s="1"/>
  <c r="D427" i="13"/>
  <c r="D441" i="13" s="1"/>
  <c r="AR427" i="13"/>
  <c r="AR441" i="13" s="1"/>
  <c r="E427" i="13"/>
  <c r="E441" i="13" s="1"/>
  <c r="BA608" i="13"/>
  <c r="J542" i="13"/>
  <c r="AS549" i="13"/>
  <c r="BB536" i="13"/>
  <c r="AV510" i="13"/>
  <c r="AV511" i="13" s="1"/>
  <c r="AW510" i="13"/>
  <c r="AW511" i="13" s="1"/>
  <c r="AV575" i="13"/>
  <c r="AC569" i="13"/>
  <c r="AW575" i="13"/>
  <c r="AU510" i="13"/>
  <c r="AU511" i="13" s="1"/>
  <c r="AX510" i="13"/>
  <c r="AX511" i="13" s="1"/>
  <c r="AT573" i="13"/>
  <c r="AV549" i="13"/>
  <c r="AX575" i="13"/>
  <c r="AV573" i="13"/>
  <c r="BC571" i="13"/>
  <c r="M678" i="13"/>
  <c r="P679" i="13"/>
  <c r="Y676" i="13"/>
  <c r="Y678" i="13"/>
  <c r="Y675" i="13"/>
  <c r="AG676" i="13"/>
  <c r="AG678" i="13"/>
  <c r="AG675" i="13"/>
  <c r="BB519" i="13"/>
  <c r="BB614" i="13" s="1"/>
  <c r="AW573" i="13"/>
  <c r="AT510" i="13"/>
  <c r="AT511" i="13" s="1"/>
  <c r="AW666" i="13"/>
  <c r="AW672" i="13"/>
  <c r="AX573" i="13"/>
  <c r="AH569" i="13"/>
  <c r="AX666" i="13"/>
  <c r="AX672" i="13"/>
  <c r="K569" i="13"/>
  <c r="AA569" i="13"/>
  <c r="AI569" i="13"/>
  <c r="AX549" i="13"/>
  <c r="AW671" i="13"/>
  <c r="AZ590" i="13"/>
  <c r="AZ595" i="13"/>
  <c r="AZ390" i="13" s="1"/>
  <c r="Z549" i="13"/>
  <c r="Z676" i="13"/>
  <c r="Z678" i="13"/>
  <c r="Z675" i="13"/>
  <c r="AH676" i="13"/>
  <c r="AH678" i="13"/>
  <c r="AH675" i="13"/>
  <c r="M662" i="13"/>
  <c r="N661" i="13" s="1"/>
  <c r="N662" i="13" s="1"/>
  <c r="O661" i="13" s="1"/>
  <c r="O662" i="13" s="1"/>
  <c r="P661" i="13" s="1"/>
  <c r="P662" i="13" s="1"/>
  <c r="Q661" i="13" s="1"/>
  <c r="Q662" i="13" s="1"/>
  <c r="R661" i="13" s="1"/>
  <c r="R662" i="13" s="1"/>
  <c r="S661" i="13" s="1"/>
  <c r="S662" i="13" s="1"/>
  <c r="T661" i="13" s="1"/>
  <c r="T662" i="13" s="1"/>
  <c r="U661" i="13" s="1"/>
  <c r="U662" i="13" s="1"/>
  <c r="V661" i="13" s="1"/>
  <c r="V662" i="13" s="1"/>
  <c r="X662" i="13"/>
  <c r="Y661" i="13" s="1"/>
  <c r="Y662" i="13" s="1"/>
  <c r="J679" i="13"/>
  <c r="J680" i="13" s="1"/>
  <c r="X676" i="13"/>
  <c r="X678" i="13"/>
  <c r="X675" i="13"/>
  <c r="BA612" i="13"/>
  <c r="AZ612" i="13"/>
  <c r="BA603" i="13"/>
  <c r="AX671" i="13"/>
  <c r="BA595" i="13"/>
  <c r="BA537" i="13"/>
  <c r="AV542" i="13"/>
  <c r="H678" i="13"/>
  <c r="AF676" i="13"/>
  <c r="AF678" i="13"/>
  <c r="AF675" i="13"/>
  <c r="BB612" i="13"/>
  <c r="BB603" i="13"/>
  <c r="BB595" i="13"/>
  <c r="V531" i="13"/>
  <c r="AV531" i="13" s="1"/>
  <c r="T678" i="13"/>
  <c r="T675" i="13"/>
  <c r="W679" i="13"/>
  <c r="T676" i="13"/>
  <c r="AB678" i="13"/>
  <c r="AB675" i="13"/>
  <c r="AE679" i="13"/>
  <c r="AB676" i="13"/>
  <c r="BA594" i="13"/>
  <c r="AT672" i="13"/>
  <c r="AT666" i="13"/>
  <c r="AW566" i="13"/>
  <c r="AZ603" i="13"/>
  <c r="U678" i="13"/>
  <c r="U675" i="13"/>
  <c r="X679" i="13"/>
  <c r="U676" i="13"/>
  <c r="U677" i="13" s="1"/>
  <c r="AC678" i="13"/>
  <c r="AC675" i="13"/>
  <c r="AF679" i="13"/>
  <c r="AC676" i="13"/>
  <c r="AC677" i="13" s="1"/>
  <c r="BA624" i="13"/>
  <c r="BB624" i="13" s="1"/>
  <c r="BC624" i="13" s="1"/>
  <c r="BC517" i="13"/>
  <c r="BC612" i="13" s="1"/>
  <c r="BC522" i="13"/>
  <c r="BC603" i="13" s="1"/>
  <c r="BB524" i="13"/>
  <c r="AU672" i="13"/>
  <c r="AU666" i="13"/>
  <c r="Y679" i="13"/>
  <c r="V676" i="13"/>
  <c r="AG679" i="13"/>
  <c r="AD676" i="13"/>
  <c r="AD678" i="13"/>
  <c r="BA614" i="13"/>
  <c r="AU606" i="13"/>
  <c r="AU575" i="13"/>
  <c r="Z679" i="13"/>
  <c r="W676" i="13"/>
  <c r="W678" i="13"/>
  <c r="AH679" i="13"/>
  <c r="AE676" i="13"/>
  <c r="AE678" i="13"/>
  <c r="AV672" i="13"/>
  <c r="BA590" i="13"/>
  <c r="L668" i="13"/>
  <c r="L674" i="13"/>
  <c r="P675" i="13" s="1"/>
  <c r="P678" i="13"/>
  <c r="R674" i="13"/>
  <c r="V675" i="13" s="1"/>
  <c r="AY660" i="13"/>
  <c r="S674" i="13"/>
  <c r="AA674" i="13"/>
  <c r="AB679" i="13" s="1"/>
  <c r="AI674" i="13"/>
  <c r="Q675" i="13"/>
  <c r="Q678" i="13"/>
  <c r="BA622" i="13"/>
  <c r="AY623" i="13"/>
  <c r="AY674" i="13" s="1"/>
  <c r="AT434" i="13" l="1"/>
  <c r="AO307" i="13"/>
  <c r="AH482" i="13"/>
  <c r="Z323" i="13"/>
  <c r="Z412" i="13" s="1"/>
  <c r="AH230" i="13"/>
  <c r="AA37" i="13"/>
  <c r="Z37" i="13"/>
  <c r="BC595" i="13"/>
  <c r="AE502" i="13"/>
  <c r="Z454" i="13"/>
  <c r="AH323" i="13"/>
  <c r="AB71" i="13"/>
  <c r="F428" i="13"/>
  <c r="O414" i="13"/>
  <c r="AH502" i="13"/>
  <c r="AY455" i="13"/>
  <c r="AY85" i="13"/>
  <c r="AD38" i="13"/>
  <c r="S272" i="13"/>
  <c r="Z230" i="13"/>
  <c r="AA71" i="13"/>
  <c r="S264" i="13"/>
  <c r="BA135" i="14"/>
  <c r="BA136" i="14" s="1"/>
  <c r="BB37" i="14"/>
  <c r="BB38" i="14" s="1"/>
  <c r="AR479" i="13"/>
  <c r="W95" i="13"/>
  <c r="AW210" i="13"/>
  <c r="BA183" i="13"/>
  <c r="V88" i="13"/>
  <c r="H496" i="13"/>
  <c r="K91" i="13"/>
  <c r="K87" i="13" s="1"/>
  <c r="AX230" i="14"/>
  <c r="AX249" i="14"/>
  <c r="BA175" i="14"/>
  <c r="AZ136" i="14"/>
  <c r="AL273" i="14"/>
  <c r="AH283" i="14"/>
  <c r="BA283" i="14" s="1"/>
  <c r="BA273" i="14"/>
  <c r="AK195" i="14"/>
  <c r="AL195" i="14" s="1"/>
  <c r="BC195" i="14"/>
  <c r="BD195" i="14" s="1"/>
  <c r="AA280" i="14"/>
  <c r="AZ280" i="14" s="1"/>
  <c r="AZ282" i="14"/>
  <c r="AZ141" i="14"/>
  <c r="AZ142" i="14" s="1"/>
  <c r="BA178" i="14"/>
  <c r="BA95" i="14"/>
  <c r="AM257" i="14"/>
  <c r="BC257" i="14" s="1"/>
  <c r="BD257" i="14" s="1"/>
  <c r="BE257" i="14" s="1"/>
  <c r="BF257" i="14" s="1"/>
  <c r="BG257" i="14" s="1"/>
  <c r="BH257" i="14" s="1"/>
  <c r="BI257" i="14" s="1"/>
  <c r="BJ257" i="14" s="1"/>
  <c r="BB257" i="14"/>
  <c r="AI171" i="14"/>
  <c r="AM135" i="14"/>
  <c r="BA152" i="14"/>
  <c r="BB20" i="14"/>
  <c r="BB22" i="14" s="1"/>
  <c r="AJ21" i="14"/>
  <c r="BF301" i="14"/>
  <c r="BE264" i="14"/>
  <c r="BB77" i="14"/>
  <c r="BB78" i="14" s="1"/>
  <c r="AI82" i="14"/>
  <c r="BA61" i="14"/>
  <c r="BA56" i="14" s="1"/>
  <c r="BA73" i="14" s="1"/>
  <c r="AH157" i="14"/>
  <c r="BA157" i="14" s="1"/>
  <c r="AH62" i="14"/>
  <c r="C407" i="13"/>
  <c r="N458" i="13"/>
  <c r="AE417" i="13"/>
  <c r="AW212" i="13"/>
  <c r="Q233" i="14"/>
  <c r="AF220" i="14"/>
  <c r="AF221" i="14" s="1"/>
  <c r="H474" i="13"/>
  <c r="AX94" i="13"/>
  <c r="AX92" i="13" s="1"/>
  <c r="AA35" i="13"/>
  <c r="AE23" i="13"/>
  <c r="AA24" i="13"/>
  <c r="N86" i="13"/>
  <c r="AW216" i="13"/>
  <c r="O504" i="13"/>
  <c r="Z210" i="13"/>
  <c r="Z208" i="13" s="1"/>
  <c r="U55" i="13"/>
  <c r="AW220" i="13"/>
  <c r="F413" i="13"/>
  <c r="F93" i="13"/>
  <c r="AO194" i="13"/>
  <c r="AB502" i="13"/>
  <c r="R458" i="13"/>
  <c r="AV94" i="13"/>
  <c r="AV92" i="13" s="1"/>
  <c r="AW30" i="13"/>
  <c r="AW232" i="14"/>
  <c r="AW233" i="14" s="1"/>
  <c r="N91" i="13"/>
  <c r="N87" i="13" s="1"/>
  <c r="G476" i="13"/>
  <c r="E428" i="13"/>
  <c r="N456" i="13"/>
  <c r="AP194" i="13"/>
  <c r="AA87" i="13"/>
  <c r="AV90" i="13"/>
  <c r="R456" i="13"/>
  <c r="Q96" i="13"/>
  <c r="Q55" i="13"/>
  <c r="S417" i="13"/>
  <c r="AA16" i="13"/>
  <c r="C399" i="13"/>
  <c r="C449" i="13" s="1"/>
  <c r="R334" i="13"/>
  <c r="U97" i="13"/>
  <c r="AA182" i="13"/>
  <c r="AW23" i="13"/>
  <c r="AW25" i="13" s="1"/>
  <c r="AA39" i="13"/>
  <c r="AA49" i="13" s="1"/>
  <c r="AA52" i="13" s="1"/>
  <c r="AU42" i="13"/>
  <c r="AA18" i="13"/>
  <c r="L362" i="13"/>
  <c r="L446" i="13" s="1"/>
  <c r="L458" i="13"/>
  <c r="AA219" i="13"/>
  <c r="AA85" i="13"/>
  <c r="AA97" i="13" s="1"/>
  <c r="L428" i="13"/>
  <c r="L456" i="13"/>
  <c r="AA86" i="13"/>
  <c r="AM77" i="14"/>
  <c r="AO491" i="13"/>
  <c r="AV87" i="13"/>
  <c r="AD569" i="13"/>
  <c r="AX569" i="13" s="1"/>
  <c r="AT435" i="13"/>
  <c r="R333" i="13"/>
  <c r="W210" i="13"/>
  <c r="W208" i="13" s="1"/>
  <c r="AW208" i="13" s="1"/>
  <c r="AO66" i="13"/>
  <c r="AV311" i="13"/>
  <c r="AH411" i="13"/>
  <c r="U189" i="13"/>
  <c r="AP66" i="13"/>
  <c r="W55" i="13"/>
  <c r="AT432" i="13"/>
  <c r="U201" i="13"/>
  <c r="W56" i="13"/>
  <c r="AO65" i="13"/>
  <c r="X37" i="13"/>
  <c r="AK64" i="14"/>
  <c r="AO64" i="14" s="1"/>
  <c r="BF256" i="14"/>
  <c r="AD34" i="3"/>
  <c r="BN38" i="3"/>
  <c r="BE244" i="14"/>
  <c r="AM64" i="14"/>
  <c r="AJ40" i="3"/>
  <c r="AX207" i="14"/>
  <c r="AA218" i="14"/>
  <c r="AA219" i="14" s="1"/>
  <c r="AA220" i="14" s="1"/>
  <c r="AE221" i="14" s="1"/>
  <c r="AJ38" i="3"/>
  <c r="W236" i="14"/>
  <c r="BF262" i="14"/>
  <c r="BN40" i="3"/>
  <c r="AH179" i="13"/>
  <c r="Z72" i="13"/>
  <c r="AA38" i="13"/>
  <c r="U427" i="13"/>
  <c r="W502" i="13"/>
  <c r="AR97" i="13"/>
  <c r="AM103" i="14"/>
  <c r="AU62" i="14"/>
  <c r="P191" i="14"/>
  <c r="AU32" i="14"/>
  <c r="P278" i="14"/>
  <c r="P292" i="14" s="1"/>
  <c r="AJ103" i="14"/>
  <c r="AL64" i="14"/>
  <c r="AP64" i="14" s="1"/>
  <c r="P259" i="14"/>
  <c r="AJ31" i="14"/>
  <c r="AJ32" i="14" s="1"/>
  <c r="V15" i="1"/>
  <c r="V9" i="1"/>
  <c r="U9" i="1"/>
  <c r="U15" i="1"/>
  <c r="AD84" i="14"/>
  <c r="AD166" i="14" s="1"/>
  <c r="AH166" i="14" s="1"/>
  <c r="AU50" i="14"/>
  <c r="AL103" i="14"/>
  <c r="AC74" i="14"/>
  <c r="AK103" i="14"/>
  <c r="AK93" i="14"/>
  <c r="AL93" i="14"/>
  <c r="AB677" i="13"/>
  <c r="AC679" i="13"/>
  <c r="AG681" i="13" s="1"/>
  <c r="AZ360" i="13"/>
  <c r="N437" i="13"/>
  <c r="N447" i="13" s="1"/>
  <c r="AI449" i="13"/>
  <c r="AZ254" i="13"/>
  <c r="AZ329" i="13" s="1"/>
  <c r="AZ382" i="13" s="1"/>
  <c r="AI454" i="13"/>
  <c r="AB506" i="13"/>
  <c r="P414" i="13"/>
  <c r="P411" i="13"/>
  <c r="AI38" i="13"/>
  <c r="P417" i="13"/>
  <c r="AI411" i="13"/>
  <c r="AS201" i="13"/>
  <c r="AS202" i="13" s="1"/>
  <c r="V569" i="13"/>
  <c r="AV569" i="13" s="1"/>
  <c r="V427" i="13"/>
  <c r="AI166" i="13"/>
  <c r="AI464" i="13" s="1"/>
  <c r="AW182" i="13"/>
  <c r="AI482" i="13"/>
  <c r="AE675" i="13"/>
  <c r="BB538" i="13"/>
  <c r="BB606" i="13" s="1"/>
  <c r="Z677" i="13"/>
  <c r="AA502" i="13"/>
  <c r="AL330" i="13"/>
  <c r="AL341" i="13" s="1"/>
  <c r="AK329" i="13"/>
  <c r="AK382" i="13" s="1"/>
  <c r="AK386" i="13" s="1"/>
  <c r="AC502" i="13"/>
  <c r="AA72" i="13"/>
  <c r="BC534" i="13"/>
  <c r="D500" i="13"/>
  <c r="AB72" i="13"/>
  <c r="AY328" i="13"/>
  <c r="T427" i="13"/>
  <c r="BA348" i="13"/>
  <c r="AU285" i="13"/>
  <c r="AD506" i="13"/>
  <c r="AF71" i="13"/>
  <c r="AF72" i="13" s="1"/>
  <c r="AV342" i="13"/>
  <c r="AW207" i="14"/>
  <c r="AG56" i="14"/>
  <c r="AG73" i="14" s="1"/>
  <c r="AG74" i="14" s="1"/>
  <c r="AJ82" i="14"/>
  <c r="AJ69" i="14"/>
  <c r="AH74" i="14"/>
  <c r="AL355" i="13"/>
  <c r="AP355" i="13" s="1"/>
  <c r="AH353" i="13"/>
  <c r="AY355" i="13"/>
  <c r="AY353" i="13" s="1"/>
  <c r="Y304" i="13"/>
  <c r="R411" i="13"/>
  <c r="AY172" i="13"/>
  <c r="AF506" i="13" s="1"/>
  <c r="AB454" i="13"/>
  <c r="AU63" i="13"/>
  <c r="T108" i="13"/>
  <c r="T186" i="13" s="1"/>
  <c r="X104" i="13"/>
  <c r="Y106" i="13" s="1"/>
  <c r="AX342" i="13"/>
  <c r="AK503" i="13"/>
  <c r="AU85" i="13"/>
  <c r="AS411" i="13"/>
  <c r="AS97" i="13"/>
  <c r="AU86" i="13"/>
  <c r="AR405" i="13"/>
  <c r="AK353" i="13"/>
  <c r="AI417" i="13"/>
  <c r="R417" i="13"/>
  <c r="AH181" i="13"/>
  <c r="BA317" i="13"/>
  <c r="W17" i="13"/>
  <c r="AU156" i="13"/>
  <c r="AU158" i="13" s="1"/>
  <c r="AZ69" i="13"/>
  <c r="AZ65" i="13"/>
  <c r="AF37" i="13"/>
  <c r="BA390" i="13"/>
  <c r="AN390" i="13" s="1"/>
  <c r="AH677" i="13"/>
  <c r="AS421" i="13"/>
  <c r="E500" i="13"/>
  <c r="AT433" i="13"/>
  <c r="Q334" i="13"/>
  <c r="U469" i="13"/>
  <c r="U324" i="13" s="1"/>
  <c r="Q415" i="13"/>
  <c r="BA283" i="13"/>
  <c r="BB283" i="13" s="1"/>
  <c r="BC283" i="13" s="1"/>
  <c r="Q417" i="13"/>
  <c r="N110" i="13"/>
  <c r="N111" i="13" s="1"/>
  <c r="AU16" i="13"/>
  <c r="BA64" i="13"/>
  <c r="AP65" i="13"/>
  <c r="J91" i="13"/>
  <c r="J87" i="13" s="1"/>
  <c r="X87" i="13"/>
  <c r="X24" i="13"/>
  <c r="X15" i="13"/>
  <c r="V469" i="13"/>
  <c r="V324" i="13" s="1"/>
  <c r="AG71" i="13"/>
  <c r="AG72" i="13" s="1"/>
  <c r="S679" i="13"/>
  <c r="W681" i="13" s="1"/>
  <c r="X677" i="13"/>
  <c r="AJ504" i="13"/>
  <c r="AI37" i="13"/>
  <c r="AI71" i="13"/>
  <c r="AI72" i="13" s="1"/>
  <c r="U106" i="13"/>
  <c r="Y71" i="13"/>
  <c r="AX62" i="14"/>
  <c r="AJ14" i="14"/>
  <c r="AO77" i="14"/>
  <c r="AP77" i="14"/>
  <c r="AJ66" i="14"/>
  <c r="AM93" i="14"/>
  <c r="AN58" i="14"/>
  <c r="AL58" i="14"/>
  <c r="AP58" i="14" s="1"/>
  <c r="AM66" i="14"/>
  <c r="AM58" i="14"/>
  <c r="AI56" i="14"/>
  <c r="AI73" i="14" s="1"/>
  <c r="AO20" i="14"/>
  <c r="AK21" i="14"/>
  <c r="AJ53" i="14"/>
  <c r="AK141" i="14"/>
  <c r="AO41" i="14"/>
  <c r="AO141" i="14" s="1"/>
  <c r="AP37" i="14"/>
  <c r="AM41" i="14"/>
  <c r="AI141" i="14"/>
  <c r="AN37" i="14"/>
  <c r="AK66" i="14"/>
  <c r="AX241" i="14"/>
  <c r="AX32" i="14"/>
  <c r="AN93" i="14"/>
  <c r="AN171" i="14" s="1"/>
  <c r="AK151" i="14"/>
  <c r="AL21" i="14"/>
  <c r="AP20" i="14"/>
  <c r="AK58" i="14"/>
  <c r="AM152" i="14"/>
  <c r="AL151" i="14"/>
  <c r="AF65" i="14"/>
  <c r="AJ64" i="14"/>
  <c r="AM21" i="14"/>
  <c r="AJ135" i="14"/>
  <c r="BB135" i="14" s="1"/>
  <c r="BB136" i="14" s="1"/>
  <c r="AL66" i="14"/>
  <c r="AP66" i="14" s="1"/>
  <c r="AN21" i="14"/>
  <c r="AH141" i="14"/>
  <c r="AH146" i="14" s="1"/>
  <c r="AL41" i="14"/>
  <c r="AY42" i="14"/>
  <c r="AL135" i="14"/>
  <c r="AN77" i="14"/>
  <c r="AK80" i="14"/>
  <c r="AK82" i="14" s="1"/>
  <c r="AF141" i="14"/>
  <c r="AF146" i="14" s="1"/>
  <c r="AJ41" i="14"/>
  <c r="AK101" i="14"/>
  <c r="AJ100" i="14"/>
  <c r="AL139" i="14"/>
  <c r="AI157" i="14"/>
  <c r="AI62" i="14"/>
  <c r="AO37" i="14"/>
  <c r="AG62" i="14"/>
  <c r="AZ199" i="14"/>
  <c r="AZ205" i="14" s="1"/>
  <c r="AZ206" i="14" s="1"/>
  <c r="AZ32" i="14"/>
  <c r="AV49" i="14"/>
  <c r="AV50" i="14" s="1"/>
  <c r="AV32" i="14"/>
  <c r="AX236" i="14"/>
  <c r="Q50" i="14"/>
  <c r="AY49" i="14"/>
  <c r="AY50" i="14" s="1"/>
  <c r="AK13" i="14"/>
  <c r="AK31" i="14" s="1"/>
  <c r="AK32" i="14" s="1"/>
  <c r="AB84" i="14"/>
  <c r="AB124" i="14" s="1"/>
  <c r="AA84" i="14"/>
  <c r="AA124" i="14" s="1"/>
  <c r="AZ73" i="14"/>
  <c r="AB74" i="14"/>
  <c r="AG148" i="14"/>
  <c r="AD147" i="14"/>
  <c r="AD161" i="14" s="1"/>
  <c r="AD159" i="14" s="1"/>
  <c r="S147" i="14"/>
  <c r="S148" i="14" s="1"/>
  <c r="O233" i="14"/>
  <c r="L50" i="14"/>
  <c r="AC147" i="14"/>
  <c r="AC148" i="14" s="1"/>
  <c r="AB148" i="14"/>
  <c r="L84" i="14"/>
  <c r="L161" i="14" s="1"/>
  <c r="X50" i="14"/>
  <c r="M50" i="14"/>
  <c r="AY56" i="14"/>
  <c r="AA74" i="14"/>
  <c r="AZ56" i="14"/>
  <c r="AX56" i="14"/>
  <c r="S73" i="14"/>
  <c r="AC221" i="14"/>
  <c r="AZ158" i="14"/>
  <c r="AX141" i="14"/>
  <c r="AX147" i="14" s="1"/>
  <c r="AY62" i="14"/>
  <c r="AU6" i="14"/>
  <c r="AY157" i="14"/>
  <c r="AY158" i="14" s="1"/>
  <c r="AX6" i="14"/>
  <c r="T84" i="14"/>
  <c r="T162" i="14" s="1"/>
  <c r="AH39" i="14"/>
  <c r="BA39" i="14" s="1"/>
  <c r="BA40" i="14" s="1"/>
  <c r="AG138" i="14"/>
  <c r="K73" i="14"/>
  <c r="AV56" i="14"/>
  <c r="AV62" i="14"/>
  <c r="U50" i="14"/>
  <c r="AT84" i="14"/>
  <c r="V148" i="14"/>
  <c r="V161" i="14"/>
  <c r="AF32" i="14"/>
  <c r="AF49" i="14"/>
  <c r="AF50" i="14" s="1"/>
  <c r="Z74" i="14"/>
  <c r="Z84" i="14"/>
  <c r="AY73" i="14"/>
  <c r="Q84" i="14"/>
  <c r="Q74" i="14"/>
  <c r="AB221" i="14"/>
  <c r="AD74" i="14"/>
  <c r="J246" i="14"/>
  <c r="AU246" i="14" s="1"/>
  <c r="J233" i="14"/>
  <c r="AU232" i="14"/>
  <c r="AU233" i="14" s="1"/>
  <c r="W219" i="14"/>
  <c r="W220" i="14" s="1"/>
  <c r="AY218" i="14"/>
  <c r="AY219" i="14" s="1"/>
  <c r="AY220" i="14" s="1"/>
  <c r="AY223" i="14" s="1"/>
  <c r="H191" i="14"/>
  <c r="H258" i="14"/>
  <c r="AY136" i="14"/>
  <c r="AZ49" i="14"/>
  <c r="AB162" i="14"/>
  <c r="AG141" i="14"/>
  <c r="AG146" i="14" s="1"/>
  <c r="AG34" i="14"/>
  <c r="AY6" i="14"/>
  <c r="AZ6" i="14"/>
  <c r="G258" i="14"/>
  <c r="G191" i="14"/>
  <c r="I258" i="14"/>
  <c r="I191" i="14"/>
  <c r="U161" i="14"/>
  <c r="U148" i="14"/>
  <c r="M246" i="14"/>
  <c r="M233" i="14"/>
  <c r="U246" i="14"/>
  <c r="U250" i="14" s="1"/>
  <c r="U233" i="14"/>
  <c r="Q258" i="14"/>
  <c r="Q191" i="14"/>
  <c r="AX232" i="14"/>
  <c r="AX233" i="14" s="1"/>
  <c r="S246" i="14"/>
  <c r="S247" i="14" s="1"/>
  <c r="S233" i="14"/>
  <c r="X74" i="14"/>
  <c r="X84" i="14"/>
  <c r="AV6" i="14"/>
  <c r="R84" i="14"/>
  <c r="V85" i="14" s="1"/>
  <c r="R74" i="14"/>
  <c r="N161" i="14"/>
  <c r="V74" i="14"/>
  <c r="E246" i="14"/>
  <c r="E233" i="14"/>
  <c r="AX243" i="14"/>
  <c r="AX238" i="14"/>
  <c r="P73" i="14"/>
  <c r="AW56" i="14"/>
  <c r="L233" i="14"/>
  <c r="L246" i="14"/>
  <c r="AC124" i="14"/>
  <c r="AC109" i="14"/>
  <c r="AC166" i="14"/>
  <c r="AG166" i="14" s="1"/>
  <c r="AK166" i="14" s="1"/>
  <c r="AO166" i="14" s="1"/>
  <c r="AC50" i="14"/>
  <c r="AD50" i="14"/>
  <c r="AF226" i="14"/>
  <c r="AF249" i="14" s="1"/>
  <c r="AF184" i="14"/>
  <c r="V124" i="14"/>
  <c r="V166" i="14"/>
  <c r="V167" i="14" s="1"/>
  <c r="I84" i="14"/>
  <c r="I74" i="14"/>
  <c r="M74" i="14"/>
  <c r="AV180" i="14"/>
  <c r="AU56" i="14"/>
  <c r="H73" i="14"/>
  <c r="T246" i="14"/>
  <c r="T250" i="14" s="1"/>
  <c r="T233" i="14"/>
  <c r="BA31" i="14"/>
  <c r="BA32" i="14" s="1"/>
  <c r="AA146" i="14"/>
  <c r="J84" i="14"/>
  <c r="J85" i="14" s="1"/>
  <c r="J74" i="14"/>
  <c r="G85" i="14"/>
  <c r="Y74" i="14"/>
  <c r="Y84" i="14"/>
  <c r="AC85" i="14" s="1"/>
  <c r="V50" i="14"/>
  <c r="AW62" i="14"/>
  <c r="AW6" i="14"/>
  <c r="AT233" i="14"/>
  <c r="AT246" i="14"/>
  <c r="AT247" i="14" s="1"/>
  <c r="AW49" i="14"/>
  <c r="AW32" i="14"/>
  <c r="R246" i="14"/>
  <c r="AW246" i="14" s="1"/>
  <c r="R233" i="14"/>
  <c r="V246" i="14"/>
  <c r="V250" i="14" s="1"/>
  <c r="V233" i="14"/>
  <c r="F246" i="14"/>
  <c r="F233" i="14"/>
  <c r="W241" i="14"/>
  <c r="W243" i="14"/>
  <c r="W232" i="14"/>
  <c r="AZ62" i="14"/>
  <c r="AE148" i="14"/>
  <c r="AE161" i="14"/>
  <c r="AE159" i="14" s="1"/>
  <c r="AE50" i="14"/>
  <c r="AE84" i="14"/>
  <c r="O161" i="14"/>
  <c r="AF206" i="14"/>
  <c r="AW180" i="14"/>
  <c r="AF124" i="14"/>
  <c r="N50" i="14"/>
  <c r="AB50" i="14"/>
  <c r="U74" i="14"/>
  <c r="N246" i="14"/>
  <c r="N233" i="14"/>
  <c r="Z146" i="14"/>
  <c r="Z147" i="14"/>
  <c r="O258" i="14"/>
  <c r="O191" i="14"/>
  <c r="AV232" i="14"/>
  <c r="AV233" i="14" s="1"/>
  <c r="K233" i="14"/>
  <c r="K246" i="14"/>
  <c r="AA147" i="14"/>
  <c r="AA148" i="14" s="1"/>
  <c r="X148" i="14"/>
  <c r="X161" i="14"/>
  <c r="W147" i="14"/>
  <c r="U124" i="14"/>
  <c r="U128" i="14" s="1"/>
  <c r="U166" i="14"/>
  <c r="U167" i="14" s="1"/>
  <c r="AX180" i="14"/>
  <c r="Y147" i="14"/>
  <c r="Y146" i="14"/>
  <c r="AM385" i="13"/>
  <c r="AM383" i="13"/>
  <c r="AM384" i="13"/>
  <c r="AM386" i="13"/>
  <c r="AT670" i="13"/>
  <c r="AT668" i="13"/>
  <c r="AT669" i="13"/>
  <c r="AT665" i="13"/>
  <c r="L508" i="13"/>
  <c r="AT574" i="13"/>
  <c r="AT469" i="13"/>
  <c r="AT324" i="13" s="1"/>
  <c r="AT413" i="13"/>
  <c r="AT414" i="13"/>
  <c r="AT48" i="13"/>
  <c r="AT425" i="13"/>
  <c r="K508" i="13"/>
  <c r="AT572" i="13"/>
  <c r="AT412" i="13"/>
  <c r="AT440" i="13"/>
  <c r="AT571" i="13"/>
  <c r="AT439" i="13"/>
  <c r="AT437" i="13"/>
  <c r="AT447" i="13" s="1"/>
  <c r="AT438" i="13"/>
  <c r="AT416" i="13"/>
  <c r="AT423" i="13"/>
  <c r="AT426" i="13"/>
  <c r="M508" i="13"/>
  <c r="AT421" i="13"/>
  <c r="AT418" i="13"/>
  <c r="AT424" i="13"/>
  <c r="AT417" i="13"/>
  <c r="BA460" i="13"/>
  <c r="BB183" i="13"/>
  <c r="AY678" i="13"/>
  <c r="AY676" i="13"/>
  <c r="AY679" i="13"/>
  <c r="AY680" i="13" s="1"/>
  <c r="AB680" i="13"/>
  <c r="AB681" i="13"/>
  <c r="W51" i="13"/>
  <c r="W52" i="13"/>
  <c r="W96" i="13"/>
  <c r="AS476" i="13"/>
  <c r="AS448" i="13"/>
  <c r="AS407" i="13"/>
  <c r="AS399" i="13"/>
  <c r="AS449" i="13" s="1"/>
  <c r="W104" i="13"/>
  <c r="S108" i="13"/>
  <c r="S186" i="13" s="1"/>
  <c r="AV104" i="13"/>
  <c r="S106" i="13"/>
  <c r="AS670" i="13"/>
  <c r="AS668" i="13"/>
  <c r="AS669" i="13"/>
  <c r="AS574" i="13"/>
  <c r="AS665" i="13"/>
  <c r="AS571" i="13"/>
  <c r="I508" i="13"/>
  <c r="H508" i="13"/>
  <c r="AS572" i="13"/>
  <c r="G508" i="13"/>
  <c r="AS469" i="13"/>
  <c r="AS324" i="13" s="1"/>
  <c r="AS415" i="13"/>
  <c r="AS413" i="13"/>
  <c r="AS414" i="13"/>
  <c r="AZ307" i="13"/>
  <c r="AZ312" i="13"/>
  <c r="AS412" i="13"/>
  <c r="AL311" i="13"/>
  <c r="AZ311" i="13" s="1"/>
  <c r="AL307" i="13"/>
  <c r="Y328" i="13"/>
  <c r="AW328" i="13" s="1"/>
  <c r="AW198" i="13"/>
  <c r="AW123" i="13"/>
  <c r="AW124" i="13"/>
  <c r="AW119" i="13"/>
  <c r="AW120" i="13" s="1"/>
  <c r="S492" i="13"/>
  <c r="S469" i="13"/>
  <c r="S324" i="13" s="1"/>
  <c r="S437" i="13"/>
  <c r="S447" i="13" s="1"/>
  <c r="S440" i="13"/>
  <c r="S438" i="13"/>
  <c r="S439" i="13"/>
  <c r="S426" i="13"/>
  <c r="S412" i="13"/>
  <c r="S424" i="13"/>
  <c r="S415" i="13"/>
  <c r="S418" i="13"/>
  <c r="S420" i="13"/>
  <c r="S413" i="13"/>
  <c r="S425" i="13"/>
  <c r="S419" i="13"/>
  <c r="S416" i="13"/>
  <c r="S423" i="13"/>
  <c r="S414" i="13"/>
  <c r="S335" i="13"/>
  <c r="AV335" i="13" s="1"/>
  <c r="S337" i="13"/>
  <c r="AV323" i="13"/>
  <c r="AV411" i="13" s="1"/>
  <c r="S48" i="13"/>
  <c r="AT156" i="13"/>
  <c r="AT86" i="13"/>
  <c r="AT63" i="13"/>
  <c r="AT35" i="13"/>
  <c r="AT18" i="13"/>
  <c r="Y121" i="13"/>
  <c r="Y120" i="13"/>
  <c r="AD677" i="13"/>
  <c r="AG677" i="13"/>
  <c r="AS569" i="13"/>
  <c r="J569" i="13" s="1"/>
  <c r="J549" i="13"/>
  <c r="AS437" i="13"/>
  <c r="AS447" i="13" s="1"/>
  <c r="AM360" i="13"/>
  <c r="AM353" i="13" s="1"/>
  <c r="AL353" i="13"/>
  <c r="AU312" i="13"/>
  <c r="O333" i="13"/>
  <c r="AU332" i="13"/>
  <c r="O334" i="13"/>
  <c r="AD398" i="13"/>
  <c r="AD400" i="13"/>
  <c r="AL275" i="13"/>
  <c r="AK299" i="13"/>
  <c r="AK295" i="13" s="1"/>
  <c r="U493" i="13"/>
  <c r="U444" i="13"/>
  <c r="U345" i="13"/>
  <c r="AE269" i="13"/>
  <c r="AW222" i="13"/>
  <c r="AD216" i="13"/>
  <c r="BA463" i="13"/>
  <c r="BB196" i="13"/>
  <c r="AW455" i="13"/>
  <c r="AW167" i="13"/>
  <c r="AW36" i="13"/>
  <c r="AI296" i="13"/>
  <c r="AW257" i="13"/>
  <c r="AW127" i="13" s="1"/>
  <c r="AW258" i="13"/>
  <c r="AW253" i="13"/>
  <c r="AY224" i="13"/>
  <c r="AV457" i="13"/>
  <c r="AV34" i="13" s="1"/>
  <c r="O417" i="13"/>
  <c r="T264" i="13"/>
  <c r="T272" i="13"/>
  <c r="AP181" i="13"/>
  <c r="AL181" i="13"/>
  <c r="AI668" i="13"/>
  <c r="AI492" i="13"/>
  <c r="AI469" i="13"/>
  <c r="AI324" i="13" s="1"/>
  <c r="AI470" i="13"/>
  <c r="AI437" i="13"/>
  <c r="AI447" i="13" s="1"/>
  <c r="AI440" i="13"/>
  <c r="AI438" i="13"/>
  <c r="AI439" i="13"/>
  <c r="AI426" i="13"/>
  <c r="AI424" i="13"/>
  <c r="AI415" i="13"/>
  <c r="AI418" i="13"/>
  <c r="AI420" i="13"/>
  <c r="AI413" i="13"/>
  <c r="AI425" i="13"/>
  <c r="AI419" i="13"/>
  <c r="AI416" i="13"/>
  <c r="AI423" i="13"/>
  <c r="AI414" i="13"/>
  <c r="AI322" i="13"/>
  <c r="AI335" i="13"/>
  <c r="AI337" i="13"/>
  <c r="AI334" i="13"/>
  <c r="BA282" i="13"/>
  <c r="BB282" i="13" s="1"/>
  <c r="BC282" i="13" s="1"/>
  <c r="AO487" i="13"/>
  <c r="BA221" i="13"/>
  <c r="AE464" i="13"/>
  <c r="S454" i="13"/>
  <c r="AC104" i="13"/>
  <c r="Y108" i="13"/>
  <c r="AT88" i="13"/>
  <c r="AF23" i="13"/>
  <c r="AB24" i="13"/>
  <c r="AB15" i="13"/>
  <c r="AX219" i="13"/>
  <c r="AB87" i="13"/>
  <c r="AR88" i="13"/>
  <c r="U203" i="13"/>
  <c r="L50" i="13"/>
  <c r="L52" i="13"/>
  <c r="L51" i="13"/>
  <c r="O411" i="13"/>
  <c r="AW91" i="13"/>
  <c r="AW87" i="13" s="1"/>
  <c r="AW90" i="13"/>
  <c r="AW94" i="13"/>
  <c r="AW92" i="13" s="1"/>
  <c r="M50" i="13"/>
  <c r="AT55" i="13"/>
  <c r="AU434" i="13"/>
  <c r="AE449" i="13"/>
  <c r="AE398" i="13"/>
  <c r="AI476" i="13" s="1"/>
  <c r="AE400" i="13"/>
  <c r="M493" i="13"/>
  <c r="M471" i="13"/>
  <c r="M444" i="13"/>
  <c r="M345" i="13"/>
  <c r="AZ456" i="13"/>
  <c r="AZ458" i="13"/>
  <c r="K50" i="13"/>
  <c r="K52" i="13"/>
  <c r="AT49" i="13"/>
  <c r="AT96" i="13" s="1"/>
  <c r="K51" i="13"/>
  <c r="AY90" i="13"/>
  <c r="AY88" i="13" s="1"/>
  <c r="AY94" i="13"/>
  <c r="AY92" i="13" s="1"/>
  <c r="AV287" i="13"/>
  <c r="AF279" i="13"/>
  <c r="AF280" i="13"/>
  <c r="AJ278" i="13"/>
  <c r="T445" i="13"/>
  <c r="T400" i="13"/>
  <c r="T398" i="13"/>
  <c r="T351" i="13"/>
  <c r="G413" i="13"/>
  <c r="G86" i="13"/>
  <c r="G93" i="13"/>
  <c r="G90" i="13" s="1"/>
  <c r="G88" i="13" s="1"/>
  <c r="Y271" i="13"/>
  <c r="AC269" i="13"/>
  <c r="Z269" i="13"/>
  <c r="AW269" i="13" s="1"/>
  <c r="AW271" i="13" s="1"/>
  <c r="AV461" i="13"/>
  <c r="Z668" i="13"/>
  <c r="Z470" i="13"/>
  <c r="Z469" i="13"/>
  <c r="Z324" i="13" s="1"/>
  <c r="Z437" i="13"/>
  <c r="Z447" i="13" s="1"/>
  <c r="Z440" i="13"/>
  <c r="Z438" i="13"/>
  <c r="Z423" i="13"/>
  <c r="Z414" i="13"/>
  <c r="Z426" i="13"/>
  <c r="Z424" i="13"/>
  <c r="Z415" i="13"/>
  <c r="Z418" i="13"/>
  <c r="Z420" i="13"/>
  <c r="Z413" i="13"/>
  <c r="Z439" i="13"/>
  <c r="Z425" i="13"/>
  <c r="Z419" i="13"/>
  <c r="Z416" i="13"/>
  <c r="Z322" i="13"/>
  <c r="Z335" i="13"/>
  <c r="Z337" i="13"/>
  <c r="BB200" i="13"/>
  <c r="T106" i="13"/>
  <c r="BA199" i="13"/>
  <c r="U95" i="13"/>
  <c r="U40" i="13"/>
  <c r="U41" i="13"/>
  <c r="U75" i="13"/>
  <c r="I91" i="13"/>
  <c r="I87" i="13" s="1"/>
  <c r="W75" i="13"/>
  <c r="W41" i="13"/>
  <c r="V86" i="13"/>
  <c r="V85" i="13"/>
  <c r="V17" i="13"/>
  <c r="V39" i="13"/>
  <c r="V21" i="13"/>
  <c r="V18" i="13"/>
  <c r="V16" i="13"/>
  <c r="AI678" i="13"/>
  <c r="AI675" i="13"/>
  <c r="AI676" i="13"/>
  <c r="AI677" i="13" s="1"/>
  <c r="AG680" i="13"/>
  <c r="BB594" i="13"/>
  <c r="BB390" i="13" s="1"/>
  <c r="BC524" i="13"/>
  <c r="BC594" i="13" s="1"/>
  <c r="BC390" i="13" s="1"/>
  <c r="Z569" i="13"/>
  <c r="AW569" i="13" s="1"/>
  <c r="AW549" i="13"/>
  <c r="G581" i="13"/>
  <c r="G495" i="13"/>
  <c r="G473" i="13"/>
  <c r="G401" i="13"/>
  <c r="G402" i="13" s="1"/>
  <c r="G442" i="13" s="1"/>
  <c r="G364" i="13"/>
  <c r="G404" i="13" s="1"/>
  <c r="T441" i="13"/>
  <c r="X366" i="13"/>
  <c r="Y366" i="13" s="1"/>
  <c r="Z366" i="13" s="1"/>
  <c r="AA366" i="13" s="1"/>
  <c r="AK378" i="13"/>
  <c r="AL379" i="13"/>
  <c r="AV366" i="13"/>
  <c r="V441" i="13"/>
  <c r="Y296" i="13"/>
  <c r="AC278" i="13"/>
  <c r="Y279" i="13"/>
  <c r="E398" i="13"/>
  <c r="F387" i="13"/>
  <c r="F398" i="13" s="1"/>
  <c r="U441" i="13"/>
  <c r="K429" i="13"/>
  <c r="K428" i="13"/>
  <c r="K362" i="13"/>
  <c r="AU432" i="13"/>
  <c r="AS418" i="13"/>
  <c r="AX222" i="13"/>
  <c r="N414" i="13"/>
  <c r="AZ255" i="13"/>
  <c r="AZ330" i="13" s="1"/>
  <c r="AK504" i="13"/>
  <c r="M427" i="13"/>
  <c r="AW461" i="13"/>
  <c r="Y266" i="13"/>
  <c r="U268" i="13"/>
  <c r="V266" i="13"/>
  <c r="U263" i="13"/>
  <c r="BA195" i="13"/>
  <c r="AD179" i="13"/>
  <c r="AD182" i="13"/>
  <c r="AX182" i="13" s="1"/>
  <c r="Q504" i="13"/>
  <c r="P454" i="13"/>
  <c r="T454" i="13"/>
  <c r="V106" i="13"/>
  <c r="Z104" i="13"/>
  <c r="V108" i="13"/>
  <c r="V186" i="13" s="1"/>
  <c r="AG482" i="13"/>
  <c r="AG165" i="13"/>
  <c r="Y502" i="13"/>
  <c r="X47" i="13"/>
  <c r="X53" i="13"/>
  <c r="X46" i="13"/>
  <c r="X45" i="13"/>
  <c r="Z44" i="13"/>
  <c r="AW44" i="13" s="1"/>
  <c r="AX176" i="13"/>
  <c r="AX177" i="13" s="1"/>
  <c r="AU454" i="13"/>
  <c r="AU201" i="13"/>
  <c r="L104" i="13"/>
  <c r="AT104" i="13" s="1"/>
  <c r="AU105" i="13" s="1"/>
  <c r="O97" i="13"/>
  <c r="S97" i="13"/>
  <c r="W88" i="13"/>
  <c r="AI23" i="13"/>
  <c r="AE15" i="13"/>
  <c r="AE35" i="13" s="1"/>
  <c r="Z87" i="13"/>
  <c r="Z24" i="13"/>
  <c r="Z15" i="13"/>
  <c r="U49" i="13"/>
  <c r="T75" i="13"/>
  <c r="T95" i="13"/>
  <c r="T98" i="13" s="1"/>
  <c r="T40" i="13"/>
  <c r="T41" i="13"/>
  <c r="AN69" i="13"/>
  <c r="AN65" i="13"/>
  <c r="AN66" i="13"/>
  <c r="P51" i="13"/>
  <c r="P50" i="13"/>
  <c r="P52" i="13"/>
  <c r="BB622" i="13"/>
  <c r="AM300" i="13"/>
  <c r="AM296" i="13" s="1"/>
  <c r="AE680" i="13"/>
  <c r="AA449" i="13"/>
  <c r="AA400" i="13"/>
  <c r="AA398" i="13"/>
  <c r="AS425" i="13"/>
  <c r="AS439" i="13" s="1"/>
  <c r="AP484" i="13"/>
  <c r="AP458" i="13"/>
  <c r="AP93" i="13"/>
  <c r="AA678" i="13"/>
  <c r="AA675" i="13"/>
  <c r="AD679" i="13"/>
  <c r="AH681" i="13" s="1"/>
  <c r="AA676" i="13"/>
  <c r="AA677" i="13" s="1"/>
  <c r="L678" i="13"/>
  <c r="O679" i="13"/>
  <c r="AH680" i="13"/>
  <c r="X680" i="13"/>
  <c r="AK390" i="13"/>
  <c r="AJ390" i="13"/>
  <c r="BB608" i="13"/>
  <c r="BC540" i="13"/>
  <c r="BC608" i="13" s="1"/>
  <c r="V493" i="13"/>
  <c r="V444" i="13"/>
  <c r="V345" i="13"/>
  <c r="AH449" i="13"/>
  <c r="AH400" i="13"/>
  <c r="AI498" i="13" s="1"/>
  <c r="AH398" i="13"/>
  <c r="AI497" i="13" s="1"/>
  <c r="T397" i="13"/>
  <c r="U397" i="13" s="1"/>
  <c r="V397" i="13" s="1"/>
  <c r="W397" i="13" s="1"/>
  <c r="X397" i="13" s="1"/>
  <c r="Y397" i="13" s="1"/>
  <c r="Z397" i="13" s="1"/>
  <c r="AA397" i="13" s="1"/>
  <c r="O322" i="13"/>
  <c r="BA350" i="13"/>
  <c r="BB350" i="13" s="1"/>
  <c r="P334" i="13"/>
  <c r="P333" i="13"/>
  <c r="AF300" i="13"/>
  <c r="AF304" i="13" s="1"/>
  <c r="D497" i="13"/>
  <c r="D448" i="13"/>
  <c r="D399" i="13"/>
  <c r="D449" i="13" s="1"/>
  <c r="D407" i="13"/>
  <c r="K497" i="13"/>
  <c r="K476" i="13"/>
  <c r="K448" i="13"/>
  <c r="K407" i="13"/>
  <c r="K399" i="13"/>
  <c r="AC400" i="13"/>
  <c r="AC398" i="13"/>
  <c r="AX211" i="13"/>
  <c r="AV165" i="13"/>
  <c r="AN254" i="13"/>
  <c r="AO254" i="13" s="1"/>
  <c r="AJ381" i="13"/>
  <c r="Z417" i="13"/>
  <c r="C581" i="13"/>
  <c r="C403" i="13"/>
  <c r="C401" i="13"/>
  <c r="AB412" i="13"/>
  <c r="AB334" i="13"/>
  <c r="AF269" i="13"/>
  <c r="AB270" i="13"/>
  <c r="AU457" i="13"/>
  <c r="AU34" i="13" s="1"/>
  <c r="AU89" i="13"/>
  <c r="R504" i="13"/>
  <c r="L581" i="13"/>
  <c r="L364" i="13"/>
  <c r="BA192" i="13"/>
  <c r="AN176" i="13"/>
  <c r="AN219" i="13" s="1"/>
  <c r="AJ219" i="13"/>
  <c r="O230" i="13"/>
  <c r="AX461" i="13"/>
  <c r="X475" i="13"/>
  <c r="X399" i="13"/>
  <c r="X333" i="13"/>
  <c r="AF211" i="13"/>
  <c r="AJ172" i="13"/>
  <c r="AG215" i="13"/>
  <c r="AK178" i="13"/>
  <c r="T459" i="13"/>
  <c r="P415" i="13"/>
  <c r="P182" i="13"/>
  <c r="P459" i="13" s="1"/>
  <c r="P85" i="13"/>
  <c r="P97" i="13" s="1"/>
  <c r="P53" i="13"/>
  <c r="P36" i="13"/>
  <c r="H484" i="13"/>
  <c r="H413" i="13"/>
  <c r="H93" i="13"/>
  <c r="H90" i="13" s="1"/>
  <c r="H88" i="13" s="1"/>
  <c r="H86" i="13"/>
  <c r="X454" i="13"/>
  <c r="X323" i="13"/>
  <c r="X48" i="13" s="1"/>
  <c r="X166" i="13"/>
  <c r="AB464" i="13" s="1"/>
  <c r="AE668" i="13"/>
  <c r="AE469" i="13"/>
  <c r="AE324" i="13" s="1"/>
  <c r="AE470" i="13"/>
  <c r="AE439" i="13"/>
  <c r="AE437" i="13"/>
  <c r="AE447" i="13" s="1"/>
  <c r="AE440" i="13"/>
  <c r="AE420" i="13"/>
  <c r="AE413" i="13"/>
  <c r="AE425" i="13"/>
  <c r="AE419" i="13"/>
  <c r="AE416" i="13"/>
  <c r="AE423" i="13"/>
  <c r="AE414" i="13"/>
  <c r="AE426" i="13"/>
  <c r="AE438" i="13"/>
  <c r="AE424" i="13"/>
  <c r="AE415" i="13"/>
  <c r="AE418" i="13"/>
  <c r="AE337" i="13"/>
  <c r="AE334" i="13"/>
  <c r="AE322" i="13"/>
  <c r="AE335" i="13"/>
  <c r="AS48" i="13"/>
  <c r="AT25" i="13"/>
  <c r="AT87" i="13"/>
  <c r="AU25" i="13"/>
  <c r="AE219" i="13"/>
  <c r="AD72" i="13"/>
  <c r="AA88" i="13"/>
  <c r="M99" i="13"/>
  <c r="AV89" i="13"/>
  <c r="AV88" i="13" s="1"/>
  <c r="AV35" i="13"/>
  <c r="AV32" i="13"/>
  <c r="AU91" i="13"/>
  <c r="AU87" i="13" s="1"/>
  <c r="AU90" i="13"/>
  <c r="AU94" i="13"/>
  <c r="AU92" i="13" s="1"/>
  <c r="T49" i="13"/>
  <c r="Q50" i="13"/>
  <c r="AF681" i="13"/>
  <c r="AF680" i="13"/>
  <c r="H581" i="13"/>
  <c r="H495" i="13"/>
  <c r="H401" i="13"/>
  <c r="H364" i="13"/>
  <c r="H404" i="13" s="1"/>
  <c r="H403" i="13"/>
  <c r="AV85" i="13"/>
  <c r="AV16" i="13"/>
  <c r="AV156" i="13"/>
  <c r="AV158" i="13" s="1"/>
  <c r="AV86" i="13"/>
  <c r="AV18" i="13"/>
  <c r="AV21" i="13"/>
  <c r="AV63" i="13"/>
  <c r="AI448" i="13"/>
  <c r="AI407" i="13"/>
  <c r="K498" i="13"/>
  <c r="K477" i="13"/>
  <c r="K450" i="13"/>
  <c r="AE217" i="13"/>
  <c r="AF218" i="13"/>
  <c r="AZ457" i="13"/>
  <c r="AZ34" i="13" s="1"/>
  <c r="AS417" i="13"/>
  <c r="AS460" i="13"/>
  <c r="AS416" i="13"/>
  <c r="AD482" i="13"/>
  <c r="AD165" i="13"/>
  <c r="D428" i="13"/>
  <c r="D362" i="13"/>
  <c r="H473" i="13" s="1"/>
  <c r="BA169" i="13"/>
  <c r="Z411" i="13"/>
  <c r="X263" i="13"/>
  <c r="AB266" i="13"/>
  <c r="Z502" i="13"/>
  <c r="AA668" i="13"/>
  <c r="AA492" i="13"/>
  <c r="AA437" i="13"/>
  <c r="AA447" i="13" s="1"/>
  <c r="AA440" i="13"/>
  <c r="AA438" i="13"/>
  <c r="AA439" i="13"/>
  <c r="AA426" i="13"/>
  <c r="AA424" i="13"/>
  <c r="AA415" i="13"/>
  <c r="AA418" i="13"/>
  <c r="AA420" i="13"/>
  <c r="AA413" i="13"/>
  <c r="AA425" i="13"/>
  <c r="AA419" i="13"/>
  <c r="AA416" i="13"/>
  <c r="AA423" i="13"/>
  <c r="AA414" i="13"/>
  <c r="AA322" i="13"/>
  <c r="AA335" i="13"/>
  <c r="AA337" i="13"/>
  <c r="AA334" i="13"/>
  <c r="AI211" i="13"/>
  <c r="AM172" i="13"/>
  <c r="AI176" i="13"/>
  <c r="AC482" i="13"/>
  <c r="AC165" i="13"/>
  <c r="Y53" i="13"/>
  <c r="Y46" i="13"/>
  <c r="Y45" i="13"/>
  <c r="Y47" i="13"/>
  <c r="V72" i="13"/>
  <c r="AV71" i="13"/>
  <c r="AV72" i="13" s="1"/>
  <c r="AC72" i="13"/>
  <c r="W454" i="13"/>
  <c r="W323" i="13"/>
  <c r="AA469" i="13" s="1"/>
  <c r="AA324" i="13" s="1"/>
  <c r="W166" i="13"/>
  <c r="AA464" i="13" s="1"/>
  <c r="K75" i="13"/>
  <c r="L40" i="13"/>
  <c r="O41" i="13"/>
  <c r="K40" i="13"/>
  <c r="AT39" i="13"/>
  <c r="K95" i="13"/>
  <c r="K41" i="13"/>
  <c r="AI30" i="13"/>
  <c r="AE89" i="13"/>
  <c r="Z680" i="13"/>
  <c r="BC536" i="13"/>
  <c r="N508" i="13"/>
  <c r="N492" i="13"/>
  <c r="N469" i="13"/>
  <c r="N324" i="13" s="1"/>
  <c r="N438" i="13"/>
  <c r="N439" i="13"/>
  <c r="N440" i="13"/>
  <c r="N418" i="13"/>
  <c r="N421" i="13"/>
  <c r="N425" i="13"/>
  <c r="N416" i="13"/>
  <c r="N423" i="13"/>
  <c r="N426" i="13"/>
  <c r="N417" i="13"/>
  <c r="N412" i="13"/>
  <c r="N424" i="13"/>
  <c r="N337" i="13"/>
  <c r="N335" i="13"/>
  <c r="AT335" i="13" s="1"/>
  <c r="N415" i="13"/>
  <c r="N48" i="13"/>
  <c r="AP491" i="13"/>
  <c r="AP310" i="13"/>
  <c r="AZ222" i="13"/>
  <c r="J474" i="13"/>
  <c r="J496" i="13"/>
  <c r="AS445" i="13"/>
  <c r="BA377" i="13"/>
  <c r="BB377" i="13" s="1"/>
  <c r="BC377" i="13" s="1"/>
  <c r="Y87" i="13"/>
  <c r="AC23" i="13"/>
  <c r="Y24" i="13"/>
  <c r="Y15" i="13"/>
  <c r="Y35" i="13" s="1"/>
  <c r="U434" i="13"/>
  <c r="U433" i="13"/>
  <c r="U432" i="13"/>
  <c r="U431" i="13"/>
  <c r="AV344" i="13"/>
  <c r="AV435" i="13" s="1"/>
  <c r="AF677" i="13"/>
  <c r="AA679" i="13"/>
  <c r="AE681" i="13" s="1"/>
  <c r="Y677" i="13"/>
  <c r="T492" i="13"/>
  <c r="K438" i="13"/>
  <c r="K427" i="13"/>
  <c r="K441" i="13" s="1"/>
  <c r="AU435" i="13"/>
  <c r="AS424" i="13"/>
  <c r="Z449" i="13"/>
  <c r="Z400" i="13"/>
  <c r="Z398" i="13"/>
  <c r="AN394" i="13"/>
  <c r="AO394" i="13" s="1"/>
  <c r="AP394" i="13" s="1"/>
  <c r="AN491" i="13"/>
  <c r="BA306" i="13"/>
  <c r="AN310" i="13"/>
  <c r="AZ394" i="13"/>
  <c r="AN355" i="13"/>
  <c r="AJ353" i="13"/>
  <c r="AZ275" i="13"/>
  <c r="AI477" i="13"/>
  <c r="AI450" i="13"/>
  <c r="AI345" i="13"/>
  <c r="AI344" i="13" s="1"/>
  <c r="AL329" i="13"/>
  <c r="AL382" i="13" s="1"/>
  <c r="AB417" i="13"/>
  <c r="AA217" i="13"/>
  <c r="AB218" i="13"/>
  <c r="AI215" i="13"/>
  <c r="AM178" i="13"/>
  <c r="E581" i="13"/>
  <c r="E403" i="13"/>
  <c r="E401" i="13"/>
  <c r="K458" i="13"/>
  <c r="AX206" i="13"/>
  <c r="AX207" i="13" s="1"/>
  <c r="AX205" i="13"/>
  <c r="Q492" i="13"/>
  <c r="Q469" i="13"/>
  <c r="Q324" i="13" s="1"/>
  <c r="Q439" i="13"/>
  <c r="Q437" i="13"/>
  <c r="Q447" i="13" s="1"/>
  <c r="Q440" i="13"/>
  <c r="Q438" i="13"/>
  <c r="Q423" i="13"/>
  <c r="Q426" i="13"/>
  <c r="Q424" i="13"/>
  <c r="Q418" i="13"/>
  <c r="Q421" i="13"/>
  <c r="Q413" i="13"/>
  <c r="Q425" i="13"/>
  <c r="Q416" i="13"/>
  <c r="Q322" i="13"/>
  <c r="Q412" i="13"/>
  <c r="Q337" i="13"/>
  <c r="U471" i="13" s="1"/>
  <c r="Q48" i="13"/>
  <c r="AL503" i="13"/>
  <c r="X225" i="13"/>
  <c r="X226" i="13" s="1"/>
  <c r="BA457" i="13"/>
  <c r="BA34" i="13" s="1"/>
  <c r="BB170" i="13"/>
  <c r="AH668" i="13"/>
  <c r="AH437" i="13"/>
  <c r="AH447" i="13" s="1"/>
  <c r="AH440" i="13"/>
  <c r="AH438" i="13"/>
  <c r="AH423" i="13"/>
  <c r="AH414" i="13"/>
  <c r="AH426" i="13"/>
  <c r="AH424" i="13"/>
  <c r="AH415" i="13"/>
  <c r="AH418" i="13"/>
  <c r="AH439" i="13"/>
  <c r="AH420" i="13"/>
  <c r="AH413" i="13"/>
  <c r="AH425" i="13"/>
  <c r="AH419" i="13"/>
  <c r="AH416" i="13"/>
  <c r="AH322" i="13"/>
  <c r="AH335" i="13"/>
  <c r="AH337" i="13"/>
  <c r="AO176" i="13"/>
  <c r="AO219" i="13" s="1"/>
  <c r="AK219" i="13"/>
  <c r="AB90" i="13"/>
  <c r="AB89" i="13"/>
  <c r="AF30" i="13"/>
  <c r="AB31" i="13"/>
  <c r="AW89" i="13"/>
  <c r="AW88" i="13" s="1"/>
  <c r="AW32" i="13"/>
  <c r="AS96" i="13"/>
  <c r="AS55" i="13"/>
  <c r="AE90" i="13"/>
  <c r="AR96" i="13"/>
  <c r="Z90" i="13"/>
  <c r="Z89" i="13"/>
  <c r="Z31" i="13"/>
  <c r="AD30" i="13"/>
  <c r="V35" i="13"/>
  <c r="BC651" i="13"/>
  <c r="BC658" i="13" s="1"/>
  <c r="L477" i="13"/>
  <c r="L498" i="13"/>
  <c r="L450" i="13"/>
  <c r="AU459" i="13"/>
  <c r="AT459" i="13"/>
  <c r="AT415" i="13"/>
  <c r="AT182" i="13"/>
  <c r="AT85" i="13"/>
  <c r="AT97" i="13" s="1"/>
  <c r="AT36" i="13"/>
  <c r="AZ224" i="13"/>
  <c r="AN487" i="13"/>
  <c r="AF454" i="13"/>
  <c r="AF323" i="13"/>
  <c r="AF230" i="13"/>
  <c r="AF166" i="13"/>
  <c r="AF464" i="13" s="1"/>
  <c r="AB668" i="13"/>
  <c r="AB492" i="13"/>
  <c r="AB440" i="13"/>
  <c r="AB438" i="13"/>
  <c r="AB439" i="13"/>
  <c r="AB424" i="13"/>
  <c r="AB415" i="13"/>
  <c r="AB418" i="13"/>
  <c r="AB420" i="13"/>
  <c r="AB425" i="13"/>
  <c r="AB419" i="13"/>
  <c r="AB416" i="13"/>
  <c r="AB437" i="13"/>
  <c r="AB447" i="13" s="1"/>
  <c r="AB423" i="13"/>
  <c r="AB414" i="13"/>
  <c r="AB413" i="13"/>
  <c r="AB426" i="13"/>
  <c r="AB322" i="13"/>
  <c r="AB335" i="13"/>
  <c r="AB337" i="13"/>
  <c r="Y482" i="13"/>
  <c r="Y165" i="13"/>
  <c r="AB449" i="13"/>
  <c r="AB400" i="13"/>
  <c r="AB398" i="13"/>
  <c r="AU433" i="13"/>
  <c r="AS471" i="13"/>
  <c r="AS444" i="13"/>
  <c r="S486" i="13"/>
  <c r="V459" i="13"/>
  <c r="R415" i="13"/>
  <c r="R182" i="13"/>
  <c r="R459" i="13" s="1"/>
  <c r="R85" i="13"/>
  <c r="R97" i="13" s="1"/>
  <c r="R53" i="13"/>
  <c r="R36" i="13"/>
  <c r="N411" i="13"/>
  <c r="O492" i="13"/>
  <c r="O469" i="13"/>
  <c r="O324" i="13" s="1"/>
  <c r="O439" i="13"/>
  <c r="O437" i="13"/>
  <c r="O447" i="13" s="1"/>
  <c r="O440" i="13"/>
  <c r="O421" i="13"/>
  <c r="O413" i="13"/>
  <c r="O425" i="13"/>
  <c r="O416" i="13"/>
  <c r="O423" i="13"/>
  <c r="O426" i="13"/>
  <c r="O412" i="13"/>
  <c r="O424" i="13"/>
  <c r="O418" i="13"/>
  <c r="O438" i="13"/>
  <c r="O337" i="13"/>
  <c r="O335" i="13"/>
  <c r="AU335" i="13" s="1"/>
  <c r="AU323" i="13"/>
  <c r="AU414" i="13" s="1"/>
  <c r="O48" i="13"/>
  <c r="S678" i="13"/>
  <c r="S675" i="13"/>
  <c r="V679" i="13"/>
  <c r="S676" i="13"/>
  <c r="W677" i="13" s="1"/>
  <c r="W675" i="13"/>
  <c r="Y680" i="13"/>
  <c r="W680" i="13"/>
  <c r="BA605" i="13"/>
  <c r="BB537" i="13"/>
  <c r="I496" i="13"/>
  <c r="I474" i="13"/>
  <c r="AG400" i="13"/>
  <c r="AG398" i="13"/>
  <c r="AS426" i="13"/>
  <c r="AS440" i="13" s="1"/>
  <c r="R676" i="13"/>
  <c r="V677" i="13" s="1"/>
  <c r="R678" i="13"/>
  <c r="R675" i="13"/>
  <c r="U679" i="13"/>
  <c r="T679" i="13"/>
  <c r="X681" i="13" s="1"/>
  <c r="R679" i="13"/>
  <c r="AI679" i="13"/>
  <c r="BC519" i="13"/>
  <c r="BC614" i="13" s="1"/>
  <c r="P680" i="13"/>
  <c r="AS477" i="13"/>
  <c r="AS450" i="13"/>
  <c r="Z334" i="13"/>
  <c r="S475" i="13"/>
  <c r="S333" i="13"/>
  <c r="S334" i="13"/>
  <c r="J438" i="13"/>
  <c r="J427" i="13"/>
  <c r="J441" i="13" s="1"/>
  <c r="J508" i="13"/>
  <c r="Y400" i="13"/>
  <c r="Y398" i="13"/>
  <c r="AF400" i="13"/>
  <c r="AF398" i="13"/>
  <c r="BA387" i="13"/>
  <c r="BB387" i="13" s="1"/>
  <c r="BC387" i="13" s="1"/>
  <c r="J581" i="13"/>
  <c r="J495" i="13"/>
  <c r="J473" i="13"/>
  <c r="J446" i="13"/>
  <c r="J364" i="13"/>
  <c r="J404" i="13" s="1"/>
  <c r="J403" i="13"/>
  <c r="J401" i="13"/>
  <c r="AZ468" i="13"/>
  <c r="AS429" i="13"/>
  <c r="AS428" i="13"/>
  <c r="AS401" i="13"/>
  <c r="AS362" i="13"/>
  <c r="L497" i="13"/>
  <c r="L476" i="13"/>
  <c r="L448" i="13"/>
  <c r="L399" i="13"/>
  <c r="L449" i="13" s="1"/>
  <c r="L407" i="13"/>
  <c r="AZ342" i="13"/>
  <c r="U435" i="13"/>
  <c r="AJ295" i="13"/>
  <c r="AN255" i="13"/>
  <c r="AO255" i="13" s="1"/>
  <c r="S322" i="13"/>
  <c r="AW287" i="13"/>
  <c r="W475" i="13"/>
  <c r="W399" i="13"/>
  <c r="W333" i="13"/>
  <c r="AW332" i="13"/>
  <c r="AK330" i="13"/>
  <c r="AK341" i="13" s="1"/>
  <c r="AH176" i="13"/>
  <c r="AY176" i="13" s="1"/>
  <c r="AH211" i="13"/>
  <c r="AL172" i="13"/>
  <c r="U475" i="13"/>
  <c r="U333" i="13"/>
  <c r="U334" i="13"/>
  <c r="N413" i="13"/>
  <c r="F581" i="13"/>
  <c r="F495" i="13"/>
  <c r="F403" i="13"/>
  <c r="F401" i="13"/>
  <c r="M441" i="13"/>
  <c r="AJ178" i="13"/>
  <c r="AF182" i="13"/>
  <c r="AJ182" i="13" s="1"/>
  <c r="AF215" i="13"/>
  <c r="AA411" i="13"/>
  <c r="Z279" i="13"/>
  <c r="AX224" i="13"/>
  <c r="K456" i="13"/>
  <c r="AA412" i="13"/>
  <c r="R492" i="13"/>
  <c r="R469" i="13"/>
  <c r="R324" i="13" s="1"/>
  <c r="R437" i="13"/>
  <c r="R447" i="13" s="1"/>
  <c r="R440" i="13"/>
  <c r="R438" i="13"/>
  <c r="R423" i="13"/>
  <c r="R426" i="13"/>
  <c r="R412" i="13"/>
  <c r="R424" i="13"/>
  <c r="R418" i="13"/>
  <c r="R421" i="13"/>
  <c r="R413" i="13"/>
  <c r="R425" i="13"/>
  <c r="R416" i="13"/>
  <c r="R322" i="13"/>
  <c r="R439" i="13"/>
  <c r="R337" i="13"/>
  <c r="V471" i="13" s="1"/>
  <c r="R48" i="13"/>
  <c r="AC506" i="13"/>
  <c r="Q411" i="13"/>
  <c r="Z225" i="13"/>
  <c r="Z226" i="13" s="1"/>
  <c r="AT411" i="13"/>
  <c r="AT165" i="13"/>
  <c r="BA224" i="13"/>
  <c r="AX455" i="13"/>
  <c r="AX167" i="13"/>
  <c r="AX85" i="13"/>
  <c r="AX36" i="13"/>
  <c r="P492" i="13"/>
  <c r="P469" i="13"/>
  <c r="P324" i="13" s="1"/>
  <c r="P439" i="13"/>
  <c r="P437" i="13"/>
  <c r="P447" i="13" s="1"/>
  <c r="P440" i="13"/>
  <c r="P438" i="13"/>
  <c r="P425" i="13"/>
  <c r="P416" i="13"/>
  <c r="P423" i="13"/>
  <c r="P426" i="13"/>
  <c r="P412" i="13"/>
  <c r="P424" i="13"/>
  <c r="P418" i="13"/>
  <c r="P421" i="13"/>
  <c r="P413" i="13"/>
  <c r="P337" i="13"/>
  <c r="P322" i="13"/>
  <c r="P48" i="13"/>
  <c r="O110" i="13"/>
  <c r="P113" i="13"/>
  <c r="O51" i="13"/>
  <c r="AU49" i="13"/>
  <c r="O50" i="13"/>
  <c r="O52" i="13"/>
  <c r="T88" i="13"/>
  <c r="AU119" i="13"/>
  <c r="AV120" i="13" s="1"/>
  <c r="AZ94" i="13"/>
  <c r="AZ92" i="13" s="1"/>
  <c r="U190" i="13"/>
  <c r="U114" i="13"/>
  <c r="AK58" i="13"/>
  <c r="AL57" i="13"/>
  <c r="AK60" i="13"/>
  <c r="N99" i="13"/>
  <c r="Y90" i="13"/>
  <c r="Y89" i="13"/>
  <c r="AC30" i="13"/>
  <c r="Y31" i="13"/>
  <c r="Z117" i="13"/>
  <c r="Z119" i="13"/>
  <c r="AA116" i="13"/>
  <c r="X88" i="13"/>
  <c r="AH72" i="13"/>
  <c r="AE87" i="13"/>
  <c r="AY91" i="13"/>
  <c r="AY87" i="13" s="1"/>
  <c r="O96" i="13"/>
  <c r="O99" i="13" s="1"/>
  <c r="AU18" i="13"/>
  <c r="AS52" i="13"/>
  <c r="AS51" i="13"/>
  <c r="AE72" i="13"/>
  <c r="K96" i="13"/>
  <c r="K99" i="13" s="1"/>
  <c r="L473" i="13" l="1"/>
  <c r="BA62" i="14"/>
  <c r="W225" i="13"/>
  <c r="W226" i="13" s="1"/>
  <c r="L495" i="13"/>
  <c r="AZ50" i="14"/>
  <c r="BB151" i="14"/>
  <c r="BB152" i="14" s="1"/>
  <c r="AZ218" i="14"/>
  <c r="AZ219" i="14" s="1"/>
  <c r="AZ220" i="14" s="1"/>
  <c r="AZ223" i="14" s="1"/>
  <c r="L401" i="13"/>
  <c r="AO390" i="13"/>
  <c r="AV97" i="13"/>
  <c r="L403" i="13"/>
  <c r="BB93" i="14"/>
  <c r="AB469" i="13"/>
  <c r="AB324" i="13" s="1"/>
  <c r="AZ355" i="13"/>
  <c r="AZ353" i="13" s="1"/>
  <c r="AZ598" i="13" s="1"/>
  <c r="S294" i="13"/>
  <c r="S288" i="13" s="1"/>
  <c r="S289" i="13" s="1"/>
  <c r="S274" i="13"/>
  <c r="S273" i="13"/>
  <c r="AH412" i="13"/>
  <c r="AH417" i="13"/>
  <c r="AH334" i="13"/>
  <c r="AZ172" i="13"/>
  <c r="AB470" i="13"/>
  <c r="BA355" i="13"/>
  <c r="AA85" i="14"/>
  <c r="BB64" i="14"/>
  <c r="BB65" i="14" s="1"/>
  <c r="BN34" i="3"/>
  <c r="BA158" i="14"/>
  <c r="BB41" i="14"/>
  <c r="BB42" i="14" s="1"/>
  <c r="BB58" i="14"/>
  <c r="BB59" i="14" s="1"/>
  <c r="AO58" i="14"/>
  <c r="BC37" i="14"/>
  <c r="BC38" i="14" s="1"/>
  <c r="BD38" i="14" s="1"/>
  <c r="BE38" i="14" s="1"/>
  <c r="BF38" i="14" s="1"/>
  <c r="BG38" i="14" s="1"/>
  <c r="BH38" i="14" s="1"/>
  <c r="BI38" i="14" s="1"/>
  <c r="BJ38" i="14" s="1"/>
  <c r="AV417" i="13"/>
  <c r="BB94" i="14"/>
  <c r="BB95" i="14"/>
  <c r="AW191" i="14"/>
  <c r="AW247" i="14"/>
  <c r="AJ174" i="14"/>
  <c r="AM171" i="14"/>
  <c r="AN103" i="14"/>
  <c r="AN177" i="14" s="1"/>
  <c r="AJ177" i="14"/>
  <c r="BB103" i="14"/>
  <c r="BB104" i="14" s="1"/>
  <c r="AN66" i="14"/>
  <c r="BB66" i="14"/>
  <c r="BB67" i="14" s="1"/>
  <c r="AP93" i="14"/>
  <c r="AP171" i="14" s="1"/>
  <c r="AL171" i="14"/>
  <c r="AO93" i="14"/>
  <c r="AO171" i="14" s="1"/>
  <c r="AK171" i="14"/>
  <c r="BB171" i="14" s="1"/>
  <c r="BB172" i="14" s="1"/>
  <c r="BM34" i="3"/>
  <c r="BN134" i="3" s="1"/>
  <c r="AP273" i="14"/>
  <c r="AL283" i="14"/>
  <c r="BB283" i="14" s="1"/>
  <c r="BB273" i="14"/>
  <c r="AO103" i="14"/>
  <c r="AO177" i="14" s="1"/>
  <c r="AK177" i="14"/>
  <c r="BA141" i="14"/>
  <c r="BA142" i="14" s="1"/>
  <c r="AU191" i="14"/>
  <c r="AU247" i="14"/>
  <c r="AM141" i="14"/>
  <c r="AZ147" i="14"/>
  <c r="AZ148" i="14" s="1"/>
  <c r="AP103" i="14"/>
  <c r="AP177" i="14" s="1"/>
  <c r="AL177" i="14"/>
  <c r="AM177" i="14"/>
  <c r="AM195" i="14"/>
  <c r="AN195" i="14" s="1"/>
  <c r="BE195" i="14"/>
  <c r="BF195" i="14" s="1"/>
  <c r="AL166" i="14"/>
  <c r="AP166" i="14" s="1"/>
  <c r="BC20" i="14"/>
  <c r="BC22" i="14" s="1"/>
  <c r="BD22" i="14" s="1"/>
  <c r="BE22" i="14" s="1"/>
  <c r="BF22" i="14" s="1"/>
  <c r="BG22" i="14" s="1"/>
  <c r="BH22" i="14" s="1"/>
  <c r="BI22" i="14" s="1"/>
  <c r="BJ22" i="14" s="1"/>
  <c r="BG301" i="14"/>
  <c r="BF264" i="14"/>
  <c r="BC77" i="14"/>
  <c r="BC78" i="14" s="1"/>
  <c r="BD78" i="14" s="1"/>
  <c r="BE78" i="14" s="1"/>
  <c r="BF78" i="14" s="1"/>
  <c r="BG78" i="14" s="1"/>
  <c r="BH78" i="14" s="1"/>
  <c r="BI78" i="14" s="1"/>
  <c r="BJ78" i="14" s="1"/>
  <c r="AM61" i="14"/>
  <c r="AM157" i="14" s="1"/>
  <c r="E495" i="13"/>
  <c r="AM390" i="13"/>
  <c r="AP390" i="13" s="1"/>
  <c r="S161" i="14"/>
  <c r="AK383" i="13"/>
  <c r="AG506" i="13"/>
  <c r="AC681" i="13"/>
  <c r="AK385" i="13"/>
  <c r="AE506" i="13"/>
  <c r="AC680" i="13"/>
  <c r="AK384" i="13"/>
  <c r="AK381" i="13" s="1"/>
  <c r="AY173" i="13"/>
  <c r="F91" i="13"/>
  <c r="F87" i="13" s="1"/>
  <c r="F88" i="13" s="1"/>
  <c r="F90" i="13"/>
  <c r="AH506" i="13"/>
  <c r="AI506" i="13"/>
  <c r="AD109" i="14"/>
  <c r="AD118" i="14" s="1"/>
  <c r="AD226" i="14" s="1"/>
  <c r="AD249" i="14" s="1"/>
  <c r="BC538" i="13"/>
  <c r="BC606" i="13" s="1"/>
  <c r="AA41" i="13"/>
  <c r="P441" i="13"/>
  <c r="AA75" i="13"/>
  <c r="AA51" i="13"/>
  <c r="BN140" i="3"/>
  <c r="BN113" i="3"/>
  <c r="BN111" i="3"/>
  <c r="BN138" i="3"/>
  <c r="Y88" i="13"/>
  <c r="N427" i="13"/>
  <c r="AE34" i="3"/>
  <c r="AL40" i="3"/>
  <c r="AK40" i="3"/>
  <c r="AL38" i="3"/>
  <c r="AK38" i="3"/>
  <c r="BG256" i="14"/>
  <c r="BO34" i="3"/>
  <c r="BO38" i="3"/>
  <c r="AF147" i="14"/>
  <c r="AF161" i="14" s="1"/>
  <c r="BG262" i="14"/>
  <c r="BO40" i="3"/>
  <c r="BF244" i="14"/>
  <c r="X334" i="13"/>
  <c r="AW50" i="14"/>
  <c r="AD124" i="14"/>
  <c r="AD128" i="14" s="1"/>
  <c r="AH128" i="14" s="1"/>
  <c r="AL128" i="14" s="1"/>
  <c r="AP128" i="14" s="1"/>
  <c r="AZ146" i="14"/>
  <c r="AA162" i="14"/>
  <c r="AF85" i="14"/>
  <c r="AB109" i="14"/>
  <c r="AF111" i="14" s="1"/>
  <c r="AD162" i="14"/>
  <c r="AB166" i="14"/>
  <c r="AF167" i="14" s="1"/>
  <c r="AZ84" i="14"/>
  <c r="O508" i="13"/>
  <c r="AE210" i="13"/>
  <c r="AE208" i="13" s="1"/>
  <c r="S680" i="13"/>
  <c r="R427" i="13"/>
  <c r="Q441" i="13"/>
  <c r="AE441" i="13"/>
  <c r="S681" i="13"/>
  <c r="AY177" i="13"/>
  <c r="AL390" i="13"/>
  <c r="S508" i="13"/>
  <c r="AK69" i="14"/>
  <c r="AI427" i="13"/>
  <c r="R508" i="13"/>
  <c r="Z88" i="13"/>
  <c r="AA441" i="13"/>
  <c r="AT110" i="13"/>
  <c r="X85" i="13"/>
  <c r="X97" i="13" s="1"/>
  <c r="X21" i="13"/>
  <c r="X18" i="13"/>
  <c r="X17" i="13"/>
  <c r="X16" i="13"/>
  <c r="X35" i="13"/>
  <c r="X39" i="13"/>
  <c r="X49" i="13" s="1"/>
  <c r="X51" i="13" s="1"/>
  <c r="X86" i="13"/>
  <c r="P508" i="13"/>
  <c r="AA427" i="13"/>
  <c r="AE677" i="13"/>
  <c r="BA69" i="13"/>
  <c r="BA67" i="13"/>
  <c r="BA65" i="13"/>
  <c r="BB64" i="13"/>
  <c r="AB104" i="13"/>
  <c r="AC106" i="13" s="1"/>
  <c r="X108" i="13"/>
  <c r="AB88" i="13"/>
  <c r="Q427" i="13"/>
  <c r="S427" i="13"/>
  <c r="T189" i="13"/>
  <c r="U188" i="13"/>
  <c r="T208" i="13"/>
  <c r="T203" i="13" s="1"/>
  <c r="X205" i="13" s="1"/>
  <c r="T201" i="13"/>
  <c r="AK100" i="14"/>
  <c r="AK174" i="14" s="1"/>
  <c r="AO66" i="14"/>
  <c r="AO61" i="14" s="1"/>
  <c r="AK61" i="14"/>
  <c r="AK56" i="14" s="1"/>
  <c r="AO135" i="14"/>
  <c r="AN41" i="14"/>
  <c r="AN141" i="14" s="1"/>
  <c r="AJ141" i="14"/>
  <c r="AO21" i="14"/>
  <c r="AL141" i="14"/>
  <c r="AP41" i="14"/>
  <c r="AP141" i="14" s="1"/>
  <c r="AN64" i="14"/>
  <c r="AJ61" i="14"/>
  <c r="AN135" i="14"/>
  <c r="AI74" i="14"/>
  <c r="AL80" i="14"/>
  <c r="AK53" i="14"/>
  <c r="AH138" i="14"/>
  <c r="BA138" i="14" s="1"/>
  <c r="AI39" i="14"/>
  <c r="AH34" i="14"/>
  <c r="AH49" i="14" s="1"/>
  <c r="AN152" i="14"/>
  <c r="AM151" i="14"/>
  <c r="AL61" i="14"/>
  <c r="AL56" i="14" s="1"/>
  <c r="AM139" i="14"/>
  <c r="BC58" i="14"/>
  <c r="AP135" i="14"/>
  <c r="AP61" i="14"/>
  <c r="AP21" i="14"/>
  <c r="AC161" i="14"/>
  <c r="AK14" i="14"/>
  <c r="AL13" i="14"/>
  <c r="AA109" i="14"/>
  <c r="AA111" i="14" s="1"/>
  <c r="AD148" i="14"/>
  <c r="AA166" i="14"/>
  <c r="AA167" i="14" s="1"/>
  <c r="BA146" i="14"/>
  <c r="AB85" i="14"/>
  <c r="AY147" i="14"/>
  <c r="AY148" i="14" s="1"/>
  <c r="T166" i="14"/>
  <c r="T167" i="14" s="1"/>
  <c r="T124" i="14"/>
  <c r="T128" i="14" s="1"/>
  <c r="K84" i="14"/>
  <c r="K74" i="14"/>
  <c r="O74" i="14"/>
  <c r="AV73" i="14"/>
  <c r="AH148" i="14"/>
  <c r="S84" i="14"/>
  <c r="S74" i="14"/>
  <c r="AX73" i="14"/>
  <c r="AY74" i="14" s="1"/>
  <c r="W74" i="14"/>
  <c r="AZ74" i="14"/>
  <c r="N191" i="14"/>
  <c r="N258" i="14"/>
  <c r="F258" i="14"/>
  <c r="F191" i="14"/>
  <c r="P84" i="14"/>
  <c r="P74" i="14"/>
  <c r="AW73" i="14"/>
  <c r="T74" i="14"/>
  <c r="U258" i="14"/>
  <c r="U191" i="14"/>
  <c r="I259" i="14"/>
  <c r="I295" i="14"/>
  <c r="I299" i="14" s="1"/>
  <c r="I302" i="14" s="1"/>
  <c r="I199" i="14" s="1"/>
  <c r="I205" i="14" s="1"/>
  <c r="I206" i="14" s="1"/>
  <c r="I278" i="14"/>
  <c r="I292" i="14" s="1"/>
  <c r="H295" i="14"/>
  <c r="H299" i="14" s="1"/>
  <c r="H302" i="14" s="1"/>
  <c r="H199" i="14" s="1"/>
  <c r="H205" i="14" s="1"/>
  <c r="H206" i="14" s="1"/>
  <c r="H259" i="14"/>
  <c r="H278" i="14"/>
  <c r="H292" i="14" s="1"/>
  <c r="W161" i="14"/>
  <c r="W148" i="14"/>
  <c r="Y161" i="14"/>
  <c r="Y148" i="14"/>
  <c r="O278" i="14"/>
  <c r="O292" i="14" s="1"/>
  <c r="O295" i="14"/>
  <c r="O259" i="14"/>
  <c r="AC118" i="14"/>
  <c r="N85" i="14"/>
  <c r="AA125" i="14"/>
  <c r="AA128" i="14"/>
  <c r="S258" i="14"/>
  <c r="AX246" i="14"/>
  <c r="S191" i="14"/>
  <c r="W221" i="14"/>
  <c r="AA221" i="14"/>
  <c r="M258" i="14"/>
  <c r="M191" i="14"/>
  <c r="Q161" i="14"/>
  <c r="Q85" i="14"/>
  <c r="AE124" i="14"/>
  <c r="AE109" i="14"/>
  <c r="AE166" i="14"/>
  <c r="AI166" i="14" s="1"/>
  <c r="AM166" i="14" s="1"/>
  <c r="AE85" i="14"/>
  <c r="W233" i="14"/>
  <c r="R258" i="14"/>
  <c r="AW258" i="14" s="1"/>
  <c r="R191" i="14"/>
  <c r="T258" i="14"/>
  <c r="T191" i="14"/>
  <c r="AC128" i="14"/>
  <c r="AG128" i="14" s="1"/>
  <c r="AK128" i="14" s="1"/>
  <c r="AO128" i="14" s="1"/>
  <c r="Z166" i="14"/>
  <c r="Z124" i="14"/>
  <c r="Z109" i="14"/>
  <c r="Z85" i="14"/>
  <c r="AD85" i="14"/>
  <c r="U85" i="14"/>
  <c r="AX161" i="14"/>
  <c r="S159" i="14"/>
  <c r="Z161" i="14"/>
  <c r="Z148" i="14"/>
  <c r="BA74" i="14"/>
  <c r="H84" i="14"/>
  <c r="H74" i="14"/>
  <c r="AU73" i="14"/>
  <c r="L74" i="14"/>
  <c r="I85" i="14"/>
  <c r="M85" i="14"/>
  <c r="AF230" i="14"/>
  <c r="AF243" i="14"/>
  <c r="AJ243" i="14" s="1"/>
  <c r="AN243" i="14" s="1"/>
  <c r="AF238" i="14"/>
  <c r="AJ238" i="14" s="1"/>
  <c r="AN238" i="14" s="1"/>
  <c r="AF236" i="14"/>
  <c r="AF241" i="14"/>
  <c r="AJ241" i="14" s="1"/>
  <c r="AN241" i="14" s="1"/>
  <c r="AF232" i="14"/>
  <c r="AF246" i="14" s="1"/>
  <c r="L258" i="14"/>
  <c r="L191" i="14"/>
  <c r="AB128" i="14"/>
  <c r="V191" i="14"/>
  <c r="V258" i="14"/>
  <c r="G278" i="14"/>
  <c r="G292" i="14" s="1"/>
  <c r="G295" i="14"/>
  <c r="G259" i="14"/>
  <c r="AF128" i="14"/>
  <c r="AJ128" i="14" s="1"/>
  <c r="AN128" i="14" s="1"/>
  <c r="AF125" i="14"/>
  <c r="AE162" i="14"/>
  <c r="R161" i="14"/>
  <c r="R124" i="14"/>
  <c r="R85" i="14"/>
  <c r="Q295" i="14"/>
  <c r="Q299" i="14" s="1"/>
  <c r="Q302" i="14" s="1"/>
  <c r="Q199" i="14" s="1"/>
  <c r="Q205" i="14" s="1"/>
  <c r="Q206" i="14" s="1"/>
  <c r="Q278" i="14"/>
  <c r="Q292" i="14" s="1"/>
  <c r="Q259" i="14"/>
  <c r="U162" i="14"/>
  <c r="U159" i="14"/>
  <c r="AG49" i="14"/>
  <c r="AG35" i="14"/>
  <c r="J258" i="14"/>
  <c r="AU258" i="14" s="1"/>
  <c r="J191" i="14"/>
  <c r="V159" i="14"/>
  <c r="V162" i="14"/>
  <c r="X159" i="14"/>
  <c r="X162" i="14"/>
  <c r="K258" i="14"/>
  <c r="AV246" i="14"/>
  <c r="K191" i="14"/>
  <c r="AT258" i="14"/>
  <c r="AT278" i="14" s="1"/>
  <c r="AT292" i="14" s="1"/>
  <c r="AT191" i="14"/>
  <c r="Y166" i="14"/>
  <c r="Y167" i="14" s="1"/>
  <c r="Y85" i="14"/>
  <c r="Y109" i="14"/>
  <c r="AC111" i="14" s="1"/>
  <c r="Y124" i="14"/>
  <c r="AC125" i="14" s="1"/>
  <c r="AZ208" i="14"/>
  <c r="AZ214" i="14"/>
  <c r="AZ211" i="14"/>
  <c r="E258" i="14"/>
  <c r="E191" i="14"/>
  <c r="AX50" i="14"/>
  <c r="X166" i="14"/>
  <c r="X85" i="14"/>
  <c r="X109" i="14"/>
  <c r="X124" i="14"/>
  <c r="AY84" i="14"/>
  <c r="AY166" i="14" s="1"/>
  <c r="AW47" i="13"/>
  <c r="AW73" i="13"/>
  <c r="AW74" i="13" s="1"/>
  <c r="AW46" i="13"/>
  <c r="AZ173" i="13"/>
  <c r="AK506" i="13"/>
  <c r="AI435" i="13"/>
  <c r="AI434" i="13" s="1"/>
  <c r="W77" i="13"/>
  <c r="AD498" i="13"/>
  <c r="AD477" i="13"/>
  <c r="AD345" i="13"/>
  <c r="AD454" i="13"/>
  <c r="AD323" i="13"/>
  <c r="AD230" i="13"/>
  <c r="AD166" i="13"/>
  <c r="AH454" i="13"/>
  <c r="U680" i="13"/>
  <c r="U681" i="13"/>
  <c r="BC170" i="13"/>
  <c r="BA93" i="13"/>
  <c r="AG454" i="13"/>
  <c r="AG323" i="13"/>
  <c r="AG448" i="13" s="1"/>
  <c r="AG230" i="13"/>
  <c r="V95" i="13"/>
  <c r="V75" i="13"/>
  <c r="V41" i="13"/>
  <c r="V40" i="13"/>
  <c r="AV105" i="13"/>
  <c r="AV12" i="13"/>
  <c r="O471" i="13"/>
  <c r="O493" i="13"/>
  <c r="O444" i="13"/>
  <c r="AU337" i="13"/>
  <c r="O345" i="13"/>
  <c r="W668" i="13"/>
  <c r="W492" i="13"/>
  <c r="W469" i="13"/>
  <c r="W324" i="13" s="1"/>
  <c r="W439" i="13"/>
  <c r="W437" i="13"/>
  <c r="W447" i="13" s="1"/>
  <c r="W440" i="13"/>
  <c r="W420" i="13"/>
  <c r="W413" i="13"/>
  <c r="W425" i="13"/>
  <c r="W419" i="13"/>
  <c r="W416" i="13"/>
  <c r="W423" i="13"/>
  <c r="W414" i="13"/>
  <c r="W426" i="13"/>
  <c r="W438" i="13"/>
  <c r="W424" i="13"/>
  <c r="W415" i="13"/>
  <c r="W337" i="13"/>
  <c r="W418" i="13"/>
  <c r="W335" i="13"/>
  <c r="W417" i="13"/>
  <c r="W411" i="13"/>
  <c r="W322" i="13"/>
  <c r="W412" i="13"/>
  <c r="W48" i="13"/>
  <c r="BA456" i="13"/>
  <c r="BA458" i="13"/>
  <c r="BB169" i="13"/>
  <c r="AA498" i="13"/>
  <c r="AA450" i="13"/>
  <c r="AA345" i="13"/>
  <c r="E497" i="13"/>
  <c r="E448" i="13"/>
  <c r="E399" i="13"/>
  <c r="E449" i="13" s="1"/>
  <c r="E407" i="13"/>
  <c r="I476" i="13"/>
  <c r="AU97" i="13"/>
  <c r="P493" i="13"/>
  <c r="P471" i="13"/>
  <c r="P444" i="13"/>
  <c r="P345" i="13"/>
  <c r="T471" i="13"/>
  <c r="AH215" i="13"/>
  <c r="AI681" i="13"/>
  <c r="AI680" i="13"/>
  <c r="O441" i="13"/>
  <c r="Q508" i="13"/>
  <c r="E451" i="13"/>
  <c r="E408" i="13"/>
  <c r="E402" i="13"/>
  <c r="E442" i="13" s="1"/>
  <c r="I478" i="13"/>
  <c r="BA468" i="13"/>
  <c r="BB306" i="13"/>
  <c r="AS438" i="13"/>
  <c r="AS427" i="13"/>
  <c r="AS441" i="13" s="1"/>
  <c r="AT75" i="13"/>
  <c r="AT42" i="13"/>
  <c r="AT41" i="13"/>
  <c r="AT95" i="13"/>
  <c r="AU41" i="13"/>
  <c r="H406" i="13"/>
  <c r="H409" i="13" s="1"/>
  <c r="H479" i="13" s="1"/>
  <c r="H405" i="13"/>
  <c r="T50" i="13"/>
  <c r="T52" i="13"/>
  <c r="T51" i="13"/>
  <c r="T96" i="13"/>
  <c r="T99" i="13" s="1"/>
  <c r="AB397" i="13"/>
  <c r="AC397" i="13" s="1"/>
  <c r="AD397" i="13" s="1"/>
  <c r="AE397" i="13" s="1"/>
  <c r="AV39" i="13"/>
  <c r="AU322" i="13"/>
  <c r="AB366" i="13"/>
  <c r="AC366" i="13" s="1"/>
  <c r="AD366" i="13" s="1"/>
  <c r="AE366" i="13" s="1"/>
  <c r="U77" i="13"/>
  <c r="U76" i="13"/>
  <c r="Z471" i="13"/>
  <c r="Z444" i="13"/>
  <c r="Z345" i="13"/>
  <c r="Z441" i="13"/>
  <c r="G91" i="13"/>
  <c r="G87" i="13" s="1"/>
  <c r="AE498" i="13"/>
  <c r="AE477" i="13"/>
  <c r="AE450" i="13"/>
  <c r="AE345" i="13"/>
  <c r="U204" i="13"/>
  <c r="Y205" i="13"/>
  <c r="BA222" i="13"/>
  <c r="AW71" i="13"/>
  <c r="AW72" i="13" s="1"/>
  <c r="AW38" i="13"/>
  <c r="AW104" i="13"/>
  <c r="W106" i="13"/>
  <c r="AA104" i="13"/>
  <c r="W108" i="13"/>
  <c r="W186" i="13" s="1"/>
  <c r="X106" i="13"/>
  <c r="BC350" i="13"/>
  <c r="BC348" i="13" s="1"/>
  <c r="BB348" i="13"/>
  <c r="Z53" i="13"/>
  <c r="AW53" i="13" s="1"/>
  <c r="Z46" i="13"/>
  <c r="Z48" i="13"/>
  <c r="Z45" i="13"/>
  <c r="Z47" i="13"/>
  <c r="AL378" i="13"/>
  <c r="AM379" i="13"/>
  <c r="AZ379" i="13"/>
  <c r="AZ378" i="13" s="1"/>
  <c r="BB330" i="13"/>
  <c r="BB341" i="13" s="1"/>
  <c r="BC200" i="13"/>
  <c r="BC330" i="13" s="1"/>
  <c r="BC341" i="13" s="1"/>
  <c r="S301" i="13"/>
  <c r="U494" i="13"/>
  <c r="U445" i="13"/>
  <c r="U400" i="13"/>
  <c r="Y477" i="13" s="1"/>
  <c r="U398" i="13"/>
  <c r="U351" i="13"/>
  <c r="AA77" i="13"/>
  <c r="AF668" i="13"/>
  <c r="AF492" i="13"/>
  <c r="AF469" i="13"/>
  <c r="AF324" i="13" s="1"/>
  <c r="AF470" i="13"/>
  <c r="AF439" i="13"/>
  <c r="AF437" i="13"/>
  <c r="AF447" i="13" s="1"/>
  <c r="AF440" i="13"/>
  <c r="AF438" i="13"/>
  <c r="AF425" i="13"/>
  <c r="AF419" i="13"/>
  <c r="AF416" i="13"/>
  <c r="AF423" i="13"/>
  <c r="AF414" i="13"/>
  <c r="AF426" i="13"/>
  <c r="AF424" i="13"/>
  <c r="AF415" i="13"/>
  <c r="AF418" i="13"/>
  <c r="AF420" i="13"/>
  <c r="AF413" i="13"/>
  <c r="AF337" i="13"/>
  <c r="AF322" i="13"/>
  <c r="AF335" i="13"/>
  <c r="AF412" i="13"/>
  <c r="AF417" i="13"/>
  <c r="AF334" i="13"/>
  <c r="AF411" i="13"/>
  <c r="AN311" i="13"/>
  <c r="AN307" i="13"/>
  <c r="BA310" i="13"/>
  <c r="AC454" i="13"/>
  <c r="AC323" i="13"/>
  <c r="AC450" i="13" s="1"/>
  <c r="AC230" i="13"/>
  <c r="AC166" i="13"/>
  <c r="H499" i="13"/>
  <c r="H451" i="13"/>
  <c r="H408" i="13"/>
  <c r="H402" i="13"/>
  <c r="H442" i="13" s="1"/>
  <c r="I499" i="13"/>
  <c r="X449" i="13"/>
  <c r="X400" i="13"/>
  <c r="Y498" i="13" s="1"/>
  <c r="X398" i="13"/>
  <c r="AP91" i="13"/>
  <c r="Z86" i="13"/>
  <c r="Z85" i="13"/>
  <c r="Z97" i="13" s="1"/>
  <c r="Z21" i="13"/>
  <c r="Z18" i="13"/>
  <c r="Z17" i="13"/>
  <c r="Z39" i="13"/>
  <c r="Z16" i="13"/>
  <c r="AA17" i="13"/>
  <c r="AB86" i="13"/>
  <c r="AB85" i="13"/>
  <c r="AB17" i="13"/>
  <c r="AB39" i="13"/>
  <c r="AB16" i="13"/>
  <c r="AB21" i="13"/>
  <c r="AB18" i="13"/>
  <c r="AD497" i="13"/>
  <c r="AD476" i="13"/>
  <c r="AD448" i="13"/>
  <c r="AD407" i="13"/>
  <c r="S208" i="13"/>
  <c r="AV186" i="13"/>
  <c r="AV108" i="13" s="1"/>
  <c r="AV107" i="13" s="1"/>
  <c r="S189" i="13"/>
  <c r="S201" i="13"/>
  <c r="T188" i="13"/>
  <c r="AC89" i="13"/>
  <c r="AC90" i="13"/>
  <c r="AG30" i="13"/>
  <c r="AC31" i="13"/>
  <c r="AX71" i="13"/>
  <c r="AY38" i="13"/>
  <c r="AX38" i="13"/>
  <c r="AJ171" i="13"/>
  <c r="AZ341" i="13"/>
  <c r="BB605" i="13"/>
  <c r="BC537" i="13"/>
  <c r="V681" i="13"/>
  <c r="V680" i="13"/>
  <c r="R38" i="13"/>
  <c r="U71" i="13"/>
  <c r="R37" i="13"/>
  <c r="V38" i="13"/>
  <c r="T71" i="13"/>
  <c r="S37" i="13"/>
  <c r="Y454" i="13"/>
  <c r="Y323" i="13"/>
  <c r="Y448" i="13" s="1"/>
  <c r="Y230" i="13"/>
  <c r="Y166" i="13"/>
  <c r="Y464" i="13" s="1"/>
  <c r="AH427" i="13"/>
  <c r="AV431" i="13"/>
  <c r="AV433" i="13"/>
  <c r="AV434" i="13"/>
  <c r="AV432" i="13"/>
  <c r="N493" i="13"/>
  <c r="N471" i="13"/>
  <c r="N444" i="13"/>
  <c r="N345" i="13"/>
  <c r="AT345" i="13" s="1"/>
  <c r="AT337" i="13"/>
  <c r="AA493" i="13"/>
  <c r="AA471" i="13"/>
  <c r="AA444" i="13"/>
  <c r="D581" i="13"/>
  <c r="D495" i="13"/>
  <c r="D403" i="13"/>
  <c r="D401" i="13"/>
  <c r="AE427" i="13"/>
  <c r="H91" i="13"/>
  <c r="H87" i="13" s="1"/>
  <c r="AV454" i="13"/>
  <c r="K449" i="13"/>
  <c r="AV397" i="13"/>
  <c r="AW397" i="13" s="1"/>
  <c r="V208" i="13"/>
  <c r="V201" i="13"/>
  <c r="V188" i="13"/>
  <c r="V189" i="13"/>
  <c r="BA462" i="13"/>
  <c r="BB195" i="13"/>
  <c r="AW366" i="13"/>
  <c r="V97" i="13"/>
  <c r="AJ300" i="13"/>
  <c r="AJ296" i="13" s="1"/>
  <c r="AN278" i="13"/>
  <c r="AJ279" i="13"/>
  <c r="L99" i="13"/>
  <c r="AE497" i="13"/>
  <c r="AE476" i="13"/>
  <c r="AE448" i="13"/>
  <c r="AE407" i="13"/>
  <c r="AF87" i="13"/>
  <c r="AJ23" i="13"/>
  <c r="AF15" i="13"/>
  <c r="AF35" i="13" s="1"/>
  <c r="AF24" i="13"/>
  <c r="AI493" i="13"/>
  <c r="AI471" i="13"/>
  <c r="AI444" i="13"/>
  <c r="AI441" i="13"/>
  <c r="AU52" i="13"/>
  <c r="AU51" i="13"/>
  <c r="AY97" i="13"/>
  <c r="R441" i="13"/>
  <c r="AJ215" i="13"/>
  <c r="AN178" i="13"/>
  <c r="AN215" i="13" s="1"/>
  <c r="O427" i="13"/>
  <c r="R96" i="13"/>
  <c r="R55" i="13"/>
  <c r="V55" i="13"/>
  <c r="R54" i="13"/>
  <c r="R56" i="13"/>
  <c r="S54" i="13"/>
  <c r="T97" i="13"/>
  <c r="AL386" i="13"/>
  <c r="AZ386" i="13" s="1"/>
  <c r="AL384" i="13"/>
  <c r="AL385" i="13"/>
  <c r="AZ385" i="13" s="1"/>
  <c r="AL383" i="13"/>
  <c r="Y86" i="13"/>
  <c r="Y21" i="13"/>
  <c r="Y18" i="13"/>
  <c r="Y85" i="13"/>
  <c r="Y97" i="13" s="1"/>
  <c r="Y17" i="13"/>
  <c r="Y16" i="13"/>
  <c r="Y39" i="13"/>
  <c r="AW15" i="13"/>
  <c r="AP311" i="13"/>
  <c r="AP307" i="13"/>
  <c r="AE88" i="13"/>
  <c r="Y55" i="13"/>
  <c r="Y54" i="13"/>
  <c r="Y56" i="13"/>
  <c r="AM176" i="13"/>
  <c r="AI177" i="13"/>
  <c r="AI219" i="13"/>
  <c r="AI210" i="13" s="1"/>
  <c r="AI208" i="13" s="1"/>
  <c r="AF217" i="13"/>
  <c r="AF210" i="13" s="1"/>
  <c r="AF208" i="13" s="1"/>
  <c r="AG218" i="13"/>
  <c r="AG217" i="13" s="1"/>
  <c r="AK215" i="13"/>
  <c r="AO178" i="13"/>
  <c r="AO215" i="13" s="1"/>
  <c r="AJ506" i="13"/>
  <c r="AN172" i="13"/>
  <c r="AN211" i="13" s="1"/>
  <c r="AJ211" i="13"/>
  <c r="AU88" i="13"/>
  <c r="C451" i="13"/>
  <c r="G478" i="13"/>
  <c r="C408" i="13"/>
  <c r="C402" i="13"/>
  <c r="C442" i="13" s="1"/>
  <c r="AH497" i="13"/>
  <c r="AH476" i="13"/>
  <c r="AH448" i="13"/>
  <c r="AH407" i="13"/>
  <c r="AD681" i="13"/>
  <c r="AD680" i="13"/>
  <c r="AE86" i="13"/>
  <c r="AE85" i="13"/>
  <c r="AE97" i="13" s="1"/>
  <c r="AE39" i="13"/>
  <c r="AE16" i="13"/>
  <c r="AE18" i="13"/>
  <c r="AE21" i="13"/>
  <c r="Z106" i="13"/>
  <c r="AD104" i="13"/>
  <c r="Z108" i="13"/>
  <c r="U264" i="13"/>
  <c r="U272" i="13"/>
  <c r="K581" i="13"/>
  <c r="K610" i="13" s="1"/>
  <c r="K495" i="13"/>
  <c r="K473" i="13"/>
  <c r="K446" i="13"/>
  <c r="K403" i="13"/>
  <c r="K401" i="13"/>
  <c r="K364" i="13"/>
  <c r="AG278" i="13"/>
  <c r="AC279" i="13"/>
  <c r="AC300" i="13"/>
  <c r="AD300" i="13" s="1"/>
  <c r="AD278" i="13"/>
  <c r="AW165" i="13"/>
  <c r="AU334" i="13"/>
  <c r="AV665" i="13"/>
  <c r="AV668" i="13"/>
  <c r="AV571" i="13"/>
  <c r="AV469" i="13"/>
  <c r="AV324" i="13" s="1"/>
  <c r="AV337" i="13"/>
  <c r="AV415" i="13"/>
  <c r="AV420" i="13"/>
  <c r="T508" i="13"/>
  <c r="AV670" i="13"/>
  <c r="AV669" i="13"/>
  <c r="AV413" i="13"/>
  <c r="V508" i="13"/>
  <c r="AV437" i="13"/>
  <c r="AV447" i="13" s="1"/>
  <c r="AV426" i="13"/>
  <c r="AV423" i="13"/>
  <c r="AV440" i="13"/>
  <c r="AV412" i="13"/>
  <c r="U508" i="13"/>
  <c r="AV425" i="13"/>
  <c r="AV574" i="13"/>
  <c r="AV418" i="13"/>
  <c r="AV126" i="13"/>
  <c r="AV416" i="13"/>
  <c r="AV438" i="13"/>
  <c r="AV48" i="13"/>
  <c r="AV414" i="13"/>
  <c r="AV572" i="13"/>
  <c r="AV424" i="13"/>
  <c r="AV419" i="13"/>
  <c r="AV439" i="13"/>
  <c r="S441" i="13"/>
  <c r="AN329" i="13"/>
  <c r="AN382" i="13" s="1"/>
  <c r="AX30" i="13"/>
  <c r="AZ57" i="13"/>
  <c r="AL58" i="13"/>
  <c r="AM57" i="13"/>
  <c r="AL60" i="13"/>
  <c r="AL68" i="13"/>
  <c r="Y681" i="13"/>
  <c r="Z498" i="13"/>
  <c r="Z450" i="13"/>
  <c r="AY211" i="13"/>
  <c r="AC497" i="13"/>
  <c r="AC476" i="13"/>
  <c r="AC407" i="13"/>
  <c r="BC622" i="13"/>
  <c r="F497" i="13"/>
  <c r="F448" i="13"/>
  <c r="F399" i="13"/>
  <c r="F449" i="13" s="1"/>
  <c r="F407" i="13"/>
  <c r="J476" i="13"/>
  <c r="G497" i="13"/>
  <c r="AT441" i="13"/>
  <c r="AT427" i="13"/>
  <c r="AW333" i="13"/>
  <c r="AF497" i="13"/>
  <c r="AF476" i="13"/>
  <c r="AF448" i="13"/>
  <c r="AF407" i="13"/>
  <c r="AB427" i="13"/>
  <c r="AD89" i="13"/>
  <c r="AD90" i="13"/>
  <c r="AD31" i="13"/>
  <c r="AH30" i="13"/>
  <c r="AI31" i="13" s="1"/>
  <c r="AE31" i="13"/>
  <c r="AM211" i="13"/>
  <c r="L499" i="13"/>
  <c r="L478" i="13"/>
  <c r="L451" i="13"/>
  <c r="L408" i="13"/>
  <c r="L402" i="13"/>
  <c r="L442" i="13" s="1"/>
  <c r="AH498" i="13"/>
  <c r="AH477" i="13"/>
  <c r="AH450" i="13"/>
  <c r="AH345" i="13"/>
  <c r="T77" i="13"/>
  <c r="T76" i="13"/>
  <c r="X56" i="13"/>
  <c r="X55" i="13"/>
  <c r="X54" i="13"/>
  <c r="V268" i="13"/>
  <c r="W266" i="13"/>
  <c r="V263" i="13"/>
  <c r="Z266" i="13"/>
  <c r="AV266" i="13"/>
  <c r="G406" i="13"/>
  <c r="G409" i="13" s="1"/>
  <c r="G479" i="13" s="1"/>
  <c r="G405" i="13"/>
  <c r="G500" i="13" s="1"/>
  <c r="W40" i="13"/>
  <c r="U98" i="13"/>
  <c r="T429" i="13"/>
  <c r="T428" i="13"/>
  <c r="T362" i="13"/>
  <c r="AT52" i="13"/>
  <c r="AT51" i="13"/>
  <c r="Y109" i="13"/>
  <c r="Y186" i="13"/>
  <c r="Y201" i="13" s="1"/>
  <c r="AW225" i="13"/>
  <c r="T294" i="13"/>
  <c r="T274" i="13"/>
  <c r="T273" i="13"/>
  <c r="AL299" i="13"/>
  <c r="AL295" i="13" s="1"/>
  <c r="AZ295" i="13" s="1"/>
  <c r="AM275" i="13"/>
  <c r="AU333" i="13"/>
  <c r="S493" i="13"/>
  <c r="S471" i="13"/>
  <c r="S444" i="13"/>
  <c r="S345" i="13"/>
  <c r="T493" i="13"/>
  <c r="W449" i="13"/>
  <c r="AW399" i="13"/>
  <c r="AA681" i="13"/>
  <c r="AA680" i="13"/>
  <c r="AJ269" i="13"/>
  <c r="AF270" i="13"/>
  <c r="Y450" i="13"/>
  <c r="BA193" i="13"/>
  <c r="BB192" i="13"/>
  <c r="BC192" i="13" s="1"/>
  <c r="AC498" i="13"/>
  <c r="AC477" i="13"/>
  <c r="AC345" i="13"/>
  <c r="O680" i="13"/>
  <c r="V49" i="13"/>
  <c r="AA119" i="13"/>
  <c r="AE116" i="13"/>
  <c r="AB116" i="13"/>
  <c r="AA117" i="13"/>
  <c r="Q113" i="13"/>
  <c r="P110" i="13"/>
  <c r="P427" i="13"/>
  <c r="AN330" i="13"/>
  <c r="AN341" i="13" s="1"/>
  <c r="W334" i="13"/>
  <c r="J499" i="13"/>
  <c r="J478" i="13"/>
  <c r="J451" i="13"/>
  <c r="J408" i="13"/>
  <c r="J402" i="13"/>
  <c r="J442" i="13" s="1"/>
  <c r="AF498" i="13"/>
  <c r="AF477" i="13"/>
  <c r="AF450" i="13"/>
  <c r="AF345" i="13"/>
  <c r="R680" i="13"/>
  <c r="AG497" i="13"/>
  <c r="AG476" i="13"/>
  <c r="AG407" i="13"/>
  <c r="AB497" i="13"/>
  <c r="AB448" i="13"/>
  <c r="AB407" i="13"/>
  <c r="AB493" i="13"/>
  <c r="AB444" i="13"/>
  <c r="Z35" i="13"/>
  <c r="AF90" i="13"/>
  <c r="AF89" i="13"/>
  <c r="AJ30" i="13"/>
  <c r="AF31" i="13"/>
  <c r="AL178" i="13"/>
  <c r="AL179" i="13" s="1"/>
  <c r="AI445" i="13"/>
  <c r="AI351" i="13"/>
  <c r="BA394" i="13"/>
  <c r="BB394" i="13" s="1"/>
  <c r="BC394" i="13" s="1"/>
  <c r="AC87" i="13"/>
  <c r="AC15" i="13"/>
  <c r="AG23" i="13"/>
  <c r="AC24" i="13"/>
  <c r="Z681" i="13"/>
  <c r="AI90" i="13"/>
  <c r="AI89" i="13"/>
  <c r="AM30" i="13"/>
  <c r="K76" i="13"/>
  <c r="L76" i="13"/>
  <c r="O77" i="13"/>
  <c r="AF266" i="13"/>
  <c r="AB263" i="13"/>
  <c r="P38" i="13"/>
  <c r="S71" i="13"/>
  <c r="P37" i="13"/>
  <c r="T38" i="13"/>
  <c r="Q37" i="13"/>
  <c r="L368" i="13"/>
  <c r="L372" i="13" s="1"/>
  <c r="L404" i="13"/>
  <c r="AX212" i="13"/>
  <c r="AX210" i="13"/>
  <c r="U50" i="13"/>
  <c r="U52" i="13"/>
  <c r="U51" i="13"/>
  <c r="U96" i="13"/>
  <c r="U99" i="13" s="1"/>
  <c r="AM23" i="13"/>
  <c r="AI15" i="13"/>
  <c r="AI35" i="13" s="1"/>
  <c r="AI87" i="13"/>
  <c r="BB199" i="13"/>
  <c r="Z427" i="13"/>
  <c r="Z271" i="13"/>
  <c r="AD269" i="13"/>
  <c r="AX269" i="13" s="1"/>
  <c r="AX271" i="13" s="1"/>
  <c r="T448" i="13"/>
  <c r="T399" i="13"/>
  <c r="T449" i="13" s="1"/>
  <c r="T407" i="13"/>
  <c r="AF296" i="13"/>
  <c r="M494" i="13"/>
  <c r="M472" i="13"/>
  <c r="M445" i="13"/>
  <c r="M400" i="13"/>
  <c r="M398" i="13"/>
  <c r="M351" i="13"/>
  <c r="AG104" i="13"/>
  <c r="AC108" i="13"/>
  <c r="AA270" i="13"/>
  <c r="BC183" i="13"/>
  <c r="AM381" i="13"/>
  <c r="R493" i="13"/>
  <c r="R471" i="13"/>
  <c r="R444" i="13"/>
  <c r="R345" i="13"/>
  <c r="V472" i="13" s="1"/>
  <c r="Y476" i="13"/>
  <c r="Y407" i="13"/>
  <c r="AA497" i="13"/>
  <c r="AA448" i="13"/>
  <c r="AA407" i="13"/>
  <c r="AN360" i="13"/>
  <c r="AO360" i="13" s="1"/>
  <c r="AH219" i="13"/>
  <c r="AH177" i="13"/>
  <c r="AL176" i="13"/>
  <c r="Q493" i="13"/>
  <c r="Q471" i="13"/>
  <c r="Q444" i="13"/>
  <c r="Q345" i="13"/>
  <c r="U472" i="13" s="1"/>
  <c r="AB217" i="13"/>
  <c r="AC218" i="13"/>
  <c r="K98" i="13"/>
  <c r="L98" i="13"/>
  <c r="AE225" i="13"/>
  <c r="AE226" i="13" s="1"/>
  <c r="AP254" i="13"/>
  <c r="AP329" i="13" s="1"/>
  <c r="AP382" i="13" s="1"/>
  <c r="AO329" i="13"/>
  <c r="AO382" i="13" s="1"/>
  <c r="AA44" i="13"/>
  <c r="AX165" i="13"/>
  <c r="AP255" i="13"/>
  <c r="AP330" i="13" s="1"/>
  <c r="AP341" i="13" s="1"/>
  <c r="AO330" i="13"/>
  <c r="AO341" i="13" s="1"/>
  <c r="Z120" i="13"/>
  <c r="Z121" i="13"/>
  <c r="O111" i="13"/>
  <c r="O112" i="13"/>
  <c r="AT454" i="13"/>
  <c r="AT201" i="13"/>
  <c r="AT202" i="13" s="1"/>
  <c r="G499" i="13"/>
  <c r="F499" i="13"/>
  <c r="F451" i="13"/>
  <c r="F408" i="13"/>
  <c r="F402" i="13"/>
  <c r="F442" i="13" s="1"/>
  <c r="AL506" i="13"/>
  <c r="AP172" i="13"/>
  <c r="AP211" i="13" s="1"/>
  <c r="AL211" i="13"/>
  <c r="AS581" i="13"/>
  <c r="AS473" i="13"/>
  <c r="AS446" i="13"/>
  <c r="AS403" i="13"/>
  <c r="AS364" i="13"/>
  <c r="J405" i="13"/>
  <c r="J500" i="13" s="1"/>
  <c r="J406" i="13"/>
  <c r="J409" i="13" s="1"/>
  <c r="J479" i="13" s="1"/>
  <c r="AF449" i="13"/>
  <c r="T680" i="13"/>
  <c r="T681" i="13"/>
  <c r="AG498" i="13"/>
  <c r="AG477" i="13"/>
  <c r="AG345" i="13"/>
  <c r="AU668" i="13"/>
  <c r="AU669" i="13"/>
  <c r="AU665" i="13"/>
  <c r="AU571" i="13"/>
  <c r="AU469" i="13"/>
  <c r="AU324" i="13" s="1"/>
  <c r="AU415" i="13"/>
  <c r="AU126" i="13"/>
  <c r="AU425" i="13"/>
  <c r="AU426" i="13"/>
  <c r="AU670" i="13"/>
  <c r="AU418" i="13"/>
  <c r="AU437" i="13"/>
  <c r="AU447" i="13" s="1"/>
  <c r="AU421" i="13"/>
  <c r="AU574" i="13"/>
  <c r="AU423" i="13"/>
  <c r="AU424" i="13"/>
  <c r="AU439" i="13"/>
  <c r="AU572" i="13"/>
  <c r="AU411" i="13"/>
  <c r="AU416" i="13"/>
  <c r="AU412" i="13"/>
  <c r="AU417" i="13"/>
  <c r="AU440" i="13"/>
  <c r="AU413" i="13"/>
  <c r="AU48" i="13"/>
  <c r="AU438" i="13"/>
  <c r="AB477" i="13"/>
  <c r="AB498" i="13"/>
  <c r="AB450" i="13"/>
  <c r="AB345" i="13"/>
  <c r="AB441" i="13"/>
  <c r="AT38" i="13"/>
  <c r="AU38" i="13"/>
  <c r="AB35" i="13"/>
  <c r="AH444" i="13"/>
  <c r="AH441" i="13"/>
  <c r="AM215" i="13"/>
  <c r="Z497" i="13"/>
  <c r="Z448" i="13"/>
  <c r="Z407" i="13"/>
  <c r="N441" i="13"/>
  <c r="AA470" i="13"/>
  <c r="X265" i="13"/>
  <c r="X272" i="13"/>
  <c r="AE471" i="13"/>
  <c r="AE444" i="13"/>
  <c r="X668" i="13"/>
  <c r="X492" i="13"/>
  <c r="X469" i="13"/>
  <c r="X324" i="13" s="1"/>
  <c r="X439" i="13"/>
  <c r="X437" i="13"/>
  <c r="X447" i="13" s="1"/>
  <c r="X440" i="13"/>
  <c r="X438" i="13"/>
  <c r="X425" i="13"/>
  <c r="X419" i="13"/>
  <c r="X416" i="13"/>
  <c r="X423" i="13"/>
  <c r="X414" i="13"/>
  <c r="X426" i="13"/>
  <c r="X424" i="13"/>
  <c r="X415" i="13"/>
  <c r="X418" i="13"/>
  <c r="X420" i="13"/>
  <c r="X413" i="13"/>
  <c r="X337" i="13"/>
  <c r="X322" i="13"/>
  <c r="X335" i="13"/>
  <c r="X411" i="13"/>
  <c r="X412" i="13"/>
  <c r="X417" i="13"/>
  <c r="P96" i="13"/>
  <c r="P56" i="13"/>
  <c r="P55" i="13"/>
  <c r="T55" i="13"/>
  <c r="P54" i="13"/>
  <c r="AU53" i="13"/>
  <c r="Q54" i="13"/>
  <c r="AA210" i="13"/>
  <c r="AA208" i="13" s="1"/>
  <c r="V494" i="13"/>
  <c r="V445" i="13"/>
  <c r="V398" i="13"/>
  <c r="Z476" i="13" s="1"/>
  <c r="V400" i="13"/>
  <c r="Z477" i="13" s="1"/>
  <c r="V351" i="13"/>
  <c r="V316" i="13"/>
  <c r="Y263" i="13"/>
  <c r="AC266" i="13"/>
  <c r="Y267" i="13"/>
  <c r="AC270" i="13"/>
  <c r="AG269" i="13"/>
  <c r="T450" i="13"/>
  <c r="AX220" i="13"/>
  <c r="BB223" i="13"/>
  <c r="BC196" i="13"/>
  <c r="BC223" i="13" s="1"/>
  <c r="AI269" i="13"/>
  <c r="AZ221" i="14" l="1"/>
  <c r="BB141" i="14"/>
  <c r="BB142" i="14" s="1"/>
  <c r="AZ384" i="13"/>
  <c r="AZ211" i="13"/>
  <c r="BC135" i="14"/>
  <c r="BC136" i="14" s="1"/>
  <c r="BD37" i="14"/>
  <c r="BD135" i="14" s="1"/>
  <c r="AB118" i="14"/>
  <c r="AB267" i="14" s="1"/>
  <c r="AN61" i="14"/>
  <c r="AN56" i="14" s="1"/>
  <c r="BN107" i="3"/>
  <c r="AD267" i="14"/>
  <c r="AH267" i="14" s="1"/>
  <c r="AL267" i="14" s="1"/>
  <c r="AP267" i="14" s="1"/>
  <c r="AB111" i="14"/>
  <c r="AD184" i="14"/>
  <c r="AH184" i="14" s="1"/>
  <c r="BB61" i="14"/>
  <c r="BC59" i="14"/>
  <c r="BD59" i="14" s="1"/>
  <c r="BE59" i="14" s="1"/>
  <c r="BF59" i="14" s="1"/>
  <c r="BG59" i="14" s="1"/>
  <c r="BH59" i="14" s="1"/>
  <c r="BI59" i="14" s="1"/>
  <c r="BJ59" i="14" s="1"/>
  <c r="BA139" i="14"/>
  <c r="BA147" i="14"/>
  <c r="BA148" i="14" s="1"/>
  <c r="AZ109" i="14"/>
  <c r="AZ110" i="14" s="1"/>
  <c r="AZ85" i="14"/>
  <c r="AZ124" i="14"/>
  <c r="AZ128" i="14" s="1"/>
  <c r="AO195" i="14"/>
  <c r="AP195" i="14" s="1"/>
  <c r="BI195" i="14" s="1"/>
  <c r="BG195" i="14"/>
  <c r="BH195" i="14" s="1"/>
  <c r="BB177" i="14"/>
  <c r="BB178" i="14" s="1"/>
  <c r="AV191" i="14"/>
  <c r="AV247" i="14"/>
  <c r="AU259" i="14"/>
  <c r="AU278" i="14"/>
  <c r="AF247" i="14"/>
  <c r="AF250" i="14"/>
  <c r="AF251" i="14" s="1"/>
  <c r="BC64" i="14"/>
  <c r="S162" i="14"/>
  <c r="AC162" i="14"/>
  <c r="AC159" i="14"/>
  <c r="BC103" i="14"/>
  <c r="BC41" i="14"/>
  <c r="BC93" i="14"/>
  <c r="AF148" i="14"/>
  <c r="AZ161" i="14"/>
  <c r="BC177" i="14"/>
  <c r="BC141" i="14"/>
  <c r="BC142" i="14" s="1"/>
  <c r="BD142" i="14" s="1"/>
  <c r="BE142" i="14" s="1"/>
  <c r="BF142" i="14" s="1"/>
  <c r="BG142" i="14" s="1"/>
  <c r="BH142" i="14" s="1"/>
  <c r="BI142" i="14" s="1"/>
  <c r="BJ142" i="14" s="1"/>
  <c r="BC171" i="14"/>
  <c r="AX191" i="14"/>
  <c r="AX247" i="14"/>
  <c r="AP283" i="14"/>
  <c r="BC283" i="14" s="1"/>
  <c r="BC273" i="14"/>
  <c r="BD273" i="14" s="1"/>
  <c r="AW259" i="14"/>
  <c r="AW278" i="14"/>
  <c r="AF162" i="14"/>
  <c r="AF159" i="14"/>
  <c r="BC66" i="14"/>
  <c r="BA34" i="14"/>
  <c r="BA35" i="14" s="1"/>
  <c r="BD20" i="14"/>
  <c r="BE20" i="14" s="1"/>
  <c r="BF20" i="14" s="1"/>
  <c r="BG20" i="14" s="1"/>
  <c r="BH20" i="14" s="1"/>
  <c r="BI20" i="14" s="1"/>
  <c r="BJ20" i="14" s="1"/>
  <c r="BH301" i="14"/>
  <c r="BG264" i="14"/>
  <c r="BD77" i="14"/>
  <c r="AL82" i="14"/>
  <c r="BB80" i="14"/>
  <c r="AM56" i="14"/>
  <c r="AM62" i="14"/>
  <c r="AL31" i="14"/>
  <c r="AL32" i="14" s="1"/>
  <c r="BB13" i="14"/>
  <c r="AZ299" i="13"/>
  <c r="AZ303" i="13" s="1"/>
  <c r="AV201" i="13"/>
  <c r="AV205" i="13" s="1"/>
  <c r="T204" i="13"/>
  <c r="T235" i="13" s="1"/>
  <c r="AC448" i="13"/>
  <c r="AN353" i="13"/>
  <c r="BO111" i="3"/>
  <c r="BO138" i="3"/>
  <c r="BO140" i="3"/>
  <c r="BO113" i="3"/>
  <c r="BO134" i="3"/>
  <c r="BO107" i="3"/>
  <c r="AP178" i="13"/>
  <c r="BE37" i="14"/>
  <c r="BE135" i="14" s="1"/>
  <c r="AF34" i="3"/>
  <c r="BG244" i="14"/>
  <c r="BH256" i="14"/>
  <c r="BP34" i="3"/>
  <c r="BH262" i="14"/>
  <c r="BP40" i="3"/>
  <c r="BP38" i="3"/>
  <c r="AE270" i="13"/>
  <c r="AH210" i="13"/>
  <c r="AH208" i="13" s="1"/>
  <c r="AH225" i="13" s="1"/>
  <c r="AH226" i="13" s="1"/>
  <c r="AK73" i="14"/>
  <c r="AK74" i="14" s="1"/>
  <c r="AY323" i="13"/>
  <c r="AF508" i="13" s="1"/>
  <c r="AG450" i="13"/>
  <c r="AY219" i="13"/>
  <c r="AY220" i="13" s="1"/>
  <c r="AA118" i="14"/>
  <c r="AA184" i="14" s="1"/>
  <c r="AL69" i="14"/>
  <c r="BB69" i="14" s="1"/>
  <c r="X427" i="13"/>
  <c r="W441" i="13"/>
  <c r="X52" i="13"/>
  <c r="X50" i="13"/>
  <c r="AB97" i="13"/>
  <c r="X109" i="13"/>
  <c r="X186" i="13"/>
  <c r="Y188" i="13" s="1"/>
  <c r="BB44" i="13"/>
  <c r="BC64" i="13"/>
  <c r="BB69" i="13"/>
  <c r="BB65" i="13"/>
  <c r="AC464" i="13"/>
  <c r="X40" i="13"/>
  <c r="X75" i="13"/>
  <c r="X95" i="13"/>
  <c r="X98" i="13" s="1"/>
  <c r="X41" i="13"/>
  <c r="X96" i="13"/>
  <c r="X99" i="13" s="1"/>
  <c r="AL215" i="13"/>
  <c r="AL216" i="13" s="1"/>
  <c r="U191" i="13"/>
  <c r="T114" i="13"/>
  <c r="T190" i="13"/>
  <c r="AC296" i="13"/>
  <c r="AF104" i="13"/>
  <c r="AG106" i="13" s="1"/>
  <c r="AB108" i="13"/>
  <c r="W427" i="13"/>
  <c r="AO56" i="14"/>
  <c r="AL53" i="14"/>
  <c r="BB53" i="14" s="1"/>
  <c r="BB54" i="14" s="1"/>
  <c r="AO152" i="14"/>
  <c r="AN151" i="14"/>
  <c r="AM80" i="14"/>
  <c r="AJ157" i="14"/>
  <c r="AJ62" i="14"/>
  <c r="AJ56" i="14"/>
  <c r="AJ73" i="14" s="1"/>
  <c r="X167" i="14"/>
  <c r="AN139" i="14"/>
  <c r="AJ39" i="14"/>
  <c r="AI138" i="14"/>
  <c r="AI34" i="14"/>
  <c r="AK62" i="14"/>
  <c r="AK157" i="14"/>
  <c r="AP62" i="14"/>
  <c r="AP157" i="14"/>
  <c r="AO62" i="14"/>
  <c r="AO157" i="14"/>
  <c r="AP56" i="14"/>
  <c r="AL62" i="14"/>
  <c r="AL157" i="14"/>
  <c r="AM101" i="14"/>
  <c r="AL100" i="14"/>
  <c r="AL174" i="14" s="1"/>
  <c r="BB174" i="14" s="1"/>
  <c r="AL14" i="14"/>
  <c r="AM13" i="14"/>
  <c r="AH35" i="14"/>
  <c r="AE167" i="14"/>
  <c r="AB167" i="14"/>
  <c r="S166" i="14"/>
  <c r="W85" i="14"/>
  <c r="S124" i="14"/>
  <c r="S85" i="14"/>
  <c r="AX84" i="14"/>
  <c r="AX166" i="14" s="1"/>
  <c r="AC167" i="14"/>
  <c r="K161" i="14"/>
  <c r="AV161" i="14" s="1"/>
  <c r="AV84" i="14"/>
  <c r="AV166" i="14" s="1"/>
  <c r="O85" i="14"/>
  <c r="K85" i="14"/>
  <c r="L278" i="14"/>
  <c r="L292" i="14" s="1"/>
  <c r="L295" i="14"/>
  <c r="L299" i="14" s="1"/>
  <c r="L302" i="14" s="1"/>
  <c r="L199" i="14" s="1"/>
  <c r="L205" i="14" s="1"/>
  <c r="L206" i="14" s="1"/>
  <c r="L259" i="14"/>
  <c r="AH50" i="14"/>
  <c r="AH84" i="14"/>
  <c r="M278" i="14"/>
  <c r="M292" i="14" s="1"/>
  <c r="M295" i="14"/>
  <c r="M299" i="14" s="1"/>
  <c r="M302" i="14" s="1"/>
  <c r="M199" i="14" s="1"/>
  <c r="M205" i="14" s="1"/>
  <c r="M206" i="14" s="1"/>
  <c r="M259" i="14"/>
  <c r="AW74" i="14"/>
  <c r="AX74" i="14"/>
  <c r="Y125" i="14"/>
  <c r="Y128" i="14"/>
  <c r="AV258" i="14"/>
  <c r="K278" i="14"/>
  <c r="K292" i="14" s="1"/>
  <c r="K295" i="14"/>
  <c r="K259" i="14"/>
  <c r="Z162" i="14"/>
  <c r="Z159" i="14"/>
  <c r="Y118" i="14"/>
  <c r="AC119" i="14" s="1"/>
  <c r="Y110" i="14"/>
  <c r="Y111" i="14"/>
  <c r="AF233" i="14"/>
  <c r="AJ233" i="14" s="1"/>
  <c r="AN233" i="14" s="1"/>
  <c r="Z110" i="14"/>
  <c r="Z111" i="14"/>
  <c r="Z118" i="14"/>
  <c r="AD111" i="14"/>
  <c r="AX258" i="14"/>
  <c r="S278" i="14"/>
  <c r="S292" i="14" s="1"/>
  <c r="S295" i="14"/>
  <c r="S259" i="14"/>
  <c r="O299" i="14"/>
  <c r="AY161" i="14"/>
  <c r="AZ163" i="14" s="1"/>
  <c r="W159" i="14"/>
  <c r="W162" i="14"/>
  <c r="P85" i="14"/>
  <c r="P161" i="14"/>
  <c r="AW161" i="14" s="1"/>
  <c r="T85" i="14"/>
  <c r="AW84" i="14"/>
  <c r="AW166" i="14" s="1"/>
  <c r="V278" i="14"/>
  <c r="V292" i="14" s="1"/>
  <c r="V295" i="14"/>
  <c r="V299" i="14" s="1"/>
  <c r="V302" i="14" s="1"/>
  <c r="V259" i="14"/>
  <c r="AU74" i="14"/>
  <c r="AV74" i="14"/>
  <c r="Z128" i="14"/>
  <c r="Z125" i="14"/>
  <c r="AD125" i="14"/>
  <c r="AE118" i="14"/>
  <c r="AE184" i="14" s="1"/>
  <c r="AE111" i="14"/>
  <c r="AB184" i="14"/>
  <c r="AB226" i="14"/>
  <c r="AB249" i="14" s="1"/>
  <c r="AF119" i="14"/>
  <c r="E278" i="14"/>
  <c r="E292" i="14" s="1"/>
  <c r="E295" i="14"/>
  <c r="E299" i="14" s="1"/>
  <c r="E302" i="14" s="1"/>
  <c r="E199" i="14" s="1"/>
  <c r="E205" i="14" s="1"/>
  <c r="E206" i="14" s="1"/>
  <c r="E259" i="14"/>
  <c r="AX159" i="14"/>
  <c r="Z167" i="14"/>
  <c r="AD167" i="14"/>
  <c r="T278" i="14"/>
  <c r="T292" i="14" s="1"/>
  <c r="T199" i="14" s="1"/>
  <c r="T205" i="14" s="1"/>
  <c r="T206" i="14" s="1"/>
  <c r="T207" i="14" s="1"/>
  <c r="T295" i="14"/>
  <c r="T299" i="14" s="1"/>
  <c r="T302" i="14" s="1"/>
  <c r="T259" i="14"/>
  <c r="AE128" i="14"/>
  <c r="AI128" i="14" s="1"/>
  <c r="AM128" i="14" s="1"/>
  <c r="AE125" i="14"/>
  <c r="BA49" i="14"/>
  <c r="F278" i="14"/>
  <c r="F292" i="14" s="1"/>
  <c r="F295" i="14"/>
  <c r="F299" i="14" s="1"/>
  <c r="F302" i="14" s="1"/>
  <c r="F199" i="14" s="1"/>
  <c r="F205" i="14" s="1"/>
  <c r="F206" i="14" s="1"/>
  <c r="F259" i="14"/>
  <c r="J259" i="14"/>
  <c r="J295" i="14"/>
  <c r="J299" i="14" s="1"/>
  <c r="J302" i="14" s="1"/>
  <c r="J199" i="14" s="1"/>
  <c r="J205" i="14" s="1"/>
  <c r="J206" i="14" s="1"/>
  <c r="J278" i="14"/>
  <c r="J292" i="14" s="1"/>
  <c r="AU292" i="14" s="1"/>
  <c r="H85" i="14"/>
  <c r="L85" i="14"/>
  <c r="AU84" i="14"/>
  <c r="Y162" i="14"/>
  <c r="Y159" i="14"/>
  <c r="X128" i="14"/>
  <c r="X125" i="14"/>
  <c r="AY124" i="14"/>
  <c r="AY128" i="14" s="1"/>
  <c r="AT295" i="14"/>
  <c r="AT259" i="14"/>
  <c r="G299" i="14"/>
  <c r="AB125" i="14"/>
  <c r="R295" i="14"/>
  <c r="R299" i="14" s="1"/>
  <c r="R302" i="14" s="1"/>
  <c r="R199" i="14" s="1"/>
  <c r="R205" i="14" s="1"/>
  <c r="R206" i="14" s="1"/>
  <c r="R278" i="14"/>
  <c r="R292" i="14" s="1"/>
  <c r="AW292" i="14" s="1"/>
  <c r="R259" i="14"/>
  <c r="AD232" i="14"/>
  <c r="AD241" i="14"/>
  <c r="AH241" i="14" s="1"/>
  <c r="AL241" i="14" s="1"/>
  <c r="AP241" i="14" s="1"/>
  <c r="AD243" i="14"/>
  <c r="AH243" i="14" s="1"/>
  <c r="AL243" i="14" s="1"/>
  <c r="AP243" i="14" s="1"/>
  <c r="AD238" i="14"/>
  <c r="AH238" i="14" s="1"/>
  <c r="AL238" i="14" s="1"/>
  <c r="AP238" i="14" s="1"/>
  <c r="AD230" i="14"/>
  <c r="AD236" i="14"/>
  <c r="U278" i="14"/>
  <c r="U292" i="14" s="1"/>
  <c r="U199" i="14" s="1"/>
  <c r="U205" i="14" s="1"/>
  <c r="U206" i="14" s="1"/>
  <c r="U207" i="14" s="1"/>
  <c r="U295" i="14"/>
  <c r="U299" i="14" s="1"/>
  <c r="U302" i="14" s="1"/>
  <c r="U259" i="14"/>
  <c r="N278" i="14"/>
  <c r="N292" i="14" s="1"/>
  <c r="N295" i="14"/>
  <c r="N299" i="14" s="1"/>
  <c r="N302" i="14" s="1"/>
  <c r="N199" i="14" s="1"/>
  <c r="N205" i="14" s="1"/>
  <c r="N206" i="14" s="1"/>
  <c r="N259" i="14"/>
  <c r="X118" i="14"/>
  <c r="X110" i="14"/>
  <c r="AY109" i="14"/>
  <c r="X111" i="14"/>
  <c r="AG50" i="14"/>
  <c r="AG84" i="14"/>
  <c r="AC226" i="14"/>
  <c r="AC249" i="14" s="1"/>
  <c r="AC184" i="14"/>
  <c r="AG184" i="14" s="1"/>
  <c r="AC267" i="14"/>
  <c r="AG267" i="14" s="1"/>
  <c r="AZ162" i="14"/>
  <c r="AW454" i="13"/>
  <c r="AW166" i="13"/>
  <c r="Z40" i="13"/>
  <c r="Z75" i="13"/>
  <c r="Z41" i="13"/>
  <c r="AA40" i="13"/>
  <c r="AE494" i="13"/>
  <c r="AE472" i="13"/>
  <c r="AE445" i="13"/>
  <c r="AY345" i="13"/>
  <c r="AE351" i="13"/>
  <c r="AE344" i="13"/>
  <c r="X493" i="13"/>
  <c r="X471" i="13"/>
  <c r="X444" i="13"/>
  <c r="X345" i="13"/>
  <c r="AB472" i="13" s="1"/>
  <c r="X294" i="13"/>
  <c r="X288" i="13" s="1"/>
  <c r="X274" i="13"/>
  <c r="AB494" i="13"/>
  <c r="AB445" i="13"/>
  <c r="AB351" i="13"/>
  <c r="AB344" i="13"/>
  <c r="AS368" i="13"/>
  <c r="AS372" i="13" s="1"/>
  <c r="AS404" i="13"/>
  <c r="M497" i="13"/>
  <c r="M476" i="13"/>
  <c r="M448" i="13"/>
  <c r="M399" i="13"/>
  <c r="M407" i="13"/>
  <c r="AB265" i="13"/>
  <c r="AB272" i="13"/>
  <c r="AC86" i="13"/>
  <c r="AC85" i="13"/>
  <c r="AC97" i="13" s="1"/>
  <c r="AC17" i="13"/>
  <c r="AC39" i="13"/>
  <c r="AC21" i="13"/>
  <c r="AC18" i="13"/>
  <c r="AC16" i="13"/>
  <c r="AB471" i="13"/>
  <c r="V52" i="13"/>
  <c r="V51" i="13"/>
  <c r="V50" i="13"/>
  <c r="V96" i="13"/>
  <c r="W50" i="13"/>
  <c r="Y189" i="13"/>
  <c r="Y187" i="13"/>
  <c r="Y209" i="13"/>
  <c r="AW55" i="13"/>
  <c r="AH494" i="13"/>
  <c r="AH472" i="13"/>
  <c r="AH445" i="13"/>
  <c r="AH351" i="13"/>
  <c r="AH344" i="13"/>
  <c r="AH435" i="13" s="1"/>
  <c r="AH434" i="13" s="1"/>
  <c r="AY212" i="13"/>
  <c r="AM58" i="13"/>
  <c r="AN57" i="13"/>
  <c r="AM60" i="13"/>
  <c r="AM68" i="13"/>
  <c r="BB221" i="13"/>
  <c r="BC195" i="13"/>
  <c r="BC221" i="13" s="1"/>
  <c r="D499" i="13"/>
  <c r="D451" i="13"/>
  <c r="D408" i="13"/>
  <c r="D402" i="13"/>
  <c r="D442" i="13" s="1"/>
  <c r="AJ486" i="13"/>
  <c r="AJ459" i="13"/>
  <c r="AJ168" i="13"/>
  <c r="AC35" i="13"/>
  <c r="AB75" i="13"/>
  <c r="AB40" i="13"/>
  <c r="AB41" i="13"/>
  <c r="Z49" i="13"/>
  <c r="Z96" i="13" s="1"/>
  <c r="X477" i="13"/>
  <c r="X450" i="13"/>
  <c r="AF493" i="13"/>
  <c r="AF471" i="13"/>
  <c r="AF444" i="13"/>
  <c r="U497" i="13"/>
  <c r="U448" i="13"/>
  <c r="U399" i="13"/>
  <c r="U449" i="13" s="1"/>
  <c r="U407" i="13"/>
  <c r="AX397" i="13"/>
  <c r="BC306" i="13"/>
  <c r="BB310" i="13"/>
  <c r="E499" i="13"/>
  <c r="P494" i="13"/>
  <c r="P472" i="13"/>
  <c r="P445" i="13"/>
  <c r="P400" i="13"/>
  <c r="P398" i="13"/>
  <c r="P351" i="13"/>
  <c r="T472" i="13"/>
  <c r="O494" i="13"/>
  <c r="O472" i="13"/>
  <c r="O445" i="13"/>
  <c r="O398" i="13"/>
  <c r="O400" i="13"/>
  <c r="O351" i="13"/>
  <c r="AU345" i="13"/>
  <c r="BA94" i="13"/>
  <c r="BA92" i="13" s="1"/>
  <c r="AD464" i="13"/>
  <c r="AH464" i="13"/>
  <c r="AS478" i="13"/>
  <c r="AS451" i="13"/>
  <c r="AS408" i="13"/>
  <c r="AS402" i="13"/>
  <c r="AP176" i="13"/>
  <c r="AP219" i="13" s="1"/>
  <c r="AL219" i="13"/>
  <c r="AZ219" i="13" s="1"/>
  <c r="AI86" i="13"/>
  <c r="AI85" i="13"/>
  <c r="AI97" i="13" s="1"/>
  <c r="AI18" i="13"/>
  <c r="AI39" i="13"/>
  <c r="AI16" i="13"/>
  <c r="AI21" i="13"/>
  <c r="S72" i="13"/>
  <c r="W72" i="13"/>
  <c r="P111" i="13"/>
  <c r="P112" i="13"/>
  <c r="AN269" i="13"/>
  <c r="AJ270" i="13"/>
  <c r="S494" i="13"/>
  <c r="S472" i="13"/>
  <c r="S445" i="13"/>
  <c r="S400" i="13"/>
  <c r="S398" i="13"/>
  <c r="S351" i="13"/>
  <c r="AV345" i="13"/>
  <c r="T494" i="13"/>
  <c r="AF225" i="13"/>
  <c r="AF226" i="13" s="1"/>
  <c r="AV471" i="13"/>
  <c r="AV444" i="13"/>
  <c r="AD296" i="13"/>
  <c r="AX296" i="13" s="1"/>
  <c r="AH278" i="13"/>
  <c r="AY278" i="13" s="1"/>
  <c r="AD280" i="13"/>
  <c r="AD279" i="13"/>
  <c r="AX278" i="13"/>
  <c r="AE279" i="13"/>
  <c r="K499" i="13"/>
  <c r="K478" i="13"/>
  <c r="K451" i="13"/>
  <c r="K408" i="13"/>
  <c r="K402" i="13"/>
  <c r="K442" i="13" s="1"/>
  <c r="R99" i="13"/>
  <c r="S99" i="13"/>
  <c r="AF85" i="13"/>
  <c r="AF97" i="13" s="1"/>
  <c r="AF39" i="13"/>
  <c r="AF49" i="13" s="1"/>
  <c r="AF16" i="13"/>
  <c r="AF21" i="13"/>
  <c r="AF17" i="13"/>
  <c r="AF86" i="13"/>
  <c r="AF18" i="13"/>
  <c r="Y492" i="13"/>
  <c r="Y470" i="13"/>
  <c r="Y668" i="13"/>
  <c r="Y469" i="13"/>
  <c r="Y324" i="13" s="1"/>
  <c r="Y439" i="13"/>
  <c r="Y437" i="13"/>
  <c r="Y447" i="13" s="1"/>
  <c r="Y440" i="13"/>
  <c r="Y438" i="13"/>
  <c r="Y423" i="13"/>
  <c r="Y414" i="13"/>
  <c r="Y426" i="13"/>
  <c r="Y424" i="13"/>
  <c r="Y415" i="13"/>
  <c r="Y418" i="13"/>
  <c r="Y420" i="13"/>
  <c r="Y413" i="13"/>
  <c r="Y425" i="13"/>
  <c r="Y416" i="13"/>
  <c r="Y322" i="13"/>
  <c r="Y335" i="13"/>
  <c r="Y337" i="13"/>
  <c r="AW337" i="13" s="1"/>
  <c r="Y419" i="13"/>
  <c r="Y417" i="13"/>
  <c r="Y334" i="13"/>
  <c r="Y412" i="13"/>
  <c r="Z492" i="13"/>
  <c r="Y411" i="13"/>
  <c r="Y48" i="13"/>
  <c r="Y449" i="13"/>
  <c r="AC88" i="13"/>
  <c r="AB49" i="13"/>
  <c r="U498" i="13"/>
  <c r="U450" i="13"/>
  <c r="BA254" i="13"/>
  <c r="BB458" i="13"/>
  <c r="BC169" i="13"/>
  <c r="BB93" i="13"/>
  <c r="BB91" i="13" s="1"/>
  <c r="AU471" i="13"/>
  <c r="AU444" i="13"/>
  <c r="V76" i="13"/>
  <c r="V77" i="13"/>
  <c r="AX454" i="13"/>
  <c r="AX166" i="13"/>
  <c r="AX464" i="13" s="1"/>
  <c r="M429" i="13"/>
  <c r="M428" i="13"/>
  <c r="M362" i="13"/>
  <c r="AM89" i="13"/>
  <c r="AM90" i="13"/>
  <c r="AA48" i="13"/>
  <c r="AA45" i="13"/>
  <c r="AA95" i="13"/>
  <c r="AA47" i="13"/>
  <c r="AA46" i="13"/>
  <c r="AA53" i="13"/>
  <c r="AB44" i="13"/>
  <c r="M498" i="13"/>
  <c r="M477" i="13"/>
  <c r="M450" i="13"/>
  <c r="Y265" i="13"/>
  <c r="Y272" i="13"/>
  <c r="Y264" i="13"/>
  <c r="AA225" i="13"/>
  <c r="AA226" i="13" s="1"/>
  <c r="P99" i="13"/>
  <c r="Q99" i="13"/>
  <c r="AF263" i="13"/>
  <c r="AJ266" i="13"/>
  <c r="AI88" i="13"/>
  <c r="AJ90" i="13"/>
  <c r="AJ89" i="13"/>
  <c r="AN30" i="13"/>
  <c r="AJ31" i="13"/>
  <c r="R113" i="13"/>
  <c r="Q110" i="13"/>
  <c r="AH90" i="13"/>
  <c r="AH89" i="13"/>
  <c r="AH31" i="13"/>
  <c r="AL30" i="13"/>
  <c r="AD304" i="13"/>
  <c r="AX300" i="13"/>
  <c r="Z186" i="13"/>
  <c r="Z109" i="13"/>
  <c r="AJ210" i="13"/>
  <c r="AN23" i="13"/>
  <c r="AJ24" i="13"/>
  <c r="AJ15" i="13"/>
  <c r="AJ35" i="13" s="1"/>
  <c r="AJ87" i="13"/>
  <c r="V191" i="13"/>
  <c r="V190" i="13"/>
  <c r="V114" i="13"/>
  <c r="Z55" i="13"/>
  <c r="Z54" i="13"/>
  <c r="Z56" i="13"/>
  <c r="AA494" i="13"/>
  <c r="AA445" i="13"/>
  <c r="AA351" i="13"/>
  <c r="AX345" i="13"/>
  <c r="AA344" i="13"/>
  <c r="V98" i="13"/>
  <c r="W98" i="13"/>
  <c r="W76" i="13"/>
  <c r="AP215" i="13"/>
  <c r="AM299" i="13"/>
  <c r="AM277" i="13"/>
  <c r="AN275" i="13"/>
  <c r="Y204" i="13"/>
  <c r="Y234" i="13" s="1"/>
  <c r="Y202" i="13"/>
  <c r="AO385" i="13"/>
  <c r="AO383" i="13"/>
  <c r="AO386" i="13"/>
  <c r="AO384" i="13"/>
  <c r="AD218" i="13"/>
  <c r="AD217" i="13" s="1"/>
  <c r="AC217" i="13"/>
  <c r="AC186" i="13"/>
  <c r="AC109" i="13"/>
  <c r="AD270" i="13"/>
  <c r="AH269" i="13"/>
  <c r="AI270" i="13" s="1"/>
  <c r="AM15" i="13"/>
  <c r="AM35" i="13" s="1"/>
  <c r="AM87" i="13"/>
  <c r="AI429" i="13"/>
  <c r="AI428" i="13"/>
  <c r="AI362" i="13"/>
  <c r="AC494" i="13"/>
  <c r="AC445" i="13"/>
  <c r="AC351" i="13"/>
  <c r="AZ58" i="13"/>
  <c r="AZ60" i="13"/>
  <c r="AZ68" i="13"/>
  <c r="AD106" i="13"/>
  <c r="AH104" i="13"/>
  <c r="AD108" i="13"/>
  <c r="AE75" i="13"/>
  <c r="AE41" i="13"/>
  <c r="AN210" i="13"/>
  <c r="AZ176" i="13"/>
  <c r="AZ177" i="13" s="1"/>
  <c r="BC605" i="13"/>
  <c r="AX72" i="13"/>
  <c r="AY72" i="13"/>
  <c r="AC668" i="13"/>
  <c r="AC492" i="13"/>
  <c r="AC469" i="13"/>
  <c r="AC324" i="13" s="1"/>
  <c r="AC470" i="13"/>
  <c r="AC438" i="13"/>
  <c r="AC439" i="13"/>
  <c r="AC437" i="13"/>
  <c r="AC447" i="13" s="1"/>
  <c r="AC424" i="13"/>
  <c r="AC415" i="13"/>
  <c r="AC418" i="13"/>
  <c r="AC420" i="13"/>
  <c r="AC413" i="13"/>
  <c r="AC425" i="13"/>
  <c r="AC419" i="13"/>
  <c r="AC416" i="13"/>
  <c r="AC423" i="13"/>
  <c r="AC414" i="13"/>
  <c r="AC440" i="13"/>
  <c r="AC426" i="13"/>
  <c r="AC335" i="13"/>
  <c r="AC344" i="13"/>
  <c r="AC337" i="13"/>
  <c r="AC322" i="13"/>
  <c r="AC412" i="13"/>
  <c r="AC417" i="13"/>
  <c r="AC334" i="13"/>
  <c r="AX323" i="13"/>
  <c r="AC449" i="13"/>
  <c r="AC411" i="13"/>
  <c r="AM378" i="13"/>
  <c r="AN379" i="13"/>
  <c r="Z95" i="13"/>
  <c r="W189" i="13"/>
  <c r="W187" i="13"/>
  <c r="W188" i="13"/>
  <c r="W201" i="13"/>
  <c r="W209" i="13"/>
  <c r="AF366" i="13"/>
  <c r="AG366" i="13" s="1"/>
  <c r="AH366" i="13" s="1"/>
  <c r="AI366" i="13" s="1"/>
  <c r="AW323" i="13"/>
  <c r="Y508" i="13" s="1"/>
  <c r="AD668" i="13"/>
  <c r="AD469" i="13"/>
  <c r="AD324" i="13" s="1"/>
  <c r="AD470" i="13"/>
  <c r="AD492" i="13"/>
  <c r="AD438" i="13"/>
  <c r="AD439" i="13"/>
  <c r="AD437" i="13"/>
  <c r="AD447" i="13" s="1"/>
  <c r="AD440" i="13"/>
  <c r="AD418" i="13"/>
  <c r="AD420" i="13"/>
  <c r="AD413" i="13"/>
  <c r="AD425" i="13"/>
  <c r="AD419" i="13"/>
  <c r="AD416" i="13"/>
  <c r="AD423" i="13"/>
  <c r="AD414" i="13"/>
  <c r="AD426" i="13"/>
  <c r="AD424" i="13"/>
  <c r="AD415" i="13"/>
  <c r="AD335" i="13"/>
  <c r="AD344" i="13"/>
  <c r="AD337" i="13"/>
  <c r="AD334" i="13"/>
  <c r="AD322" i="13"/>
  <c r="AD412" i="13"/>
  <c r="AD417" i="13"/>
  <c r="AH470" i="13"/>
  <c r="AD449" i="13"/>
  <c r="AE492" i="13"/>
  <c r="AD411" i="13"/>
  <c r="AH469" i="13"/>
  <c r="AH324" i="13" s="1"/>
  <c r="AG87" i="13"/>
  <c r="AK23" i="13"/>
  <c r="AG24" i="13"/>
  <c r="AG15" i="13"/>
  <c r="AA120" i="13"/>
  <c r="AA121" i="13"/>
  <c r="U294" i="13"/>
  <c r="U288" i="13" s="1"/>
  <c r="U274" i="13"/>
  <c r="U273" i="13"/>
  <c r="X476" i="13"/>
  <c r="X448" i="13"/>
  <c r="X407" i="13"/>
  <c r="U429" i="13"/>
  <c r="U428" i="13"/>
  <c r="U362" i="13"/>
  <c r="T289" i="13"/>
  <c r="U289" i="13" s="1"/>
  <c r="V289" i="13" s="1"/>
  <c r="W289" i="13" s="1"/>
  <c r="AF397" i="13"/>
  <c r="AG397" i="13" s="1"/>
  <c r="AH397" i="13" s="1"/>
  <c r="AI397" i="13" s="1"/>
  <c r="AI401" i="13" s="1"/>
  <c r="AG266" i="13"/>
  <c r="AC267" i="13"/>
  <c r="AC263" i="13"/>
  <c r="V321" i="13"/>
  <c r="AV316" i="13"/>
  <c r="V328" i="13"/>
  <c r="AV328" i="13" s="1"/>
  <c r="V429" i="13"/>
  <c r="V428" i="13"/>
  <c r="V362" i="13"/>
  <c r="X441" i="13"/>
  <c r="AU441" i="13"/>
  <c r="AU427" i="13"/>
  <c r="AP385" i="13"/>
  <c r="AP383" i="13"/>
  <c r="AP386" i="13"/>
  <c r="AP384" i="13"/>
  <c r="AB210" i="13"/>
  <c r="AB208" i="13" s="1"/>
  <c r="AP360" i="13"/>
  <c r="AO353" i="13"/>
  <c r="AK104" i="13"/>
  <c r="AG108" i="13"/>
  <c r="L405" i="13"/>
  <c r="L406" i="13"/>
  <c r="L409" i="13" s="1"/>
  <c r="L479" i="13" s="1"/>
  <c r="AF88" i="13"/>
  <c r="AB476" i="13"/>
  <c r="AF494" i="13"/>
  <c r="AF472" i="13"/>
  <c r="AF445" i="13"/>
  <c r="AF351" i="13"/>
  <c r="AB119" i="13"/>
  <c r="AF116" i="13"/>
  <c r="AC116" i="13"/>
  <c r="AB117" i="13"/>
  <c r="T288" i="13"/>
  <c r="T581" i="13"/>
  <c r="T446" i="13"/>
  <c r="T364" i="13"/>
  <c r="T368" i="13" s="1"/>
  <c r="T403" i="13"/>
  <c r="T401" i="13"/>
  <c r="AD266" i="13"/>
  <c r="Z267" i="13"/>
  <c r="Z263" i="13"/>
  <c r="AY337" i="13"/>
  <c r="AY415" i="13"/>
  <c r="AY437" i="13"/>
  <c r="AY447" i="13" s="1"/>
  <c r="AG300" i="13"/>
  <c r="AK278" i="13"/>
  <c r="AG279" i="13"/>
  <c r="AE49" i="13"/>
  <c r="AM219" i="13"/>
  <c r="AM210" i="13" s="1"/>
  <c r="AW156" i="13"/>
  <c r="AW158" i="13" s="1"/>
  <c r="AW86" i="13"/>
  <c r="AW16" i="13"/>
  <c r="AW18" i="13"/>
  <c r="AW21" i="13"/>
  <c r="AW63" i="13"/>
  <c r="AX18" i="13"/>
  <c r="AW85" i="13"/>
  <c r="AW35" i="13"/>
  <c r="AN300" i="13"/>
  <c r="AN296" i="13" s="1"/>
  <c r="AN279" i="13"/>
  <c r="AT471" i="13"/>
  <c r="AT444" i="13"/>
  <c r="T72" i="13"/>
  <c r="X72" i="13"/>
  <c r="S190" i="13"/>
  <c r="AV189" i="13"/>
  <c r="S191" i="13"/>
  <c r="S114" i="13"/>
  <c r="T191" i="13"/>
  <c r="AD15" i="13"/>
  <c r="AF441" i="13"/>
  <c r="AX104" i="13"/>
  <c r="AE104" i="13"/>
  <c r="AA108" i="13"/>
  <c r="AA106" i="13"/>
  <c r="AB106" i="13"/>
  <c r="AX366" i="13"/>
  <c r="R494" i="13"/>
  <c r="R472" i="13"/>
  <c r="R445" i="13"/>
  <c r="R400" i="13"/>
  <c r="V477" i="13" s="1"/>
  <c r="R398" i="13"/>
  <c r="V476" i="13" s="1"/>
  <c r="R351" i="13"/>
  <c r="U72" i="13"/>
  <c r="Y72" i="13"/>
  <c r="AM269" i="13"/>
  <c r="AU96" i="13"/>
  <c r="AU55" i="13"/>
  <c r="AV55" i="13"/>
  <c r="Q494" i="13"/>
  <c r="Q472" i="13"/>
  <c r="Q445" i="13"/>
  <c r="Q400" i="13"/>
  <c r="U477" i="13" s="1"/>
  <c r="Q398" i="13"/>
  <c r="U476" i="13" s="1"/>
  <c r="Q351" i="13"/>
  <c r="L374" i="13"/>
  <c r="L375" i="13"/>
  <c r="L376" i="13"/>
  <c r="AI472" i="13"/>
  <c r="BA255" i="13"/>
  <c r="BA330" i="13" s="1"/>
  <c r="BA341" i="13" s="1"/>
  <c r="V272" i="13"/>
  <c r="V264" i="13"/>
  <c r="AU202" i="13"/>
  <c r="AX89" i="13"/>
  <c r="AY32" i="13"/>
  <c r="AX32" i="13"/>
  <c r="AX35" i="13"/>
  <c r="AX90" i="13"/>
  <c r="K660" i="13"/>
  <c r="K662" i="13" s="1"/>
  <c r="K674" i="13"/>
  <c r="Y41" i="13"/>
  <c r="Y40" i="13"/>
  <c r="Y75" i="13"/>
  <c r="AW39" i="13"/>
  <c r="AW49" i="13" s="1"/>
  <c r="Y95" i="13"/>
  <c r="AL381" i="13"/>
  <c r="AZ383" i="13"/>
  <c r="AZ381" i="13" s="1"/>
  <c r="AZ592" i="13" s="1"/>
  <c r="V203" i="13"/>
  <c r="N494" i="13"/>
  <c r="N472" i="13"/>
  <c r="N445" i="13"/>
  <c r="N398" i="13"/>
  <c r="N400" i="13"/>
  <c r="N351" i="13"/>
  <c r="AT351" i="13" s="1"/>
  <c r="AF344" i="13"/>
  <c r="AF427" i="13"/>
  <c r="Z472" i="13"/>
  <c r="Z445" i="13"/>
  <c r="Z351" i="13"/>
  <c r="Z344" i="13"/>
  <c r="AT77" i="13"/>
  <c r="AU77" i="13"/>
  <c r="AH216" i="13"/>
  <c r="W471" i="13"/>
  <c r="W493" i="13"/>
  <c r="W444" i="13"/>
  <c r="W345" i="13"/>
  <c r="AD494" i="13"/>
  <c r="AD472" i="13"/>
  <c r="AD445" i="13"/>
  <c r="AD351" i="13"/>
  <c r="AI225" i="13"/>
  <c r="AI226" i="13" s="1"/>
  <c r="BA172" i="13"/>
  <c r="V498" i="13"/>
  <c r="V450" i="13"/>
  <c r="AK269" i="13"/>
  <c r="AG270" i="13"/>
  <c r="V497" i="13"/>
  <c r="V448" i="13"/>
  <c r="V399" i="13"/>
  <c r="V449" i="13" s="1"/>
  <c r="V407" i="13"/>
  <c r="AZ212" i="13"/>
  <c r="AP179" i="13"/>
  <c r="AG494" i="13"/>
  <c r="AG472" i="13"/>
  <c r="AG445" i="13"/>
  <c r="AG351" i="13"/>
  <c r="Y497" i="13"/>
  <c r="AT472" i="13"/>
  <c r="AT445" i="13"/>
  <c r="AT398" i="13"/>
  <c r="BC199" i="13"/>
  <c r="AI494" i="13"/>
  <c r="AE119" i="13"/>
  <c r="AI116" i="13"/>
  <c r="AW226" i="13"/>
  <c r="AW227" i="13"/>
  <c r="W263" i="13"/>
  <c r="AW266" i="13"/>
  <c r="AW268" i="13" s="1"/>
  <c r="AA266" i="13"/>
  <c r="W268" i="13"/>
  <c r="X267" i="13"/>
  <c r="BA211" i="13"/>
  <c r="AD88" i="13"/>
  <c r="AN385" i="13"/>
  <c r="AN383" i="13"/>
  <c r="AN386" i="13"/>
  <c r="AN384" i="13"/>
  <c r="AV441" i="13"/>
  <c r="AV427" i="13"/>
  <c r="K368" i="13"/>
  <c r="K404" i="13"/>
  <c r="AV263" i="13"/>
  <c r="T237" i="13"/>
  <c r="T236" i="13" s="1"/>
  <c r="Y49" i="13"/>
  <c r="AG90" i="13"/>
  <c r="AG89" i="13"/>
  <c r="AK30" i="13"/>
  <c r="AG31" i="13"/>
  <c r="AG35" i="13"/>
  <c r="AV208" i="13"/>
  <c r="S203" i="13"/>
  <c r="H478" i="13"/>
  <c r="BA311" i="13"/>
  <c r="BA307" i="13"/>
  <c r="BA312" i="13"/>
  <c r="AC44" i="13"/>
  <c r="AD44" i="13" s="1"/>
  <c r="AW105" i="13"/>
  <c r="AW12" i="13"/>
  <c r="U237" i="13"/>
  <c r="U236" i="13" s="1"/>
  <c r="U234" i="13"/>
  <c r="U235" i="13"/>
  <c r="AV75" i="13"/>
  <c r="AV77" i="13" s="1"/>
  <c r="AV42" i="13"/>
  <c r="AV41" i="13"/>
  <c r="AV95" i="13"/>
  <c r="AV49" i="13"/>
  <c r="H500" i="13"/>
  <c r="I500" i="13"/>
  <c r="BA91" i="13"/>
  <c r="AG668" i="13"/>
  <c r="AG492" i="13"/>
  <c r="AG470" i="13"/>
  <c r="AG469" i="13"/>
  <c r="AG324" i="13" s="1"/>
  <c r="AG439" i="13"/>
  <c r="AG437" i="13"/>
  <c r="AG447" i="13" s="1"/>
  <c r="AG440" i="13"/>
  <c r="AG438" i="13"/>
  <c r="AG423" i="13"/>
  <c r="AG414" i="13"/>
  <c r="AG426" i="13"/>
  <c r="AG424" i="13"/>
  <c r="AG415" i="13"/>
  <c r="AG418" i="13"/>
  <c r="AG420" i="13"/>
  <c r="AG413" i="13"/>
  <c r="AG425" i="13"/>
  <c r="AG416" i="13"/>
  <c r="AG419" i="13"/>
  <c r="AG322" i="13"/>
  <c r="AG335" i="13"/>
  <c r="AG344" i="13"/>
  <c r="AG337" i="13"/>
  <c r="AG174" i="13"/>
  <c r="AG412" i="13"/>
  <c r="AG417" i="13"/>
  <c r="AG334" i="13"/>
  <c r="AG411" i="13"/>
  <c r="AH492" i="13"/>
  <c r="AG449" i="13"/>
  <c r="AD450" i="13"/>
  <c r="T234" i="13" l="1"/>
  <c r="AN62" i="14"/>
  <c r="AA119" i="14"/>
  <c r="AA226" i="14"/>
  <c r="AA249" i="14" s="1"/>
  <c r="AA267" i="14"/>
  <c r="Y98" i="13"/>
  <c r="BA386" i="13"/>
  <c r="AB119" i="14"/>
  <c r="AZ118" i="14"/>
  <c r="AZ267" i="14" s="1"/>
  <c r="BB62" i="14"/>
  <c r="BB56" i="14"/>
  <c r="BB73" i="14" s="1"/>
  <c r="BB74" i="14" s="1"/>
  <c r="AN157" i="14"/>
  <c r="BC157" i="14" s="1"/>
  <c r="BC178" i="14"/>
  <c r="BD58" i="14"/>
  <c r="BE58" i="14" s="1"/>
  <c r="BF58" i="14" s="1"/>
  <c r="BG58" i="14" s="1"/>
  <c r="BC158" i="14"/>
  <c r="BB70" i="14"/>
  <c r="BE273" i="14"/>
  <c r="BD283" i="14"/>
  <c r="BC67" i="14"/>
  <c r="BD67" i="14" s="1"/>
  <c r="BE67" i="14" s="1"/>
  <c r="BF67" i="14" s="1"/>
  <c r="BG67" i="14" s="1"/>
  <c r="BH67" i="14" s="1"/>
  <c r="BI67" i="14" s="1"/>
  <c r="BJ67" i="14" s="1"/>
  <c r="BC94" i="14"/>
  <c r="BD94" i="14" s="1"/>
  <c r="BE94" i="14" s="1"/>
  <c r="BF94" i="14" s="1"/>
  <c r="BG94" i="14" s="1"/>
  <c r="BH94" i="14" s="1"/>
  <c r="BI94" i="14" s="1"/>
  <c r="BJ94" i="14" s="1"/>
  <c r="BC65" i="14"/>
  <c r="BD65" i="14" s="1"/>
  <c r="BE65" i="14" s="1"/>
  <c r="BF65" i="14" s="1"/>
  <c r="BG65" i="14" s="1"/>
  <c r="BH65" i="14" s="1"/>
  <c r="BI65" i="14" s="1"/>
  <c r="BJ65" i="14" s="1"/>
  <c r="BC61" i="14"/>
  <c r="BC42" i="14"/>
  <c r="BD42" i="14" s="1"/>
  <c r="BE42" i="14" s="1"/>
  <c r="BF42" i="14" s="1"/>
  <c r="BG42" i="14" s="1"/>
  <c r="BH42" i="14" s="1"/>
  <c r="BI42" i="14" s="1"/>
  <c r="BJ42" i="14" s="1"/>
  <c r="BJ195" i="14"/>
  <c r="AV259" i="14"/>
  <c r="AV278" i="14"/>
  <c r="BC104" i="14"/>
  <c r="BD104" i="14" s="1"/>
  <c r="BE104" i="14" s="1"/>
  <c r="BF104" i="14" s="1"/>
  <c r="BG104" i="14" s="1"/>
  <c r="BH104" i="14" s="1"/>
  <c r="BI104" i="14" s="1"/>
  <c r="BJ104" i="14" s="1"/>
  <c r="BB157" i="14"/>
  <c r="BB100" i="14"/>
  <c r="BB175" i="14" s="1"/>
  <c r="BC172" i="14"/>
  <c r="BD172" i="14" s="1"/>
  <c r="AX259" i="14"/>
  <c r="AX278" i="14"/>
  <c r="AK267" i="14"/>
  <c r="AO267" i="14" s="1"/>
  <c r="BE77" i="14"/>
  <c r="BE151" i="14" s="1"/>
  <c r="BD151" i="14"/>
  <c r="BI301" i="14"/>
  <c r="BH264" i="14"/>
  <c r="AM82" i="14"/>
  <c r="BB81" i="14"/>
  <c r="BB15" i="14"/>
  <c r="BB31" i="14"/>
  <c r="BA384" i="13"/>
  <c r="AY397" i="13"/>
  <c r="AV202" i="13"/>
  <c r="AL210" i="13"/>
  <c r="AW186" i="13"/>
  <c r="AW201" i="13" s="1"/>
  <c r="AW202" i="13" s="1"/>
  <c r="AW449" i="13"/>
  <c r="BP138" i="3"/>
  <c r="BP111" i="3"/>
  <c r="BP140" i="3"/>
  <c r="BP113" i="3"/>
  <c r="BP134" i="3"/>
  <c r="BP107" i="3"/>
  <c r="AY425" i="13"/>
  <c r="AY412" i="13"/>
  <c r="AY335" i="13"/>
  <c r="AY470" i="13"/>
  <c r="AX304" i="13"/>
  <c r="AY414" i="13"/>
  <c r="AY669" i="13"/>
  <c r="AY571" i="13"/>
  <c r="AE508" i="13"/>
  <c r="AY439" i="13"/>
  <c r="AY440" i="13"/>
  <c r="AY574" i="13"/>
  <c r="AY411" i="13"/>
  <c r="AY420" i="13"/>
  <c r="AY424" i="13"/>
  <c r="AY572" i="13"/>
  <c r="AZ572" i="13" s="1"/>
  <c r="BA572" i="13" s="1"/>
  <c r="BB572" i="13" s="1"/>
  <c r="BC572" i="13" s="1"/>
  <c r="AY670" i="13"/>
  <c r="AY426" i="13"/>
  <c r="AY423" i="13"/>
  <c r="AY668" i="13"/>
  <c r="AG508" i="13"/>
  <c r="AH508" i="13"/>
  <c r="AY322" i="13"/>
  <c r="AY438" i="13"/>
  <c r="AY665" i="13"/>
  <c r="AI508" i="13"/>
  <c r="AY416" i="13"/>
  <c r="AY413" i="13"/>
  <c r="AG34" i="3"/>
  <c r="BI262" i="14"/>
  <c r="BQ40" i="3"/>
  <c r="BH58" i="14"/>
  <c r="BI256" i="14"/>
  <c r="BQ34" i="3"/>
  <c r="BH244" i="14"/>
  <c r="BF37" i="14"/>
  <c r="BF135" i="14" s="1"/>
  <c r="BQ38" i="3"/>
  <c r="AD76" i="3"/>
  <c r="AD75" i="3"/>
  <c r="AD77" i="3"/>
  <c r="AL73" i="14"/>
  <c r="AL74" i="14" s="1"/>
  <c r="AY280" i="13"/>
  <c r="AY366" i="13"/>
  <c r="AH88" i="13"/>
  <c r="AY469" i="13"/>
  <c r="AY324" i="13" s="1"/>
  <c r="AM69" i="14"/>
  <c r="AB109" i="13"/>
  <c r="AB186" i="13"/>
  <c r="AB209" i="13" s="1"/>
  <c r="AG427" i="13"/>
  <c r="AO381" i="13"/>
  <c r="AJ104" i="13"/>
  <c r="AF108" i="13"/>
  <c r="X201" i="13"/>
  <c r="X209" i="13"/>
  <c r="X189" i="13"/>
  <c r="Y191" i="13" s="1"/>
  <c r="X188" i="13"/>
  <c r="X187" i="13"/>
  <c r="X77" i="13"/>
  <c r="X76" i="13"/>
  <c r="AC441" i="13"/>
  <c r="AG441" i="13"/>
  <c r="AG88" i="13"/>
  <c r="BA385" i="13"/>
  <c r="AD427" i="13"/>
  <c r="AP210" i="13"/>
  <c r="AX88" i="13"/>
  <c r="BC65" i="13"/>
  <c r="BC69" i="13"/>
  <c r="BC44" i="13"/>
  <c r="BC46" i="13" s="1"/>
  <c r="AO139" i="14"/>
  <c r="AP152" i="14"/>
  <c r="AP151" i="14" s="1"/>
  <c r="AO151" i="14"/>
  <c r="BC151" i="14" s="1"/>
  <c r="AM14" i="14"/>
  <c r="AM31" i="14"/>
  <c r="AM32" i="14" s="1"/>
  <c r="AJ74" i="14"/>
  <c r="AI49" i="14"/>
  <c r="AI35" i="14"/>
  <c r="AM53" i="14"/>
  <c r="AN101" i="14"/>
  <c r="AM100" i="14"/>
  <c r="AK39" i="14"/>
  <c r="AJ138" i="14"/>
  <c r="AJ34" i="14"/>
  <c r="AN80" i="14"/>
  <c r="AN82" i="14" s="1"/>
  <c r="AN13" i="14"/>
  <c r="AU295" i="14"/>
  <c r="AW162" i="14"/>
  <c r="AX162" i="14"/>
  <c r="AV162" i="14"/>
  <c r="W125" i="14"/>
  <c r="AX124" i="14"/>
  <c r="AV292" i="14"/>
  <c r="S167" i="14"/>
  <c r="W167" i="14"/>
  <c r="AY110" i="14"/>
  <c r="AY118" i="14"/>
  <c r="AY111" i="14"/>
  <c r="AZ111" i="14"/>
  <c r="AX295" i="14"/>
  <c r="S299" i="14"/>
  <c r="AA232" i="14"/>
  <c r="AA241" i="14"/>
  <c r="AA243" i="14"/>
  <c r="AA238" i="14"/>
  <c r="AA230" i="14"/>
  <c r="AA236" i="14"/>
  <c r="AX292" i="14"/>
  <c r="S199" i="14"/>
  <c r="S205" i="14" s="1"/>
  <c r="S206" i="14" s="1"/>
  <c r="AH124" i="14"/>
  <c r="AH109" i="14"/>
  <c r="AH111" i="14" s="1"/>
  <c r="AH85" i="14"/>
  <c r="X267" i="14"/>
  <c r="X226" i="14"/>
  <c r="X184" i="14"/>
  <c r="X119" i="14"/>
  <c r="AB241" i="14"/>
  <c r="AB230" i="14"/>
  <c r="AB238" i="14"/>
  <c r="AB243" i="14"/>
  <c r="AB232" i="14"/>
  <c r="AB236" i="14"/>
  <c r="AC241" i="14"/>
  <c r="AG241" i="14" s="1"/>
  <c r="AC238" i="14"/>
  <c r="AG238" i="14" s="1"/>
  <c r="AC230" i="14"/>
  <c r="AC243" i="14"/>
  <c r="AG243" i="14" s="1"/>
  <c r="AC232" i="14"/>
  <c r="AC236" i="14"/>
  <c r="Y226" i="14"/>
  <c r="Y184" i="14"/>
  <c r="Y119" i="14"/>
  <c r="Y267" i="14"/>
  <c r="AU299" i="14"/>
  <c r="G302" i="14"/>
  <c r="AY163" i="14"/>
  <c r="AY159" i="14"/>
  <c r="AY162" i="14"/>
  <c r="Z226" i="14"/>
  <c r="Z249" i="14" s="1"/>
  <c r="Z184" i="14"/>
  <c r="Z119" i="14"/>
  <c r="AD119" i="14"/>
  <c r="AG85" i="14"/>
  <c r="AG124" i="14"/>
  <c r="AG109" i="14"/>
  <c r="AG111" i="14" s="1"/>
  <c r="AE226" i="14"/>
  <c r="AE249" i="14" s="1"/>
  <c r="AE119" i="14"/>
  <c r="AE267" i="14"/>
  <c r="AI267" i="14" s="1"/>
  <c r="AM267" i="14" s="1"/>
  <c r="V199" i="14"/>
  <c r="V205" i="14" s="1"/>
  <c r="V206" i="14" s="1"/>
  <c r="V207" i="14" s="1"/>
  <c r="V293" i="14"/>
  <c r="AW295" i="14"/>
  <c r="AD233" i="14"/>
  <c r="AD246" i="14"/>
  <c r="BA50" i="14"/>
  <c r="BA84" i="14"/>
  <c r="BA85" i="14" s="1"/>
  <c r="AW299" i="14"/>
  <c r="O302" i="14"/>
  <c r="AZ125" i="14"/>
  <c r="AF192" i="14"/>
  <c r="AF193" i="14" s="1"/>
  <c r="AF258" i="14"/>
  <c r="AF295" i="14" s="1"/>
  <c r="AV295" i="14"/>
  <c r="K299" i="14"/>
  <c r="AT401" i="13"/>
  <c r="AT428" i="13"/>
  <c r="AT429" i="13"/>
  <c r="Y51" i="13"/>
  <c r="Y50" i="13"/>
  <c r="Y52" i="13"/>
  <c r="Y96" i="13"/>
  <c r="Y99" i="13" s="1"/>
  <c r="W494" i="13"/>
  <c r="W472" i="13"/>
  <c r="W445" i="13"/>
  <c r="W398" i="13"/>
  <c r="W400" i="13"/>
  <c r="W351" i="13"/>
  <c r="AV225" i="13"/>
  <c r="AV209" i="13"/>
  <c r="AT476" i="13"/>
  <c r="AT448" i="13"/>
  <c r="AT407" i="13"/>
  <c r="AD429" i="13"/>
  <c r="AD428" i="13"/>
  <c r="AD401" i="13"/>
  <c r="AD362" i="13"/>
  <c r="Z429" i="13"/>
  <c r="Z428" i="13"/>
  <c r="Z362" i="13"/>
  <c r="N498" i="13"/>
  <c r="N477" i="13"/>
  <c r="N450" i="13"/>
  <c r="K678" i="13"/>
  <c r="N679" i="13"/>
  <c r="M679" i="13"/>
  <c r="O675" i="13"/>
  <c r="L679" i="13"/>
  <c r="K679" i="13"/>
  <c r="L474" i="13"/>
  <c r="Z272" i="13"/>
  <c r="Z264" i="13"/>
  <c r="Z265" i="13"/>
  <c r="AB225" i="13"/>
  <c r="AB226" i="13" s="1"/>
  <c r="U292" i="13"/>
  <c r="U293" i="13" s="1"/>
  <c r="U301" i="13"/>
  <c r="AD493" i="13"/>
  <c r="AD471" i="13"/>
  <c r="AD444" i="13"/>
  <c r="AE493" i="13"/>
  <c r="AH471" i="13"/>
  <c r="AP216" i="13"/>
  <c r="AA429" i="13"/>
  <c r="AA428" i="13"/>
  <c r="AA362" i="13"/>
  <c r="AX351" i="13"/>
  <c r="AL89" i="13"/>
  <c r="AL90" i="13"/>
  <c r="AL31" i="13"/>
  <c r="AP30" i="13"/>
  <c r="AN90" i="13"/>
  <c r="AN89" i="13"/>
  <c r="AN31" i="13"/>
  <c r="AB50" i="13"/>
  <c r="AB52" i="13"/>
  <c r="AB51" i="13"/>
  <c r="Y441" i="13"/>
  <c r="BB311" i="13"/>
  <c r="BB307" i="13"/>
  <c r="AB77" i="13"/>
  <c r="AB76" i="13"/>
  <c r="AH428" i="13"/>
  <c r="AH429" i="13"/>
  <c r="AH401" i="13"/>
  <c r="AH362" i="13"/>
  <c r="AI495" i="13" s="1"/>
  <c r="AV203" i="13"/>
  <c r="S204" i="13"/>
  <c r="W205" i="13"/>
  <c r="K372" i="13"/>
  <c r="AX105" i="13"/>
  <c r="AX12" i="13"/>
  <c r="AY444" i="13"/>
  <c r="AP353" i="13"/>
  <c r="BA360" i="13"/>
  <c r="AX445" i="13"/>
  <c r="AX399" i="13"/>
  <c r="AX400" i="13"/>
  <c r="AX398" i="13"/>
  <c r="AC95" i="13"/>
  <c r="AC45" i="13"/>
  <c r="AC47" i="13"/>
  <c r="AC53" i="13"/>
  <c r="AC46" i="13"/>
  <c r="AC48" i="13"/>
  <c r="BA212" i="13"/>
  <c r="AI119" i="13"/>
  <c r="AM116" i="13"/>
  <c r="BA173" i="13"/>
  <c r="BB172" i="13"/>
  <c r="N497" i="13"/>
  <c r="N476" i="13"/>
  <c r="N448" i="13"/>
  <c r="N399" i="13"/>
  <c r="N449" i="13" s="1"/>
  <c r="N407" i="13"/>
  <c r="V294" i="13"/>
  <c r="V288" i="13" s="1"/>
  <c r="V274" i="13"/>
  <c r="V273" i="13"/>
  <c r="AD86" i="13"/>
  <c r="AD85" i="13"/>
  <c r="AD97" i="13" s="1"/>
  <c r="AD17" i="13"/>
  <c r="AD39" i="13"/>
  <c r="AD49" i="13" s="1"/>
  <c r="AE50" i="13" s="1"/>
  <c r="AD21" i="13"/>
  <c r="AD18" i="13"/>
  <c r="AD23" i="13"/>
  <c r="AD16" i="13"/>
  <c r="AD35" i="13"/>
  <c r="AE17" i="13"/>
  <c r="AW97" i="13"/>
  <c r="AX97" i="13"/>
  <c r="AG296" i="13"/>
  <c r="V581" i="13"/>
  <c r="V495" i="13"/>
  <c r="V446" i="13"/>
  <c r="V364" i="13"/>
  <c r="V368" i="13" s="1"/>
  <c r="V403" i="13"/>
  <c r="V401" i="13"/>
  <c r="AG263" i="13"/>
  <c r="AK266" i="13"/>
  <c r="AG267" i="13"/>
  <c r="AD433" i="13"/>
  <c r="AD432" i="13"/>
  <c r="AD435" i="13"/>
  <c r="AD431" i="13"/>
  <c r="AD441" i="13"/>
  <c r="AW669" i="13"/>
  <c r="AW665" i="13"/>
  <c r="AW670" i="13"/>
  <c r="AW668" i="13"/>
  <c r="AW469" i="13"/>
  <c r="AW324" i="13" s="1"/>
  <c r="AW470" i="13"/>
  <c r="AW335" i="13"/>
  <c r="AW426" i="13"/>
  <c r="AW571" i="13"/>
  <c r="AW413" i="13"/>
  <c r="AW440" i="13"/>
  <c r="AW416" i="13"/>
  <c r="AW437" i="13"/>
  <c r="AW447" i="13" s="1"/>
  <c r="AW438" i="13"/>
  <c r="AW423" i="13"/>
  <c r="AW439" i="13"/>
  <c r="AW420" i="13"/>
  <c r="AW572" i="13"/>
  <c r="AW574" i="13"/>
  <c r="AW414" i="13"/>
  <c r="AW418" i="13"/>
  <c r="AW419" i="13"/>
  <c r="AW415" i="13"/>
  <c r="AW424" i="13"/>
  <c r="AW425" i="13"/>
  <c r="AW412" i="13"/>
  <c r="AW126" i="13"/>
  <c r="AW322" i="13"/>
  <c r="Z508" i="13"/>
  <c r="AW417" i="13"/>
  <c r="W508" i="13"/>
  <c r="AW334" i="13"/>
  <c r="AW48" i="13"/>
  <c r="X508" i="13"/>
  <c r="AW411" i="13"/>
  <c r="AW209" i="13"/>
  <c r="AX669" i="13"/>
  <c r="AX665" i="13"/>
  <c r="AX668" i="13"/>
  <c r="AX470" i="13"/>
  <c r="AX469" i="13"/>
  <c r="AX324" i="13" s="1"/>
  <c r="AX335" i="13"/>
  <c r="AX572" i="13"/>
  <c r="AX574" i="13"/>
  <c r="AX416" i="13"/>
  <c r="AX420" i="13"/>
  <c r="AX413" i="13"/>
  <c r="AX414" i="13"/>
  <c r="AX322" i="13"/>
  <c r="AX419" i="13"/>
  <c r="AX438" i="13"/>
  <c r="AX437" i="13"/>
  <c r="AX447" i="13" s="1"/>
  <c r="AX425" i="13"/>
  <c r="AX423" i="13"/>
  <c r="AX670" i="13"/>
  <c r="AX415" i="13"/>
  <c r="AX426" i="13"/>
  <c r="AX418" i="13"/>
  <c r="AX424" i="13"/>
  <c r="AX439" i="13"/>
  <c r="AX440" i="13"/>
  <c r="AX571" i="13"/>
  <c r="AX412" i="13"/>
  <c r="AB508" i="13"/>
  <c r="AX417" i="13"/>
  <c r="AA508" i="13"/>
  <c r="AX411" i="13"/>
  <c r="AC189" i="13"/>
  <c r="AC187" i="13"/>
  <c r="AC201" i="13"/>
  <c r="M581" i="13"/>
  <c r="M495" i="13"/>
  <c r="M473" i="13"/>
  <c r="M446" i="13"/>
  <c r="M364" i="13"/>
  <c r="M403" i="13"/>
  <c r="M401" i="13"/>
  <c r="AV472" i="13"/>
  <c r="AV445" i="13"/>
  <c r="AV398" i="13"/>
  <c r="AN270" i="13"/>
  <c r="AI75" i="13"/>
  <c r="AI41" i="13"/>
  <c r="AU472" i="13"/>
  <c r="AU445" i="13"/>
  <c r="AU398" i="13"/>
  <c r="P429" i="13"/>
  <c r="P428" i="13"/>
  <c r="P362" i="13"/>
  <c r="BC310" i="13"/>
  <c r="AN58" i="13"/>
  <c r="AO57" i="13"/>
  <c r="AN60" i="13"/>
  <c r="AN68" i="13"/>
  <c r="AB294" i="13"/>
  <c r="AB288" i="13" s="1"/>
  <c r="AB274" i="13"/>
  <c r="AV51" i="13"/>
  <c r="AV52" i="13"/>
  <c r="AV96" i="13"/>
  <c r="AG429" i="13"/>
  <c r="AG428" i="13"/>
  <c r="AG362" i="13"/>
  <c r="AG401" i="13"/>
  <c r="N428" i="13"/>
  <c r="N429" i="13"/>
  <c r="N362" i="13"/>
  <c r="AT362" i="13" s="1"/>
  <c r="AO278" i="13"/>
  <c r="AK300" i="13"/>
  <c r="AK279" i="13"/>
  <c r="AD95" i="13"/>
  <c r="AD98" i="13" s="1"/>
  <c r="AD45" i="13"/>
  <c r="AD47" i="13"/>
  <c r="AD53" i="13"/>
  <c r="AD46" i="13"/>
  <c r="AD48" i="13"/>
  <c r="AE120" i="13"/>
  <c r="AE122" i="13"/>
  <c r="BA176" i="13"/>
  <c r="AD267" i="13"/>
  <c r="AD263" i="13"/>
  <c r="AH266" i="13"/>
  <c r="AV294" i="13"/>
  <c r="AJ397" i="13"/>
  <c r="AK397" i="13" s="1"/>
  <c r="AL397" i="13" s="1"/>
  <c r="AM397" i="13" s="1"/>
  <c r="AJ366" i="13"/>
  <c r="AK366" i="13" s="1"/>
  <c r="AL366" i="13" s="1"/>
  <c r="AM366" i="13" s="1"/>
  <c r="W191" i="13"/>
  <c r="W190" i="13"/>
  <c r="W114" i="13"/>
  <c r="AC508" i="13"/>
  <c r="AE77" i="13"/>
  <c r="AC429" i="13"/>
  <c r="AC428" i="13"/>
  <c r="AC401" i="13"/>
  <c r="AC362" i="13"/>
  <c r="Y237" i="13"/>
  <c r="Y239" i="13"/>
  <c r="Y242" i="13"/>
  <c r="Y240" i="13"/>
  <c r="AA472" i="13"/>
  <c r="Z189" i="13"/>
  <c r="Z187" i="13"/>
  <c r="Z188" i="13"/>
  <c r="Z201" i="13"/>
  <c r="Z209" i="13"/>
  <c r="AJ88" i="13"/>
  <c r="AB95" i="13"/>
  <c r="AB98" i="13" s="1"/>
  <c r="AB48" i="13"/>
  <c r="AB45" i="13"/>
  <c r="AE44" i="13"/>
  <c r="AF44" i="13" s="1"/>
  <c r="AB47" i="13"/>
  <c r="AB53" i="13"/>
  <c r="AB46" i="13"/>
  <c r="AX44" i="13"/>
  <c r="BB254" i="13"/>
  <c r="BA329" i="13"/>
  <c r="BA382" i="13" s="1"/>
  <c r="Y493" i="13"/>
  <c r="Y471" i="13"/>
  <c r="Y444" i="13"/>
  <c r="Y345" i="13"/>
  <c r="AW345" i="13" s="1"/>
  <c r="Z493" i="13"/>
  <c r="S429" i="13"/>
  <c r="S428" i="13"/>
  <c r="S362" i="13"/>
  <c r="AV351" i="13"/>
  <c r="AI49" i="13"/>
  <c r="O429" i="13"/>
  <c r="O428" i="13"/>
  <c r="O362" i="13"/>
  <c r="AU351" i="13"/>
  <c r="P497" i="13"/>
  <c r="P476" i="13"/>
  <c r="P448" i="13"/>
  <c r="P399" i="13"/>
  <c r="P449" i="13" s="1"/>
  <c r="P407" i="13"/>
  <c r="T476" i="13"/>
  <c r="AJ483" i="13"/>
  <c r="AJ455" i="13"/>
  <c r="AJ85" i="13"/>
  <c r="AJ97" i="13" s="1"/>
  <c r="AJ167" i="13"/>
  <c r="AJ36" i="13"/>
  <c r="Y190" i="13"/>
  <c r="Y114" i="13"/>
  <c r="AW75" i="13"/>
  <c r="AW77" i="13" s="1"/>
  <c r="AW42" i="13"/>
  <c r="AW41" i="13"/>
  <c r="AW95" i="13"/>
  <c r="BA219" i="13"/>
  <c r="T292" i="13"/>
  <c r="T301" i="13"/>
  <c r="AV288" i="13"/>
  <c r="AV301" i="13" s="1"/>
  <c r="AD116" i="13"/>
  <c r="AX116" i="13" s="1"/>
  <c r="AX117" i="13" s="1"/>
  <c r="AC117" i="13"/>
  <c r="AG116" i="13"/>
  <c r="AC119" i="13"/>
  <c r="AG109" i="13"/>
  <c r="AG186" i="13"/>
  <c r="AG86" i="13"/>
  <c r="AG21" i="13"/>
  <c r="AG18" i="13"/>
  <c r="AG85" i="13"/>
  <c r="AG97" i="13" s="1"/>
  <c r="AG17" i="13"/>
  <c r="AG39" i="13"/>
  <c r="AG49" i="13" s="1"/>
  <c r="AG16" i="13"/>
  <c r="Z98" i="13"/>
  <c r="AD186" i="13"/>
  <c r="AD109" i="13"/>
  <c r="AM86" i="13"/>
  <c r="AM39" i="13"/>
  <c r="AM16" i="13"/>
  <c r="AM18" i="13"/>
  <c r="AC210" i="13"/>
  <c r="AC208" i="13" s="1"/>
  <c r="AN299" i="13"/>
  <c r="AN295" i="13" s="1"/>
  <c r="AN277" i="13"/>
  <c r="AO275" i="13"/>
  <c r="AT400" i="13"/>
  <c r="AA96" i="13"/>
  <c r="AA99" i="13" s="1"/>
  <c r="AA55" i="13"/>
  <c r="AA54" i="13"/>
  <c r="AA56" i="13"/>
  <c r="AZ220" i="13"/>
  <c r="S497" i="13"/>
  <c r="S476" i="13"/>
  <c r="S448" i="13"/>
  <c r="S407" i="13"/>
  <c r="AV407" i="13" s="1"/>
  <c r="S399" i="13"/>
  <c r="T497" i="13"/>
  <c r="O498" i="13"/>
  <c r="O450" i="13"/>
  <c r="O477" i="13"/>
  <c r="AU400" i="13"/>
  <c r="P498" i="13"/>
  <c r="P477" i="13"/>
  <c r="P450" i="13"/>
  <c r="T477" i="13"/>
  <c r="AS405" i="13"/>
  <c r="AS406" i="13"/>
  <c r="AS409" i="13" s="1"/>
  <c r="AS479" i="13" s="1"/>
  <c r="AE432" i="13"/>
  <c r="AE435" i="13"/>
  <c r="AE431" i="13"/>
  <c r="AE433" i="13"/>
  <c r="AY344" i="13"/>
  <c r="AV272" i="13"/>
  <c r="AW230" i="13"/>
  <c r="AW228" i="13"/>
  <c r="AW231" i="13"/>
  <c r="Z434" i="13"/>
  <c r="Z433" i="13"/>
  <c r="Z432" i="13"/>
  <c r="Z435" i="13"/>
  <c r="Z431" i="13"/>
  <c r="AW51" i="13"/>
  <c r="AW52" i="13"/>
  <c r="AC264" i="13"/>
  <c r="AC265" i="13"/>
  <c r="AC272" i="13"/>
  <c r="BC458" i="13"/>
  <c r="BC93" i="13"/>
  <c r="M449" i="13"/>
  <c r="AT399" i="13"/>
  <c r="AT449" i="13" s="1"/>
  <c r="AY174" i="13"/>
  <c r="AG213" i="13"/>
  <c r="AK174" i="13"/>
  <c r="AG182" i="13"/>
  <c r="AG166" i="13"/>
  <c r="AG464" i="13" s="1"/>
  <c r="AG493" i="13"/>
  <c r="AG471" i="13"/>
  <c r="AG444" i="13"/>
  <c r="AH493" i="13"/>
  <c r="AK89" i="13"/>
  <c r="AK90" i="13"/>
  <c r="AO30" i="13"/>
  <c r="AK31" i="13"/>
  <c r="AZ30" i="13"/>
  <c r="AV265" i="13"/>
  <c r="AN381" i="13"/>
  <c r="BA383" i="13"/>
  <c r="AE266" i="13"/>
  <c r="AA267" i="13"/>
  <c r="AX266" i="13"/>
  <c r="AX268" i="13" s="1"/>
  <c r="AA263" i="13"/>
  <c r="AB267" i="13"/>
  <c r="Y76" i="13"/>
  <c r="Y77" i="13"/>
  <c r="Q429" i="13"/>
  <c r="Q428" i="13"/>
  <c r="Q362" i="13"/>
  <c r="U473" i="13" s="1"/>
  <c r="R429" i="13"/>
  <c r="R428" i="13"/>
  <c r="R362" i="13"/>
  <c r="AE51" i="13"/>
  <c r="AE52" i="13"/>
  <c r="T451" i="13"/>
  <c r="T408" i="13"/>
  <c r="T402" i="13"/>
  <c r="T442" i="13" s="1"/>
  <c r="AF118" i="13"/>
  <c r="AF119" i="13"/>
  <c r="AJ116" i="13"/>
  <c r="AK106" i="13"/>
  <c r="AO104" i="13"/>
  <c r="AK108" i="13"/>
  <c r="AP381" i="13"/>
  <c r="W291" i="13"/>
  <c r="X289" i="13"/>
  <c r="X292" i="13" s="1"/>
  <c r="X293" i="13" s="1"/>
  <c r="AC427" i="13"/>
  <c r="AH106" i="13"/>
  <c r="AL104" i="13"/>
  <c r="AH108" i="13"/>
  <c r="AD210" i="13"/>
  <c r="AD208" i="13" s="1"/>
  <c r="AJ86" i="13"/>
  <c r="AJ17" i="13"/>
  <c r="AJ39" i="13"/>
  <c r="AJ16" i="13"/>
  <c r="AJ18" i="13"/>
  <c r="AM31" i="13"/>
  <c r="Y427" i="13"/>
  <c r="S498" i="13"/>
  <c r="S477" i="13"/>
  <c r="S450" i="13"/>
  <c r="AV400" i="13"/>
  <c r="T498" i="13"/>
  <c r="O497" i="13"/>
  <c r="O476" i="13"/>
  <c r="O448" i="13"/>
  <c r="O399" i="13"/>
  <c r="O407" i="13"/>
  <c r="Z50" i="13"/>
  <c r="Z52" i="13"/>
  <c r="Z51" i="13"/>
  <c r="AA50" i="13"/>
  <c r="V99" i="13"/>
  <c r="W99" i="13"/>
  <c r="AC40" i="13"/>
  <c r="AC75" i="13"/>
  <c r="AC41" i="13"/>
  <c r="AS375" i="13"/>
  <c r="AS474" i="13" s="1"/>
  <c r="AS376" i="13"/>
  <c r="AS374" i="13"/>
  <c r="X301" i="13"/>
  <c r="X297" i="13"/>
  <c r="AE429" i="13"/>
  <c r="AE428" i="13"/>
  <c r="AE401" i="13"/>
  <c r="AE362" i="13"/>
  <c r="AF265" i="13"/>
  <c r="AF272" i="13"/>
  <c r="AF51" i="13"/>
  <c r="AF50" i="13"/>
  <c r="AF52" i="13"/>
  <c r="AG433" i="13"/>
  <c r="AG432" i="13"/>
  <c r="AG431" i="13"/>
  <c r="AG435" i="13"/>
  <c r="K405" i="13"/>
  <c r="K500" i="13" s="1"/>
  <c r="K406" i="13"/>
  <c r="K409" i="13" s="1"/>
  <c r="K479" i="13" s="1"/>
  <c r="AK270" i="13"/>
  <c r="AO269" i="13"/>
  <c r="AO270" i="13" s="1"/>
  <c r="AF435" i="13"/>
  <c r="AF431" i="13"/>
  <c r="AF433" i="13"/>
  <c r="AF432" i="13"/>
  <c r="V204" i="13"/>
  <c r="Z205" i="13"/>
  <c r="Q497" i="13"/>
  <c r="Q476" i="13"/>
  <c r="Q448" i="13"/>
  <c r="Q399" i="13"/>
  <c r="Q449" i="13" s="1"/>
  <c r="Q407" i="13"/>
  <c r="R497" i="13"/>
  <c r="R476" i="13"/>
  <c r="R448" i="13"/>
  <c r="R399" i="13"/>
  <c r="R449" i="13" s="1"/>
  <c r="R407" i="13"/>
  <c r="AA186" i="13"/>
  <c r="AA109" i="13"/>
  <c r="AV190" i="13"/>
  <c r="AV13" i="13"/>
  <c r="AV11" i="13" s="1"/>
  <c r="AV9" i="13" s="1"/>
  <c r="T372" i="13"/>
  <c r="T404" i="13"/>
  <c r="AB122" i="13"/>
  <c r="AB121" i="13"/>
  <c r="AB120" i="13"/>
  <c r="AV289" i="13"/>
  <c r="AK87" i="13"/>
  <c r="AK15" i="13"/>
  <c r="AO23" i="13"/>
  <c r="AK24" i="13"/>
  <c r="AD508" i="13"/>
  <c r="AO379" i="13"/>
  <c r="AN378" i="13"/>
  <c r="Q111" i="13"/>
  <c r="Q112" i="13"/>
  <c r="AM88" i="13"/>
  <c r="AW96" i="13"/>
  <c r="AC49" i="13"/>
  <c r="AB434" i="13"/>
  <c r="AB433" i="13"/>
  <c r="AB435" i="13"/>
  <c r="AB431" i="13"/>
  <c r="AB432" i="13"/>
  <c r="X298" i="13"/>
  <c r="AY472" i="13"/>
  <c r="AY445" i="13"/>
  <c r="AY400" i="13"/>
  <c r="AY398" i="13"/>
  <c r="AY351" i="13"/>
  <c r="AY399" i="13"/>
  <c r="AC433" i="13"/>
  <c r="AC432" i="13"/>
  <c r="AC435" i="13"/>
  <c r="AC431" i="13"/>
  <c r="Y294" i="13"/>
  <c r="Y288" i="13" s="1"/>
  <c r="Y274" i="13"/>
  <c r="Y273" i="13"/>
  <c r="AH300" i="13"/>
  <c r="AH296" i="13" s="1"/>
  <c r="AL278" i="13"/>
  <c r="AH279" i="13"/>
  <c r="AI279" i="13"/>
  <c r="W265" i="13"/>
  <c r="W272" i="13"/>
  <c r="AW263" i="13"/>
  <c r="W264" i="13"/>
  <c r="X264" i="13"/>
  <c r="AW444" i="13"/>
  <c r="AW471" i="13"/>
  <c r="Q498" i="13"/>
  <c r="Q477" i="13"/>
  <c r="Q450" i="13"/>
  <c r="R498" i="13"/>
  <c r="R477" i="13"/>
  <c r="R450" i="13"/>
  <c r="AE106" i="13"/>
  <c r="AI104" i="13"/>
  <c r="AE108" i="13"/>
  <c r="AY104" i="13"/>
  <c r="AF106" i="13"/>
  <c r="AF429" i="13"/>
  <c r="AF428" i="13"/>
  <c r="AF401" i="13"/>
  <c r="AF362" i="13"/>
  <c r="V322" i="13"/>
  <c r="V332" i="13"/>
  <c r="AV321" i="13"/>
  <c r="AV322" i="13" s="1"/>
  <c r="U581" i="13"/>
  <c r="U495" i="13"/>
  <c r="U446" i="13"/>
  <c r="U364" i="13"/>
  <c r="U368" i="13" s="1"/>
  <c r="U403" i="13"/>
  <c r="U401" i="13"/>
  <c r="W204" i="13"/>
  <c r="W202" i="13"/>
  <c r="AC493" i="13"/>
  <c r="AC471" i="13"/>
  <c r="AC444" i="13"/>
  <c r="AX337" i="13"/>
  <c r="AY471" i="13" s="1"/>
  <c r="AI581" i="13"/>
  <c r="AI446" i="13"/>
  <c r="AI403" i="13"/>
  <c r="AI364" i="13"/>
  <c r="AI368" i="13" s="1"/>
  <c r="AI372" i="13" s="1"/>
  <c r="AL269" i="13"/>
  <c r="AM270" i="13" s="1"/>
  <c r="AH270" i="13"/>
  <c r="AY269" i="13"/>
  <c r="AY271" i="13" s="1"/>
  <c r="AM295" i="13"/>
  <c r="AA434" i="13"/>
  <c r="AA433" i="13"/>
  <c r="AA432" i="13"/>
  <c r="AA435" i="13"/>
  <c r="AA431" i="13"/>
  <c r="AX344" i="13"/>
  <c r="AN87" i="13"/>
  <c r="AN15" i="13"/>
  <c r="AN24" i="13"/>
  <c r="S113" i="13"/>
  <c r="T113" i="13" s="1"/>
  <c r="R110" i="13"/>
  <c r="AN266" i="13"/>
  <c r="AJ263" i="13"/>
  <c r="AA98" i="13"/>
  <c r="AF75" i="13"/>
  <c r="AF41" i="13"/>
  <c r="AF40" i="13"/>
  <c r="Y235" i="13"/>
  <c r="Y246" i="13" s="1"/>
  <c r="AB429" i="13"/>
  <c r="AB428" i="13"/>
  <c r="AB401" i="13"/>
  <c r="AB362" i="13"/>
  <c r="X472" i="13"/>
  <c r="X494" i="13"/>
  <c r="X445" i="13"/>
  <c r="X351" i="13"/>
  <c r="Z76" i="13"/>
  <c r="Z77" i="13"/>
  <c r="AA76" i="13"/>
  <c r="AW108" i="13" l="1"/>
  <c r="AW107" i="13" s="1"/>
  <c r="AW187" i="13"/>
  <c r="AX39" i="13"/>
  <c r="AW204" i="13"/>
  <c r="AW235" i="13" s="1"/>
  <c r="BA30" i="13"/>
  <c r="BA90" i="13" s="1"/>
  <c r="AX53" i="13"/>
  <c r="AC188" i="13"/>
  <c r="AZ184" i="14"/>
  <c r="BD41" i="14"/>
  <c r="BE41" i="14" s="1"/>
  <c r="AZ226" i="14"/>
  <c r="AZ232" i="14" s="1"/>
  <c r="AZ233" i="14" s="1"/>
  <c r="AY427" i="13"/>
  <c r="BC152" i="14"/>
  <c r="BC146" i="14"/>
  <c r="AK241" i="14"/>
  <c r="AO241" i="14" s="1"/>
  <c r="AC76" i="3"/>
  <c r="AM174" i="14"/>
  <c r="BB158" i="14"/>
  <c r="BC62" i="14"/>
  <c r="BC56" i="14"/>
  <c r="BF273" i="14"/>
  <c r="BE283" i="14"/>
  <c r="AD247" i="14"/>
  <c r="AD250" i="14"/>
  <c r="AD251" i="14" s="1"/>
  <c r="BD103" i="14"/>
  <c r="BD64" i="14"/>
  <c r="AZ236" i="14"/>
  <c r="AZ241" i="14"/>
  <c r="AZ238" i="14"/>
  <c r="AZ249" i="14"/>
  <c r="AZ243" i="14"/>
  <c r="AZ230" i="14"/>
  <c r="AK243" i="14"/>
  <c r="AO243" i="14" s="1"/>
  <c r="AC77" i="3"/>
  <c r="BD93" i="14"/>
  <c r="BE93" i="14" s="1"/>
  <c r="BF93" i="14" s="1"/>
  <c r="BG93" i="14" s="1"/>
  <c r="BH93" i="14" s="1"/>
  <c r="AK238" i="14"/>
  <c r="AO238" i="14" s="1"/>
  <c r="AC75" i="3"/>
  <c r="BD66" i="14"/>
  <c r="BE172" i="14"/>
  <c r="BF77" i="14"/>
  <c r="BF151" i="14" s="1"/>
  <c r="BJ301" i="14"/>
  <c r="BJ264" i="14" s="1"/>
  <c r="BI264" i="14"/>
  <c r="BB146" i="14"/>
  <c r="BB32" i="14"/>
  <c r="AY441" i="13"/>
  <c r="BA381" i="13"/>
  <c r="BA592" i="13" s="1"/>
  <c r="AW189" i="13"/>
  <c r="Z99" i="13"/>
  <c r="AV297" i="13"/>
  <c r="BQ138" i="3"/>
  <c r="BQ111" i="3"/>
  <c r="BQ107" i="3"/>
  <c r="BQ134" i="3"/>
  <c r="BQ140" i="3"/>
  <c r="BQ113" i="3"/>
  <c r="BI58" i="14"/>
  <c r="BJ262" i="14"/>
  <c r="BS40" i="3" s="1"/>
  <c r="BR40" i="3"/>
  <c r="BG37" i="14"/>
  <c r="BG135" i="14" s="1"/>
  <c r="BS38" i="3"/>
  <c r="BR38" i="3"/>
  <c r="BI244" i="14"/>
  <c r="BJ256" i="14"/>
  <c r="BS34" i="3" s="1"/>
  <c r="BR34" i="3"/>
  <c r="AH34" i="3"/>
  <c r="AM73" i="14"/>
  <c r="AM74" i="14" s="1"/>
  <c r="AX208" i="13"/>
  <c r="AX225" i="13" s="1"/>
  <c r="AN69" i="14"/>
  <c r="X204" i="13"/>
  <c r="X202" i="13"/>
  <c r="AV226" i="13"/>
  <c r="AF186" i="13"/>
  <c r="AF109" i="13"/>
  <c r="AN104" i="13"/>
  <c r="AN108" i="13" s="1"/>
  <c r="AN186" i="13" s="1"/>
  <c r="AJ108" i="13"/>
  <c r="AJ186" i="13" s="1"/>
  <c r="AD434" i="13"/>
  <c r="Y298" i="13"/>
  <c r="AB189" i="13"/>
  <c r="AC191" i="13" s="1"/>
  <c r="AB201" i="13"/>
  <c r="AB187" i="13"/>
  <c r="AU407" i="13"/>
  <c r="X190" i="13"/>
  <c r="X114" i="13"/>
  <c r="X191" i="13"/>
  <c r="AN14" i="14"/>
  <c r="AN31" i="14"/>
  <c r="AN32" i="14" s="1"/>
  <c r="AP80" i="14"/>
  <c r="AO80" i="14"/>
  <c r="AO82" i="14" s="1"/>
  <c r="AO101" i="14"/>
  <c r="AN100" i="14"/>
  <c r="AN174" i="14" s="1"/>
  <c r="AJ49" i="14"/>
  <c r="AJ35" i="14"/>
  <c r="AN53" i="14"/>
  <c r="AL39" i="14"/>
  <c r="BB39" i="14" s="1"/>
  <c r="BB40" i="14" s="1"/>
  <c r="AK138" i="14"/>
  <c r="AK34" i="14"/>
  <c r="AI50" i="14"/>
  <c r="AI84" i="14"/>
  <c r="AP139" i="14"/>
  <c r="AP13" i="14"/>
  <c r="AO13" i="14"/>
  <c r="AV299" i="14"/>
  <c r="K302" i="14"/>
  <c r="AU302" i="14"/>
  <c r="G199" i="14"/>
  <c r="G205" i="14" s="1"/>
  <c r="G206" i="14" s="1"/>
  <c r="AH127" i="14"/>
  <c r="AH125" i="14"/>
  <c r="AA233" i="14"/>
  <c r="AA246" i="14"/>
  <c r="AH118" i="14"/>
  <c r="O199" i="14"/>
  <c r="O205" i="14" s="1"/>
  <c r="O206" i="14" s="1"/>
  <c r="S207" i="14" s="1"/>
  <c r="AW302" i="14"/>
  <c r="BF44" i="3" s="1"/>
  <c r="W207" i="14"/>
  <c r="AX299" i="14"/>
  <c r="S302" i="14"/>
  <c r="AX302" i="14" s="1"/>
  <c r="BG44" i="3" s="1"/>
  <c r="AF259" i="14"/>
  <c r="AC233" i="14"/>
  <c r="AG233" i="14" s="1"/>
  <c r="AC246" i="14"/>
  <c r="BA124" i="14"/>
  <c r="BA109" i="14"/>
  <c r="Z243" i="14"/>
  <c r="Z238" i="14"/>
  <c r="Z232" i="14"/>
  <c r="Z236" i="14"/>
  <c r="Z241" i="14"/>
  <c r="Z230" i="14"/>
  <c r="X230" i="14"/>
  <c r="X243" i="14"/>
  <c r="X238" i="14"/>
  <c r="X232" i="14"/>
  <c r="X236" i="14"/>
  <c r="X241" i="14"/>
  <c r="AG127" i="14"/>
  <c r="AG125" i="14"/>
  <c r="AD192" i="14"/>
  <c r="AD193" i="14" s="1"/>
  <c r="AD258" i="14"/>
  <c r="AE241" i="14"/>
  <c r="AI241" i="14" s="1"/>
  <c r="AM241" i="14" s="1"/>
  <c r="AE243" i="14"/>
  <c r="AI243" i="14" s="1"/>
  <c r="AM243" i="14" s="1"/>
  <c r="AE238" i="14"/>
  <c r="AI238" i="14" s="1"/>
  <c r="AM238" i="14" s="1"/>
  <c r="AE230" i="14"/>
  <c r="AE232" i="14"/>
  <c r="AE236" i="14"/>
  <c r="Y243" i="14"/>
  <c r="Y238" i="14"/>
  <c r="Y232" i="14"/>
  <c r="Y236" i="14"/>
  <c r="Y230" i="14"/>
  <c r="Y241" i="14"/>
  <c r="AB246" i="14"/>
  <c r="AB233" i="14"/>
  <c r="AY226" i="14"/>
  <c r="AY119" i="14"/>
  <c r="AY184" i="14"/>
  <c r="AZ119" i="14"/>
  <c r="AG118" i="14"/>
  <c r="AF95" i="13"/>
  <c r="AF47" i="13"/>
  <c r="AF53" i="13"/>
  <c r="AF46" i="13"/>
  <c r="AF48" i="13"/>
  <c r="AF45" i="13"/>
  <c r="AG44" i="13"/>
  <c r="AA264" i="13"/>
  <c r="AX263" i="13"/>
  <c r="AA265" i="13"/>
  <c r="AA272" i="13"/>
  <c r="AB264" i="13"/>
  <c r="BC172" i="13"/>
  <c r="BC211" i="13" s="1"/>
  <c r="BB211" i="13"/>
  <c r="R112" i="13"/>
  <c r="R111" i="13"/>
  <c r="AI451" i="13"/>
  <c r="AI408" i="13"/>
  <c r="AI402" i="13"/>
  <c r="AI442" i="13" s="1"/>
  <c r="Y301" i="13"/>
  <c r="Y297" i="13"/>
  <c r="AY362" i="13"/>
  <c r="AY401" i="13"/>
  <c r="AY428" i="13"/>
  <c r="AY429" i="13"/>
  <c r="AO87" i="13"/>
  <c r="AO24" i="13"/>
  <c r="AO15" i="13"/>
  <c r="AO35" i="13" s="1"/>
  <c r="T405" i="13"/>
  <c r="T406" i="13"/>
  <c r="T409" i="13" s="1"/>
  <c r="O449" i="13"/>
  <c r="AU399" i="13"/>
  <c r="AL106" i="13"/>
  <c r="AP104" i="13"/>
  <c r="AL108" i="13"/>
  <c r="AO108" i="13"/>
  <c r="AZ32" i="13"/>
  <c r="AZ90" i="13"/>
  <c r="AZ89" i="13"/>
  <c r="AO299" i="13"/>
  <c r="AO277" i="13"/>
  <c r="AP275" i="13"/>
  <c r="AG41" i="13"/>
  <c r="AG75" i="13"/>
  <c r="AG40" i="13"/>
  <c r="T293" i="13"/>
  <c r="S581" i="13"/>
  <c r="S495" i="13"/>
  <c r="S473" i="13"/>
  <c r="S446" i="13"/>
  <c r="S403" i="13"/>
  <c r="S401" i="13"/>
  <c r="S364" i="13"/>
  <c r="T495" i="13"/>
  <c r="Z190" i="13"/>
  <c r="Z191" i="13"/>
  <c r="Z114" i="13"/>
  <c r="AD265" i="13"/>
  <c r="AD272" i="13"/>
  <c r="AD264" i="13"/>
  <c r="AD96" i="13"/>
  <c r="AD54" i="13"/>
  <c r="AD56" i="13"/>
  <c r="AD55" i="13"/>
  <c r="BC311" i="13"/>
  <c r="BC307" i="13"/>
  <c r="AT581" i="13"/>
  <c r="AT610" i="13" s="1"/>
  <c r="AT473" i="13"/>
  <c r="AT446" i="13"/>
  <c r="AC204" i="13"/>
  <c r="AC235" i="13" s="1"/>
  <c r="AC246" i="13" s="1"/>
  <c r="AC202" i="13"/>
  <c r="AO266" i="13"/>
  <c r="AK267" i="13"/>
  <c r="AK263" i="13"/>
  <c r="AX450" i="13"/>
  <c r="AP89" i="13"/>
  <c r="AP31" i="13"/>
  <c r="AP90" i="13"/>
  <c r="W498" i="13"/>
  <c r="W450" i="13"/>
  <c r="W477" i="13"/>
  <c r="AA477" i="13"/>
  <c r="X498" i="13"/>
  <c r="AY475" i="13"/>
  <c r="AY449" i="13"/>
  <c r="AW472" i="13"/>
  <c r="AW445" i="13"/>
  <c r="AW400" i="13"/>
  <c r="AW398" i="13"/>
  <c r="AX476" i="13" s="1"/>
  <c r="AB581" i="13"/>
  <c r="AB495" i="13"/>
  <c r="AB446" i="13"/>
  <c r="AB364" i="13"/>
  <c r="AB368" i="13" s="1"/>
  <c r="AB372" i="13" s="1"/>
  <c r="AB403" i="13"/>
  <c r="U113" i="13"/>
  <c r="T110" i="13"/>
  <c r="AY476" i="13"/>
  <c r="AY448" i="13"/>
  <c r="AY407" i="13"/>
  <c r="AK86" i="13"/>
  <c r="AK17" i="13"/>
  <c r="AK39" i="13"/>
  <c r="AK18" i="13"/>
  <c r="AK16" i="13"/>
  <c r="T374" i="13"/>
  <c r="T375" i="13"/>
  <c r="T376" i="13"/>
  <c r="AE581" i="13"/>
  <c r="AE495" i="13"/>
  <c r="AE473" i="13"/>
  <c r="AE446" i="13"/>
  <c r="AE403" i="13"/>
  <c r="AE364" i="13"/>
  <c r="AE368" i="13" s="1"/>
  <c r="AE372" i="13" s="1"/>
  <c r="AJ75" i="13"/>
  <c r="AJ40" i="13"/>
  <c r="AJ41" i="13"/>
  <c r="Q581" i="13"/>
  <c r="Q495" i="13"/>
  <c r="Q473" i="13"/>
  <c r="Q446" i="13"/>
  <c r="Q364" i="13"/>
  <c r="Q403" i="13"/>
  <c r="U478" i="13" s="1"/>
  <c r="Q401" i="13"/>
  <c r="AC294" i="13"/>
  <c r="AC288" i="13" s="1"/>
  <c r="AC274" i="13"/>
  <c r="AC273" i="13"/>
  <c r="AV302" i="13"/>
  <c r="AV298" i="13"/>
  <c r="AV274" i="13"/>
  <c r="AM75" i="13"/>
  <c r="AM41" i="13"/>
  <c r="AG51" i="13"/>
  <c r="AG50" i="13"/>
  <c r="AG52" i="13"/>
  <c r="BA220" i="13"/>
  <c r="BC254" i="13"/>
  <c r="BC329" i="13" s="1"/>
  <c r="BC382" i="13" s="1"/>
  <c r="BB329" i="13"/>
  <c r="BB382" i="13" s="1"/>
  <c r="AN366" i="13"/>
  <c r="AO366" i="13" s="1"/>
  <c r="AP366" i="13" s="1"/>
  <c r="AO300" i="13"/>
  <c r="AO296" i="13" s="1"/>
  <c r="AO279" i="13"/>
  <c r="AG581" i="13"/>
  <c r="AG495" i="13"/>
  <c r="AG473" i="13"/>
  <c r="AG446" i="13"/>
  <c r="AG364" i="13"/>
  <c r="AG368" i="13" s="1"/>
  <c r="AG372" i="13" s="1"/>
  <c r="AG403" i="13"/>
  <c r="AB297" i="13"/>
  <c r="AB301" i="13"/>
  <c r="AG265" i="13"/>
  <c r="AG272" i="13"/>
  <c r="AG264" i="13"/>
  <c r="AY296" i="13"/>
  <c r="V292" i="13"/>
  <c r="V293" i="13" s="1"/>
  <c r="V301" i="13"/>
  <c r="AX475" i="13"/>
  <c r="AX449" i="13"/>
  <c r="Z294" i="13"/>
  <c r="Z288" i="13" s="1"/>
  <c r="Z274" i="13"/>
  <c r="Z273" i="13"/>
  <c r="M680" i="13"/>
  <c r="Q681" i="13"/>
  <c r="W497" i="13"/>
  <c r="W476" i="13"/>
  <c r="W448" i="13"/>
  <c r="W407" i="13"/>
  <c r="AA476" i="13"/>
  <c r="X497" i="13"/>
  <c r="AW240" i="13"/>
  <c r="AW239" i="13"/>
  <c r="AM104" i="13"/>
  <c r="AI108" i="13"/>
  <c r="AZ104" i="13"/>
  <c r="AI106" i="13"/>
  <c r="AJ106" i="13"/>
  <c r="AD87" i="13"/>
  <c r="AD24" i="13"/>
  <c r="AD25" i="13"/>
  <c r="AH23" i="13"/>
  <c r="AE24" i="13"/>
  <c r="AX23" i="13"/>
  <c r="L680" i="13"/>
  <c r="P681" i="13"/>
  <c r="AF77" i="13"/>
  <c r="AF76" i="13"/>
  <c r="AI473" i="13"/>
  <c r="AC434" i="13"/>
  <c r="AY477" i="13"/>
  <c r="AY450" i="13"/>
  <c r="AJ49" i="13"/>
  <c r="AN116" i="13"/>
  <c r="AN118" i="13" s="1"/>
  <c r="AJ118" i="13"/>
  <c r="AE263" i="13"/>
  <c r="AY266" i="13"/>
  <c r="AI266" i="13"/>
  <c r="AE267" i="13"/>
  <c r="AF267" i="13"/>
  <c r="AO90" i="13"/>
  <c r="AO89" i="13"/>
  <c r="AO31" i="13"/>
  <c r="AY432" i="13"/>
  <c r="AY435" i="13"/>
  <c r="AY433" i="13"/>
  <c r="AY431" i="13"/>
  <c r="S449" i="13"/>
  <c r="AV399" i="13"/>
  <c r="AM49" i="13"/>
  <c r="AC122" i="13"/>
  <c r="AC121" i="13"/>
  <c r="AC120" i="13"/>
  <c r="AU401" i="13"/>
  <c r="AU429" i="13"/>
  <c r="AU428" i="13"/>
  <c r="AX95" i="13"/>
  <c r="AX73" i="13"/>
  <c r="AX74" i="13" s="1"/>
  <c r="AX46" i="13"/>
  <c r="AX48" i="13"/>
  <c r="AX47" i="13"/>
  <c r="AZ366" i="13"/>
  <c r="BB176" i="13"/>
  <c r="BA177" i="13"/>
  <c r="AK296" i="13"/>
  <c r="AB298" i="13"/>
  <c r="P581" i="13"/>
  <c r="P495" i="13"/>
  <c r="P446" i="13"/>
  <c r="P473" i="13"/>
  <c r="P401" i="13"/>
  <c r="P364" i="13"/>
  <c r="P403" i="13"/>
  <c r="T473" i="13"/>
  <c r="M499" i="13"/>
  <c r="M478" i="13"/>
  <c r="M451" i="13"/>
  <c r="M408" i="13"/>
  <c r="M402" i="13"/>
  <c r="M442" i="13" s="1"/>
  <c r="AC190" i="13"/>
  <c r="AC114" i="13"/>
  <c r="AD75" i="13"/>
  <c r="AD41" i="13"/>
  <c r="AD40" i="13"/>
  <c r="AE40" i="13"/>
  <c r="AC96" i="13"/>
  <c r="AC54" i="13"/>
  <c r="AC56" i="13"/>
  <c r="AC55" i="13"/>
  <c r="K374" i="13"/>
  <c r="K375" i="13"/>
  <c r="K376" i="13"/>
  <c r="N680" i="13"/>
  <c r="R681" i="13"/>
  <c r="AD495" i="13"/>
  <c r="AD473" i="13"/>
  <c r="AD581" i="13"/>
  <c r="AD446" i="13"/>
  <c r="AD364" i="13"/>
  <c r="AD368" i="13" s="1"/>
  <c r="AD403" i="13"/>
  <c r="AA187" i="13"/>
  <c r="AA188" i="13"/>
  <c r="AX186" i="13"/>
  <c r="AX209" i="13" s="1"/>
  <c r="AA189" i="13"/>
  <c r="AA201" i="13"/>
  <c r="AB188" i="13"/>
  <c r="AA209" i="13"/>
  <c r="Z581" i="13"/>
  <c r="Z473" i="13"/>
  <c r="Z446" i="13"/>
  <c r="Z364" i="13"/>
  <c r="Z368" i="13" s="1"/>
  <c r="Z372" i="13" s="1"/>
  <c r="Z403" i="13"/>
  <c r="Z401" i="13"/>
  <c r="BA32" i="13"/>
  <c r="AN39" i="13"/>
  <c r="AN49" i="13" s="1"/>
  <c r="AN16" i="13"/>
  <c r="AN86" i="13"/>
  <c r="AN17" i="13"/>
  <c r="AN18" i="13"/>
  <c r="W237" i="13"/>
  <c r="W239" i="13"/>
  <c r="W240" i="13"/>
  <c r="W234" i="13"/>
  <c r="W235" i="13"/>
  <c r="AL300" i="13"/>
  <c r="AZ300" i="13" s="1"/>
  <c r="AP278" i="13"/>
  <c r="AL279" i="13"/>
  <c r="AM279" i="13"/>
  <c r="AC50" i="13"/>
  <c r="AC52" i="13"/>
  <c r="AC51" i="13"/>
  <c r="V237" i="13"/>
  <c r="V236" i="13" s="1"/>
  <c r="V234" i="13"/>
  <c r="V235" i="13"/>
  <c r="AJ119" i="13"/>
  <c r="AF121" i="13"/>
  <c r="AF120" i="13"/>
  <c r="AF122" i="13"/>
  <c r="AK35" i="13"/>
  <c r="AG119" i="13"/>
  <c r="AK116" i="13"/>
  <c r="AG118" i="13"/>
  <c r="S110" i="13"/>
  <c r="O581" i="13"/>
  <c r="O495" i="13"/>
  <c r="O473" i="13"/>
  <c r="O446" i="13"/>
  <c r="O403" i="13"/>
  <c r="O401" i="13"/>
  <c r="O364" i="13"/>
  <c r="AU362" i="13"/>
  <c r="AN397" i="13"/>
  <c r="AO397" i="13" s="1"/>
  <c r="AP397" i="13" s="1"/>
  <c r="BA397" i="13" s="1"/>
  <c r="BB397" i="13" s="1"/>
  <c r="BC397" i="13" s="1"/>
  <c r="AE123" i="13"/>
  <c r="AE124" i="13"/>
  <c r="AI77" i="13"/>
  <c r="M368" i="13"/>
  <c r="M404" i="13"/>
  <c r="V499" i="13"/>
  <c r="V451" i="13"/>
  <c r="V408" i="13"/>
  <c r="V402" i="13"/>
  <c r="V442" i="13" s="1"/>
  <c r="AD52" i="13"/>
  <c r="AD51" i="13"/>
  <c r="AD50" i="13"/>
  <c r="AI120" i="13"/>
  <c r="AI122" i="13"/>
  <c r="AM119" i="13"/>
  <c r="AX472" i="13"/>
  <c r="AY300" i="13"/>
  <c r="AY304" i="13" s="1"/>
  <c r="AI374" i="13"/>
  <c r="AI375" i="13"/>
  <c r="AI404" i="13"/>
  <c r="AI376" i="13"/>
  <c r="AB124" i="13"/>
  <c r="AB123" i="13"/>
  <c r="AB125" i="13"/>
  <c r="AK186" i="13"/>
  <c r="AT477" i="13"/>
  <c r="AT450" i="13"/>
  <c r="AX448" i="13"/>
  <c r="AX407" i="13"/>
  <c r="AA581" i="13"/>
  <c r="AA495" i="13"/>
  <c r="AA446" i="13"/>
  <c r="AA403" i="13"/>
  <c r="AA401" i="13"/>
  <c r="AA364" i="13"/>
  <c r="AA368" i="13" s="1"/>
  <c r="AA372" i="13" s="1"/>
  <c r="V475" i="13"/>
  <c r="V333" i="13"/>
  <c r="AV333" i="13" s="1"/>
  <c r="V334" i="13"/>
  <c r="Z475" i="13"/>
  <c r="AV332" i="13"/>
  <c r="AV334" i="13" s="1"/>
  <c r="AP379" i="13"/>
  <c r="AP378" i="13" s="1"/>
  <c r="AO378" i="13"/>
  <c r="AF294" i="13"/>
  <c r="AF288" i="13" s="1"/>
  <c r="AF274" i="13"/>
  <c r="AJ272" i="13"/>
  <c r="AJ260" i="13" s="1"/>
  <c r="AC76" i="13"/>
  <c r="AC77" i="13"/>
  <c r="X291" i="13"/>
  <c r="Y289" i="13"/>
  <c r="AK182" i="13"/>
  <c r="AY182" i="13"/>
  <c r="BC91" i="13"/>
  <c r="AE434" i="13"/>
  <c r="AX55" i="13"/>
  <c r="AC225" i="13"/>
  <c r="AC226" i="13" s="1"/>
  <c r="AC209" i="13"/>
  <c r="AJ37" i="13"/>
  <c r="AJ38" i="13"/>
  <c r="AJ71" i="13"/>
  <c r="AJ72" i="13" s="1"/>
  <c r="Y494" i="13"/>
  <c r="Y472" i="13"/>
  <c r="Y445" i="13"/>
  <c r="Y351" i="13"/>
  <c r="AW351" i="13" s="1"/>
  <c r="AC472" i="13"/>
  <c r="Y344" i="13"/>
  <c r="Z494" i="13"/>
  <c r="AB96" i="13"/>
  <c r="AB99" i="13" s="1"/>
  <c r="AB54" i="13"/>
  <c r="AB56" i="13"/>
  <c r="AB55" i="13"/>
  <c r="AZ397" i="13"/>
  <c r="AX427" i="13"/>
  <c r="AX441" i="13"/>
  <c r="AW441" i="13"/>
  <c r="AW427" i="13"/>
  <c r="V372" i="13"/>
  <c r="V404" i="13"/>
  <c r="BB360" i="13"/>
  <c r="BA353" i="13"/>
  <c r="BA598" i="13" s="1"/>
  <c r="AL88" i="13"/>
  <c r="AL266" i="13"/>
  <c r="AH267" i="13"/>
  <c r="AH263" i="13"/>
  <c r="AH581" i="13"/>
  <c r="AH495" i="13"/>
  <c r="AH473" i="13"/>
  <c r="AH446" i="13"/>
  <c r="AH364" i="13"/>
  <c r="AH368" i="13" s="1"/>
  <c r="AH372" i="13" s="1"/>
  <c r="AH403" i="13"/>
  <c r="AI499" i="13" s="1"/>
  <c r="X429" i="13"/>
  <c r="X428" i="13"/>
  <c r="X362" i="13"/>
  <c r="AB473" i="13" s="1"/>
  <c r="AJ292" i="13"/>
  <c r="AJ265" i="13"/>
  <c r="AX435" i="13"/>
  <c r="AX432" i="13"/>
  <c r="AX433" i="13"/>
  <c r="AX431" i="13"/>
  <c r="AX434" i="13"/>
  <c r="AX471" i="13"/>
  <c r="AX444" i="13"/>
  <c r="U451" i="13"/>
  <c r="U408" i="13"/>
  <c r="U402" i="13"/>
  <c r="U442" i="13" s="1"/>
  <c r="U499" i="13"/>
  <c r="AY105" i="13"/>
  <c r="AY12" i="13"/>
  <c r="AW265" i="13"/>
  <c r="AU110" i="13"/>
  <c r="AU111" i="13" s="1"/>
  <c r="AG434" i="13"/>
  <c r="AV450" i="13"/>
  <c r="AV477" i="13"/>
  <c r="AD209" i="13"/>
  <c r="AD225" i="13"/>
  <c r="AD226" i="13" s="1"/>
  <c r="AK88" i="13"/>
  <c r="AO174" i="13"/>
  <c r="AK213" i="13"/>
  <c r="AZ174" i="13"/>
  <c r="AZ175" i="13" s="1"/>
  <c r="AU477" i="13"/>
  <c r="AU450" i="13"/>
  <c r="AD188" i="13"/>
  <c r="AD189" i="13"/>
  <c r="AD187" i="13"/>
  <c r="AD201" i="13"/>
  <c r="AD117" i="13"/>
  <c r="AD119" i="13"/>
  <c r="AH116" i="13"/>
  <c r="AE118" i="13"/>
  <c r="Z204" i="13"/>
  <c r="Z202" i="13"/>
  <c r="Y236" i="13"/>
  <c r="Y247" i="13" s="1"/>
  <c r="L500" i="13"/>
  <c r="N581" i="13"/>
  <c r="N495" i="13"/>
  <c r="N473" i="13"/>
  <c r="N446" i="13"/>
  <c r="N364" i="13"/>
  <c r="AT364" i="13" s="1"/>
  <c r="AT404" i="13" s="1"/>
  <c r="N403" i="13"/>
  <c r="AT403" i="13" s="1"/>
  <c r="N401" i="13"/>
  <c r="AO60" i="13"/>
  <c r="AO58" i="13"/>
  <c r="AP57" i="13"/>
  <c r="AO68" i="13"/>
  <c r="AU476" i="13"/>
  <c r="AU448" i="13"/>
  <c r="AV448" i="13"/>
  <c r="AV476" i="13"/>
  <c r="S237" i="13"/>
  <c r="S236" i="13" s="1"/>
  <c r="S234" i="13"/>
  <c r="S235" i="13"/>
  <c r="AN35" i="13"/>
  <c r="AJ187" i="13"/>
  <c r="AJ208" i="13"/>
  <c r="AN263" i="13"/>
  <c r="AF581" i="13"/>
  <c r="AF495" i="13"/>
  <c r="AF473" i="13"/>
  <c r="AF446" i="13"/>
  <c r="AF364" i="13"/>
  <c r="AF368" i="13" s="1"/>
  <c r="AF372" i="13" s="1"/>
  <c r="AF403" i="13"/>
  <c r="AH186" i="13"/>
  <c r="AH109" i="13"/>
  <c r="AG189" i="13"/>
  <c r="AG187" i="13"/>
  <c r="AG188" i="13"/>
  <c r="AG201" i="13"/>
  <c r="AV401" i="13"/>
  <c r="AV362" i="13"/>
  <c r="AV429" i="13"/>
  <c r="AV428" i="13"/>
  <c r="AW190" i="13"/>
  <c r="AW13" i="13"/>
  <c r="AW11" i="13" s="1"/>
  <c r="AW9" i="13" s="1"/>
  <c r="AL270" i="13"/>
  <c r="AP269" i="13"/>
  <c r="AP270" i="13" s="1"/>
  <c r="U372" i="13"/>
  <c r="U404" i="13"/>
  <c r="AE186" i="13"/>
  <c r="AE109" i="13"/>
  <c r="AY108" i="13"/>
  <c r="W294" i="13"/>
  <c r="AW272" i="13"/>
  <c r="W273" i="13"/>
  <c r="W274" i="13"/>
  <c r="X273" i="13"/>
  <c r="AX75" i="13"/>
  <c r="AX77" i="13" s="1"/>
  <c r="AX42" i="13"/>
  <c r="AX41" i="13"/>
  <c r="AX49" i="13"/>
  <c r="AX96" i="13" s="1"/>
  <c r="AF434" i="13"/>
  <c r="R581" i="13"/>
  <c r="R495" i="13"/>
  <c r="R473" i="13"/>
  <c r="R446" i="13"/>
  <c r="R364" i="13"/>
  <c r="R403" i="13"/>
  <c r="V478" i="13" s="1"/>
  <c r="R401" i="13"/>
  <c r="AY213" i="13"/>
  <c r="AG210" i="13"/>
  <c r="AG208" i="13" s="1"/>
  <c r="AJ482" i="13"/>
  <c r="AI52" i="13"/>
  <c r="AI51" i="13"/>
  <c r="AE95" i="13"/>
  <c r="AE98" i="13" s="1"/>
  <c r="AE47" i="13"/>
  <c r="AE53" i="13"/>
  <c r="AE46" i="13"/>
  <c r="AE48" i="13"/>
  <c r="AE45" i="13"/>
  <c r="AC581" i="13"/>
  <c r="AC495" i="13"/>
  <c r="AC446" i="13"/>
  <c r="AC364" i="13"/>
  <c r="AC368" i="13" s="1"/>
  <c r="AC372" i="13" s="1"/>
  <c r="AC403" i="13"/>
  <c r="AZ278" i="13"/>
  <c r="AZ280" i="13" s="1"/>
  <c r="V473" i="13"/>
  <c r="AC98" i="13"/>
  <c r="AV227" i="13"/>
  <c r="AV206" i="13"/>
  <c r="AV207" i="13" s="1"/>
  <c r="AV204" i="13"/>
  <c r="AW205" i="13"/>
  <c r="AN88" i="13"/>
  <c r="AX362" i="13"/>
  <c r="AX401" i="13"/>
  <c r="AX428" i="13"/>
  <c r="AX429" i="13"/>
  <c r="K680" i="13"/>
  <c r="O681" i="13"/>
  <c r="W429" i="13"/>
  <c r="W428" i="13"/>
  <c r="W362" i="13"/>
  <c r="AA473" i="13" s="1"/>
  <c r="AZ269" i="13"/>
  <c r="AZ271" i="13" s="1"/>
  <c r="BB30" i="13" l="1"/>
  <c r="BA89" i="13"/>
  <c r="BA88" i="13" s="1"/>
  <c r="AW237" i="13"/>
  <c r="AW234" i="13"/>
  <c r="AW242" i="13"/>
  <c r="BD141" i="14"/>
  <c r="BD171" i="14"/>
  <c r="BA379" i="13"/>
  <c r="BB379" i="13" s="1"/>
  <c r="BC379" i="13" s="1"/>
  <c r="AE75" i="3"/>
  <c r="BF41" i="14"/>
  <c r="BE141" i="14"/>
  <c r="AE76" i="3"/>
  <c r="AY249" i="14"/>
  <c r="AY232" i="14"/>
  <c r="AY233" i="14" s="1"/>
  <c r="BG273" i="14"/>
  <c r="BF283" i="14"/>
  <c r="AC247" i="14"/>
  <c r="AC250" i="14"/>
  <c r="AC251" i="14" s="1"/>
  <c r="AE77" i="3"/>
  <c r="BF172" i="14"/>
  <c r="BE171" i="14"/>
  <c r="BD61" i="14"/>
  <c r="BE64" i="14"/>
  <c r="AB247" i="14"/>
  <c r="AB250" i="14"/>
  <c r="AB251" i="14" s="1"/>
  <c r="AK233" i="14"/>
  <c r="AO233" i="14" s="1"/>
  <c r="AC72" i="3"/>
  <c r="AA247" i="14"/>
  <c r="AZ246" i="14"/>
  <c r="AA250" i="14"/>
  <c r="AA251" i="14" s="1"/>
  <c r="BE66" i="14"/>
  <c r="BD157" i="14"/>
  <c r="BE103" i="14"/>
  <c r="BD177" i="14"/>
  <c r="BI93" i="14"/>
  <c r="BG77" i="14"/>
  <c r="BG151" i="14" s="1"/>
  <c r="BA127" i="14"/>
  <c r="BC80" i="14"/>
  <c r="BC81" i="14" s="1"/>
  <c r="BD81" i="14" s="1"/>
  <c r="BE81" i="14" s="1"/>
  <c r="BF81" i="14" s="1"/>
  <c r="BG81" i="14" s="1"/>
  <c r="BH81" i="14" s="1"/>
  <c r="BI81" i="14" s="1"/>
  <c r="BJ81" i="14" s="1"/>
  <c r="AP31" i="14"/>
  <c r="AP32" i="14" s="1"/>
  <c r="BC13" i="14"/>
  <c r="BR140" i="3"/>
  <c r="BR113" i="3"/>
  <c r="BR138" i="3"/>
  <c r="BR111" i="3"/>
  <c r="BR107" i="3"/>
  <c r="BR134" i="3"/>
  <c r="BS113" i="3"/>
  <c r="BS140" i="3"/>
  <c r="BS138" i="3"/>
  <c r="BS111" i="3"/>
  <c r="BS134" i="3"/>
  <c r="BS107" i="3"/>
  <c r="AH226" i="14"/>
  <c r="AH183" i="14"/>
  <c r="AI34" i="3"/>
  <c r="AH259" i="14"/>
  <c r="AC36" i="3"/>
  <c r="BJ58" i="14"/>
  <c r="AG226" i="14"/>
  <c r="AG183" i="14"/>
  <c r="BH37" i="14"/>
  <c r="BH135" i="14" s="1"/>
  <c r="AN73" i="14"/>
  <c r="AN74" i="14" s="1"/>
  <c r="BJ244" i="14"/>
  <c r="AP88" i="13"/>
  <c r="AO106" i="13"/>
  <c r="AL296" i="13"/>
  <c r="AZ296" i="13" s="1"/>
  <c r="AF77" i="3"/>
  <c r="AF76" i="3"/>
  <c r="AF75" i="3"/>
  <c r="AC298" i="13"/>
  <c r="AP82" i="14"/>
  <c r="AP69" i="14"/>
  <c r="AO69" i="14"/>
  <c r="AZ304" i="13"/>
  <c r="AW236" i="13"/>
  <c r="AF209" i="13"/>
  <c r="AF189" i="13"/>
  <c r="AG191" i="13" s="1"/>
  <c r="AF187" i="13"/>
  <c r="AF201" i="13"/>
  <c r="AB202" i="13"/>
  <c r="AB204" i="13"/>
  <c r="BA378" i="13"/>
  <c r="BB378" i="13" s="1"/>
  <c r="BC378" i="13" s="1"/>
  <c r="W236" i="13"/>
  <c r="W247" i="13" s="1"/>
  <c r="AB190" i="13"/>
  <c r="AB114" i="13"/>
  <c r="X239" i="13"/>
  <c r="X240" i="13"/>
  <c r="X237" i="13"/>
  <c r="X235" i="13"/>
  <c r="X246" i="13" s="1"/>
  <c r="X234" i="13"/>
  <c r="AI109" i="14"/>
  <c r="AI124" i="14"/>
  <c r="AI85" i="14"/>
  <c r="AP53" i="14"/>
  <c r="AO53" i="14"/>
  <c r="AJ50" i="14"/>
  <c r="AJ84" i="14"/>
  <c r="AO14" i="14"/>
  <c r="AO31" i="14"/>
  <c r="AO32" i="14" s="1"/>
  <c r="AK49" i="14"/>
  <c r="AK35" i="14"/>
  <c r="AP100" i="14"/>
  <c r="AP174" i="14" s="1"/>
  <c r="AO100" i="14"/>
  <c r="AO174" i="14" s="1"/>
  <c r="AM39" i="14"/>
  <c r="AL34" i="14"/>
  <c r="BB34" i="14" s="1"/>
  <c r="AL138" i="14"/>
  <c r="BB138" i="14" s="1"/>
  <c r="AP14" i="14"/>
  <c r="AY230" i="14"/>
  <c r="AY243" i="14"/>
  <c r="AY241" i="14"/>
  <c r="AY238" i="14"/>
  <c r="AY236" i="14"/>
  <c r="BA125" i="14"/>
  <c r="AC258" i="14"/>
  <c r="AC192" i="14"/>
  <c r="AC193" i="14" s="1"/>
  <c r="AH129" i="14"/>
  <c r="AH161" i="14"/>
  <c r="AB258" i="14"/>
  <c r="AB192" i="14"/>
  <c r="AB193" i="14" s="1"/>
  <c r="AE246" i="14"/>
  <c r="AE233" i="14"/>
  <c r="AI233" i="14" s="1"/>
  <c r="AM233" i="14" s="1"/>
  <c r="AG129" i="14"/>
  <c r="AG161" i="14"/>
  <c r="AH119" i="14"/>
  <c r="AH5" i="14"/>
  <c r="AD78" i="3" s="1"/>
  <c r="AD74" i="3" s="1"/>
  <c r="AG119" i="14"/>
  <c r="AG5" i="14"/>
  <c r="Z246" i="14"/>
  <c r="Z233" i="14"/>
  <c r="AH233" i="14" s="1"/>
  <c r="X246" i="14"/>
  <c r="X250" i="14" s="1"/>
  <c r="X233" i="14"/>
  <c r="AZ192" i="14"/>
  <c r="AZ193" i="14" s="1"/>
  <c r="AA258" i="14"/>
  <c r="AA192" i="14"/>
  <c r="AA193" i="14" s="1"/>
  <c r="Y233" i="14"/>
  <c r="Y246" i="14"/>
  <c r="Y250" i="14" s="1"/>
  <c r="AV302" i="14"/>
  <c r="BE44" i="3" s="1"/>
  <c r="K199" i="14"/>
  <c r="K205" i="14" s="1"/>
  <c r="K206" i="14" s="1"/>
  <c r="AD278" i="14"/>
  <c r="AD292" i="14" s="1"/>
  <c r="AD199" i="14" s="1"/>
  <c r="AD205" i="14" s="1"/>
  <c r="AD206" i="14" s="1"/>
  <c r="AD259" i="14"/>
  <c r="AD295" i="14"/>
  <c r="AD299" i="14" s="1"/>
  <c r="BA110" i="14"/>
  <c r="BA118" i="14"/>
  <c r="BA111" i="14"/>
  <c r="AT406" i="13"/>
  <c r="AT409" i="13" s="1"/>
  <c r="AT479" i="13" s="1"/>
  <c r="AT405" i="13"/>
  <c r="AT478" i="13"/>
  <c r="AT451" i="13"/>
  <c r="AT408" i="13"/>
  <c r="AT402" i="13"/>
  <c r="AA499" i="13"/>
  <c r="AA451" i="13"/>
  <c r="AA408" i="13"/>
  <c r="AA402" i="13"/>
  <c r="AA442" i="13" s="1"/>
  <c r="AJ122" i="13"/>
  <c r="AN119" i="13"/>
  <c r="AJ121" i="13"/>
  <c r="AG95" i="13"/>
  <c r="AG98" i="13" s="1"/>
  <c r="AG53" i="13"/>
  <c r="AG46" i="13"/>
  <c r="AG48" i="13"/>
  <c r="AG45" i="13"/>
  <c r="AG47" i="13"/>
  <c r="AE54" i="13"/>
  <c r="AE56" i="13"/>
  <c r="AE55" i="13"/>
  <c r="AE96" i="13"/>
  <c r="AE99" i="13" s="1"/>
  <c r="AE189" i="13"/>
  <c r="AE187" i="13"/>
  <c r="AE188" i="13"/>
  <c r="AE201" i="13"/>
  <c r="AE209" i="13"/>
  <c r="AF188" i="13"/>
  <c r="AH189" i="13"/>
  <c r="AH187" i="13"/>
  <c r="AH188" i="13"/>
  <c r="AH201" i="13"/>
  <c r="AH209" i="13"/>
  <c r="AN292" i="13"/>
  <c r="AN265" i="13"/>
  <c r="AP58" i="13"/>
  <c r="AP60" i="13"/>
  <c r="BA57" i="13"/>
  <c r="AP68" i="13"/>
  <c r="AH119" i="13"/>
  <c r="AL116" i="13"/>
  <c r="AH118" i="13"/>
  <c r="AI118" i="13"/>
  <c r="Y434" i="13"/>
  <c r="Y433" i="13"/>
  <c r="Y432" i="13"/>
  <c r="Y431" i="13"/>
  <c r="Y435" i="13"/>
  <c r="AW344" i="13"/>
  <c r="AF297" i="13"/>
  <c r="AF301" i="13"/>
  <c r="AI405" i="13"/>
  <c r="AI406" i="13"/>
  <c r="AI409" i="13" s="1"/>
  <c r="O499" i="13"/>
  <c r="O451" i="13"/>
  <c r="O478" i="13"/>
  <c r="O408" i="13"/>
  <c r="AU403" i="13"/>
  <c r="O402" i="13"/>
  <c r="O442" i="13" s="1"/>
  <c r="AK118" i="13"/>
  <c r="AO116" i="13"/>
  <c r="AP300" i="13"/>
  <c r="AP296" i="13" s="1"/>
  <c r="BA296" i="13" s="1"/>
  <c r="AP279" i="13"/>
  <c r="AX187" i="13"/>
  <c r="AX108" i="13"/>
  <c r="AX107" i="13" s="1"/>
  <c r="AX201" i="13"/>
  <c r="AC124" i="13"/>
  <c r="AC123" i="13"/>
  <c r="AC125" i="13"/>
  <c r="AE265" i="13"/>
  <c r="AE272" i="13"/>
  <c r="AE264" i="13"/>
  <c r="AF264" i="13"/>
  <c r="BA366" i="13"/>
  <c r="BB366" i="13" s="1"/>
  <c r="BC366" i="13" s="1"/>
  <c r="AE375" i="13"/>
  <c r="AI474" i="13" s="1"/>
  <c r="AE404" i="13"/>
  <c r="AE376" i="13"/>
  <c r="AE374" i="13"/>
  <c r="AC242" i="13"/>
  <c r="AC248" i="13" s="1"/>
  <c r="AC243" i="13"/>
  <c r="AC240" i="13"/>
  <c r="AC239" i="13"/>
  <c r="AC237" i="13"/>
  <c r="AC234" i="13"/>
  <c r="AC241" i="13"/>
  <c r="AI124" i="13"/>
  <c r="AI123" i="13"/>
  <c r="AX189" i="13"/>
  <c r="AX190" i="13" s="1"/>
  <c r="AA190" i="13"/>
  <c r="AA191" i="13"/>
  <c r="AA114" i="13"/>
  <c r="AB191" i="13"/>
  <c r="AD76" i="13"/>
  <c r="AD77" i="13"/>
  <c r="AE76" i="13"/>
  <c r="AY263" i="13"/>
  <c r="AY268" i="13"/>
  <c r="AV230" i="13"/>
  <c r="AV234" i="13" s="1"/>
  <c r="AW229" i="13"/>
  <c r="AG209" i="13"/>
  <c r="AG225" i="13"/>
  <c r="AG226" i="13" s="1"/>
  <c r="AY208" i="13"/>
  <c r="U405" i="13"/>
  <c r="U500" i="13" s="1"/>
  <c r="U406" i="13"/>
  <c r="U409" i="13" s="1"/>
  <c r="AV581" i="13"/>
  <c r="AV610" i="13" s="1"/>
  <c r="AV473" i="13"/>
  <c r="AV446" i="13"/>
  <c r="AF499" i="13"/>
  <c r="AF478" i="13"/>
  <c r="AF451" i="13"/>
  <c r="AF402" i="13"/>
  <c r="AF442" i="13" s="1"/>
  <c r="AF408" i="13"/>
  <c r="AD121" i="13"/>
  <c r="AD120" i="13"/>
  <c r="AD122" i="13"/>
  <c r="AE121" i="13"/>
  <c r="BC360" i="13"/>
  <c r="BC353" i="13" s="1"/>
  <c r="BC598" i="13" s="1"/>
  <c r="BB353" i="13"/>
  <c r="BB598" i="13" s="1"/>
  <c r="BA269" i="13"/>
  <c r="AF298" i="13"/>
  <c r="AG121" i="13"/>
  <c r="AG120" i="13"/>
  <c r="AG122" i="13"/>
  <c r="AK119" i="13"/>
  <c r="AC99" i="13"/>
  <c r="AM51" i="13"/>
  <c r="AM52" i="13"/>
  <c r="BB386" i="13"/>
  <c r="BB384" i="13"/>
  <c r="BB385" i="13"/>
  <c r="BB383" i="13"/>
  <c r="AE499" i="13"/>
  <c r="AE478" i="13"/>
  <c r="AE451" i="13"/>
  <c r="AE408" i="13"/>
  <c r="AE402" i="13"/>
  <c r="AE442" i="13" s="1"/>
  <c r="AP299" i="13"/>
  <c r="AP295" i="13" s="1"/>
  <c r="AP277" i="13"/>
  <c r="BA275" i="13"/>
  <c r="AO186" i="13"/>
  <c r="AA294" i="13"/>
  <c r="AA274" i="13"/>
  <c r="AA273" i="13"/>
  <c r="AX272" i="13"/>
  <c r="AB273" i="13"/>
  <c r="U375" i="13"/>
  <c r="U376" i="13"/>
  <c r="U374" i="13"/>
  <c r="AF404" i="13"/>
  <c r="AF376" i="13"/>
  <c r="AF374" i="13"/>
  <c r="AF375" i="13"/>
  <c r="AZ213" i="13"/>
  <c r="AK210" i="13"/>
  <c r="X581" i="13"/>
  <c r="X495" i="13"/>
  <c r="X446" i="13"/>
  <c r="X473" i="13"/>
  <c r="X401" i="13"/>
  <c r="X364" i="13"/>
  <c r="X368" i="13" s="1"/>
  <c r="X372" i="13" s="1"/>
  <c r="X403" i="13"/>
  <c r="AB478" i="13" s="1"/>
  <c r="Y429" i="13"/>
  <c r="Y428" i="13"/>
  <c r="Y362" i="13"/>
  <c r="AW362" i="13" s="1"/>
  <c r="AK208" i="13"/>
  <c r="AK188" i="13"/>
  <c r="AK187" i="13"/>
  <c r="P499" i="13"/>
  <c r="P478" i="13"/>
  <c r="P451" i="13"/>
  <c r="P402" i="13"/>
  <c r="P442" i="13" s="1"/>
  <c r="P408" i="13"/>
  <c r="T478" i="13"/>
  <c r="AV475" i="13"/>
  <c r="AV449" i="13"/>
  <c r="AW475" i="13"/>
  <c r="AO88" i="13"/>
  <c r="BC386" i="13"/>
  <c r="BC384" i="13"/>
  <c r="BC385" i="13"/>
  <c r="BC383" i="13"/>
  <c r="AC297" i="13"/>
  <c r="AC301" i="13"/>
  <c r="T112" i="13"/>
  <c r="T111" i="13"/>
  <c r="AW476" i="13"/>
  <c r="AW448" i="13"/>
  <c r="AW407" i="13"/>
  <c r="AD99" i="13"/>
  <c r="AI478" i="13"/>
  <c r="AG76" i="13"/>
  <c r="AG77" i="13"/>
  <c r="W581" i="13"/>
  <c r="W495" i="13"/>
  <c r="W473" i="13"/>
  <c r="W446" i="13"/>
  <c r="W403" i="13"/>
  <c r="W401" i="13"/>
  <c r="W364" i="13"/>
  <c r="W368" i="13" s="1"/>
  <c r="W372" i="13" s="1"/>
  <c r="AH44" i="13"/>
  <c r="AI44" i="13" s="1"/>
  <c r="AY214" i="13"/>
  <c r="AY210" i="13"/>
  <c r="AW274" i="13"/>
  <c r="AG204" i="13"/>
  <c r="AG235" i="13" s="1"/>
  <c r="AG246" i="13" s="1"/>
  <c r="AG202" i="13"/>
  <c r="AJ225" i="13"/>
  <c r="AD204" i="13"/>
  <c r="AD202" i="13"/>
  <c r="AO213" i="13"/>
  <c r="BA174" i="13"/>
  <c r="AH272" i="13"/>
  <c r="AH264" i="13"/>
  <c r="AH265" i="13"/>
  <c r="V406" i="13"/>
  <c r="V409" i="13" s="1"/>
  <c r="V405" i="13"/>
  <c r="V500" i="13" s="1"/>
  <c r="M405" i="13"/>
  <c r="M500" i="13" s="1"/>
  <c r="M406" i="13"/>
  <c r="M409" i="13" s="1"/>
  <c r="M479" i="13" s="1"/>
  <c r="W246" i="13"/>
  <c r="BC30" i="13"/>
  <c r="BB89" i="13"/>
  <c r="BB90" i="13"/>
  <c r="AD499" i="13"/>
  <c r="AD478" i="13"/>
  <c r="AD451" i="13"/>
  <c r="AD408" i="13"/>
  <c r="AD402" i="13"/>
  <c r="AD442" i="13" s="1"/>
  <c r="P404" i="13"/>
  <c r="P368" i="13"/>
  <c r="P372" i="13" s="1"/>
  <c r="AJ50" i="13"/>
  <c r="AJ52" i="13"/>
  <c r="AJ51" i="13"/>
  <c r="BA278" i="13"/>
  <c r="AK75" i="13"/>
  <c r="AK40" i="13"/>
  <c r="AK41" i="13"/>
  <c r="V113" i="13"/>
  <c r="U110" i="13"/>
  <c r="AW477" i="13"/>
  <c r="AW450" i="13"/>
  <c r="AX477" i="13"/>
  <c r="AT674" i="13"/>
  <c r="AT678" i="13" s="1"/>
  <c r="AT660" i="13"/>
  <c r="AT662" i="13" s="1"/>
  <c r="AU661" i="13" s="1"/>
  <c r="AV292" i="13"/>
  <c r="AV293" i="13" s="1"/>
  <c r="AL186" i="13"/>
  <c r="AO86" i="13"/>
  <c r="AO18" i="13"/>
  <c r="AO17" i="13"/>
  <c r="AO39" i="13"/>
  <c r="AO16" i="13"/>
  <c r="AY581" i="13"/>
  <c r="AY473" i="13"/>
  <c r="AY446" i="13"/>
  <c r="AY403" i="13"/>
  <c r="AY364" i="13"/>
  <c r="AY368" i="13" s="1"/>
  <c r="AY372" i="13" s="1"/>
  <c r="AV237" i="13"/>
  <c r="AV236" i="13" s="1"/>
  <c r="AW247" i="13" s="1"/>
  <c r="AV235" i="13"/>
  <c r="AW246" i="13" s="1"/>
  <c r="AW401" i="13"/>
  <c r="AW428" i="13"/>
  <c r="AW429" i="13"/>
  <c r="AX581" i="13"/>
  <c r="AX610" i="13" s="1"/>
  <c r="AX446" i="13"/>
  <c r="AX403" i="13"/>
  <c r="AX364" i="13"/>
  <c r="AX368" i="13" s="1"/>
  <c r="AX372" i="13" s="1"/>
  <c r="AY44" i="13"/>
  <c r="AX51" i="13"/>
  <c r="AX52" i="13"/>
  <c r="AW294" i="13"/>
  <c r="AW302" i="13" s="1"/>
  <c r="W288" i="13"/>
  <c r="N499" i="13"/>
  <c r="N478" i="13"/>
  <c r="N451" i="13"/>
  <c r="N408" i="13"/>
  <c r="N402" i="13"/>
  <c r="N442" i="13" s="1"/>
  <c r="V375" i="13"/>
  <c r="V376" i="13"/>
  <c r="V374" i="13"/>
  <c r="AL182" i="13"/>
  <c r="AZ182" i="13" s="1"/>
  <c r="AZ171" i="13" s="1"/>
  <c r="AK171" i="13"/>
  <c r="M372" i="13"/>
  <c r="AU581" i="13"/>
  <c r="AU610" i="13" s="1"/>
  <c r="AF123" i="13"/>
  <c r="AF125" i="13"/>
  <c r="AF124" i="13"/>
  <c r="AD372" i="13"/>
  <c r="AD374" i="13"/>
  <c r="K496" i="13"/>
  <c r="K474" i="13"/>
  <c r="L496" i="13"/>
  <c r="BC176" i="13"/>
  <c r="BC219" i="13" s="1"/>
  <c r="BB219" i="13"/>
  <c r="AY434" i="13"/>
  <c r="AX25" i="13"/>
  <c r="AY25" i="13"/>
  <c r="AX87" i="13"/>
  <c r="AZ105" i="13"/>
  <c r="AZ12" i="13"/>
  <c r="AM77" i="13"/>
  <c r="AK49" i="13"/>
  <c r="AB499" i="13"/>
  <c r="AB451" i="13"/>
  <c r="AB408" i="13"/>
  <c r="AB402" i="13"/>
  <c r="AB442" i="13" s="1"/>
  <c r="AK292" i="13"/>
  <c r="AK264" i="13"/>
  <c r="AK265" i="13"/>
  <c r="AD294" i="13"/>
  <c r="AD288" i="13" s="1"/>
  <c r="AD274" i="13"/>
  <c r="AD273" i="13"/>
  <c r="AV364" i="13"/>
  <c r="S368" i="13"/>
  <c r="AO295" i="13"/>
  <c r="AP106" i="13"/>
  <c r="AP108" i="13"/>
  <c r="AX265" i="13"/>
  <c r="AF96" i="13"/>
  <c r="AF56" i="13"/>
  <c r="AF55" i="13"/>
  <c r="AF54" i="13"/>
  <c r="AN187" i="13"/>
  <c r="AN208" i="13"/>
  <c r="AC499" i="13"/>
  <c r="AC451" i="13"/>
  <c r="AC408" i="13"/>
  <c r="AC402" i="13"/>
  <c r="AC442" i="13" s="1"/>
  <c r="R499" i="13"/>
  <c r="R478" i="13"/>
  <c r="R451" i="13"/>
  <c r="R408" i="13"/>
  <c r="R402" i="13"/>
  <c r="R442" i="13" s="1"/>
  <c r="W298" i="13"/>
  <c r="N404" i="13"/>
  <c r="N368" i="13"/>
  <c r="N372" i="13" s="1"/>
  <c r="AD191" i="13"/>
  <c r="AD190" i="13"/>
  <c r="AD114" i="13"/>
  <c r="AJ490" i="13"/>
  <c r="AJ467" i="13"/>
  <c r="AJ261" i="13"/>
  <c r="AH499" i="13"/>
  <c r="AH478" i="13"/>
  <c r="AH451" i="13"/>
  <c r="AH408" i="13"/>
  <c r="AH402" i="13"/>
  <c r="AH442" i="13" s="1"/>
  <c r="AL267" i="13"/>
  <c r="AL263" i="13"/>
  <c r="AP266" i="13"/>
  <c r="Y291" i="13"/>
  <c r="Z289" i="13"/>
  <c r="AW289" i="13" s="1"/>
  <c r="AW291" i="13" s="1"/>
  <c r="AJ294" i="13"/>
  <c r="AJ298" i="13" s="1"/>
  <c r="AN272" i="13"/>
  <c r="AA374" i="13"/>
  <c r="AA375" i="13"/>
  <c r="AA404" i="13"/>
  <c r="AA376" i="13"/>
  <c r="AU473" i="13"/>
  <c r="AU446" i="13"/>
  <c r="S112" i="13"/>
  <c r="S111" i="13"/>
  <c r="AN75" i="13"/>
  <c r="AN41" i="13"/>
  <c r="AN40" i="13"/>
  <c r="Z478" i="13"/>
  <c r="Z451" i="13"/>
  <c r="Z408" i="13"/>
  <c r="Z402" i="13"/>
  <c r="Z442" i="13" s="1"/>
  <c r="AI186" i="13"/>
  <c r="AZ108" i="13"/>
  <c r="AI109" i="13"/>
  <c r="Z298" i="13"/>
  <c r="AG294" i="13"/>
  <c r="AG288" i="13" s="1"/>
  <c r="AG274" i="13"/>
  <c r="AG273" i="13"/>
  <c r="AK272" i="13"/>
  <c r="AK260" i="13" s="1"/>
  <c r="AG499" i="13"/>
  <c r="AG478" i="13"/>
  <c r="AG451" i="13"/>
  <c r="AG402" i="13"/>
  <c r="AG442" i="13" s="1"/>
  <c r="AG408" i="13"/>
  <c r="Q499" i="13"/>
  <c r="Q478" i="13"/>
  <c r="Q451" i="13"/>
  <c r="Q402" i="13"/>
  <c r="Q442" i="13" s="1"/>
  <c r="Q408" i="13"/>
  <c r="AJ77" i="13"/>
  <c r="AJ76" i="13"/>
  <c r="AB374" i="13"/>
  <c r="AB375" i="13"/>
  <c r="AB404" i="13"/>
  <c r="AB376" i="13"/>
  <c r="AZ88" i="13"/>
  <c r="AC375" i="13"/>
  <c r="AC404" i="13"/>
  <c r="AC376" i="13"/>
  <c r="AC374" i="13"/>
  <c r="R404" i="13"/>
  <c r="R368" i="13"/>
  <c r="R372" i="13" s="1"/>
  <c r="AY186" i="13"/>
  <c r="AY107" i="13"/>
  <c r="AG190" i="13"/>
  <c r="AK189" i="13"/>
  <c r="AG114" i="13"/>
  <c r="Z242" i="13"/>
  <c r="Z240" i="13"/>
  <c r="Z237" i="13"/>
  <c r="Z239" i="13"/>
  <c r="Z234" i="13"/>
  <c r="Z235" i="13"/>
  <c r="Z246" i="13" s="1"/>
  <c r="AH404" i="13"/>
  <c r="AH376" i="13"/>
  <c r="AH374" i="13"/>
  <c r="AH375" i="13"/>
  <c r="AX226" i="13"/>
  <c r="AX227" i="13"/>
  <c r="AM122" i="13"/>
  <c r="AU364" i="13"/>
  <c r="AU404" i="13" s="1"/>
  <c r="O404" i="13"/>
  <c r="O368" i="13"/>
  <c r="AY116" i="13"/>
  <c r="AY117" i="13" s="1"/>
  <c r="AN51" i="13"/>
  <c r="AN50" i="13"/>
  <c r="AN52" i="13"/>
  <c r="Z404" i="13"/>
  <c r="Z376" i="13"/>
  <c r="Z374" i="13"/>
  <c r="Z375" i="13"/>
  <c r="AA202" i="13"/>
  <c r="AA204" i="13"/>
  <c r="AZ266" i="13"/>
  <c r="AM266" i="13"/>
  <c r="AI267" i="13"/>
  <c r="AI263" i="13"/>
  <c r="AJ267" i="13"/>
  <c r="AH87" i="13"/>
  <c r="AH24" i="13"/>
  <c r="AH15" i="13"/>
  <c r="AL23" i="13"/>
  <c r="AI24" i="13"/>
  <c r="AM106" i="13"/>
  <c r="AM108" i="13"/>
  <c r="BA104" i="13"/>
  <c r="AN106" i="13"/>
  <c r="Z301" i="13"/>
  <c r="Z297" i="13"/>
  <c r="AG404" i="13"/>
  <c r="AG376" i="13"/>
  <c r="AG374" i="13"/>
  <c r="AG375" i="13"/>
  <c r="Q404" i="13"/>
  <c r="Q368" i="13"/>
  <c r="Q372" i="13" s="1"/>
  <c r="AO263" i="13"/>
  <c r="AO267" i="13"/>
  <c r="S499" i="13"/>
  <c r="S478" i="13"/>
  <c r="S451" i="13"/>
  <c r="S408" i="13"/>
  <c r="AV408" i="13" s="1"/>
  <c r="S402" i="13"/>
  <c r="S442" i="13" s="1"/>
  <c r="AV403" i="13"/>
  <c r="T499" i="13"/>
  <c r="AU475" i="13"/>
  <c r="AU449" i="13"/>
  <c r="Y292" i="13"/>
  <c r="Y293" i="13" s="1"/>
  <c r="AF98" i="13"/>
  <c r="BC53" i="14" l="1"/>
  <c r="BA300" i="13"/>
  <c r="AF99" i="13"/>
  <c r="BC69" i="14"/>
  <c r="Z292" i="13"/>
  <c r="Z293" i="13" s="1"/>
  <c r="BC174" i="14"/>
  <c r="BB139" i="14"/>
  <c r="BB147" i="14"/>
  <c r="BB148" i="14" s="1"/>
  <c r="BB35" i="14"/>
  <c r="BB49" i="14"/>
  <c r="BC70" i="14"/>
  <c r="BD70" i="14" s="1"/>
  <c r="BE70" i="14" s="1"/>
  <c r="BF70" i="14" s="1"/>
  <c r="BG70" i="14" s="1"/>
  <c r="BH70" i="14" s="1"/>
  <c r="BI70" i="14" s="1"/>
  <c r="BJ70" i="14" s="1"/>
  <c r="BC73" i="14"/>
  <c r="BC74" i="14" s="1"/>
  <c r="Z247" i="14"/>
  <c r="Z250" i="14"/>
  <c r="Z251" i="14" s="1"/>
  <c r="AE247" i="14"/>
  <c r="AE250" i="14"/>
  <c r="AE251" i="14" s="1"/>
  <c r="BC54" i="14"/>
  <c r="BD54" i="14" s="1"/>
  <c r="BE54" i="14" s="1"/>
  <c r="BF54" i="14" s="1"/>
  <c r="BG54" i="14" s="1"/>
  <c r="BH54" i="14" s="1"/>
  <c r="BI54" i="14" s="1"/>
  <c r="BJ54" i="14" s="1"/>
  <c r="BD53" i="14"/>
  <c r="BE53" i="14" s="1"/>
  <c r="BF53" i="14" s="1"/>
  <c r="BG53" i="14" s="1"/>
  <c r="BH53" i="14" s="1"/>
  <c r="BI53" i="14" s="1"/>
  <c r="BJ53" i="14" s="1"/>
  <c r="BF103" i="14"/>
  <c r="BE177" i="14"/>
  <c r="AG250" i="14"/>
  <c r="AG266" i="14"/>
  <c r="AG191" i="14" s="1"/>
  <c r="BF66" i="14"/>
  <c r="BE157" i="14"/>
  <c r="BG41" i="14"/>
  <c r="BF141" i="14"/>
  <c r="AE72" i="3"/>
  <c r="AL233" i="14"/>
  <c r="AP233" i="14" s="1"/>
  <c r="AD72" i="3"/>
  <c r="AZ247" i="14"/>
  <c r="AZ250" i="14"/>
  <c r="AZ251" i="14" s="1"/>
  <c r="BF64" i="14"/>
  <c r="BE61" i="14"/>
  <c r="BH273" i="14"/>
  <c r="BG283" i="14"/>
  <c r="BD62" i="14"/>
  <c r="BD56" i="14"/>
  <c r="BC100" i="14"/>
  <c r="BD100" i="14" s="1"/>
  <c r="BG172" i="14"/>
  <c r="BF171" i="14"/>
  <c r="BJ93" i="14"/>
  <c r="BH77" i="14"/>
  <c r="BH151" i="14" s="1"/>
  <c r="AH266" i="14"/>
  <c r="AH191" i="14" s="1"/>
  <c r="AH250" i="14"/>
  <c r="AH185" i="14"/>
  <c r="BA129" i="14"/>
  <c r="BA128" i="14"/>
  <c r="AI118" i="14"/>
  <c r="AI226" i="14" s="1"/>
  <c r="AI111" i="14"/>
  <c r="AG185" i="14"/>
  <c r="BA183" i="14"/>
  <c r="BA248" i="14" s="1"/>
  <c r="BD80" i="14"/>
  <c r="BC15" i="14"/>
  <c r="BD15" i="14" s="1"/>
  <c r="BE15" i="14" s="1"/>
  <c r="BF15" i="14" s="1"/>
  <c r="BG15" i="14" s="1"/>
  <c r="BH15" i="14" s="1"/>
  <c r="BI15" i="14" s="1"/>
  <c r="BJ15" i="14" s="1"/>
  <c r="BC31" i="14"/>
  <c r="BA304" i="13"/>
  <c r="X236" i="13"/>
  <c r="X247" i="13" s="1"/>
  <c r="BC381" i="13"/>
  <c r="BC592" i="13" s="1"/>
  <c r="AI259" i="14"/>
  <c r="AD36" i="3"/>
  <c r="BI37" i="14"/>
  <c r="BI135" i="14" s="1"/>
  <c r="AG237" i="14"/>
  <c r="AG242" i="14"/>
  <c r="AG240" i="14"/>
  <c r="AG232" i="14"/>
  <c r="AG229" i="14" s="1"/>
  <c r="AG230" i="14" s="1"/>
  <c r="AJ34" i="3"/>
  <c r="AH240" i="14"/>
  <c r="AH242" i="14"/>
  <c r="AH237" i="14"/>
  <c r="BA237" i="14" s="1"/>
  <c r="AH232" i="14"/>
  <c r="AG75" i="3"/>
  <c r="AG77" i="3"/>
  <c r="AC12" i="3"/>
  <c r="AC29" i="4" s="1"/>
  <c r="AC78" i="3"/>
  <c r="AC74" i="3" s="1"/>
  <c r="AG76" i="3"/>
  <c r="AF72" i="3"/>
  <c r="AP73" i="14"/>
  <c r="AP74" i="14" s="1"/>
  <c r="BA299" i="13"/>
  <c r="BA303" i="13" s="1"/>
  <c r="AO73" i="14"/>
  <c r="AO74" i="14" s="1"/>
  <c r="AB242" i="13"/>
  <c r="AB241" i="13"/>
  <c r="AB237" i="13"/>
  <c r="AB234" i="13"/>
  <c r="AB239" i="13"/>
  <c r="AB235" i="13"/>
  <c r="AB246" i="13" s="1"/>
  <c r="AB240" i="13"/>
  <c r="AB243" i="13"/>
  <c r="AF204" i="13"/>
  <c r="AF202" i="13"/>
  <c r="AF190" i="13"/>
  <c r="AJ189" i="13"/>
  <c r="AK191" i="13" s="1"/>
  <c r="AF114" i="13"/>
  <c r="BB381" i="13"/>
  <c r="BB592" i="13" s="1"/>
  <c r="AL35" i="14"/>
  <c r="AL49" i="14"/>
  <c r="AJ109" i="14"/>
  <c r="AJ124" i="14"/>
  <c r="AJ85" i="14"/>
  <c r="AH6" i="14"/>
  <c r="AD12" i="3"/>
  <c r="AD29" i="4" s="1"/>
  <c r="AK50" i="14"/>
  <c r="AK84" i="14"/>
  <c r="AI125" i="14"/>
  <c r="AI127" i="14"/>
  <c r="AN39" i="14"/>
  <c r="AM34" i="14"/>
  <c r="AM138" i="14"/>
  <c r="AA278" i="14"/>
  <c r="AA259" i="14"/>
  <c r="AZ258" i="14"/>
  <c r="AA295" i="14"/>
  <c r="AC278" i="14"/>
  <c r="AC292" i="14" s="1"/>
  <c r="AC199" i="14" s="1"/>
  <c r="AC205" i="14" s="1"/>
  <c r="AC206" i="14" s="1"/>
  <c r="AC259" i="14"/>
  <c r="AC295" i="14"/>
  <c r="AC299" i="14" s="1"/>
  <c r="BA161" i="14"/>
  <c r="Z258" i="14"/>
  <c r="Z192" i="14"/>
  <c r="AE192" i="14"/>
  <c r="AE193" i="14" s="1"/>
  <c r="AE258" i="14"/>
  <c r="Y258" i="14"/>
  <c r="Y192" i="14"/>
  <c r="Y193" i="14" s="1"/>
  <c r="AG6" i="14"/>
  <c r="BA5" i="14"/>
  <c r="BA226" i="14"/>
  <c r="BA119" i="14"/>
  <c r="AY246" i="14"/>
  <c r="AY192" i="14" s="1"/>
  <c r="X258" i="14"/>
  <c r="X192" i="14"/>
  <c r="X193" i="14" s="1"/>
  <c r="AB278" i="14"/>
  <c r="AB292" i="14" s="1"/>
  <c r="AB199" i="14" s="1"/>
  <c r="AB205" i="14" s="1"/>
  <c r="AB206" i="14" s="1"/>
  <c r="AB259" i="14"/>
  <c r="AB295" i="14"/>
  <c r="AB299" i="14" s="1"/>
  <c r="AH162" i="14"/>
  <c r="AG162" i="14"/>
  <c r="AK490" i="13"/>
  <c r="AK467" i="13"/>
  <c r="AK261" i="13"/>
  <c r="AW581" i="13"/>
  <c r="AW610" i="13" s="1"/>
  <c r="AW473" i="13"/>
  <c r="AW446" i="13"/>
  <c r="AW403" i="13"/>
  <c r="AX478" i="13" s="1"/>
  <c r="AW364" i="13"/>
  <c r="AW368" i="13" s="1"/>
  <c r="AW372" i="13" s="1"/>
  <c r="AX473" i="13"/>
  <c r="AZ459" i="13"/>
  <c r="AZ168" i="13"/>
  <c r="AJ505" i="13"/>
  <c r="AI48" i="13"/>
  <c r="AI45" i="13"/>
  <c r="AI95" i="13"/>
  <c r="AI47" i="13"/>
  <c r="AI53" i="13"/>
  <c r="AI46" i="13"/>
  <c r="AM251" i="13"/>
  <c r="AM123" i="13"/>
  <c r="AM124" i="13"/>
  <c r="AX674" i="13"/>
  <c r="AX660" i="13"/>
  <c r="AF406" i="13"/>
  <c r="AF409" i="13" s="1"/>
  <c r="AF405" i="13"/>
  <c r="AY265" i="13"/>
  <c r="AY272" i="13"/>
  <c r="AE273" i="13"/>
  <c r="AE274" i="13"/>
  <c r="AE294" i="13"/>
  <c r="AE298" i="13" s="1"/>
  <c r="AF273" i="13"/>
  <c r="AO189" i="13"/>
  <c r="AO185" i="13" s="1"/>
  <c r="AO184" i="13" s="1"/>
  <c r="AK114" i="13"/>
  <c r="AB496" i="13"/>
  <c r="AP267" i="13"/>
  <c r="AP263" i="13"/>
  <c r="AG405" i="13"/>
  <c r="AG500" i="13" s="1"/>
  <c r="AG406" i="13"/>
  <c r="AG409" i="13" s="1"/>
  <c r="BA266" i="13"/>
  <c r="AM263" i="13"/>
  <c r="AM267" i="13"/>
  <c r="AN267" i="13"/>
  <c r="AN294" i="13"/>
  <c r="AL292" i="13"/>
  <c r="AL265" i="13"/>
  <c r="AL264" i="13"/>
  <c r="N406" i="13"/>
  <c r="N409" i="13" s="1"/>
  <c r="N479" i="13" s="1"/>
  <c r="N405" i="13"/>
  <c r="N500" i="13" s="1"/>
  <c r="AP186" i="13"/>
  <c r="AD297" i="13"/>
  <c r="AD301" i="13"/>
  <c r="AT368" i="13"/>
  <c r="AT372" i="13" s="1"/>
  <c r="BA213" i="13"/>
  <c r="AO210" i="13"/>
  <c r="W375" i="13"/>
  <c r="AA474" i="13" s="1"/>
  <c r="W404" i="13"/>
  <c r="W376" i="13"/>
  <c r="W374" i="13"/>
  <c r="AG123" i="13"/>
  <c r="AG125" i="13"/>
  <c r="AG124" i="13"/>
  <c r="AE406" i="13"/>
  <c r="AE409" i="13" s="1"/>
  <c r="AI479" i="13" s="1"/>
  <c r="AE405" i="13"/>
  <c r="AU478" i="13"/>
  <c r="AU451" i="13"/>
  <c r="AU442" i="13"/>
  <c r="AU402" i="13"/>
  <c r="AU660" i="13"/>
  <c r="AU662" i="13" s="1"/>
  <c r="AU674" i="13"/>
  <c r="BA175" i="13"/>
  <c r="BB174" i="13"/>
  <c r="AO292" i="13"/>
  <c r="AO265" i="13"/>
  <c r="AO264" i="13"/>
  <c r="AL15" i="13"/>
  <c r="AL87" i="13"/>
  <c r="AL24" i="13"/>
  <c r="AP23" i="13"/>
  <c r="AM24" i="13"/>
  <c r="AZ23" i="13"/>
  <c r="AZ263" i="13"/>
  <c r="AZ268" i="13"/>
  <c r="AX332" i="13"/>
  <c r="AX229" i="13"/>
  <c r="AX231" i="13"/>
  <c r="AX230" i="13"/>
  <c r="AG301" i="13"/>
  <c r="AG297" i="13"/>
  <c r="M375" i="13"/>
  <c r="M376" i="13"/>
  <c r="M374" i="13"/>
  <c r="AL208" i="13"/>
  <c r="AL188" i="13"/>
  <c r="AL187" i="13"/>
  <c r="U112" i="13"/>
  <c r="U111" i="13"/>
  <c r="AW298" i="13"/>
  <c r="AX294" i="13"/>
  <c r="AX298" i="13" s="1"/>
  <c r="AA288" i="13"/>
  <c r="BA271" i="13"/>
  <c r="BB269" i="13"/>
  <c r="BC269" i="13" s="1"/>
  <c r="AC236" i="13"/>
  <c r="AC247" i="13" s="1"/>
  <c r="AE474" i="13"/>
  <c r="AU408" i="13"/>
  <c r="AE204" i="13"/>
  <c r="AE202" i="13"/>
  <c r="AJ44" i="13"/>
  <c r="AN121" i="13"/>
  <c r="AN122" i="13"/>
  <c r="N375" i="13"/>
  <c r="N376" i="13"/>
  <c r="N374" i="13"/>
  <c r="V496" i="13"/>
  <c r="AG242" i="13"/>
  <c r="AG248" i="13" s="1"/>
  <c r="AG243" i="13"/>
  <c r="AG249" i="13" s="1"/>
  <c r="AG237" i="13"/>
  <c r="AG239" i="13"/>
  <c r="AG240" i="13"/>
  <c r="AG241" i="13"/>
  <c r="AG234" i="13"/>
  <c r="AG238" i="13"/>
  <c r="AV478" i="13"/>
  <c r="AV451" i="13"/>
  <c r="AV442" i="13"/>
  <c r="AV402" i="13"/>
  <c r="Q376" i="13"/>
  <c r="Q374" i="13"/>
  <c r="Q375" i="13"/>
  <c r="AH86" i="13"/>
  <c r="AH85" i="13"/>
  <c r="AH97" i="13" s="1"/>
  <c r="AH21" i="13"/>
  <c r="AH18" i="13"/>
  <c r="AH17" i="13"/>
  <c r="AH39" i="13"/>
  <c r="AH95" i="13" s="1"/>
  <c r="AH98" i="13" s="1"/>
  <c r="AH16" i="13"/>
  <c r="AI17" i="13"/>
  <c r="AH35" i="13"/>
  <c r="AA243" i="13"/>
  <c r="AA242" i="13"/>
  <c r="AA234" i="13"/>
  <c r="AA239" i="13"/>
  <c r="AA237" i="13"/>
  <c r="AA240" i="13"/>
  <c r="AA241" i="13"/>
  <c r="AA235" i="13"/>
  <c r="AA246" i="13" s="1"/>
  <c r="Z236" i="13"/>
  <c r="Z247" i="13" s="1"/>
  <c r="AY187" i="13"/>
  <c r="AC405" i="13"/>
  <c r="AC406" i="13"/>
  <c r="AC409" i="13" s="1"/>
  <c r="AG298" i="13"/>
  <c r="BA295" i="13"/>
  <c r="AY73" i="13"/>
  <c r="AY74" i="13" s="1"/>
  <c r="AY46" i="13"/>
  <c r="AY48" i="13"/>
  <c r="AY47" i="13"/>
  <c r="W113" i="13"/>
  <c r="V110" i="13"/>
  <c r="P376" i="13"/>
  <c r="P374" i="13"/>
  <c r="P375" i="13"/>
  <c r="BB88" i="13"/>
  <c r="AD242" i="13"/>
  <c r="AD248" i="13" s="1"/>
  <c r="AD243" i="13"/>
  <c r="AD239" i="13"/>
  <c r="AD237" i="13"/>
  <c r="AD240" i="13"/>
  <c r="AD234" i="13"/>
  <c r="AD241" i="13"/>
  <c r="AD235" i="13"/>
  <c r="AD246" i="13" s="1"/>
  <c r="W499" i="13"/>
  <c r="W478" i="13"/>
  <c r="W451" i="13"/>
  <c r="W408" i="13"/>
  <c r="W402" i="13"/>
  <c r="W442" i="13" s="1"/>
  <c r="X499" i="13"/>
  <c r="X478" i="13"/>
  <c r="X451" i="13"/>
  <c r="X408" i="13"/>
  <c r="X402" i="13"/>
  <c r="X442" i="13" s="1"/>
  <c r="AZ214" i="13"/>
  <c r="AZ210" i="13"/>
  <c r="U496" i="13"/>
  <c r="AA298" i="13"/>
  <c r="AW431" i="13"/>
  <c r="AW435" i="13"/>
  <c r="AW432" i="13"/>
  <c r="AW433" i="13"/>
  <c r="AW434" i="13"/>
  <c r="AN260" i="13"/>
  <c r="AH204" i="13"/>
  <c r="AH202" i="13"/>
  <c r="AJ251" i="13"/>
  <c r="AJ124" i="13"/>
  <c r="AJ123" i="13"/>
  <c r="AJ125" i="13"/>
  <c r="Y581" i="13"/>
  <c r="Y495" i="13"/>
  <c r="Y473" i="13"/>
  <c r="Y446" i="13"/>
  <c r="Y364" i="13"/>
  <c r="Y368" i="13" s="1"/>
  <c r="Y372" i="13" s="1"/>
  <c r="Y403" i="13"/>
  <c r="Y401" i="13"/>
  <c r="Z495" i="13"/>
  <c r="AC473" i="13"/>
  <c r="Q405" i="13"/>
  <c r="Q406" i="13"/>
  <c r="Q409" i="13" s="1"/>
  <c r="Q479" i="13" s="1"/>
  <c r="AH496" i="13"/>
  <c r="R376" i="13"/>
  <c r="R374" i="13"/>
  <c r="R375" i="13"/>
  <c r="AC496" i="13"/>
  <c r="S372" i="13"/>
  <c r="S404" i="13"/>
  <c r="AD375" i="13"/>
  <c r="AD404" i="13"/>
  <c r="AD376" i="13"/>
  <c r="AK505" i="13"/>
  <c r="AK486" i="13"/>
  <c r="AK459" i="13"/>
  <c r="AK168" i="13"/>
  <c r="AX404" i="13"/>
  <c r="AX376" i="13"/>
  <c r="AX374" i="13"/>
  <c r="AX375" i="13"/>
  <c r="AO41" i="13"/>
  <c r="AO40" i="13"/>
  <c r="AO75" i="13"/>
  <c r="P406" i="13"/>
  <c r="P409" i="13" s="1"/>
  <c r="P405" i="13"/>
  <c r="AK185" i="13"/>
  <c r="AK184" i="13" s="1"/>
  <c r="X404" i="13"/>
  <c r="X376" i="13"/>
  <c r="X374" i="13"/>
  <c r="X375" i="13"/>
  <c r="AB474" i="13" s="1"/>
  <c r="AV674" i="13"/>
  <c r="AV660" i="13"/>
  <c r="AV662" i="13" s="1"/>
  <c r="AW661" i="13" s="1"/>
  <c r="AL118" i="13"/>
  <c r="AP116" i="13"/>
  <c r="AP118" i="13" s="1"/>
  <c r="AM118" i="13"/>
  <c r="AZ116" i="13"/>
  <c r="AZ117" i="13" s="1"/>
  <c r="AK122" i="13"/>
  <c r="AO119" i="13"/>
  <c r="AK121" i="13"/>
  <c r="Z474" i="13"/>
  <c r="AU368" i="13"/>
  <c r="AU372" i="13" s="1"/>
  <c r="O372" i="13"/>
  <c r="R405" i="13"/>
  <c r="R406" i="13"/>
  <c r="R409" i="13" s="1"/>
  <c r="AV404" i="13"/>
  <c r="AV368" i="13"/>
  <c r="AV372" i="13" s="1"/>
  <c r="AK50" i="13"/>
  <c r="AK52" i="13"/>
  <c r="AK51" i="13"/>
  <c r="AM182" i="13"/>
  <c r="AL171" i="13"/>
  <c r="AX451" i="13"/>
  <c r="AX442" i="13"/>
  <c r="AX408" i="13"/>
  <c r="AX402" i="13"/>
  <c r="AO49" i="13"/>
  <c r="BC89" i="13"/>
  <c r="BC90" i="13"/>
  <c r="AF496" i="13"/>
  <c r="AF474" i="13"/>
  <c r="AO187" i="13"/>
  <c r="AO208" i="13"/>
  <c r="AO188" i="13"/>
  <c r="AI496" i="13"/>
  <c r="AH120" i="13"/>
  <c r="AH122" i="13"/>
  <c r="AY122" i="13" s="1"/>
  <c r="AL119" i="13"/>
  <c r="AH121" i="13"/>
  <c r="AI121" i="13"/>
  <c r="AE191" i="13"/>
  <c r="AE190" i="13"/>
  <c r="AY189" i="13"/>
  <c r="AY190" i="13" s="1"/>
  <c r="AE114" i="13"/>
  <c r="AF191" i="13"/>
  <c r="AG496" i="13"/>
  <c r="AG474" i="13"/>
  <c r="BA105" i="13"/>
  <c r="BB104" i="13"/>
  <c r="BA12" i="13"/>
  <c r="O406" i="13"/>
  <c r="O409" i="13" s="1"/>
  <c r="O479" i="13" s="1"/>
  <c r="O405" i="13"/>
  <c r="AZ186" i="13"/>
  <c r="AZ107" i="13"/>
  <c r="AA405" i="13"/>
  <c r="AA406" i="13"/>
  <c r="AA409" i="13" s="1"/>
  <c r="Z291" i="13"/>
  <c r="AA289" i="13"/>
  <c r="AN225" i="13"/>
  <c r="AD298" i="13"/>
  <c r="AY374" i="13"/>
  <c r="AY375" i="13"/>
  <c r="AY474" i="13" s="1"/>
  <c r="AY404" i="13"/>
  <c r="AY376" i="13"/>
  <c r="AK77" i="13"/>
  <c r="AK76" i="13"/>
  <c r="AH294" i="13"/>
  <c r="AH288" i="13" s="1"/>
  <c r="AH274" i="13"/>
  <c r="AH273" i="13"/>
  <c r="AL272" i="13"/>
  <c r="AK225" i="13"/>
  <c r="AD123" i="13"/>
  <c r="AD125" i="13"/>
  <c r="AD124" i="13"/>
  <c r="AX122" i="13"/>
  <c r="AE125" i="13"/>
  <c r="AO118" i="13"/>
  <c r="AH190" i="13"/>
  <c r="AL189" i="13"/>
  <c r="AL185" i="13" s="1"/>
  <c r="AL184" i="13" s="1"/>
  <c r="AH191" i="13"/>
  <c r="AH114" i="13"/>
  <c r="Z405" i="13"/>
  <c r="Z406" i="13"/>
  <c r="Z409" i="13" s="1"/>
  <c r="Z479" i="13" s="1"/>
  <c r="AM186" i="13"/>
  <c r="BA108" i="13"/>
  <c r="AI264" i="13"/>
  <c r="AI265" i="13"/>
  <c r="AI272" i="13"/>
  <c r="AJ264" i="13"/>
  <c r="AU406" i="13"/>
  <c r="AU409" i="13" s="1"/>
  <c r="AU479" i="13" s="1"/>
  <c r="AU405" i="13"/>
  <c r="AH405" i="13"/>
  <c r="AH406" i="13"/>
  <c r="AH409" i="13" s="1"/>
  <c r="AB405" i="13"/>
  <c r="AB406" i="13"/>
  <c r="AB409" i="13" s="1"/>
  <c r="AK294" i="13"/>
  <c r="AK298" i="13" s="1"/>
  <c r="AK273" i="13"/>
  <c r="AO272" i="13"/>
  <c r="AI187" i="13"/>
  <c r="AI188" i="13"/>
  <c r="AI189" i="13"/>
  <c r="AI201" i="13"/>
  <c r="AI209" i="13"/>
  <c r="AJ188" i="13"/>
  <c r="AN77" i="13"/>
  <c r="AN76" i="13"/>
  <c r="AA496" i="13"/>
  <c r="W292" i="13"/>
  <c r="AW288" i="13"/>
  <c r="W301" i="13"/>
  <c r="W297" i="13"/>
  <c r="AY478" i="13"/>
  <c r="AY451" i="13"/>
  <c r="AY442" i="13"/>
  <c r="AY408" i="13"/>
  <c r="AY402" i="13"/>
  <c r="BB278" i="13"/>
  <c r="BA280" i="13"/>
  <c r="AH53" i="13"/>
  <c r="AH46" i="13"/>
  <c r="AH48" i="13"/>
  <c r="AH45" i="13"/>
  <c r="AK44" i="13"/>
  <c r="AH47" i="13"/>
  <c r="AX274" i="13"/>
  <c r="BB275" i="13"/>
  <c r="BA277" i="13"/>
  <c r="AY209" i="13"/>
  <c r="AY225" i="13"/>
  <c r="AX202" i="13"/>
  <c r="AX204" i="13"/>
  <c r="BA58" i="13"/>
  <c r="BA60" i="13"/>
  <c r="BB57" i="13"/>
  <c r="BA68" i="13"/>
  <c r="AG96" i="13"/>
  <c r="AG99" i="13" s="1"/>
  <c r="AG55" i="13"/>
  <c r="AG54" i="13"/>
  <c r="AG56" i="13"/>
  <c r="AA478" i="13"/>
  <c r="AX302" i="13" l="1"/>
  <c r="BA240" i="14"/>
  <c r="BI77" i="14"/>
  <c r="BI151" i="14" s="1"/>
  <c r="AZ295" i="14"/>
  <c r="AZ296" i="14" s="1"/>
  <c r="BI273" i="14"/>
  <c r="BH283" i="14"/>
  <c r="BG103" i="14"/>
  <c r="BF177" i="14"/>
  <c r="BD69" i="14"/>
  <c r="BE69" i="14" s="1"/>
  <c r="BF69" i="14" s="1"/>
  <c r="BG69" i="14" s="1"/>
  <c r="BH69" i="14" s="1"/>
  <c r="BI69" i="14" s="1"/>
  <c r="BJ69" i="14" s="1"/>
  <c r="AY250" i="14"/>
  <c r="AY251" i="14" s="1"/>
  <c r="AY247" i="14"/>
  <c r="BH172" i="14"/>
  <c r="BG171" i="14"/>
  <c r="BG64" i="14"/>
  <c r="BF61" i="14"/>
  <c r="BH41" i="14"/>
  <c r="BG141" i="14"/>
  <c r="BB84" i="14"/>
  <c r="BB50" i="14"/>
  <c r="AA292" i="14"/>
  <c r="AZ278" i="14"/>
  <c r="AZ259" i="14"/>
  <c r="BE62" i="14"/>
  <c r="BE56" i="14"/>
  <c r="AB302" i="14"/>
  <c r="AZ299" i="14"/>
  <c r="AZ300" i="14" s="1"/>
  <c r="BE100" i="14"/>
  <c r="BD174" i="14"/>
  <c r="BG66" i="14"/>
  <c r="BF157" i="14"/>
  <c r="BC175" i="14"/>
  <c r="AG270" i="14"/>
  <c r="AG282" i="14"/>
  <c r="AG280" i="14" s="1"/>
  <c r="AG269" i="14"/>
  <c r="AG271" i="14"/>
  <c r="AG268" i="14"/>
  <c r="BA242" i="14"/>
  <c r="BA243" i="14" s="1"/>
  <c r="BE80" i="14"/>
  <c r="BD154" i="14"/>
  <c r="BA238" i="14"/>
  <c r="BA239" i="14"/>
  <c r="BA241" i="14"/>
  <c r="AH270" i="14"/>
  <c r="BA270" i="14" s="1"/>
  <c r="BA266" i="14"/>
  <c r="BA267" i="14" s="1"/>
  <c r="AH282" i="14"/>
  <c r="AH268" i="14"/>
  <c r="AH269" i="14"/>
  <c r="AH271" i="14"/>
  <c r="AJ118" i="14"/>
  <c r="AJ5" i="14" s="1"/>
  <c r="AF78" i="3" s="1"/>
  <c r="AF74" i="3" s="1"/>
  <c r="AJ111" i="14"/>
  <c r="AI250" i="14"/>
  <c r="AI266" i="14"/>
  <c r="AI5" i="14"/>
  <c r="AE78" i="3" s="1"/>
  <c r="AE74" i="3" s="1"/>
  <c r="AI119" i="14"/>
  <c r="AI183" i="14"/>
  <c r="AI161" i="14"/>
  <c r="AI162" i="14" s="1"/>
  <c r="AI129" i="14"/>
  <c r="BC32" i="14"/>
  <c r="BD13" i="14"/>
  <c r="AH500" i="13"/>
  <c r="AC17" i="3"/>
  <c r="AB500" i="13"/>
  <c r="R479" i="13"/>
  <c r="AL34" i="3"/>
  <c r="AK34" i="3"/>
  <c r="AJ259" i="14"/>
  <c r="AE36" i="3"/>
  <c r="AC302" i="14"/>
  <c r="Y44" i="3" s="1"/>
  <c r="BJ37" i="14"/>
  <c r="BJ77" i="14"/>
  <c r="BJ151" i="14" s="1"/>
  <c r="AH239" i="14"/>
  <c r="AH235" i="14"/>
  <c r="AH236" i="14" s="1"/>
  <c r="AI240" i="14"/>
  <c r="AI242" i="14"/>
  <c r="AI237" i="14"/>
  <c r="AI232" i="14"/>
  <c r="AI229" i="14" s="1"/>
  <c r="AH229" i="14"/>
  <c r="AG239" i="14"/>
  <c r="AG235" i="14"/>
  <c r="AG236" i="14" s="1"/>
  <c r="AH77" i="3"/>
  <c r="AG72" i="3"/>
  <c r="AH75" i="3"/>
  <c r="AH76" i="3"/>
  <c r="U479" i="13"/>
  <c r="R500" i="13"/>
  <c r="AJ185" i="13"/>
  <c r="AJ184" i="13" s="1"/>
  <c r="AK488" i="13" s="1"/>
  <c r="AN189" i="13"/>
  <c r="AO191" i="13" s="1"/>
  <c r="AJ114" i="13"/>
  <c r="AX234" i="13"/>
  <c r="AB236" i="13"/>
  <c r="AB247" i="13" s="1"/>
  <c r="AF237" i="13"/>
  <c r="AF241" i="13"/>
  <c r="AF235" i="13"/>
  <c r="AF246" i="13" s="1"/>
  <c r="AF242" i="13"/>
  <c r="AF248" i="13" s="1"/>
  <c r="AF239" i="13"/>
  <c r="AF243" i="13"/>
  <c r="AF249" i="13" s="1"/>
  <c r="AF240" i="13"/>
  <c r="AF234" i="13"/>
  <c r="AK85" i="14"/>
  <c r="AK109" i="14"/>
  <c r="AK124" i="14"/>
  <c r="AJ127" i="14"/>
  <c r="AJ125" i="14"/>
  <c r="AM35" i="14"/>
  <c r="AM49" i="14"/>
  <c r="AO39" i="14"/>
  <c r="AN34" i="14"/>
  <c r="AN138" i="14"/>
  <c r="AL50" i="14"/>
  <c r="AL84" i="14"/>
  <c r="Z295" i="14"/>
  <c r="Z299" i="14" s="1"/>
  <c r="Z278" i="14"/>
  <c r="Z259" i="14"/>
  <c r="BA4" i="14"/>
  <c r="BA6" i="14"/>
  <c r="BA163" i="14"/>
  <c r="BA162" i="14"/>
  <c r="AF207" i="14"/>
  <c r="X278" i="14"/>
  <c r="X292" i="14" s="1"/>
  <c r="X259" i="14"/>
  <c r="X295" i="14"/>
  <c r="AY258" i="14"/>
  <c r="Y295" i="14"/>
  <c r="Y299" i="14" s="1"/>
  <c r="Y302" i="14" s="1"/>
  <c r="U44" i="3" s="1"/>
  <c r="Y278" i="14"/>
  <c r="Y292" i="14" s="1"/>
  <c r="Y199" i="14" s="1"/>
  <c r="Y205" i="14" s="1"/>
  <c r="Y206" i="14" s="1"/>
  <c r="Y207" i="14" s="1"/>
  <c r="Y259" i="14"/>
  <c r="AE278" i="14"/>
  <c r="AE292" i="14" s="1"/>
  <c r="AE199" i="14" s="1"/>
  <c r="AE205" i="14" s="1"/>
  <c r="AE206" i="14" s="1"/>
  <c r="AE259" i="14"/>
  <c r="AE295" i="14"/>
  <c r="AY251" i="13"/>
  <c r="AY126" i="13"/>
  <c r="AY124" i="13"/>
  <c r="AY119" i="13"/>
  <c r="AY123" i="13"/>
  <c r="AY128" i="13" s="1"/>
  <c r="AX128" i="13" s="1"/>
  <c r="AL488" i="13"/>
  <c r="AL461" i="13"/>
  <c r="AL109" i="13"/>
  <c r="BB58" i="13"/>
  <c r="BC57" i="13"/>
  <c r="BB68" i="13"/>
  <c r="AK95" i="13"/>
  <c r="AK45" i="13"/>
  <c r="AK47" i="13"/>
  <c r="AK46" i="13"/>
  <c r="AW292" i="13"/>
  <c r="AW293" i="13" s="1"/>
  <c r="W293" i="13"/>
  <c r="AZ272" i="13"/>
  <c r="AZ260" i="13" s="1"/>
  <c r="AI274" i="13"/>
  <c r="AI273" i="13"/>
  <c r="AM272" i="13"/>
  <c r="AM260" i="13" s="1"/>
  <c r="AI294" i="13"/>
  <c r="AI298" i="13" s="1"/>
  <c r="AJ273" i="13"/>
  <c r="AL294" i="13"/>
  <c r="AL298" i="13" s="1"/>
  <c r="AL273" i="13"/>
  <c r="AP272" i="13"/>
  <c r="AP260" i="13" s="1"/>
  <c r="AY405" i="13"/>
  <c r="AY406" i="13"/>
  <c r="AY409" i="13" s="1"/>
  <c r="AA291" i="13"/>
  <c r="AB289" i="13"/>
  <c r="AO225" i="13"/>
  <c r="AN182" i="13"/>
  <c r="AM171" i="13"/>
  <c r="R474" i="13"/>
  <c r="R496" i="13"/>
  <c r="AD236" i="13"/>
  <c r="AD247" i="13" s="1"/>
  <c r="V112" i="13"/>
  <c r="V111" i="13"/>
  <c r="AV110" i="13"/>
  <c r="AV111" i="13" s="1"/>
  <c r="V474" i="13"/>
  <c r="AJ95" i="13"/>
  <c r="AJ98" i="13" s="1"/>
  <c r="AJ45" i="13"/>
  <c r="AJ47" i="13"/>
  <c r="AJ46" i="13"/>
  <c r="AJ53" i="13"/>
  <c r="AP187" i="13"/>
  <c r="AP208" i="13"/>
  <c r="AP188" i="13"/>
  <c r="AG479" i="13"/>
  <c r="AF500" i="13"/>
  <c r="AM465" i="13"/>
  <c r="AM256" i="13"/>
  <c r="O375" i="13"/>
  <c r="P496" i="13" s="1"/>
  <c r="O376" i="13"/>
  <c r="O374" i="13"/>
  <c r="X406" i="13"/>
  <c r="X409" i="13" s="1"/>
  <c r="X479" i="13" s="1"/>
  <c r="X405" i="13"/>
  <c r="X113" i="13"/>
  <c r="W110" i="13"/>
  <c r="Q496" i="13"/>
  <c r="Q474" i="13"/>
  <c r="AA292" i="13"/>
  <c r="AX288" i="13"/>
  <c r="AA297" i="13"/>
  <c r="AA301" i="13"/>
  <c r="AP24" i="13"/>
  <c r="AP15" i="13"/>
  <c r="AP87" i="13"/>
  <c r="BA23" i="13"/>
  <c r="BA214" i="13"/>
  <c r="BA210" i="13"/>
  <c r="AF479" i="13"/>
  <c r="AI190" i="13"/>
  <c r="AM189" i="13"/>
  <c r="AM185" i="13" s="1"/>
  <c r="AM184" i="13" s="1"/>
  <c r="AI191" i="13"/>
  <c r="AZ189" i="13"/>
  <c r="AZ190" i="13" s="1"/>
  <c r="AI114" i="13"/>
  <c r="AJ191" i="13"/>
  <c r="AX123" i="13"/>
  <c r="AX126" i="13"/>
  <c r="AX124" i="13"/>
  <c r="AX119" i="13"/>
  <c r="AX120" i="13" s="1"/>
  <c r="O500" i="13"/>
  <c r="AH125" i="13"/>
  <c r="AH124" i="13"/>
  <c r="AH123" i="13"/>
  <c r="AI125" i="13"/>
  <c r="AO461" i="13"/>
  <c r="AO109" i="13"/>
  <c r="AU375" i="13"/>
  <c r="AU376" i="13"/>
  <c r="AU374" i="13"/>
  <c r="AK461" i="13"/>
  <c r="AK109" i="13"/>
  <c r="AD406" i="13"/>
  <c r="AD409" i="13" s="1"/>
  <c r="AD479" i="13" s="1"/>
  <c r="AD405" i="13"/>
  <c r="AD500" i="13" s="1"/>
  <c r="Y499" i="13"/>
  <c r="Y478" i="13"/>
  <c r="Y451" i="13"/>
  <c r="Y402" i="13"/>
  <c r="Y442" i="13" s="1"/>
  <c r="Y408" i="13"/>
  <c r="AC478" i="13"/>
  <c r="Z499" i="13"/>
  <c r="AA236" i="13"/>
  <c r="AA247" i="13" s="1"/>
  <c r="AH75" i="13"/>
  <c r="AH40" i="13"/>
  <c r="AH41" i="13"/>
  <c r="AI40" i="13"/>
  <c r="AY39" i="13"/>
  <c r="AE240" i="13"/>
  <c r="AE243" i="13"/>
  <c r="AE249" i="13" s="1"/>
  <c r="AE242" i="13"/>
  <c r="AE248" i="13" s="1"/>
  <c r="AE237" i="13"/>
  <c r="AE234" i="13"/>
  <c r="AE239" i="13"/>
  <c r="AE241" i="13"/>
  <c r="AE235" i="13"/>
  <c r="AE246" i="13" s="1"/>
  <c r="AL225" i="13"/>
  <c r="AZ208" i="13"/>
  <c r="AY274" i="13"/>
  <c r="AI96" i="13"/>
  <c r="AI55" i="13"/>
  <c r="AI54" i="13"/>
  <c r="AI56" i="13"/>
  <c r="AZ455" i="13"/>
  <c r="AZ167" i="13"/>
  <c r="AZ36" i="13"/>
  <c r="AJ502" i="13"/>
  <c r="AW674" i="13"/>
  <c r="AX675" i="13" s="1"/>
  <c r="AW660" i="13"/>
  <c r="AW662" i="13" s="1"/>
  <c r="AX661" i="13" s="1"/>
  <c r="AX662" i="13" s="1"/>
  <c r="AY661" i="13" s="1"/>
  <c r="AY662" i="13" s="1"/>
  <c r="AZ661" i="13" s="1"/>
  <c r="AI202" i="13"/>
  <c r="AI204" i="13"/>
  <c r="AI500" i="13"/>
  <c r="BB299" i="13"/>
  <c r="BB295" i="13" s="1"/>
  <c r="BC275" i="13"/>
  <c r="AH298" i="13"/>
  <c r="AA500" i="13"/>
  <c r="P500" i="13"/>
  <c r="AX405" i="13"/>
  <c r="AX406" i="13"/>
  <c r="AX409" i="13" s="1"/>
  <c r="AD496" i="13"/>
  <c r="AD474" i="13"/>
  <c r="AH474" i="13"/>
  <c r="Y404" i="13"/>
  <c r="Y376" i="13"/>
  <c r="Y374" i="13"/>
  <c r="Y375" i="13"/>
  <c r="AJ489" i="13"/>
  <c r="AJ465" i="13"/>
  <c r="AJ256" i="13"/>
  <c r="AC500" i="13"/>
  <c r="AH49" i="13"/>
  <c r="BC174" i="13"/>
  <c r="BC213" i="13" s="1"/>
  <c r="BB213" i="13"/>
  <c r="AT375" i="13"/>
  <c r="AT474" i="13" s="1"/>
  <c r="AT376" i="13"/>
  <c r="AT374" i="13"/>
  <c r="AN298" i="13"/>
  <c r="AX678" i="13"/>
  <c r="AX676" i="13"/>
  <c r="AX679" i="13"/>
  <c r="AX680" i="13" s="1"/>
  <c r="AY675" i="13"/>
  <c r="AX241" i="13"/>
  <c r="AX240" i="13"/>
  <c r="AX243" i="13"/>
  <c r="AX242" i="13"/>
  <c r="AX248" i="13" s="1"/>
  <c r="AX237" i="13"/>
  <c r="AX239" i="13"/>
  <c r="AX235" i="13"/>
  <c r="AX246" i="13" s="1"/>
  <c r="AH55" i="13"/>
  <c r="AH54" i="13"/>
  <c r="AH56" i="13"/>
  <c r="AP189" i="13"/>
  <c r="AL191" i="13"/>
  <c r="AL114" i="13"/>
  <c r="AH301" i="13"/>
  <c r="AH297" i="13"/>
  <c r="AV376" i="13"/>
  <c r="AV374" i="13"/>
  <c r="AV375" i="13"/>
  <c r="P479" i="13"/>
  <c r="T479" i="13"/>
  <c r="AK502" i="13"/>
  <c r="AK483" i="13"/>
  <c r="AK455" i="13"/>
  <c r="AK85" i="13"/>
  <c r="AK97" i="13" s="1"/>
  <c r="AK167" i="13"/>
  <c r="AK53" i="13"/>
  <c r="AK36" i="13"/>
  <c r="S405" i="13"/>
  <c r="S406" i="13"/>
  <c r="S409" i="13" s="1"/>
  <c r="S479" i="13" s="1"/>
  <c r="V479" i="13"/>
  <c r="AX333" i="13"/>
  <c r="AX334" i="13"/>
  <c r="AL86" i="13"/>
  <c r="AL17" i="13"/>
  <c r="AL39" i="13"/>
  <c r="AL49" i="13" s="1"/>
  <c r="AL18" i="13"/>
  <c r="AL16" i="13"/>
  <c r="AM17" i="13"/>
  <c r="AL35" i="13"/>
  <c r="AE479" i="13"/>
  <c r="AO114" i="13"/>
  <c r="AO51" i="13"/>
  <c r="AO50" i="13"/>
  <c r="AO52" i="13"/>
  <c r="AO294" i="13"/>
  <c r="AO273" i="13"/>
  <c r="BA186" i="13"/>
  <c r="BA107" i="13"/>
  <c r="AZ185" i="13"/>
  <c r="AZ184" i="13" s="1"/>
  <c r="AZ187" i="13"/>
  <c r="BB108" i="13"/>
  <c r="BB186" i="13" s="1"/>
  <c r="BC104" i="13"/>
  <c r="BB12" i="13"/>
  <c r="AV406" i="13"/>
  <c r="AV409" i="13" s="1"/>
  <c r="AV479" i="13" s="1"/>
  <c r="AV405" i="13"/>
  <c r="AV675" i="13"/>
  <c r="AV678" i="13"/>
  <c r="AV676" i="13"/>
  <c r="AV679" i="13"/>
  <c r="AV680" i="13" s="1"/>
  <c r="AO76" i="13"/>
  <c r="AO77" i="13"/>
  <c r="S374" i="13"/>
  <c r="S375" i="13"/>
  <c r="W474" i="13" s="1"/>
  <c r="S376" i="13"/>
  <c r="AH242" i="13"/>
  <c r="AH248" i="13" s="1"/>
  <c r="AH238" i="13"/>
  <c r="AH243" i="13"/>
  <c r="AH249" i="13" s="1"/>
  <c r="AH241" i="13"/>
  <c r="AH234" i="13"/>
  <c r="AH237" i="13"/>
  <c r="AH240" i="13"/>
  <c r="AH239" i="13"/>
  <c r="AH235" i="13"/>
  <c r="AH246" i="13" s="1"/>
  <c r="U474" i="13"/>
  <c r="P474" i="13"/>
  <c r="T474" i="13"/>
  <c r="AY185" i="13"/>
  <c r="AY184" i="13" s="1"/>
  <c r="AG236" i="13"/>
  <c r="AG247" i="13" s="1"/>
  <c r="N496" i="13"/>
  <c r="N474" i="13"/>
  <c r="AE496" i="13"/>
  <c r="M496" i="13"/>
  <c r="M474" i="13"/>
  <c r="AO260" i="13"/>
  <c r="AU678" i="13"/>
  <c r="AU676" i="13"/>
  <c r="AU679" i="13"/>
  <c r="AU680" i="13" s="1"/>
  <c r="AL260" i="13"/>
  <c r="AI98" i="13"/>
  <c r="AY226" i="13"/>
  <c r="AY227" i="13"/>
  <c r="AO121" i="13"/>
  <c r="AO122" i="13"/>
  <c r="X496" i="13"/>
  <c r="X474" i="13"/>
  <c r="Q500" i="13"/>
  <c r="AN467" i="13"/>
  <c r="AN261" i="13"/>
  <c r="AN251" i="13"/>
  <c r="AN123" i="13"/>
  <c r="AN125" i="13"/>
  <c r="AN124" i="13"/>
  <c r="AZ265" i="13"/>
  <c r="W406" i="13"/>
  <c r="W409" i="13" s="1"/>
  <c r="W405" i="13"/>
  <c r="W500" i="13" s="1"/>
  <c r="AM292" i="13"/>
  <c r="AM265" i="13"/>
  <c r="AM264" i="13"/>
  <c r="AN264" i="13"/>
  <c r="AP264" i="13"/>
  <c r="AP265" i="13"/>
  <c r="AP292" i="13"/>
  <c r="AY260" i="13"/>
  <c r="AL44" i="13"/>
  <c r="AW404" i="13"/>
  <c r="AW376" i="13"/>
  <c r="AW374" i="13"/>
  <c r="AW375" i="13"/>
  <c r="AP119" i="13"/>
  <c r="AL121" i="13"/>
  <c r="AL122" i="13"/>
  <c r="AZ122" i="13" s="1"/>
  <c r="AM121" i="13"/>
  <c r="BB300" i="13"/>
  <c r="BB296" i="13" s="1"/>
  <c r="BC278" i="13"/>
  <c r="AW297" i="13"/>
  <c r="AW301" i="13"/>
  <c r="AM187" i="13"/>
  <c r="AM208" i="13"/>
  <c r="AM188" i="13"/>
  <c r="AN188" i="13"/>
  <c r="BA116" i="13"/>
  <c r="BC88" i="13"/>
  <c r="AL505" i="13"/>
  <c r="AL459" i="13"/>
  <c r="AL486" i="13"/>
  <c r="AL168" i="13"/>
  <c r="AK251" i="13"/>
  <c r="AK124" i="13"/>
  <c r="AK123" i="13"/>
  <c r="AK125" i="13"/>
  <c r="AZ25" i="13"/>
  <c r="AZ15" i="13"/>
  <c r="AZ85" i="13" s="1"/>
  <c r="AZ97" i="13" s="1"/>
  <c r="AZ87" i="13"/>
  <c r="W496" i="13"/>
  <c r="BB266" i="13"/>
  <c r="BA263" i="13"/>
  <c r="BA268" i="13"/>
  <c r="AY294" i="13"/>
  <c r="AY302" i="13" s="1"/>
  <c r="AE288" i="13"/>
  <c r="AW478" i="13"/>
  <c r="AW451" i="13"/>
  <c r="AW442" i="13"/>
  <c r="AW402" i="13"/>
  <c r="AW408" i="13"/>
  <c r="AI6" i="14" l="1"/>
  <c r="AE12" i="3"/>
  <c r="AE29" i="4" s="1"/>
  <c r="AI191" i="14"/>
  <c r="BE73" i="14"/>
  <c r="BA268" i="14"/>
  <c r="AE500" i="13"/>
  <c r="BH66" i="14"/>
  <c r="BG157" i="14"/>
  <c r="AJ183" i="14"/>
  <c r="AJ185" i="14" s="1"/>
  <c r="BA271" i="14"/>
  <c r="BF62" i="14"/>
  <c r="BF56" i="14"/>
  <c r="BF73" i="14" s="1"/>
  <c r="BF74" i="14" s="1"/>
  <c r="BI41" i="14"/>
  <c r="BH141" i="14"/>
  <c r="BA269" i="14"/>
  <c r="BF100" i="14"/>
  <c r="BE174" i="14"/>
  <c r="BG61" i="14"/>
  <c r="BH64" i="14"/>
  <c r="BH103" i="14"/>
  <c r="BG177" i="14"/>
  <c r="AY259" i="14"/>
  <c r="AY278" i="14"/>
  <c r="AA199" i="14"/>
  <c r="AA205" i="14" s="1"/>
  <c r="AA206" i="14" s="1"/>
  <c r="AA207" i="14" s="1"/>
  <c r="AZ292" i="14"/>
  <c r="AZ293" i="14" s="1"/>
  <c r="BI172" i="14"/>
  <c r="BH171" i="14"/>
  <c r="BJ273" i="14"/>
  <c r="BJ283" i="14" s="1"/>
  <c r="BI283" i="14"/>
  <c r="AJ119" i="14"/>
  <c r="BJ135" i="14"/>
  <c r="X44" i="3"/>
  <c r="AZ302" i="14"/>
  <c r="BB85" i="14"/>
  <c r="BB109" i="14"/>
  <c r="BB5" i="14" s="1"/>
  <c r="BB4" i="14" s="1"/>
  <c r="BB124" i="14"/>
  <c r="BB125" i="14" s="1"/>
  <c r="BD73" i="14"/>
  <c r="BD74" i="14" s="1"/>
  <c r="BD146" i="14"/>
  <c r="BD147" i="14"/>
  <c r="BF80" i="14"/>
  <c r="BE154" i="14"/>
  <c r="AJ226" i="14"/>
  <c r="AJ250" i="14" s="1"/>
  <c r="BA282" i="14"/>
  <c r="AH280" i="14"/>
  <c r="AH230" i="14"/>
  <c r="BA229" i="14"/>
  <c r="BA230" i="14" s="1"/>
  <c r="AK118" i="14"/>
  <c r="AK5" i="14" s="1"/>
  <c r="AG78" i="3" s="1"/>
  <c r="AG74" i="3" s="1"/>
  <c r="AK111" i="14"/>
  <c r="AJ266" i="14"/>
  <c r="AJ161" i="14"/>
  <c r="AJ162" i="14" s="1"/>
  <c r="AJ129" i="14"/>
  <c r="AI230" i="14"/>
  <c r="AI185" i="14"/>
  <c r="AI282" i="14"/>
  <c r="AI269" i="14"/>
  <c r="AI268" i="14"/>
  <c r="AI271" i="14"/>
  <c r="AI270" i="14"/>
  <c r="BA235" i="14"/>
  <c r="BA236" i="14" s="1"/>
  <c r="BE13" i="14"/>
  <c r="BD31" i="14"/>
  <c r="AG246" i="14"/>
  <c r="AW474" i="13"/>
  <c r="W479" i="13"/>
  <c r="AV474" i="13"/>
  <c r="AH246" i="14"/>
  <c r="AJ237" i="14"/>
  <c r="AJ232" i="14"/>
  <c r="AJ229" i="14" s="1"/>
  <c r="AJ230" i="14" s="1"/>
  <c r="AK259" i="14"/>
  <c r="AF36" i="3"/>
  <c r="AI239" i="14"/>
  <c r="AI235" i="14"/>
  <c r="AI236" i="14" s="1"/>
  <c r="AI76" i="3"/>
  <c r="AI75" i="3"/>
  <c r="AH72" i="3"/>
  <c r="AI77" i="3"/>
  <c r="AV681" i="13"/>
  <c r="AF236" i="13"/>
  <c r="AF247" i="13" s="1"/>
  <c r="AV677" i="13"/>
  <c r="AK98" i="13"/>
  <c r="AN185" i="13"/>
  <c r="AN184" i="13" s="1"/>
  <c r="AN488" i="13" s="1"/>
  <c r="AN114" i="13"/>
  <c r="AJ165" i="13"/>
  <c r="AJ488" i="13"/>
  <c r="AJ461" i="13"/>
  <c r="AJ109" i="13"/>
  <c r="AL124" i="14"/>
  <c r="AL85" i="14"/>
  <c r="AL109" i="14"/>
  <c r="AN35" i="14"/>
  <c r="AN49" i="14"/>
  <c r="AK127" i="14"/>
  <c r="AK125" i="14"/>
  <c r="AP39" i="14"/>
  <c r="BC39" i="14" s="1"/>
  <c r="AO34" i="14"/>
  <c r="AO138" i="14"/>
  <c r="AF12" i="3"/>
  <c r="AF29" i="4" s="1"/>
  <c r="AJ6" i="14"/>
  <c r="AM50" i="14"/>
  <c r="AM84" i="14"/>
  <c r="AC207" i="14"/>
  <c r="X299" i="14"/>
  <c r="AY295" i="14"/>
  <c r="AY296" i="14" s="1"/>
  <c r="X199" i="14"/>
  <c r="AZ251" i="13"/>
  <c r="AZ124" i="13"/>
  <c r="AZ119" i="13"/>
  <c r="AZ120" i="13" s="1"/>
  <c r="AZ123" i="13"/>
  <c r="AZ128" i="13" s="1"/>
  <c r="AM488" i="13"/>
  <c r="AM461" i="13"/>
  <c r="AM109" i="13"/>
  <c r="AL251" i="13"/>
  <c r="AL123" i="13"/>
  <c r="AL125" i="13"/>
  <c r="AL124" i="13"/>
  <c r="AM125" i="13"/>
  <c r="AY467" i="13"/>
  <c r="AY419" i="13"/>
  <c r="AY261" i="13"/>
  <c r="AY286" i="13"/>
  <c r="AO490" i="13"/>
  <c r="AO467" i="13"/>
  <c r="AO261" i="13"/>
  <c r="AP191" i="13"/>
  <c r="AP114" i="13"/>
  <c r="AY677" i="13"/>
  <c r="BC210" i="13"/>
  <c r="Y496" i="13"/>
  <c r="Y474" i="13"/>
  <c r="AC474" i="13"/>
  <c r="Z496" i="13"/>
  <c r="AZ209" i="13"/>
  <c r="AZ225" i="13"/>
  <c r="AB479" i="13"/>
  <c r="Y113" i="13"/>
  <c r="X110" i="13"/>
  <c r="AJ96" i="13"/>
  <c r="AJ99" i="13" s="1"/>
  <c r="AJ54" i="13"/>
  <c r="AJ56" i="13"/>
  <c r="AJ55" i="13"/>
  <c r="AO182" i="13"/>
  <c r="AN171" i="13"/>
  <c r="BA265" i="13"/>
  <c r="AN489" i="13"/>
  <c r="AN465" i="13"/>
  <c r="AN256" i="13"/>
  <c r="AY332" i="13"/>
  <c r="AY229" i="13"/>
  <c r="AY231" i="13"/>
  <c r="AY228" i="13"/>
  <c r="BC108" i="13"/>
  <c r="BC186" i="13" s="1"/>
  <c r="BC12" i="13"/>
  <c r="AO298" i="13"/>
  <c r="AH50" i="13"/>
  <c r="AH52" i="13"/>
  <c r="AH51" i="13"/>
  <c r="AI50" i="13"/>
  <c r="AZ165" i="13"/>
  <c r="AU474" i="13"/>
  <c r="X500" i="13"/>
  <c r="BC266" i="13"/>
  <c r="BC263" i="13" s="1"/>
  <c r="BB263" i="13"/>
  <c r="AP122" i="13"/>
  <c r="AP121" i="13"/>
  <c r="AZ467" i="13"/>
  <c r="AZ261" i="13"/>
  <c r="AO251" i="13"/>
  <c r="AO123" i="13"/>
  <c r="AO125" i="13"/>
  <c r="AO124" i="13"/>
  <c r="BB187" i="13"/>
  <c r="BB208" i="13"/>
  <c r="AI243" i="13"/>
  <c r="AI249" i="13" s="1"/>
  <c r="AI241" i="13"/>
  <c r="AI242" i="13"/>
  <c r="AI248" i="13" s="1"/>
  <c r="AI238" i="13"/>
  <c r="AI234" i="13"/>
  <c r="AI237" i="13"/>
  <c r="AI240" i="13"/>
  <c r="AI239" i="13"/>
  <c r="AI235" i="13"/>
  <c r="AI246" i="13" s="1"/>
  <c r="AP294" i="13"/>
  <c r="AP298" i="13" s="1"/>
  <c r="AP273" i="13"/>
  <c r="AZ274" i="13"/>
  <c r="BA117" i="13"/>
  <c r="BB116" i="13"/>
  <c r="BC116" i="13" s="1"/>
  <c r="AM490" i="13"/>
  <c r="AM467" i="13"/>
  <c r="AM261" i="13"/>
  <c r="Y405" i="13"/>
  <c r="Y406" i="13"/>
  <c r="Y409" i="13" s="1"/>
  <c r="AY298" i="13"/>
  <c r="AY41" i="13"/>
  <c r="AY75" i="13"/>
  <c r="AY77" i="13" s="1"/>
  <c r="AY49" i="13"/>
  <c r="AY42" i="13"/>
  <c r="AY95" i="13"/>
  <c r="AA479" i="13"/>
  <c r="AX301" i="13"/>
  <c r="AX297" i="13"/>
  <c r="AM44" i="13"/>
  <c r="AK465" i="13"/>
  <c r="AK489" i="13"/>
  <c r="AK256" i="13"/>
  <c r="BC300" i="13"/>
  <c r="BC296" i="13" s="1"/>
  <c r="AP490" i="13"/>
  <c r="AP467" i="13"/>
  <c r="AP261" i="13"/>
  <c r="BA292" i="13"/>
  <c r="AL490" i="13"/>
  <c r="AL467" i="13"/>
  <c r="AL261" i="13"/>
  <c r="AZ461" i="13"/>
  <c r="AL75" i="13"/>
  <c r="AL41" i="13"/>
  <c r="AL40" i="13"/>
  <c r="AM40" i="13"/>
  <c r="AZ39" i="13"/>
  <c r="S500" i="13"/>
  <c r="T500" i="13"/>
  <c r="AH96" i="13"/>
  <c r="AH99" i="13" s="1"/>
  <c r="AZ44" i="13"/>
  <c r="AZ53" i="13" s="1"/>
  <c r="AJ253" i="13"/>
  <c r="AJ257" i="13"/>
  <c r="AA293" i="13"/>
  <c r="AC289" i="13"/>
  <c r="AB291" i="13"/>
  <c r="AB292" i="13"/>
  <c r="AB293" i="13" s="1"/>
  <c r="AY120" i="13"/>
  <c r="AL483" i="13"/>
  <c r="AL502" i="13"/>
  <c r="AL455" i="13"/>
  <c r="AL167" i="13"/>
  <c r="AL85" i="13"/>
  <c r="AL97" i="13" s="1"/>
  <c r="AL53" i="13"/>
  <c r="AY53" i="13" s="1"/>
  <c r="AL36" i="13"/>
  <c r="AL71" i="13" s="1"/>
  <c r="AL72" i="13" s="1"/>
  <c r="AL52" i="13"/>
  <c r="AL51" i="13"/>
  <c r="AL50" i="13"/>
  <c r="AM50" i="13"/>
  <c r="AK37" i="13"/>
  <c r="AK38" i="13"/>
  <c r="AK71" i="13"/>
  <c r="AK72" i="13" s="1"/>
  <c r="AH479" i="13"/>
  <c r="AW675" i="13"/>
  <c r="AW678" i="13"/>
  <c r="AW676" i="13"/>
  <c r="AW677" i="13" s="1"/>
  <c r="AW679" i="13"/>
  <c r="AW680" i="13" s="1"/>
  <c r="AW681" i="13" s="1"/>
  <c r="AM191" i="13"/>
  <c r="BA189" i="13"/>
  <c r="BA185" i="13" s="1"/>
  <c r="BA184" i="13" s="1"/>
  <c r="AM114" i="13"/>
  <c r="AN191" i="13"/>
  <c r="BA25" i="13"/>
  <c r="BB23" i="13"/>
  <c r="BA15" i="13"/>
  <c r="BA87" i="13"/>
  <c r="O496" i="13"/>
  <c r="O474" i="13"/>
  <c r="AP225" i="13"/>
  <c r="BC58" i="13"/>
  <c r="BC68" i="13"/>
  <c r="AY288" i="13"/>
  <c r="AE301" i="13"/>
  <c r="AE297" i="13"/>
  <c r="AZ18" i="13"/>
  <c r="AZ63" i="13"/>
  <c r="AZ16" i="13"/>
  <c r="AZ86" i="13"/>
  <c r="AZ35" i="13"/>
  <c r="AM225" i="13"/>
  <c r="BA208" i="13"/>
  <c r="AW405" i="13"/>
  <c r="AW406" i="13"/>
  <c r="AW409" i="13" s="1"/>
  <c r="AW479" i="13" s="1"/>
  <c r="AN490" i="13"/>
  <c r="S496" i="13"/>
  <c r="S474" i="13"/>
  <c r="T496" i="13"/>
  <c r="BA187" i="13"/>
  <c r="AK96" i="13"/>
  <c r="AK54" i="13"/>
  <c r="AK56" i="13"/>
  <c r="AK55" i="13"/>
  <c r="AM257" i="13"/>
  <c r="AM253" i="13"/>
  <c r="AX474" i="13"/>
  <c r="AZ294" i="13"/>
  <c r="AI288" i="13"/>
  <c r="AL95" i="13"/>
  <c r="AL98" i="13" s="1"/>
  <c r="AL45" i="13"/>
  <c r="AL47" i="13"/>
  <c r="AL46" i="13"/>
  <c r="AY461" i="13"/>
  <c r="AY417" i="13"/>
  <c r="AY165" i="13"/>
  <c r="AH236" i="13"/>
  <c r="AH247" i="13" s="1"/>
  <c r="AK482" i="13"/>
  <c r="AK165" i="13"/>
  <c r="AX236" i="13"/>
  <c r="AX247" i="13" s="1"/>
  <c r="AY681" i="13"/>
  <c r="BB210" i="13"/>
  <c r="BC299" i="13"/>
  <c r="BC295" i="13" s="1"/>
  <c r="AZ38" i="13"/>
  <c r="AZ71" i="13"/>
  <c r="AZ72" i="13" s="1"/>
  <c r="AE236" i="13"/>
  <c r="AE247" i="13" s="1"/>
  <c r="AH76" i="13"/>
  <c r="AH77" i="13"/>
  <c r="AI76" i="13"/>
  <c r="AP18" i="13"/>
  <c r="AP17" i="13"/>
  <c r="AP39" i="13"/>
  <c r="AP16" i="13"/>
  <c r="AP86" i="13"/>
  <c r="AP35" i="13"/>
  <c r="W111" i="13"/>
  <c r="W112" i="13"/>
  <c r="AP185" i="13"/>
  <c r="AP184" i="13" s="1"/>
  <c r="AM486" i="13"/>
  <c r="AM459" i="13"/>
  <c r="AM168" i="13"/>
  <c r="AY479" i="13"/>
  <c r="BA272" i="13"/>
  <c r="AM294" i="13"/>
  <c r="AM273" i="13"/>
  <c r="AN273" i="13"/>
  <c r="AY465" i="13"/>
  <c r="AY418" i="13"/>
  <c r="AY252" i="13"/>
  <c r="AY258" i="13"/>
  <c r="AJ242" i="14" l="1"/>
  <c r="AK226" i="14"/>
  <c r="AK242" i="14" s="1"/>
  <c r="AJ240" i="14"/>
  <c r="AE207" i="14"/>
  <c r="BC40" i="14"/>
  <c r="BD40" i="14" s="1"/>
  <c r="BE40" i="14" s="1"/>
  <c r="BF40" i="14" s="1"/>
  <c r="BG40" i="14" s="1"/>
  <c r="BH40" i="14" s="1"/>
  <c r="BI40" i="14" s="1"/>
  <c r="BJ40" i="14" s="1"/>
  <c r="AK183" i="14"/>
  <c r="AK185" i="14" s="1"/>
  <c r="BJ172" i="14"/>
  <c r="BJ171" i="14" s="1"/>
  <c r="BI171" i="14"/>
  <c r="BG56" i="14"/>
  <c r="BG73" i="14" s="1"/>
  <c r="BG74" i="14" s="1"/>
  <c r="BG62" i="14"/>
  <c r="BG100" i="14"/>
  <c r="BF174" i="14"/>
  <c r="AG258" i="14"/>
  <c r="AG192" i="14"/>
  <c r="AG193" i="14" s="1"/>
  <c r="AG247" i="14"/>
  <c r="AG248" i="14"/>
  <c r="AK119" i="14"/>
  <c r="BI66" i="14"/>
  <c r="BH157" i="14"/>
  <c r="BB118" i="14"/>
  <c r="BB111" i="14"/>
  <c r="BB110" i="14"/>
  <c r="BJ41" i="14"/>
  <c r="BJ141" i="14" s="1"/>
  <c r="BI141" i="14"/>
  <c r="BH177" i="14"/>
  <c r="BI103" i="14"/>
  <c r="BE74" i="14"/>
  <c r="AZ303" i="14"/>
  <c r="BI44" i="3"/>
  <c r="I33" i="1" s="1"/>
  <c r="BI64" i="14"/>
  <c r="BH61" i="14"/>
  <c r="BE147" i="14"/>
  <c r="BE146" i="14"/>
  <c r="BG80" i="14"/>
  <c r="BF154" i="14"/>
  <c r="BA280" i="14"/>
  <c r="AH258" i="14"/>
  <c r="AH192" i="14"/>
  <c r="AH193" i="14" s="1"/>
  <c r="BA246" i="14"/>
  <c r="AH247" i="14"/>
  <c r="AH248" i="14"/>
  <c r="AK161" i="14"/>
  <c r="AK162" i="14" s="1"/>
  <c r="AK129" i="14"/>
  <c r="AK250" i="14"/>
  <c r="AK266" i="14"/>
  <c r="AJ282" i="14"/>
  <c r="AJ280" i="14" s="1"/>
  <c r="AJ268" i="14"/>
  <c r="AJ271" i="14"/>
  <c r="AJ269" i="14"/>
  <c r="AJ270" i="14"/>
  <c r="AJ191" i="14"/>
  <c r="AL118" i="14"/>
  <c r="AL226" i="14" s="1"/>
  <c r="AL111" i="14"/>
  <c r="AI280" i="14"/>
  <c r="BD32" i="14"/>
  <c r="BF13" i="14"/>
  <c r="BE31" i="14"/>
  <c r="AK237" i="14"/>
  <c r="AK240" i="14"/>
  <c r="AK232" i="14"/>
  <c r="AK229" i="14" s="1"/>
  <c r="AK230" i="14" s="1"/>
  <c r="AH260" i="14"/>
  <c r="AL259" i="14"/>
  <c r="AG36" i="3"/>
  <c r="AI246" i="14"/>
  <c r="AJ235" i="14"/>
  <c r="AJ236" i="14" s="1"/>
  <c r="AJ239" i="14"/>
  <c r="AJ77" i="3"/>
  <c r="AI72" i="3"/>
  <c r="AJ75" i="3"/>
  <c r="AJ76" i="3"/>
  <c r="AJ238" i="13"/>
  <c r="AJ243" i="13"/>
  <c r="AJ249" i="13" s="1"/>
  <c r="AJ242" i="13"/>
  <c r="AJ248" i="13" s="1"/>
  <c r="AJ239" i="13"/>
  <c r="AJ454" i="13"/>
  <c r="AJ240" i="13"/>
  <c r="AJ201" i="13"/>
  <c r="AJ237" i="13"/>
  <c r="AJ166" i="13"/>
  <c r="AJ464" i="13" s="1"/>
  <c r="AJ235" i="13"/>
  <c r="AJ246" i="13" s="1"/>
  <c r="AJ241" i="13"/>
  <c r="AJ323" i="13"/>
  <c r="AX479" i="13"/>
  <c r="AK99" i="13"/>
  <c r="AN461" i="13"/>
  <c r="AN109" i="13"/>
  <c r="AO488" i="13"/>
  <c r="AX681" i="13"/>
  <c r="AN50" i="14"/>
  <c r="AN84" i="14"/>
  <c r="AK6" i="14"/>
  <c r="AG12" i="3"/>
  <c r="AG29" i="4" s="1"/>
  <c r="AM124" i="14"/>
  <c r="AM85" i="14"/>
  <c r="AM109" i="14"/>
  <c r="AO35" i="14"/>
  <c r="AO49" i="14"/>
  <c r="AL5" i="14"/>
  <c r="AH78" i="3" s="1"/>
  <c r="AH74" i="3" s="1"/>
  <c r="AP34" i="14"/>
  <c r="BC34" i="14" s="1"/>
  <c r="AP138" i="14"/>
  <c r="BC138" i="14" s="1"/>
  <c r="AL127" i="14"/>
  <c r="AL125" i="14"/>
  <c r="X205" i="14"/>
  <c r="X206" i="14" s="1"/>
  <c r="X302" i="14"/>
  <c r="T44" i="3" s="1"/>
  <c r="AY299" i="14"/>
  <c r="AY300" i="14" s="1"/>
  <c r="AY454" i="13"/>
  <c r="AY201" i="13"/>
  <c r="AY166" i="13"/>
  <c r="AY464" i="13" s="1"/>
  <c r="AY301" i="13"/>
  <c r="AY297" i="13"/>
  <c r="BA190" i="13"/>
  <c r="BB189" i="13"/>
  <c r="AC291" i="13"/>
  <c r="AD289" i="13"/>
  <c r="AC292" i="13"/>
  <c r="AM95" i="13"/>
  <c r="AM98" i="13" s="1"/>
  <c r="AM47" i="13"/>
  <c r="AM46" i="13"/>
  <c r="AM45" i="13"/>
  <c r="AI236" i="13"/>
  <c r="AI247" i="13" s="1"/>
  <c r="AZ454" i="13"/>
  <c r="AZ323" i="13"/>
  <c r="AZ418" i="13" s="1"/>
  <c r="AZ201" i="13"/>
  <c r="AZ202" i="13" s="1"/>
  <c r="AZ166" i="13"/>
  <c r="BC187" i="13"/>
  <c r="BC208" i="13"/>
  <c r="AI297" i="13"/>
  <c r="AI301" i="13"/>
  <c r="AP251" i="13"/>
  <c r="AP125" i="13"/>
  <c r="AP124" i="13"/>
  <c r="AP123" i="13"/>
  <c r="AP488" i="13"/>
  <c r="AP461" i="13"/>
  <c r="AP109" i="13"/>
  <c r="AZ75" i="13"/>
  <c r="AZ77" i="13" s="1"/>
  <c r="AZ42" i="13"/>
  <c r="AZ41" i="13"/>
  <c r="Y479" i="13"/>
  <c r="AC479" i="13"/>
  <c r="BB292" i="13"/>
  <c r="BB265" i="13"/>
  <c r="AI99" i="13"/>
  <c r="AX677" i="13"/>
  <c r="BB272" i="13"/>
  <c r="BB260" i="13" s="1"/>
  <c r="BA274" i="13"/>
  <c r="AZ49" i="13"/>
  <c r="AZ96" i="13" s="1"/>
  <c r="BA18" i="13"/>
  <c r="BA63" i="13"/>
  <c r="BA16" i="13"/>
  <c r="BA86" i="13"/>
  <c r="BA35" i="13"/>
  <c r="AL37" i="13"/>
  <c r="AL38" i="13"/>
  <c r="BA122" i="13"/>
  <c r="Y500" i="13"/>
  <c r="Z500" i="13"/>
  <c r="BC292" i="13"/>
  <c r="BC265" i="13"/>
  <c r="AY230" i="13"/>
  <c r="BA260" i="13"/>
  <c r="AP40" i="13"/>
  <c r="AP75" i="13"/>
  <c r="AP41" i="13"/>
  <c r="BA39" i="13"/>
  <c r="BA294" i="13"/>
  <c r="AM298" i="13"/>
  <c r="BA298" i="13" s="1"/>
  <c r="AK454" i="13"/>
  <c r="AK323" i="13"/>
  <c r="AK201" i="13"/>
  <c r="AK166" i="13"/>
  <c r="AK464" i="13" s="1"/>
  <c r="AK242" i="13"/>
  <c r="AK248" i="13" s="1"/>
  <c r="AK241" i="13"/>
  <c r="AK243" i="13"/>
  <c r="AK249" i="13" s="1"/>
  <c r="AK237" i="13"/>
  <c r="AK239" i="13"/>
  <c r="AK240" i="13"/>
  <c r="AK238" i="13"/>
  <c r="AK235" i="13"/>
  <c r="AK246" i="13" s="1"/>
  <c r="BC23" i="13"/>
  <c r="BB15" i="13"/>
  <c r="BB87" i="13"/>
  <c r="AL96" i="13"/>
  <c r="AL99" i="13" s="1"/>
  <c r="AL54" i="13"/>
  <c r="AL56" i="13"/>
  <c r="AL55" i="13"/>
  <c r="BA293" i="13"/>
  <c r="AK257" i="13"/>
  <c r="AK253" i="13"/>
  <c r="AO489" i="13"/>
  <c r="AO465" i="13"/>
  <c r="AO256" i="13"/>
  <c r="X111" i="13"/>
  <c r="X112" i="13"/>
  <c r="AL489" i="13"/>
  <c r="AL465" i="13"/>
  <c r="AL256" i="13"/>
  <c r="AM489" i="13"/>
  <c r="AZ55" i="13"/>
  <c r="BA209" i="13"/>
  <c r="BA225" i="13"/>
  <c r="AY333" i="13"/>
  <c r="AY334" i="13"/>
  <c r="Z113" i="13"/>
  <c r="Y110" i="13"/>
  <c r="AM483" i="13"/>
  <c r="AM455" i="13"/>
  <c r="AM85" i="13"/>
  <c r="AM97" i="13" s="1"/>
  <c r="AM167" i="13"/>
  <c r="AM53" i="13"/>
  <c r="AM36" i="13"/>
  <c r="BA461" i="13"/>
  <c r="AL482" i="13"/>
  <c r="AL165" i="13"/>
  <c r="AZ73" i="13"/>
  <c r="AZ74" i="13" s="1"/>
  <c r="AZ46" i="13"/>
  <c r="AZ95" i="13"/>
  <c r="AZ47" i="13"/>
  <c r="AL76" i="13"/>
  <c r="AL77" i="13"/>
  <c r="AM76" i="13"/>
  <c r="AY51" i="13"/>
  <c r="AY52" i="13"/>
  <c r="AZ302" i="13"/>
  <c r="AN253" i="13"/>
  <c r="AN257" i="13"/>
  <c r="AN486" i="13"/>
  <c r="AN459" i="13"/>
  <c r="AN168" i="13"/>
  <c r="AZ465" i="13"/>
  <c r="AZ252" i="13"/>
  <c r="AP49" i="13"/>
  <c r="AY96" i="13"/>
  <c r="AY55" i="13"/>
  <c r="AZ298" i="13"/>
  <c r="BB225" i="13"/>
  <c r="AP182" i="13"/>
  <c r="AO171" i="13"/>
  <c r="AN44" i="13"/>
  <c r="BD39" i="14" l="1"/>
  <c r="BC139" i="14"/>
  <c r="BC147" i="14"/>
  <c r="BC148" i="14" s="1"/>
  <c r="BH56" i="14"/>
  <c r="BH73" i="14" s="1"/>
  <c r="BH74" i="14" s="1"/>
  <c r="BH62" i="14"/>
  <c r="BC35" i="14"/>
  <c r="BC49" i="14"/>
  <c r="BB6" i="14"/>
  <c r="BJ64" i="14"/>
  <c r="BI61" i="14"/>
  <c r="AG249" i="14"/>
  <c r="AC27" i="3"/>
  <c r="BB226" i="14"/>
  <c r="BB119" i="14"/>
  <c r="AG260" i="14"/>
  <c r="AG278" i="14" s="1"/>
  <c r="AG292" i="14" s="1"/>
  <c r="AG199" i="14" s="1"/>
  <c r="AG205" i="14" s="1"/>
  <c r="AG206" i="14" s="1"/>
  <c r="AG207" i="14" s="1"/>
  <c r="BI157" i="14"/>
  <c r="BJ66" i="14"/>
  <c r="BJ157" i="14" s="1"/>
  <c r="BH100" i="14"/>
  <c r="BG174" i="14"/>
  <c r="BJ103" i="14"/>
  <c r="BJ177" i="14" s="1"/>
  <c r="BI177" i="14"/>
  <c r="BE39" i="14"/>
  <c r="BE148" i="14" s="1"/>
  <c r="BD138" i="14"/>
  <c r="BD34" i="14"/>
  <c r="BD148" i="14"/>
  <c r="BF146" i="14"/>
  <c r="BF147" i="14"/>
  <c r="BH80" i="14"/>
  <c r="BG154" i="14"/>
  <c r="AL119" i="14"/>
  <c r="AL183" i="14"/>
  <c r="AL185" i="14" s="1"/>
  <c r="AH249" i="14"/>
  <c r="AD27" i="3"/>
  <c r="AH278" i="14"/>
  <c r="AH295" i="14"/>
  <c r="AH218" i="14"/>
  <c r="AH219" i="14" s="1"/>
  <c r="AH220" i="14" s="1"/>
  <c r="AH221" i="14" s="1"/>
  <c r="AK282" i="14"/>
  <c r="AK280" i="14" s="1"/>
  <c r="AK270" i="14"/>
  <c r="AK269" i="14"/>
  <c r="AK268" i="14"/>
  <c r="AK271" i="14"/>
  <c r="AK191" i="14"/>
  <c r="AL250" i="14"/>
  <c r="AL266" i="14"/>
  <c r="AM118" i="14"/>
  <c r="AM5" i="14" s="1"/>
  <c r="AI78" i="3" s="1"/>
  <c r="AI74" i="3" s="1"/>
  <c r="AM111" i="14"/>
  <c r="AL161" i="14"/>
  <c r="AL162" i="14" s="1"/>
  <c r="AL129" i="14"/>
  <c r="BB127" i="14"/>
  <c r="AI258" i="14"/>
  <c r="AI192" i="14"/>
  <c r="AI193" i="14" s="1"/>
  <c r="AI247" i="14"/>
  <c r="AI248" i="14"/>
  <c r="BE32" i="14"/>
  <c r="BG13" i="14"/>
  <c r="BF31" i="14"/>
  <c r="AJ236" i="13"/>
  <c r="AJ247" i="13" s="1"/>
  <c r="AK235" i="14"/>
  <c r="AK239" i="14"/>
  <c r="AI260" i="14"/>
  <c r="AL240" i="14"/>
  <c r="BB240" i="14" s="1"/>
  <c r="BB241" i="14" s="1"/>
  <c r="AL237" i="14"/>
  <c r="BB237" i="14" s="1"/>
  <c r="AL242" i="14"/>
  <c r="BB242" i="14" s="1"/>
  <c r="BB243" i="14" s="1"/>
  <c r="AL232" i="14"/>
  <c r="AL229" i="14" s="1"/>
  <c r="AJ246" i="14"/>
  <c r="AM259" i="14"/>
  <c r="AH36" i="3"/>
  <c r="AZ48" i="13"/>
  <c r="AK75" i="3"/>
  <c r="AK76" i="3"/>
  <c r="AJ72" i="3"/>
  <c r="AK77" i="3"/>
  <c r="AJ321" i="13"/>
  <c r="AJ316" i="13" s="1"/>
  <c r="AJ417" i="13"/>
  <c r="AJ414" i="13"/>
  <c r="AJ419" i="13"/>
  <c r="AJ416" i="13"/>
  <c r="AJ618" i="13"/>
  <c r="AJ413" i="13"/>
  <c r="AJ48" i="13"/>
  <c r="AJ492" i="13"/>
  <c r="AJ420" i="13"/>
  <c r="AJ415" i="13"/>
  <c r="AJ335" i="13"/>
  <c r="AJ469" i="13"/>
  <c r="AJ324" i="13" s="1"/>
  <c r="AJ411" i="13"/>
  <c r="AJ470" i="13"/>
  <c r="AJ412" i="13"/>
  <c r="AJ418" i="13"/>
  <c r="AJ202" i="13"/>
  <c r="AJ203" i="13"/>
  <c r="AZ464" i="13"/>
  <c r="AP49" i="14"/>
  <c r="AP35" i="14"/>
  <c r="AH12" i="3"/>
  <c r="AH29" i="4" s="1"/>
  <c r="AL6" i="14"/>
  <c r="AO50" i="14"/>
  <c r="AO84" i="14"/>
  <c r="AN124" i="14"/>
  <c r="AN85" i="14"/>
  <c r="AN109" i="14"/>
  <c r="AM127" i="14"/>
  <c r="AM125" i="14"/>
  <c r="X207" i="14"/>
  <c r="AB207" i="14"/>
  <c r="AP171" i="13"/>
  <c r="BA182" i="13"/>
  <c r="BC15" i="13"/>
  <c r="BC87" i="13"/>
  <c r="BA75" i="13"/>
  <c r="BA77" i="13" s="1"/>
  <c r="BB39" i="13"/>
  <c r="BB49" i="13" s="1"/>
  <c r="BA42" i="13"/>
  <c r="BA41" i="13"/>
  <c r="BC189" i="13"/>
  <c r="BC185" i="13" s="1"/>
  <c r="BC184" i="13" s="1"/>
  <c r="BB185" i="13"/>
  <c r="BB184" i="13" s="1"/>
  <c r="AM482" i="13"/>
  <c r="AM165" i="13"/>
  <c r="BB467" i="13"/>
  <c r="BB261" i="13"/>
  <c r="AZ52" i="13"/>
  <c r="AZ51" i="13"/>
  <c r="AO253" i="13"/>
  <c r="AO257" i="13"/>
  <c r="AK203" i="13"/>
  <c r="AK202" i="13"/>
  <c r="AP76" i="13"/>
  <c r="AP77" i="13"/>
  <c r="AP489" i="13"/>
  <c r="AP465" i="13"/>
  <c r="AP256" i="13"/>
  <c r="AN455" i="13"/>
  <c r="AN483" i="13"/>
  <c r="AN85" i="13"/>
  <c r="AN97" i="13" s="1"/>
  <c r="AN167" i="13"/>
  <c r="AN53" i="13"/>
  <c r="AN36" i="13"/>
  <c r="AN71" i="13" s="1"/>
  <c r="AN72" i="13" s="1"/>
  <c r="AK618" i="13"/>
  <c r="AK492" i="13"/>
  <c r="AK508" i="13"/>
  <c r="AK469" i="13"/>
  <c r="AK324" i="13" s="1"/>
  <c r="AK470" i="13"/>
  <c r="AK335" i="13"/>
  <c r="AK321" i="13"/>
  <c r="AK420" i="13"/>
  <c r="AK413" i="13"/>
  <c r="AK414" i="13"/>
  <c r="AK416" i="13"/>
  <c r="AK419" i="13"/>
  <c r="AK415" i="13"/>
  <c r="AK48" i="13"/>
  <c r="AK417" i="13"/>
  <c r="AK412" i="13"/>
  <c r="AK418" i="13"/>
  <c r="AK411" i="13"/>
  <c r="BB294" i="13"/>
  <c r="BB298" i="13" s="1"/>
  <c r="BC272" i="13"/>
  <c r="AZ589" i="13"/>
  <c r="AZ541" i="13"/>
  <c r="AZ609" i="13" s="1"/>
  <c r="AZ526" i="13"/>
  <c r="AZ520" i="13"/>
  <c r="AZ470" i="13"/>
  <c r="AZ469" i="13"/>
  <c r="AZ324" i="13" s="1"/>
  <c r="AZ335" i="13"/>
  <c r="AZ416" i="13"/>
  <c r="AZ669" i="13"/>
  <c r="AZ414" i="13"/>
  <c r="AZ413" i="13"/>
  <c r="AZ420" i="13"/>
  <c r="AZ415" i="13"/>
  <c r="AZ412" i="13"/>
  <c r="AZ417" i="13"/>
  <c r="AZ419" i="13"/>
  <c r="AZ126" i="13"/>
  <c r="AJ508" i="13"/>
  <c r="AZ411" i="13"/>
  <c r="AP50" i="13"/>
  <c r="AP52" i="13"/>
  <c r="AP51" i="13"/>
  <c r="BB63" i="13"/>
  <c r="BB16" i="13"/>
  <c r="BB18" i="13"/>
  <c r="BB86" i="13"/>
  <c r="BB35" i="13"/>
  <c r="BA251" i="13"/>
  <c r="BA124" i="13"/>
  <c r="BA119" i="13"/>
  <c r="BA123" i="13"/>
  <c r="BA128" i="13" s="1"/>
  <c r="AN95" i="13"/>
  <c r="AN98" i="13" s="1"/>
  <c r="AN47" i="13"/>
  <c r="AN46" i="13"/>
  <c r="AN45" i="13"/>
  <c r="AO44" i="13"/>
  <c r="AP44" i="13" s="1"/>
  <c r="Y111" i="13"/>
  <c r="Y112" i="13"/>
  <c r="AL257" i="13"/>
  <c r="AZ257" i="13" s="1"/>
  <c r="AZ127" i="13" s="1"/>
  <c r="AL253" i="13"/>
  <c r="AZ256" i="13"/>
  <c r="BA302" i="13"/>
  <c r="BC225" i="13"/>
  <c r="AM37" i="13"/>
  <c r="AM38" i="13"/>
  <c r="AM71" i="13"/>
  <c r="AM72" i="13" s="1"/>
  <c r="AA113" i="13"/>
  <c r="Z110" i="13"/>
  <c r="AW110" i="13" s="1"/>
  <c r="AW111" i="13" s="1"/>
  <c r="AK236" i="13"/>
  <c r="AK247" i="13" s="1"/>
  <c r="BA467" i="13"/>
  <c r="BA261" i="13"/>
  <c r="AC293" i="13"/>
  <c r="AY202" i="13"/>
  <c r="AY204" i="13"/>
  <c r="AY234" i="13" s="1"/>
  <c r="AO486" i="13"/>
  <c r="AO459" i="13"/>
  <c r="AO168" i="13"/>
  <c r="AL454" i="13"/>
  <c r="AL323" i="13"/>
  <c r="AL201" i="13"/>
  <c r="AL166" i="13"/>
  <c r="AL464" i="13" s="1"/>
  <c r="AL243" i="13"/>
  <c r="AL249" i="13" s="1"/>
  <c r="AL238" i="13"/>
  <c r="AL242" i="13"/>
  <c r="AL248" i="13" s="1"/>
  <c r="AL241" i="13"/>
  <c r="AL237" i="13"/>
  <c r="AL240" i="13"/>
  <c r="AL239" i="13"/>
  <c r="AL235" i="13"/>
  <c r="AL246" i="13" s="1"/>
  <c r="AM54" i="13"/>
  <c r="AM56" i="13"/>
  <c r="AM55" i="13"/>
  <c r="AM96" i="13"/>
  <c r="AM99" i="13" s="1"/>
  <c r="BA49" i="13"/>
  <c r="AD291" i="13"/>
  <c r="AE289" i="13"/>
  <c r="AD292" i="13"/>
  <c r="AD293" i="13" s="1"/>
  <c r="AX289" i="13"/>
  <c r="AX291" i="13" s="1"/>
  <c r="BA260" i="14" l="1"/>
  <c r="AL191" i="14"/>
  <c r="BI100" i="14"/>
  <c r="BH174" i="14"/>
  <c r="BC84" i="14"/>
  <c r="BC50" i="14"/>
  <c r="BD35" i="14"/>
  <c r="BD49" i="14"/>
  <c r="BB183" i="14"/>
  <c r="BB248" i="14" s="1"/>
  <c r="BI56" i="14"/>
  <c r="BI73" i="14" s="1"/>
  <c r="BI74" i="14" s="1"/>
  <c r="BI62" i="14"/>
  <c r="BE138" i="14"/>
  <c r="BF39" i="14"/>
  <c r="BE34" i="14"/>
  <c r="BJ61" i="14"/>
  <c r="AG295" i="14"/>
  <c r="AG299" i="14" s="1"/>
  <c r="AG302" i="14" s="1"/>
  <c r="AG218" i="14"/>
  <c r="AG219" i="14" s="1"/>
  <c r="AG220" i="14" s="1"/>
  <c r="AG221" i="14" s="1"/>
  <c r="BG147" i="14"/>
  <c r="BG146" i="14"/>
  <c r="BI80" i="14"/>
  <c r="BH154" i="14"/>
  <c r="AH299" i="14"/>
  <c r="BA278" i="14"/>
  <c r="AH292" i="14"/>
  <c r="BA249" i="14"/>
  <c r="BJ27" i="3"/>
  <c r="J31" i="1" s="1"/>
  <c r="AM226" i="14"/>
  <c r="AM250" i="14" s="1"/>
  <c r="AJ258" i="14"/>
  <c r="AJ260" i="14" s="1"/>
  <c r="AJ247" i="14"/>
  <c r="AJ192" i="14"/>
  <c r="AJ193" i="14" s="1"/>
  <c r="AJ248" i="14"/>
  <c r="AN118" i="14"/>
  <c r="AN5" i="14" s="1"/>
  <c r="AJ78" i="3" s="1"/>
  <c r="AJ74" i="3" s="1"/>
  <c r="AN111" i="14"/>
  <c r="AI249" i="14"/>
  <c r="AE27" i="3"/>
  <c r="AM183" i="14"/>
  <c r="AM185" i="14" s="1"/>
  <c r="BB238" i="14"/>
  <c r="BB239" i="14"/>
  <c r="AI295" i="14"/>
  <c r="AI218" i="14"/>
  <c r="AI219" i="14" s="1"/>
  <c r="AI220" i="14" s="1"/>
  <c r="AI221" i="14" s="1"/>
  <c r="AL230" i="14"/>
  <c r="BB229" i="14"/>
  <c r="BB230" i="14" s="1"/>
  <c r="AI278" i="14"/>
  <c r="AL282" i="14"/>
  <c r="AL271" i="14"/>
  <c r="AL270" i="14"/>
  <c r="AL268" i="14"/>
  <c r="AL269" i="14"/>
  <c r="BB266" i="14"/>
  <c r="BB267" i="14" s="1"/>
  <c r="AM161" i="14"/>
  <c r="AM162" i="14" s="1"/>
  <c r="AM129" i="14"/>
  <c r="BB235" i="14"/>
  <c r="BB236" i="14" s="1"/>
  <c r="AM119" i="14"/>
  <c r="BB128" i="14"/>
  <c r="BB129" i="14"/>
  <c r="BB161" i="14"/>
  <c r="BH13" i="14"/>
  <c r="BG31" i="14"/>
  <c r="BF32" i="14"/>
  <c r="AL77" i="3"/>
  <c r="AN259" i="14"/>
  <c r="AI36" i="3"/>
  <c r="AL235" i="14"/>
  <c r="AL239" i="14"/>
  <c r="AL76" i="3"/>
  <c r="AK246" i="14"/>
  <c r="AK236" i="14"/>
  <c r="AL75" i="3"/>
  <c r="AK72" i="3"/>
  <c r="AJ620" i="13"/>
  <c r="AJ619" i="13"/>
  <c r="AJ623" i="13"/>
  <c r="AJ226" i="13"/>
  <c r="AJ227" i="13"/>
  <c r="AJ205" i="13"/>
  <c r="AP50" i="14"/>
  <c r="AP84" i="14"/>
  <c r="AN127" i="14"/>
  <c r="AN125" i="14"/>
  <c r="AO124" i="14"/>
  <c r="AO85" i="14"/>
  <c r="AO109" i="14"/>
  <c r="AI12" i="3"/>
  <c r="AI29" i="4" s="1"/>
  <c r="AM6" i="14"/>
  <c r="BB52" i="13"/>
  <c r="BB51" i="13"/>
  <c r="AN482" i="13"/>
  <c r="AN165" i="13"/>
  <c r="AM454" i="13"/>
  <c r="AM323" i="13"/>
  <c r="AM166" i="13"/>
  <c r="AM464" i="13" s="1"/>
  <c r="AM201" i="13"/>
  <c r="AM241" i="13"/>
  <c r="AM243" i="13"/>
  <c r="AM249" i="13" s="1"/>
  <c r="AM238" i="13"/>
  <c r="AM242" i="13"/>
  <c r="AM248" i="13" s="1"/>
  <c r="AM240" i="13"/>
  <c r="AM237" i="13"/>
  <c r="AM239" i="13"/>
  <c r="AM235" i="13"/>
  <c r="AM246" i="13" s="1"/>
  <c r="AO483" i="13"/>
  <c r="AO455" i="13"/>
  <c r="AO167" i="13"/>
  <c r="AO53" i="13"/>
  <c r="AO36" i="13"/>
  <c r="AO71" i="13" s="1"/>
  <c r="AO72" i="13" s="1"/>
  <c r="AO85" i="13"/>
  <c r="AO97" i="13" s="1"/>
  <c r="AF289" i="13"/>
  <c r="AE291" i="13"/>
  <c r="AE292" i="13"/>
  <c r="BA120" i="13"/>
  <c r="BB119" i="13"/>
  <c r="BC63" i="13"/>
  <c r="BC18" i="13"/>
  <c r="BC16" i="13"/>
  <c r="BC86" i="13"/>
  <c r="BC35" i="13"/>
  <c r="AP95" i="13"/>
  <c r="AP46" i="13"/>
  <c r="AP45" i="13"/>
  <c r="AY241" i="13"/>
  <c r="AY240" i="13"/>
  <c r="AY242" i="13"/>
  <c r="AY248" i="13" s="1"/>
  <c r="AY243" i="13"/>
  <c r="AY249" i="13" s="1"/>
  <c r="AY237" i="13"/>
  <c r="AY239" i="13"/>
  <c r="AY238" i="13"/>
  <c r="AY235" i="13"/>
  <c r="AY246" i="13" s="1"/>
  <c r="Z112" i="13"/>
  <c r="Z111" i="13"/>
  <c r="AO95" i="13"/>
  <c r="AO98" i="13" s="1"/>
  <c r="AO46" i="13"/>
  <c r="AO45" i="13"/>
  <c r="AO47" i="13"/>
  <c r="AK316" i="13"/>
  <c r="AK623" i="13"/>
  <c r="AK619" i="13"/>
  <c r="AK620" i="13"/>
  <c r="BB461" i="13"/>
  <c r="BB182" i="13"/>
  <c r="BA171" i="13"/>
  <c r="AZ604" i="13"/>
  <c r="BA52" i="13"/>
  <c r="BA51" i="13"/>
  <c r="AL203" i="13"/>
  <c r="AZ203" i="13" s="1"/>
  <c r="AL202" i="13"/>
  <c r="AB113" i="13"/>
  <c r="AA110" i="13"/>
  <c r="AP253" i="13"/>
  <c r="AP257" i="13"/>
  <c r="AK205" i="13"/>
  <c r="AK227" i="13"/>
  <c r="AK226" i="13"/>
  <c r="BC461" i="13"/>
  <c r="AP486" i="13"/>
  <c r="AP459" i="13"/>
  <c r="AP168" i="13"/>
  <c r="BB75" i="13"/>
  <c r="BB77" i="13" s="1"/>
  <c r="BC39" i="13"/>
  <c r="BB42" i="13"/>
  <c r="BB95" i="13"/>
  <c r="AL618" i="13"/>
  <c r="AZ618" i="13" s="1"/>
  <c r="AZ633" i="13" s="1"/>
  <c r="AL508" i="13"/>
  <c r="AL469" i="13"/>
  <c r="AL324" i="13" s="1"/>
  <c r="AL470" i="13"/>
  <c r="AL492" i="13"/>
  <c r="AL335" i="13"/>
  <c r="AL321" i="13"/>
  <c r="AL316" i="13" s="1"/>
  <c r="AL416" i="13"/>
  <c r="AL413" i="13"/>
  <c r="AL420" i="13"/>
  <c r="AL414" i="13"/>
  <c r="AL415" i="13"/>
  <c r="AL417" i="13"/>
  <c r="AL412" i="13"/>
  <c r="AL419" i="13"/>
  <c r="AL48" i="13"/>
  <c r="AL418" i="13"/>
  <c r="AL411" i="13"/>
  <c r="AX292" i="13"/>
  <c r="AX293" i="13" s="1"/>
  <c r="AZ258" i="13"/>
  <c r="AZ253" i="13"/>
  <c r="BA465" i="13"/>
  <c r="BA252" i="13"/>
  <c r="BC294" i="13"/>
  <c r="BC298" i="13" s="1"/>
  <c r="BC260" i="13"/>
  <c r="AN38" i="13"/>
  <c r="AN37" i="13"/>
  <c r="BA256" i="13"/>
  <c r="AL236" i="13"/>
  <c r="AL247" i="13" s="1"/>
  <c r="AN96" i="13"/>
  <c r="AN99" i="13" s="1"/>
  <c r="AN56" i="13"/>
  <c r="AN55" i="13"/>
  <c r="AN54" i="13"/>
  <c r="BA44" i="13"/>
  <c r="BA295" i="14" l="1"/>
  <c r="BA296" i="14" s="1"/>
  <c r="BJ56" i="14"/>
  <c r="BJ73" i="14" s="1"/>
  <c r="BJ74" i="14" s="1"/>
  <c r="BJ62" i="14"/>
  <c r="BD84" i="14"/>
  <c r="BD50" i="14"/>
  <c r="BE35" i="14"/>
  <c r="BE49" i="14"/>
  <c r="BG39" i="14"/>
  <c r="BF138" i="14"/>
  <c r="BF34" i="14"/>
  <c r="BC109" i="14"/>
  <c r="BC85" i="14"/>
  <c r="BC124" i="14"/>
  <c r="BC125" i="14" s="1"/>
  <c r="BJ100" i="14"/>
  <c r="BJ174" i="14" s="1"/>
  <c r="BI174" i="14"/>
  <c r="BF148" i="14"/>
  <c r="AM232" i="14"/>
  <c r="AM229" i="14" s="1"/>
  <c r="BA299" i="14"/>
  <c r="BA300" i="14" s="1"/>
  <c r="AH302" i="14"/>
  <c r="AG303" i="14"/>
  <c r="AC44" i="3"/>
  <c r="BA302" i="14"/>
  <c r="BA303" i="14" s="1"/>
  <c r="BH147" i="14"/>
  <c r="BH146" i="14"/>
  <c r="BJ80" i="14"/>
  <c r="BJ154" i="14" s="1"/>
  <c r="BI154" i="14"/>
  <c r="AM237" i="14"/>
  <c r="AM240" i="14"/>
  <c r="AM242" i="14"/>
  <c r="AM266" i="14"/>
  <c r="AM191" i="14" s="1"/>
  <c r="AH199" i="14"/>
  <c r="AH205" i="14" s="1"/>
  <c r="AH206" i="14" s="1"/>
  <c r="AH207" i="14" s="1"/>
  <c r="BA292" i="14"/>
  <c r="BA293" i="14" s="1"/>
  <c r="AN183" i="14"/>
  <c r="AN185" i="14" s="1"/>
  <c r="AN119" i="14"/>
  <c r="AO118" i="14"/>
  <c r="AO226" i="14" s="1"/>
  <c r="AO111" i="14"/>
  <c r="AK258" i="14"/>
  <c r="AK260" i="14" s="1"/>
  <c r="AK247" i="14"/>
  <c r="AK192" i="14"/>
  <c r="AK193" i="14" s="1"/>
  <c r="AK248" i="14"/>
  <c r="AN161" i="14"/>
  <c r="AN162" i="14" s="1"/>
  <c r="AN129" i="14"/>
  <c r="AN226" i="14"/>
  <c r="AN240" i="14" s="1"/>
  <c r="AJ278" i="14"/>
  <c r="AJ292" i="14" s="1"/>
  <c r="AJ199" i="14" s="1"/>
  <c r="AJ205" i="14" s="1"/>
  <c r="AJ206" i="14" s="1"/>
  <c r="AJ207" i="14" s="1"/>
  <c r="AJ249" i="14"/>
  <c r="AF27" i="3"/>
  <c r="AJ295" i="14"/>
  <c r="AJ299" i="14" s="1"/>
  <c r="AJ302" i="14" s="1"/>
  <c r="AJ218" i="14"/>
  <c r="AJ219" i="14" s="1"/>
  <c r="AJ220" i="14" s="1"/>
  <c r="AJ221" i="14" s="1"/>
  <c r="AI292" i="14"/>
  <c r="AI299" i="14"/>
  <c r="AI302" i="14" s="1"/>
  <c r="BB163" i="14"/>
  <c r="BB162" i="14"/>
  <c r="BB269" i="14"/>
  <c r="BB268" i="14"/>
  <c r="BB270" i="14"/>
  <c r="BB271" i="14"/>
  <c r="AM269" i="14"/>
  <c r="AM268" i="14"/>
  <c r="AL280" i="14"/>
  <c r="BB282" i="14"/>
  <c r="BG32" i="14"/>
  <c r="BI13" i="14"/>
  <c r="BH31" i="14"/>
  <c r="AL72" i="3"/>
  <c r="AN237" i="14"/>
  <c r="AL246" i="14"/>
  <c r="AL236" i="14"/>
  <c r="AO259" i="14"/>
  <c r="AJ36" i="3"/>
  <c r="AM235" i="14"/>
  <c r="AM236" i="14" s="1"/>
  <c r="AM239" i="14"/>
  <c r="AJ229" i="13"/>
  <c r="AJ228" i="13"/>
  <c r="AJ198" i="13"/>
  <c r="AJ230" i="13"/>
  <c r="AJ234" i="13" s="1"/>
  <c r="AP98" i="13"/>
  <c r="AO125" i="14"/>
  <c r="AO127" i="14"/>
  <c r="AP109" i="14"/>
  <c r="AP124" i="14"/>
  <c r="AP85" i="14"/>
  <c r="AJ12" i="3"/>
  <c r="AJ29" i="4" s="1"/>
  <c r="AN6" i="14"/>
  <c r="AO5" i="14"/>
  <c r="AK78" i="3" s="1"/>
  <c r="AK74" i="3" s="1"/>
  <c r="AP483" i="13"/>
  <c r="AP455" i="13"/>
  <c r="AP167" i="13"/>
  <c r="AP85" i="13"/>
  <c r="AP97" i="13" s="1"/>
  <c r="AP53" i="13"/>
  <c r="AP36" i="13"/>
  <c r="AK229" i="13"/>
  <c r="AK198" i="13"/>
  <c r="AK230" i="13"/>
  <c r="AK234" i="13" s="1"/>
  <c r="AK228" i="13"/>
  <c r="AY236" i="13"/>
  <c r="AY247" i="13" s="1"/>
  <c r="BB122" i="13"/>
  <c r="BC119" i="13"/>
  <c r="BC122" i="13" s="1"/>
  <c r="AO38" i="13"/>
  <c r="AO37" i="13"/>
  <c r="AM236" i="13"/>
  <c r="AM247" i="13" s="1"/>
  <c r="AM618" i="13"/>
  <c r="AM492" i="13"/>
  <c r="AM469" i="13"/>
  <c r="AM324" i="13" s="1"/>
  <c r="AM470" i="13"/>
  <c r="AM321" i="13"/>
  <c r="AM335" i="13"/>
  <c r="AM416" i="13"/>
  <c r="AM413" i="13"/>
  <c r="AM420" i="13"/>
  <c r="AM414" i="13"/>
  <c r="AM418" i="13"/>
  <c r="AM417" i="13"/>
  <c r="AM415" i="13"/>
  <c r="AM419" i="13"/>
  <c r="AM48" i="13"/>
  <c r="AM412" i="13"/>
  <c r="AM411" i="13"/>
  <c r="AO96" i="13"/>
  <c r="AO99" i="13" s="1"/>
  <c r="AO55" i="13"/>
  <c r="AO54" i="13"/>
  <c r="AO56" i="13"/>
  <c r="AO482" i="13"/>
  <c r="AO165" i="13"/>
  <c r="AN454" i="13"/>
  <c r="AN323" i="13"/>
  <c r="AN166" i="13"/>
  <c r="AN464" i="13" s="1"/>
  <c r="AN201" i="13"/>
  <c r="AN243" i="13"/>
  <c r="AN249" i="13" s="1"/>
  <c r="AN238" i="13"/>
  <c r="AN241" i="13"/>
  <c r="AN242" i="13"/>
  <c r="AN248" i="13" s="1"/>
  <c r="AN239" i="13"/>
  <c r="AN237" i="13"/>
  <c r="AN240" i="13"/>
  <c r="AN235" i="13"/>
  <c r="AN246" i="13" s="1"/>
  <c r="BC467" i="13"/>
  <c r="BC261" i="13"/>
  <c r="AZ227" i="13"/>
  <c r="AZ205" i="13"/>
  <c r="AZ204" i="13"/>
  <c r="AZ226" i="13"/>
  <c r="BA258" i="13"/>
  <c r="BA253" i="13"/>
  <c r="BA257" i="13"/>
  <c r="BA127" i="13" s="1"/>
  <c r="AL623" i="13"/>
  <c r="AZ623" i="13" s="1"/>
  <c r="AL620" i="13"/>
  <c r="AL619" i="13"/>
  <c r="AE293" i="13"/>
  <c r="BA95" i="13"/>
  <c r="BA46" i="13"/>
  <c r="BA73" i="13"/>
  <c r="BB46" i="13"/>
  <c r="AA112" i="13"/>
  <c r="AA111" i="13"/>
  <c r="BA459" i="13"/>
  <c r="BA168" i="13"/>
  <c r="BA47" i="13" s="1"/>
  <c r="AZ321" i="13"/>
  <c r="AL205" i="13"/>
  <c r="AL227" i="13"/>
  <c r="AL226" i="13"/>
  <c r="AC113" i="13"/>
  <c r="AB110" i="13"/>
  <c r="BC182" i="13"/>
  <c r="BC171" i="13" s="1"/>
  <c r="BB171" i="13"/>
  <c r="AP47" i="13"/>
  <c r="AF291" i="13"/>
  <c r="AG289" i="13"/>
  <c r="AF292" i="13"/>
  <c r="AF293" i="13" s="1"/>
  <c r="BC75" i="13"/>
  <c r="BC77" i="13" s="1"/>
  <c r="BC42" i="13"/>
  <c r="BC95" i="13"/>
  <c r="BC49" i="13"/>
  <c r="AM203" i="13"/>
  <c r="AM202" i="13"/>
  <c r="AM270" i="14" l="1"/>
  <c r="AM271" i="14"/>
  <c r="BH39" i="14"/>
  <c r="BG138" i="14"/>
  <c r="BG34" i="14"/>
  <c r="BE84" i="14"/>
  <c r="BE50" i="14"/>
  <c r="AM282" i="14"/>
  <c r="AM280" i="14" s="1"/>
  <c r="AE44" i="3"/>
  <c r="AI303" i="14"/>
  <c r="AH303" i="14"/>
  <c r="AD44" i="3"/>
  <c r="BC5" i="14"/>
  <c r="BC6" i="14" s="1"/>
  <c r="BC111" i="14"/>
  <c r="BC118" i="14"/>
  <c r="BD109" i="14"/>
  <c r="BD124" i="14"/>
  <c r="BD125" i="14" s="1"/>
  <c r="BD85" i="14"/>
  <c r="BG148" i="14"/>
  <c r="AJ303" i="14"/>
  <c r="AF44" i="3"/>
  <c r="BF35" i="14"/>
  <c r="BF49" i="14"/>
  <c r="BI146" i="14"/>
  <c r="BI147" i="14"/>
  <c r="BJ147" i="14"/>
  <c r="BJ146" i="14"/>
  <c r="AO183" i="14"/>
  <c r="AO185" i="14" s="1"/>
  <c r="AO119" i="14"/>
  <c r="AN232" i="14"/>
  <c r="AN229" i="14" s="1"/>
  <c r="AN230" i="14" s="1"/>
  <c r="AN242" i="14"/>
  <c r="AN235" i="14" s="1"/>
  <c r="AO161" i="14"/>
  <c r="AO162" i="14" s="1"/>
  <c r="AO129" i="14"/>
  <c r="AK249" i="14"/>
  <c r="AG27" i="3"/>
  <c r="AK295" i="14"/>
  <c r="AK299" i="14" s="1"/>
  <c r="AK302" i="14" s="1"/>
  <c r="AK218" i="14"/>
  <c r="AK219" i="14" s="1"/>
  <c r="AK220" i="14" s="1"/>
  <c r="AK221" i="14" s="1"/>
  <c r="AK278" i="14"/>
  <c r="AK292" i="14" s="1"/>
  <c r="AK199" i="14" s="1"/>
  <c r="AK205" i="14" s="1"/>
  <c r="AK206" i="14" s="1"/>
  <c r="AK207" i="14" s="1"/>
  <c r="AO250" i="14"/>
  <c r="AO266" i="14"/>
  <c r="AN250" i="14"/>
  <c r="AN266" i="14"/>
  <c r="AM230" i="14"/>
  <c r="AL258" i="14"/>
  <c r="AL260" i="14" s="1"/>
  <c r="AL192" i="14"/>
  <c r="AL193" i="14" s="1"/>
  <c r="AL247" i="14"/>
  <c r="AL248" i="14"/>
  <c r="BB246" i="14"/>
  <c r="AP118" i="14"/>
  <c r="AP183" i="14" s="1"/>
  <c r="AP111" i="14"/>
  <c r="AI199" i="14"/>
  <c r="AI205" i="14" s="1"/>
  <c r="AI206" i="14" s="1"/>
  <c r="AI207" i="14" s="1"/>
  <c r="BB280" i="14"/>
  <c r="BH32" i="14"/>
  <c r="BJ13" i="14"/>
  <c r="BJ31" i="14" s="1"/>
  <c r="BI31" i="14"/>
  <c r="AP259" i="14"/>
  <c r="AL36" i="3" s="1"/>
  <c r="AK36" i="3"/>
  <c r="AN239" i="14"/>
  <c r="AO237" i="14"/>
  <c r="AO240" i="14"/>
  <c r="AO242" i="14"/>
  <c r="AO232" i="14"/>
  <c r="AO229" i="14" s="1"/>
  <c r="AO230" i="14" s="1"/>
  <c r="AM246" i="14"/>
  <c r="AN236" i="13"/>
  <c r="AN247" i="13" s="1"/>
  <c r="AP127" i="14"/>
  <c r="AP125" i="14"/>
  <c r="AK12" i="3"/>
  <c r="AK29" i="4" s="1"/>
  <c r="AO6" i="14"/>
  <c r="AZ670" i="13"/>
  <c r="AZ527" i="13"/>
  <c r="AZ668" i="13"/>
  <c r="AN618" i="13"/>
  <c r="AN492" i="13"/>
  <c r="AN469" i="13"/>
  <c r="AN324" i="13" s="1"/>
  <c r="AN470" i="13"/>
  <c r="AN321" i="13"/>
  <c r="AN316" i="13" s="1"/>
  <c r="AN335" i="13"/>
  <c r="AN414" i="13"/>
  <c r="AN413" i="13"/>
  <c r="AN420" i="13"/>
  <c r="AN416" i="13"/>
  <c r="AN417" i="13"/>
  <c r="AN419" i="13"/>
  <c r="AN418" i="13"/>
  <c r="AN415" i="13"/>
  <c r="AN48" i="13"/>
  <c r="AN412" i="13"/>
  <c r="AN411" i="13"/>
  <c r="BC459" i="13"/>
  <c r="BC168" i="13"/>
  <c r="AZ230" i="13"/>
  <c r="AZ234" i="13" s="1"/>
  <c r="AZ228" i="13"/>
  <c r="AZ229" i="13"/>
  <c r="BC251" i="13"/>
  <c r="BC124" i="13"/>
  <c r="BC123" i="13"/>
  <c r="BC128" i="13" s="1"/>
  <c r="AP38" i="13"/>
  <c r="AP37" i="13"/>
  <c r="BA455" i="13"/>
  <c r="BA167" i="13"/>
  <c r="BA85" i="13"/>
  <c r="BA97" i="13" s="1"/>
  <c r="BA36" i="13"/>
  <c r="AB112" i="13"/>
  <c r="AB111" i="13"/>
  <c r="AO454" i="13"/>
  <c r="AO323" i="13"/>
  <c r="AO201" i="13"/>
  <c r="AO166" i="13"/>
  <c r="AO464" i="13" s="1"/>
  <c r="AO243" i="13"/>
  <c r="AO249" i="13" s="1"/>
  <c r="AO241" i="13"/>
  <c r="AO242" i="13"/>
  <c r="AO248" i="13" s="1"/>
  <c r="AO237" i="13"/>
  <c r="AO239" i="13"/>
  <c r="AO240" i="13"/>
  <c r="AO238" i="13"/>
  <c r="AO235" i="13"/>
  <c r="AO246" i="13" s="1"/>
  <c r="BB251" i="13"/>
  <c r="BB124" i="13"/>
  <c r="BB123" i="13"/>
  <c r="BB128" i="13" s="1"/>
  <c r="AP96" i="13"/>
  <c r="AP99" i="13" s="1"/>
  <c r="AP55" i="13"/>
  <c r="AP54" i="13"/>
  <c r="AP56" i="13"/>
  <c r="AD113" i="13"/>
  <c r="AC110" i="13"/>
  <c r="AM623" i="13"/>
  <c r="AM620" i="13"/>
  <c r="AM619" i="13"/>
  <c r="AP482" i="13"/>
  <c r="AP165" i="13"/>
  <c r="BB459" i="13"/>
  <c r="BB168" i="13"/>
  <c r="AG291" i="13"/>
  <c r="AH289" i="13"/>
  <c r="AY289" i="13" s="1"/>
  <c r="AY291" i="13" s="1"/>
  <c r="AG292" i="13"/>
  <c r="AG293" i="13" s="1"/>
  <c r="AL230" i="13"/>
  <c r="AL234" i="13" s="1"/>
  <c r="AL229" i="13"/>
  <c r="AL198" i="13"/>
  <c r="AZ198" i="13" s="1"/>
  <c r="AL228" i="13"/>
  <c r="AZ241" i="13"/>
  <c r="AZ240" i="13"/>
  <c r="AZ243" i="13"/>
  <c r="AZ249" i="13" s="1"/>
  <c r="AZ242" i="13"/>
  <c r="AZ248" i="13" s="1"/>
  <c r="AZ237" i="13"/>
  <c r="AZ239" i="13"/>
  <c r="AZ238" i="13"/>
  <c r="AZ235" i="13"/>
  <c r="AZ246" i="13" s="1"/>
  <c r="AN203" i="13"/>
  <c r="AN202" i="13"/>
  <c r="AM316" i="13"/>
  <c r="AP71" i="13"/>
  <c r="AP72" i="13" s="1"/>
  <c r="BC52" i="13"/>
  <c r="BC51" i="13"/>
  <c r="AM227" i="13"/>
  <c r="AM205" i="13"/>
  <c r="AM226" i="13"/>
  <c r="AZ322" i="13"/>
  <c r="AZ316" i="13"/>
  <c r="BB74" i="13"/>
  <c r="BA74" i="13"/>
  <c r="AK303" i="14" l="1"/>
  <c r="AG44" i="3"/>
  <c r="BF50" i="14"/>
  <c r="BF84" i="14"/>
  <c r="BD5" i="14"/>
  <c r="BD6" i="14" s="1"/>
  <c r="BD118" i="14"/>
  <c r="BD111" i="14"/>
  <c r="BC119" i="14"/>
  <c r="BC226" i="14"/>
  <c r="BE109" i="14"/>
  <c r="BE85" i="14"/>
  <c r="BE124" i="14"/>
  <c r="BE125" i="14" s="1"/>
  <c r="BG35" i="14"/>
  <c r="BG49" i="14"/>
  <c r="BI39" i="14"/>
  <c r="BI148" i="14" s="1"/>
  <c r="BH138" i="14"/>
  <c r="BH34" i="14"/>
  <c r="BH148" i="14"/>
  <c r="AP5" i="14"/>
  <c r="AL78" i="3" s="1"/>
  <c r="AL74" i="3" s="1"/>
  <c r="AP119" i="14"/>
  <c r="AP226" i="14"/>
  <c r="AP250" i="14" s="1"/>
  <c r="AO282" i="14"/>
  <c r="AO280" i="14" s="1"/>
  <c r="AO270" i="14"/>
  <c r="AO271" i="14"/>
  <c r="AO269" i="14"/>
  <c r="AO268" i="14"/>
  <c r="AO191" i="14"/>
  <c r="AN282" i="14"/>
  <c r="AN280" i="14" s="1"/>
  <c r="AN268" i="14"/>
  <c r="AN269" i="14"/>
  <c r="AN271" i="14"/>
  <c r="AN270" i="14"/>
  <c r="AN191" i="14"/>
  <c r="AL249" i="14"/>
  <c r="AH27" i="3"/>
  <c r="AP185" i="14"/>
  <c r="AL278" i="14"/>
  <c r="AP161" i="14"/>
  <c r="AP162" i="14" s="1"/>
  <c r="AP129" i="14"/>
  <c r="BC127" i="14"/>
  <c r="AM258" i="14"/>
  <c r="AM260" i="14" s="1"/>
  <c r="AM247" i="14"/>
  <c r="AM192" i="14"/>
  <c r="AM193" i="14" s="1"/>
  <c r="AM248" i="14"/>
  <c r="AL295" i="14"/>
  <c r="AL218" i="14"/>
  <c r="AL219" i="14" s="1"/>
  <c r="AL220" i="14" s="1"/>
  <c r="AL221" i="14" s="1"/>
  <c r="BB260" i="14"/>
  <c r="BC183" i="14"/>
  <c r="BC248" i="14" s="1"/>
  <c r="BJ32" i="14"/>
  <c r="BI32" i="14"/>
  <c r="AN246" i="14"/>
  <c r="AN236" i="14"/>
  <c r="AP237" i="14"/>
  <c r="BC237" i="14" s="1"/>
  <c r="AP242" i="14"/>
  <c r="BC242" i="14" s="1"/>
  <c r="BC243" i="14" s="1"/>
  <c r="BD243" i="14" s="1"/>
  <c r="AP240" i="14"/>
  <c r="BC240" i="14" s="1"/>
  <c r="BC241" i="14" s="1"/>
  <c r="BD241" i="14" s="1"/>
  <c r="AO235" i="14"/>
  <c r="AO239" i="14"/>
  <c r="AL12" i="3"/>
  <c r="AL29" i="4" s="1"/>
  <c r="AP6" i="14"/>
  <c r="AE113" i="13"/>
  <c r="AD110" i="13"/>
  <c r="BB465" i="13"/>
  <c r="BB252" i="13"/>
  <c r="BB256" i="13"/>
  <c r="AP454" i="13"/>
  <c r="AP323" i="13"/>
  <c r="AP201" i="13"/>
  <c r="AP166" i="13"/>
  <c r="AP464" i="13" s="1"/>
  <c r="AP243" i="13"/>
  <c r="AP249" i="13" s="1"/>
  <c r="AP238" i="13"/>
  <c r="AP241" i="13"/>
  <c r="AP242" i="13"/>
  <c r="AP248" i="13" s="1"/>
  <c r="AP237" i="13"/>
  <c r="AP240" i="13"/>
  <c r="AP239" i="13"/>
  <c r="AP235" i="13"/>
  <c r="AP246" i="13" s="1"/>
  <c r="AN227" i="13"/>
  <c r="AN205" i="13"/>
  <c r="AN226" i="13"/>
  <c r="BA165" i="13"/>
  <c r="BC465" i="13"/>
  <c r="BC252" i="13"/>
  <c r="BC256" i="13"/>
  <c r="AM230" i="13"/>
  <c r="AM234" i="13" s="1"/>
  <c r="AM229" i="13"/>
  <c r="AM228" i="13"/>
  <c r="AM198" i="13"/>
  <c r="AH291" i="13"/>
  <c r="AI289" i="13"/>
  <c r="AH292" i="13"/>
  <c r="AH293" i="13" s="1"/>
  <c r="AO203" i="13"/>
  <c r="AO202" i="13"/>
  <c r="AC112" i="13"/>
  <c r="AC111" i="13"/>
  <c r="BA38" i="13"/>
  <c r="BA71" i="13"/>
  <c r="BA72" i="13" s="1"/>
  <c r="BA53" i="13"/>
  <c r="AO618" i="13"/>
  <c r="AO492" i="13"/>
  <c r="AO470" i="13"/>
  <c r="AO469" i="13"/>
  <c r="AO324" i="13" s="1"/>
  <c r="AO321" i="13"/>
  <c r="AO335" i="13"/>
  <c r="AO413" i="13"/>
  <c r="AO414" i="13"/>
  <c r="AO420" i="13"/>
  <c r="AO416" i="13"/>
  <c r="AO417" i="13"/>
  <c r="AO419" i="13"/>
  <c r="AO418" i="13"/>
  <c r="AO415" i="13"/>
  <c r="AO412" i="13"/>
  <c r="AO48" i="13"/>
  <c r="AO411" i="13"/>
  <c r="AN620" i="13"/>
  <c r="AN619" i="13"/>
  <c r="AN623" i="13"/>
  <c r="BB455" i="13"/>
  <c r="BB85" i="13"/>
  <c r="BB97" i="13" s="1"/>
  <c r="BB167" i="13"/>
  <c r="BB36" i="13"/>
  <c r="BB47" i="13"/>
  <c r="AZ236" i="13"/>
  <c r="AZ247" i="13" s="1"/>
  <c r="AO236" i="13"/>
  <c r="AO247" i="13" s="1"/>
  <c r="AZ596" i="13"/>
  <c r="BC455" i="13"/>
  <c r="BC167" i="13"/>
  <c r="BC85" i="13"/>
  <c r="BC36" i="13"/>
  <c r="BC47" i="13"/>
  <c r="AP232" i="14" l="1"/>
  <c r="AP229" i="14" s="1"/>
  <c r="BD119" i="14"/>
  <c r="BD226" i="14"/>
  <c r="BH35" i="14"/>
  <c r="BH49" i="14"/>
  <c r="BF109" i="14"/>
  <c r="BF124" i="14"/>
  <c r="BF125" i="14" s="1"/>
  <c r="BF85" i="14"/>
  <c r="BE5" i="14"/>
  <c r="BE6" i="14" s="1"/>
  <c r="BE118" i="14"/>
  <c r="BE111" i="14"/>
  <c r="BJ39" i="14"/>
  <c r="BI138" i="14"/>
  <c r="BI34" i="14"/>
  <c r="BG50" i="14"/>
  <c r="BG84" i="14"/>
  <c r="AP266" i="14"/>
  <c r="AP191" i="14" s="1"/>
  <c r="AN258" i="14"/>
  <c r="AN260" i="14" s="1"/>
  <c r="AN192" i="14"/>
  <c r="AN193" i="14" s="1"/>
  <c r="AN247" i="14"/>
  <c r="AN248" i="14"/>
  <c r="BM77" i="3"/>
  <c r="BE243" i="14"/>
  <c r="BD242" i="14"/>
  <c r="BB278" i="14"/>
  <c r="AL292" i="14"/>
  <c r="BC239" i="14"/>
  <c r="BC238" i="14"/>
  <c r="BD238" i="14" s="1"/>
  <c r="BC235" i="14"/>
  <c r="BC236" i="14" s="1"/>
  <c r="AM278" i="14"/>
  <c r="BC266" i="14"/>
  <c r="BC267" i="14" s="1"/>
  <c r="BD267" i="14" s="1"/>
  <c r="AP269" i="14"/>
  <c r="BC269" i="14" s="1"/>
  <c r="AP268" i="14"/>
  <c r="BC268" i="14" s="1"/>
  <c r="BC128" i="14"/>
  <c r="BD128" i="14" s="1"/>
  <c r="BE128" i="14" s="1"/>
  <c r="BF128" i="14" s="1"/>
  <c r="BG128" i="14" s="1"/>
  <c r="BH128" i="14" s="1"/>
  <c r="BI128" i="14" s="1"/>
  <c r="BJ128" i="14" s="1"/>
  <c r="BC129" i="14"/>
  <c r="BC161" i="14"/>
  <c r="AM295" i="14"/>
  <c r="AM218" i="14"/>
  <c r="AM219" i="14" s="1"/>
  <c r="AM220" i="14" s="1"/>
  <c r="AM221" i="14" s="1"/>
  <c r="AL299" i="14"/>
  <c r="BB295" i="14"/>
  <c r="BB296" i="14" s="1"/>
  <c r="BB249" i="14"/>
  <c r="BK27" i="3"/>
  <c r="K31" i="1" s="1"/>
  <c r="AP230" i="14"/>
  <c r="BC229" i="14"/>
  <c r="BC230" i="14" s="1"/>
  <c r="BD230" i="14" s="1"/>
  <c r="BE230" i="14" s="1"/>
  <c r="BF230" i="14" s="1"/>
  <c r="BG230" i="14" s="1"/>
  <c r="BH230" i="14" s="1"/>
  <c r="BI230" i="14" s="1"/>
  <c r="BJ230" i="14" s="1"/>
  <c r="BE241" i="14"/>
  <c r="BM76" i="3"/>
  <c r="BD240" i="14"/>
  <c r="AM249" i="14"/>
  <c r="AI27" i="3"/>
  <c r="AO246" i="14"/>
  <c r="AO236" i="14"/>
  <c r="AP239" i="14"/>
  <c r="AP235" i="14"/>
  <c r="AP236" i="14" s="1"/>
  <c r="AY292" i="13"/>
  <c r="AY293" i="13" s="1"/>
  <c r="BB71" i="13"/>
  <c r="BB72" i="13" s="1"/>
  <c r="BB53" i="13"/>
  <c r="BB38" i="13"/>
  <c r="AP236" i="13"/>
  <c r="AP247" i="13" s="1"/>
  <c r="BB165" i="13"/>
  <c r="BB253" i="13"/>
  <c r="BB257" i="13"/>
  <c r="BB127" i="13" s="1"/>
  <c r="AO620" i="13"/>
  <c r="AO619" i="13"/>
  <c r="AO623" i="13"/>
  <c r="BC253" i="13"/>
  <c r="BC257" i="13"/>
  <c r="BC127" i="13" s="1"/>
  <c r="AN230" i="13"/>
  <c r="AN234" i="13" s="1"/>
  <c r="AN229" i="13"/>
  <c r="AN228" i="13"/>
  <c r="AN198" i="13"/>
  <c r="BC71" i="13"/>
  <c r="BC72" i="13" s="1"/>
  <c r="BC53" i="13"/>
  <c r="BC38" i="13"/>
  <c r="BA96" i="13"/>
  <c r="BA55" i="13"/>
  <c r="AI291" i="13"/>
  <c r="AJ289" i="13"/>
  <c r="AI292" i="13"/>
  <c r="BC97" i="13"/>
  <c r="AD112" i="13"/>
  <c r="AD111" i="13"/>
  <c r="BC165" i="13"/>
  <c r="AP203" i="13"/>
  <c r="AP202" i="13"/>
  <c r="AF113" i="13"/>
  <c r="AE110" i="13"/>
  <c r="AO227" i="13"/>
  <c r="AO205" i="13"/>
  <c r="AO226" i="13"/>
  <c r="AO316" i="13"/>
  <c r="BA454" i="13"/>
  <c r="BA323" i="13"/>
  <c r="BA201" i="13"/>
  <c r="BA202" i="13" s="1"/>
  <c r="BA166" i="13"/>
  <c r="BA464" i="13" s="1"/>
  <c r="AP618" i="13"/>
  <c r="BA618" i="13" s="1"/>
  <c r="BA633" i="13" s="1"/>
  <c r="AP492" i="13"/>
  <c r="AP470" i="13"/>
  <c r="AP469" i="13"/>
  <c r="AP324" i="13" s="1"/>
  <c r="AP335" i="13"/>
  <c r="AP321" i="13"/>
  <c r="AP316" i="13" s="1"/>
  <c r="AP414" i="13"/>
  <c r="AP416" i="13"/>
  <c r="AP420" i="13"/>
  <c r="AP413" i="13"/>
  <c r="AP419" i="13"/>
  <c r="AP417" i="13"/>
  <c r="AP418" i="13"/>
  <c r="AP415" i="13"/>
  <c r="AP48" i="13"/>
  <c r="AP412" i="13"/>
  <c r="AP411" i="13"/>
  <c r="AX110" i="13"/>
  <c r="BB299" i="14" l="1"/>
  <c r="BB300" i="14" s="1"/>
  <c r="AL302" i="14"/>
  <c r="BI35" i="14"/>
  <c r="BI49" i="14"/>
  <c r="BF5" i="14"/>
  <c r="BF6" i="14" s="1"/>
  <c r="BF118" i="14"/>
  <c r="BF111" i="14"/>
  <c r="BH50" i="14"/>
  <c r="BH84" i="14"/>
  <c r="BJ138" i="14"/>
  <c r="BJ34" i="14"/>
  <c r="BJ148" i="14"/>
  <c r="BE226" i="14"/>
  <c r="BE242" i="14" s="1"/>
  <c r="BE119" i="14"/>
  <c r="BM12" i="3"/>
  <c r="BM29" i="4" s="1"/>
  <c r="BM78" i="3"/>
  <c r="BG109" i="14"/>
  <c r="BG85" i="14"/>
  <c r="BG124" i="14"/>
  <c r="BG125" i="14" s="1"/>
  <c r="AP282" i="14"/>
  <c r="AP280" i="14" s="1"/>
  <c r="AP271" i="14"/>
  <c r="BC271" i="14" s="1"/>
  <c r="AP270" i="14"/>
  <c r="BC270" i="14" s="1"/>
  <c r="AO258" i="14"/>
  <c r="AO260" i="14" s="1"/>
  <c r="AO247" i="14"/>
  <c r="AO192" i="14"/>
  <c r="AO193" i="14" s="1"/>
  <c r="AO248" i="14"/>
  <c r="AN249" i="14"/>
  <c r="AJ27" i="3"/>
  <c r="AN278" i="14"/>
  <c r="AN292" i="14" s="1"/>
  <c r="AN199" i="14" s="1"/>
  <c r="AN205" i="14" s="1"/>
  <c r="AN206" i="14" s="1"/>
  <c r="AN207" i="14" s="1"/>
  <c r="AN295" i="14"/>
  <c r="AN299" i="14" s="1"/>
  <c r="AN302" i="14" s="1"/>
  <c r="AN218" i="14"/>
  <c r="AN219" i="14" s="1"/>
  <c r="AN220" i="14" s="1"/>
  <c r="AN221" i="14" s="1"/>
  <c r="BM75" i="3"/>
  <c r="BE238" i="14"/>
  <c r="BD237" i="14"/>
  <c r="BN76" i="3"/>
  <c r="BF241" i="14"/>
  <c r="AM299" i="14"/>
  <c r="AM302" i="14" s="1"/>
  <c r="BD266" i="14"/>
  <c r="BE267" i="14"/>
  <c r="AL199" i="14"/>
  <c r="AL205" i="14" s="1"/>
  <c r="AL206" i="14" s="1"/>
  <c r="AL207" i="14" s="1"/>
  <c r="BB292" i="14"/>
  <c r="BB293" i="14" s="1"/>
  <c r="BC162" i="14"/>
  <c r="BC163" i="14"/>
  <c r="BC282" i="14"/>
  <c r="AM292" i="14"/>
  <c r="BD127" i="14"/>
  <c r="BD161" i="14" s="1"/>
  <c r="BN77" i="3"/>
  <c r="BF243" i="14"/>
  <c r="AP246" i="14"/>
  <c r="AO229" i="13"/>
  <c r="AO228" i="13"/>
  <c r="AO230" i="13"/>
  <c r="AO234" i="13" s="1"/>
  <c r="AO198" i="13"/>
  <c r="BB454" i="13"/>
  <c r="BB323" i="13"/>
  <c r="BB201" i="13"/>
  <c r="BB166" i="13"/>
  <c r="BB464" i="13" s="1"/>
  <c r="BB241" i="13"/>
  <c r="BB240" i="13"/>
  <c r="BB243" i="13"/>
  <c r="BB242" i="13"/>
  <c r="BB237" i="13"/>
  <c r="BB239" i="13"/>
  <c r="BB238" i="13"/>
  <c r="BB235" i="13"/>
  <c r="AG113" i="13"/>
  <c r="AF110" i="13"/>
  <c r="BC96" i="13"/>
  <c r="BC55" i="13"/>
  <c r="AX111" i="13"/>
  <c r="AX13" i="13"/>
  <c r="AX11" i="13" s="1"/>
  <c r="AX9" i="13" s="1"/>
  <c r="BA321" i="13"/>
  <c r="AZ292" i="13"/>
  <c r="AI293" i="13"/>
  <c r="AP227" i="13"/>
  <c r="AP205" i="13"/>
  <c r="AP226" i="13"/>
  <c r="AJ291" i="13"/>
  <c r="AK289" i="13"/>
  <c r="AJ288" i="13"/>
  <c r="BA589" i="13"/>
  <c r="BA541" i="13"/>
  <c r="BA609" i="13" s="1"/>
  <c r="BA526" i="13"/>
  <c r="BA520" i="13"/>
  <c r="BA470" i="13"/>
  <c r="BA469" i="13"/>
  <c r="BA324" i="13" s="1"/>
  <c r="BA335" i="13"/>
  <c r="BA416" i="13"/>
  <c r="BA669" i="13"/>
  <c r="BA414" i="13"/>
  <c r="BA413" i="13"/>
  <c r="BA420" i="13"/>
  <c r="BA417" i="13"/>
  <c r="BA126" i="13"/>
  <c r="BA419" i="13"/>
  <c r="BA418" i="13"/>
  <c r="BA48" i="13"/>
  <c r="BA415" i="13"/>
  <c r="BA412" i="13"/>
  <c r="BA411" i="13"/>
  <c r="BA203" i="13"/>
  <c r="BB96" i="13"/>
  <c r="BB55" i="13"/>
  <c r="AE111" i="13"/>
  <c r="AE112" i="13"/>
  <c r="AP620" i="13"/>
  <c r="AP619" i="13"/>
  <c r="AP623" i="13"/>
  <c r="BA623" i="13" s="1"/>
  <c r="BC454" i="13"/>
  <c r="BC323" i="13"/>
  <c r="BC166" i="13"/>
  <c r="BC201" i="13"/>
  <c r="BC241" i="13"/>
  <c r="BC240" i="13"/>
  <c r="BC243" i="13"/>
  <c r="BC242" i="13"/>
  <c r="BC237" i="13"/>
  <c r="BC239" i="13"/>
  <c r="BC238" i="13"/>
  <c r="BC235" i="13"/>
  <c r="BM70" i="3" l="1"/>
  <c r="BM81" i="3"/>
  <c r="BM83" i="3"/>
  <c r="BM87" i="3"/>
  <c r="BM89" i="3"/>
  <c r="BM82" i="3"/>
  <c r="BM88" i="3"/>
  <c r="BM23" i="3"/>
  <c r="BM84" i="3"/>
  <c r="BN78" i="3"/>
  <c r="BN12" i="3"/>
  <c r="BN29" i="4" s="1"/>
  <c r="BF119" i="14"/>
  <c r="BF226" i="14"/>
  <c r="BN22" i="3"/>
  <c r="BN100" i="3" s="1"/>
  <c r="BM21" i="3"/>
  <c r="BJ35" i="14"/>
  <c r="BJ49" i="14"/>
  <c r="AM303" i="14"/>
  <c r="AI44" i="3"/>
  <c r="AN303" i="14"/>
  <c r="AJ44" i="3"/>
  <c r="BG5" i="14"/>
  <c r="BG6" i="14" s="1"/>
  <c r="BG111" i="14"/>
  <c r="BG118" i="14"/>
  <c r="BM22" i="3"/>
  <c r="BI50" i="14"/>
  <c r="BI84" i="14"/>
  <c r="BE240" i="14"/>
  <c r="BH109" i="14"/>
  <c r="BH85" i="14"/>
  <c r="BH124" i="14"/>
  <c r="BH125" i="14" s="1"/>
  <c r="AH44" i="3"/>
  <c r="AL303" i="14"/>
  <c r="BB302" i="14"/>
  <c r="BB303" i="14" s="1"/>
  <c r="AO249" i="14"/>
  <c r="AK27" i="3"/>
  <c r="AO295" i="14"/>
  <c r="AO299" i="14" s="1"/>
  <c r="AO302" i="14" s="1"/>
  <c r="AO218" i="14"/>
  <c r="AO219" i="14" s="1"/>
  <c r="AO220" i="14" s="1"/>
  <c r="AO221" i="14" s="1"/>
  <c r="AO278" i="14"/>
  <c r="AO292" i="14" s="1"/>
  <c r="AO199" i="14" s="1"/>
  <c r="AO205" i="14" s="1"/>
  <c r="AO206" i="14" s="1"/>
  <c r="AO207" i="14" s="1"/>
  <c r="AP258" i="14"/>
  <c r="AP260" i="14" s="1"/>
  <c r="AP247" i="14"/>
  <c r="AP192" i="14"/>
  <c r="AP193" i="14" s="1"/>
  <c r="AP248" i="14"/>
  <c r="BC246" i="14"/>
  <c r="BC250" i="14" s="1"/>
  <c r="BC251" i="14" s="1"/>
  <c r="BD129" i="14"/>
  <c r="BG241" i="14"/>
  <c r="BO76" i="3"/>
  <c r="BF240" i="14"/>
  <c r="BE127" i="14"/>
  <c r="BE161" i="14" s="1"/>
  <c r="AM199" i="14"/>
  <c r="AM205" i="14" s="1"/>
  <c r="AM206" i="14" s="1"/>
  <c r="AM207" i="14" s="1"/>
  <c r="BF267" i="14"/>
  <c r="BE266" i="14"/>
  <c r="BE282" i="14" s="1"/>
  <c r="BE280" i="14" s="1"/>
  <c r="BD239" i="14"/>
  <c r="BD235" i="14"/>
  <c r="BD236" i="14" s="1"/>
  <c r="BD282" i="14"/>
  <c r="BD280" i="14" s="1"/>
  <c r="BD271" i="14"/>
  <c r="BD270" i="14"/>
  <c r="BD269" i="14"/>
  <c r="BD268" i="14"/>
  <c r="BN75" i="3"/>
  <c r="BF238" i="14"/>
  <c r="BE237" i="14"/>
  <c r="BO77" i="3"/>
  <c r="BG243" i="14"/>
  <c r="BM20" i="3"/>
  <c r="BM74" i="3"/>
  <c r="BM19" i="3" s="1"/>
  <c r="BC280" i="14"/>
  <c r="BC249" i="13"/>
  <c r="BC464" i="13"/>
  <c r="BC246" i="13"/>
  <c r="BC248" i="13"/>
  <c r="BA670" i="13"/>
  <c r="BA527" i="13"/>
  <c r="BA668" i="13"/>
  <c r="AJ297" i="13"/>
  <c r="AJ301" i="13"/>
  <c r="AJ287" i="13"/>
  <c r="AJ284" i="13" s="1"/>
  <c r="BA604" i="13"/>
  <c r="BB236" i="13"/>
  <c r="BB203" i="13"/>
  <c r="BB202" i="13"/>
  <c r="AK291" i="13"/>
  <c r="AL289" i="13"/>
  <c r="AK288" i="13"/>
  <c r="BC618" i="13"/>
  <c r="BC589" i="13"/>
  <c r="BC541" i="13"/>
  <c r="BC526" i="13"/>
  <c r="BC470" i="13"/>
  <c r="BC469" i="13"/>
  <c r="BC324" i="13" s="1"/>
  <c r="BC335" i="13"/>
  <c r="BC321" i="13"/>
  <c r="BC316" i="13" s="1"/>
  <c r="BC520" i="13"/>
  <c r="BC48" i="13"/>
  <c r="BC416" i="13"/>
  <c r="BC669" i="13"/>
  <c r="BC414" i="13"/>
  <c r="BC420" i="13"/>
  <c r="BC413" i="13"/>
  <c r="BC417" i="13"/>
  <c r="BC419" i="13"/>
  <c r="BC126" i="13"/>
  <c r="BC415" i="13"/>
  <c r="BC412" i="13"/>
  <c r="BC418" i="13"/>
  <c r="BC411" i="13"/>
  <c r="BB618" i="13"/>
  <c r="BB589" i="13"/>
  <c r="BB541" i="13"/>
  <c r="BB609" i="13" s="1"/>
  <c r="BB526" i="13"/>
  <c r="BB470" i="13"/>
  <c r="BB469" i="13"/>
  <c r="BB324" i="13" s="1"/>
  <c r="BB335" i="13"/>
  <c r="BB321" i="13"/>
  <c r="BB316" i="13" s="1"/>
  <c r="BB520" i="13"/>
  <c r="BB416" i="13"/>
  <c r="BB414" i="13"/>
  <c r="BB669" i="13"/>
  <c r="BB48" i="13"/>
  <c r="BB420" i="13"/>
  <c r="BB413" i="13"/>
  <c r="BB419" i="13"/>
  <c r="BB417" i="13"/>
  <c r="BB415" i="13"/>
  <c r="BB126" i="13"/>
  <c r="BB418" i="13"/>
  <c r="BB412" i="13"/>
  <c r="BB411" i="13"/>
  <c r="AP228" i="13"/>
  <c r="AP230" i="13"/>
  <c r="AP234" i="13" s="1"/>
  <c r="AP198" i="13"/>
  <c r="AP229" i="13"/>
  <c r="AF111" i="13"/>
  <c r="AF112" i="13"/>
  <c r="BA322" i="13"/>
  <c r="BA316" i="13"/>
  <c r="BC203" i="13"/>
  <c r="BC202" i="13"/>
  <c r="BD201" i="13"/>
  <c r="BA227" i="13"/>
  <c r="BA204" i="13"/>
  <c r="BA205" i="13"/>
  <c r="BA226" i="13"/>
  <c r="AH113" i="13"/>
  <c r="AG110" i="13"/>
  <c r="BC236" i="13"/>
  <c r="AZ293" i="13"/>
  <c r="BN127" i="3" l="1"/>
  <c r="BH5" i="14"/>
  <c r="BH6" i="14" s="1"/>
  <c r="BH111" i="14"/>
  <c r="BH118" i="14"/>
  <c r="BO12" i="3"/>
  <c r="BO29" i="4" s="1"/>
  <c r="BO78" i="3"/>
  <c r="BI109" i="14"/>
  <c r="BI85" i="14"/>
  <c r="BI124" i="14"/>
  <c r="BI125" i="14" s="1"/>
  <c r="BN83" i="3"/>
  <c r="BN88" i="3"/>
  <c r="BN89" i="3"/>
  <c r="BN70" i="3"/>
  <c r="BN87" i="3"/>
  <c r="BN81" i="3"/>
  <c r="BN23" i="3"/>
  <c r="BN120" i="3"/>
  <c r="M25" i="1"/>
  <c r="M46" i="1" s="1"/>
  <c r="BN93" i="3"/>
  <c r="BN82" i="3"/>
  <c r="BN84" i="3"/>
  <c r="AO303" i="14"/>
  <c r="AK44" i="3"/>
  <c r="BJ50" i="14"/>
  <c r="BJ84" i="14"/>
  <c r="BG226" i="14"/>
  <c r="BG240" i="14" s="1"/>
  <c r="BG119" i="14"/>
  <c r="BN21" i="3"/>
  <c r="BO22" i="3"/>
  <c r="BO127" i="3" s="1"/>
  <c r="BF242" i="14"/>
  <c r="BE163" i="14"/>
  <c r="BE162" i="14"/>
  <c r="BE270" i="14"/>
  <c r="BE268" i="14"/>
  <c r="BE269" i="14"/>
  <c r="BE271" i="14"/>
  <c r="BD162" i="14"/>
  <c r="BD163" i="14"/>
  <c r="BH243" i="14"/>
  <c r="BP77" i="3"/>
  <c r="BE129" i="14"/>
  <c r="AP249" i="14"/>
  <c r="AL27" i="3"/>
  <c r="BG267" i="14"/>
  <c r="BF266" i="14"/>
  <c r="BF282" i="14" s="1"/>
  <c r="BF280" i="14" s="1"/>
  <c r="BF127" i="14"/>
  <c r="BF161" i="14" s="1"/>
  <c r="BE239" i="14"/>
  <c r="BE235" i="14"/>
  <c r="BE236" i="14" s="1"/>
  <c r="BG238" i="14"/>
  <c r="BO75" i="3"/>
  <c r="BF237" i="14"/>
  <c r="AP278" i="14"/>
  <c r="AP295" i="14"/>
  <c r="AP218" i="14"/>
  <c r="AP219" i="14" s="1"/>
  <c r="AP220" i="14" s="1"/>
  <c r="AP221" i="14" s="1"/>
  <c r="BC260" i="14"/>
  <c r="BN20" i="3"/>
  <c r="BN74" i="3"/>
  <c r="BN19" i="3" s="1"/>
  <c r="BP76" i="3"/>
  <c r="BH241" i="14"/>
  <c r="BC247" i="13"/>
  <c r="BB604" i="13"/>
  <c r="BA230" i="13"/>
  <c r="BA234" i="13" s="1"/>
  <c r="BA228" i="13"/>
  <c r="BA229" i="13"/>
  <c r="BA198" i="13"/>
  <c r="BC623" i="13"/>
  <c r="BC670" i="13" s="1"/>
  <c r="BC633" i="13"/>
  <c r="AK297" i="13"/>
  <c r="AK301" i="13"/>
  <c r="AK287" i="13"/>
  <c r="AK284" i="13" s="1"/>
  <c r="AJ286" i="13"/>
  <c r="AJ281" i="13"/>
  <c r="AJ328" i="13" s="1"/>
  <c r="AJ285" i="13"/>
  <c r="AJ332" i="13"/>
  <c r="AG111" i="13"/>
  <c r="AG112" i="13"/>
  <c r="AL291" i="13"/>
  <c r="AM289" i="13"/>
  <c r="AL288" i="13"/>
  <c r="BC604" i="13"/>
  <c r="BD203" i="13"/>
  <c r="BC227" i="13"/>
  <c r="BC205" i="13"/>
  <c r="BC226" i="13"/>
  <c r="BA241" i="13"/>
  <c r="BA240" i="13"/>
  <c r="BA243" i="13"/>
  <c r="BA242" i="13"/>
  <c r="BA237" i="13"/>
  <c r="BA239" i="13"/>
  <c r="BA238" i="13"/>
  <c r="BA235" i="13"/>
  <c r="AI113" i="13"/>
  <c r="AH110" i="13"/>
  <c r="AZ289" i="13"/>
  <c r="BB623" i="13"/>
  <c r="BB670" i="13" s="1"/>
  <c r="BB633" i="13"/>
  <c r="BB227" i="13"/>
  <c r="BB205" i="13"/>
  <c r="BB226" i="13"/>
  <c r="BA596" i="13"/>
  <c r="BC609" i="13"/>
  <c r="BI5" i="14" l="1"/>
  <c r="BI6" i="14" s="1"/>
  <c r="BI111" i="14"/>
  <c r="BI118" i="14"/>
  <c r="BN126" i="3"/>
  <c r="BN99" i="3"/>
  <c r="BO83" i="3"/>
  <c r="BO23" i="3"/>
  <c r="BO93" i="3"/>
  <c r="BO70" i="3"/>
  <c r="BO88" i="3"/>
  <c r="BO89" i="3"/>
  <c r="BO81" i="3"/>
  <c r="BO82" i="3"/>
  <c r="BO120" i="3"/>
  <c r="BO84" i="3"/>
  <c r="BO87" i="3"/>
  <c r="BH119" i="14"/>
  <c r="BH226" i="14"/>
  <c r="BP12" i="3"/>
  <c r="BP29" i="4" s="1"/>
  <c r="BP78" i="3"/>
  <c r="BO100" i="3"/>
  <c r="BJ85" i="14"/>
  <c r="BJ124" i="14"/>
  <c r="BJ125" i="14" s="1"/>
  <c r="BJ109" i="14"/>
  <c r="BG242" i="14"/>
  <c r="BN101" i="3"/>
  <c r="BN128" i="3"/>
  <c r="BO21" i="3"/>
  <c r="BP22" i="3"/>
  <c r="BP100" i="3" s="1"/>
  <c r="BF163" i="14"/>
  <c r="BF162" i="14"/>
  <c r="BP127" i="3"/>
  <c r="BN124" i="3"/>
  <c r="BN97" i="3"/>
  <c r="BO20" i="3"/>
  <c r="BO74" i="3"/>
  <c r="BO19" i="3" s="1"/>
  <c r="BH267" i="14"/>
  <c r="BG266" i="14"/>
  <c r="BG282" i="14" s="1"/>
  <c r="BG280" i="14" s="1"/>
  <c r="BN125" i="3"/>
  <c r="BN98" i="3"/>
  <c r="BP75" i="3"/>
  <c r="BH238" i="14"/>
  <c r="BG237" i="14"/>
  <c r="BC249" i="14"/>
  <c r="BL27" i="3"/>
  <c r="L31" i="1" s="1"/>
  <c r="L56" i="1" s="1"/>
  <c r="BQ77" i="3"/>
  <c r="BI243" i="14"/>
  <c r="BH242" i="14"/>
  <c r="BF239" i="14"/>
  <c r="BF235" i="14"/>
  <c r="BF236" i="14" s="1"/>
  <c r="BF268" i="14"/>
  <c r="AP299" i="14"/>
  <c r="BC295" i="14"/>
  <c r="BC296" i="14" s="1"/>
  <c r="BF129" i="14"/>
  <c r="BF270" i="14"/>
  <c r="BI241" i="14"/>
  <c r="BQ76" i="3"/>
  <c r="BH240" i="14"/>
  <c r="BC278" i="14"/>
  <c r="AP292" i="14"/>
  <c r="BG127" i="14"/>
  <c r="BG161" i="14" s="1"/>
  <c r="BF271" i="14"/>
  <c r="BF269" i="14"/>
  <c r="BA249" i="13"/>
  <c r="BB249" i="13"/>
  <c r="BA248" i="13"/>
  <c r="BB248" i="13"/>
  <c r="AL297" i="13"/>
  <c r="AL301" i="13"/>
  <c r="AL287" i="13"/>
  <c r="AL284" i="13" s="1"/>
  <c r="BB527" i="13"/>
  <c r="AZ291" i="13"/>
  <c r="AZ288" i="13"/>
  <c r="AH112" i="13"/>
  <c r="AH111" i="13"/>
  <c r="AJ113" i="13"/>
  <c r="AI110" i="13"/>
  <c r="AM291" i="13"/>
  <c r="AN289" i="13"/>
  <c r="AM288" i="13"/>
  <c r="BA246" i="13"/>
  <c r="BB246" i="13"/>
  <c r="AY110" i="13"/>
  <c r="AK281" i="13"/>
  <c r="AK328" i="13" s="1"/>
  <c r="AK285" i="13"/>
  <c r="AK286" i="13"/>
  <c r="AK332" i="13"/>
  <c r="AJ475" i="13"/>
  <c r="AJ399" i="13"/>
  <c r="AJ333" i="13"/>
  <c r="AJ334" i="13"/>
  <c r="BB228" i="13"/>
  <c r="BB229" i="13"/>
  <c r="BB198" i="13"/>
  <c r="BB230" i="13"/>
  <c r="BB234" i="13" s="1"/>
  <c r="BA236" i="13"/>
  <c r="BC229" i="13"/>
  <c r="BC228" i="13"/>
  <c r="BC198" i="13"/>
  <c r="BC230" i="13"/>
  <c r="BC234" i="13" s="1"/>
  <c r="BO101" i="3" l="1"/>
  <c r="BO128" i="3"/>
  <c r="BO99" i="3"/>
  <c r="BO126" i="3"/>
  <c r="BP83" i="3"/>
  <c r="BP87" i="3"/>
  <c r="BP82" i="3"/>
  <c r="BP89" i="3"/>
  <c r="BP120" i="3"/>
  <c r="BP88" i="3"/>
  <c r="BP81" i="3"/>
  <c r="BP70" i="3"/>
  <c r="BP84" i="3"/>
  <c r="BP23" i="3"/>
  <c r="BP93" i="3"/>
  <c r="BC299" i="14"/>
  <c r="BC300" i="14" s="1"/>
  <c r="AP302" i="14"/>
  <c r="BP21" i="3"/>
  <c r="BI119" i="14"/>
  <c r="BI226" i="14"/>
  <c r="BQ12" i="3"/>
  <c r="BQ78" i="3"/>
  <c r="BJ5" i="14"/>
  <c r="BJ6" i="14" s="1"/>
  <c r="BJ111" i="14"/>
  <c r="BJ118" i="14"/>
  <c r="BG162" i="14"/>
  <c r="BG163" i="14"/>
  <c r="BG271" i="14"/>
  <c r="BG270" i="14"/>
  <c r="BG268" i="14"/>
  <c r="BG269" i="14"/>
  <c r="BH127" i="14"/>
  <c r="BH161" i="14" s="1"/>
  <c r="AP199" i="14"/>
  <c r="AP205" i="14" s="1"/>
  <c r="AP206" i="14" s="1"/>
  <c r="AP207" i="14" s="1"/>
  <c r="BC292" i="14"/>
  <c r="BC293" i="14" s="1"/>
  <c r="BJ243" i="14"/>
  <c r="BR77" i="3"/>
  <c r="BI242" i="14"/>
  <c r="BI267" i="14"/>
  <c r="BH266" i="14"/>
  <c r="BH282" i="14" s="1"/>
  <c r="BH280" i="14" s="1"/>
  <c r="BO97" i="3"/>
  <c r="BO124" i="3"/>
  <c r="BG239" i="14"/>
  <c r="BG235" i="14"/>
  <c r="BG236" i="14" s="1"/>
  <c r="BO125" i="3"/>
  <c r="BO98" i="3"/>
  <c r="BR76" i="3"/>
  <c r="BJ241" i="14"/>
  <c r="BI240" i="14"/>
  <c r="BQ75" i="3"/>
  <c r="BI238" i="14"/>
  <c r="BH237" i="14"/>
  <c r="BG129" i="14"/>
  <c r="BP20" i="3"/>
  <c r="BP74" i="3"/>
  <c r="BP19" i="3" s="1"/>
  <c r="AL281" i="13"/>
  <c r="AL328" i="13" s="1"/>
  <c r="AL285" i="13"/>
  <c r="AL286" i="13"/>
  <c r="AL332" i="13"/>
  <c r="AZ284" i="13"/>
  <c r="AK113" i="13"/>
  <c r="AJ110" i="13"/>
  <c r="AY111" i="13"/>
  <c r="AY13" i="13"/>
  <c r="BA247" i="13"/>
  <c r="BB247" i="13"/>
  <c r="AJ449" i="13"/>
  <c r="AJ400" i="13"/>
  <c r="AJ398" i="13"/>
  <c r="BB596" i="13"/>
  <c r="BC527" i="13"/>
  <c r="BC596" i="13" s="1"/>
  <c r="AK475" i="13"/>
  <c r="AK399" i="13"/>
  <c r="AK333" i="13"/>
  <c r="AK334" i="13"/>
  <c r="AM297" i="13"/>
  <c r="AM301" i="13"/>
  <c r="AM287" i="13"/>
  <c r="AM284" i="13" s="1"/>
  <c r="AZ297" i="13"/>
  <c r="AZ301" i="13"/>
  <c r="AZ287" i="13"/>
  <c r="AN291" i="13"/>
  <c r="AO289" i="13"/>
  <c r="AN288" i="13"/>
  <c r="AI112" i="13"/>
  <c r="AI111" i="13"/>
  <c r="BQ22" i="3" l="1"/>
  <c r="BQ127" i="3" s="1"/>
  <c r="BQ29" i="4"/>
  <c r="BQ21" i="3"/>
  <c r="BQ99" i="3" s="1"/>
  <c r="BQ83" i="3"/>
  <c r="BQ70" i="3"/>
  <c r="BQ81" i="3"/>
  <c r="BQ93" i="3"/>
  <c r="BQ87" i="3"/>
  <c r="BQ82" i="3"/>
  <c r="BQ88" i="3"/>
  <c r="BQ23" i="3"/>
  <c r="BQ89" i="3"/>
  <c r="BQ120" i="3"/>
  <c r="BQ84" i="3"/>
  <c r="BP101" i="3"/>
  <c r="BP128" i="3"/>
  <c r="BR12" i="3"/>
  <c r="BR78" i="3"/>
  <c r="BJ226" i="14"/>
  <c r="BJ240" i="14" s="1"/>
  <c r="BJ119" i="14"/>
  <c r="BP126" i="3"/>
  <c r="BP99" i="3"/>
  <c r="BQ126" i="3"/>
  <c r="AP303" i="14"/>
  <c r="AL44" i="3"/>
  <c r="BC302" i="14"/>
  <c r="BC303" i="14" s="1"/>
  <c r="BQ100" i="3"/>
  <c r="BH162" i="14"/>
  <c r="BH163" i="14"/>
  <c r="BH270" i="14"/>
  <c r="BH271" i="14"/>
  <c r="BH269" i="14"/>
  <c r="BS76" i="3"/>
  <c r="BS77" i="3"/>
  <c r="BP125" i="3"/>
  <c r="BP98" i="3"/>
  <c r="BH239" i="14"/>
  <c r="BH235" i="14"/>
  <c r="BH236" i="14" s="1"/>
  <c r="BH268" i="14"/>
  <c r="BP124" i="3"/>
  <c r="BP97" i="3"/>
  <c r="BJ238" i="14"/>
  <c r="BR75" i="3"/>
  <c r="BI237" i="14"/>
  <c r="BQ20" i="3"/>
  <c r="BQ74" i="3"/>
  <c r="BQ19" i="3" s="1"/>
  <c r="BJ267" i="14"/>
  <c r="BI266" i="14"/>
  <c r="BI282" i="14" s="1"/>
  <c r="BI280" i="14" s="1"/>
  <c r="BH129" i="14"/>
  <c r="BJ127" i="14"/>
  <c r="BJ161" i="14" s="1"/>
  <c r="BI127" i="14"/>
  <c r="BI161" i="14" s="1"/>
  <c r="AJ112" i="13"/>
  <c r="AJ111" i="13"/>
  <c r="AO291" i="13"/>
  <c r="AP289" i="13"/>
  <c r="BA289" i="13" s="1"/>
  <c r="AO288" i="13"/>
  <c r="AZ285" i="13"/>
  <c r="AZ286" i="13"/>
  <c r="AZ281" i="13"/>
  <c r="AZ328" i="13" s="1"/>
  <c r="AZ332" i="13"/>
  <c r="AN301" i="13"/>
  <c r="AN297" i="13"/>
  <c r="AN287" i="13"/>
  <c r="AN284" i="13" s="1"/>
  <c r="AK449" i="13"/>
  <c r="AK400" i="13"/>
  <c r="AK398" i="13"/>
  <c r="AL475" i="13"/>
  <c r="AL399" i="13"/>
  <c r="AL333" i="13"/>
  <c r="AL334" i="13"/>
  <c r="AJ497" i="13"/>
  <c r="AJ476" i="13"/>
  <c r="AJ448" i="13"/>
  <c r="AJ407" i="13"/>
  <c r="AL113" i="13"/>
  <c r="AK110" i="13"/>
  <c r="AJ498" i="13"/>
  <c r="AJ477" i="13"/>
  <c r="AJ450" i="13"/>
  <c r="AJ345" i="13"/>
  <c r="AM285" i="13"/>
  <c r="AM286" i="13"/>
  <c r="AM281" i="13"/>
  <c r="AM328" i="13" s="1"/>
  <c r="AM332" i="13"/>
  <c r="BR22" i="3" l="1"/>
  <c r="BR29" i="4"/>
  <c r="BR127" i="3"/>
  <c r="BR100" i="3"/>
  <c r="BR21" i="3"/>
  <c r="BR99" i="3" s="1"/>
  <c r="BJ242" i="14"/>
  <c r="BR23" i="3"/>
  <c r="BR70" i="3"/>
  <c r="BR82" i="3"/>
  <c r="BR88" i="3"/>
  <c r="BR81" i="3"/>
  <c r="BR93" i="3"/>
  <c r="BR83" i="3"/>
  <c r="BR120" i="3"/>
  <c r="BR87" i="3"/>
  <c r="BR89" i="3"/>
  <c r="BR84" i="3"/>
  <c r="BS12" i="3"/>
  <c r="BS78" i="3"/>
  <c r="BJ266" i="14"/>
  <c r="BJ282" i="14" s="1"/>
  <c r="BJ280" i="14" s="1"/>
  <c r="BR126" i="3"/>
  <c r="BQ128" i="3"/>
  <c r="BQ101" i="3"/>
  <c r="BI162" i="14"/>
  <c r="BI163" i="14"/>
  <c r="BJ162" i="14"/>
  <c r="BJ163" i="14"/>
  <c r="BI268" i="14"/>
  <c r="BJ268" i="14" s="1"/>
  <c r="BI271" i="14"/>
  <c r="BI239" i="14"/>
  <c r="BI235" i="14"/>
  <c r="BI236" i="14" s="1"/>
  <c r="BR20" i="3"/>
  <c r="BR74" i="3"/>
  <c r="BR19" i="3" s="1"/>
  <c r="BJ129" i="14"/>
  <c r="BS75" i="3"/>
  <c r="BJ237" i="14"/>
  <c r="BI129" i="14"/>
  <c r="BI269" i="14"/>
  <c r="BQ97" i="3"/>
  <c r="BQ124" i="3"/>
  <c r="BI270" i="14"/>
  <c r="BQ125" i="3"/>
  <c r="BQ98" i="3"/>
  <c r="AK497" i="13"/>
  <c r="AK476" i="13"/>
  <c r="AK448" i="13"/>
  <c r="AK407" i="13"/>
  <c r="AK498" i="13"/>
  <c r="AK477" i="13"/>
  <c r="AK450" i="13"/>
  <c r="AK345" i="13"/>
  <c r="AN285" i="13"/>
  <c r="AN286" i="13"/>
  <c r="AN281" i="13"/>
  <c r="AN328" i="13" s="1"/>
  <c r="AN332" i="13"/>
  <c r="AP291" i="13"/>
  <c r="AP288" i="13"/>
  <c r="BA291" i="13"/>
  <c r="BB289" i="13"/>
  <c r="BA288" i="13"/>
  <c r="AO301" i="13"/>
  <c r="AO297" i="13"/>
  <c r="AO287" i="13"/>
  <c r="AO284" i="13" s="1"/>
  <c r="AK112" i="13"/>
  <c r="AK111" i="13"/>
  <c r="AM113" i="13"/>
  <c r="AL110" i="13"/>
  <c r="AZ110" i="13" s="1"/>
  <c r="AJ494" i="13"/>
  <c r="AJ472" i="13"/>
  <c r="AJ445" i="13"/>
  <c r="AJ351" i="13"/>
  <c r="AJ344" i="13"/>
  <c r="AM475" i="13"/>
  <c r="AM399" i="13"/>
  <c r="AM333" i="13"/>
  <c r="AM334" i="13"/>
  <c r="AL449" i="13"/>
  <c r="AL398" i="13"/>
  <c r="AL400" i="13"/>
  <c r="AZ399" i="13"/>
  <c r="AZ334" i="13"/>
  <c r="AZ333" i="13"/>
  <c r="BS21" i="3" l="1"/>
  <c r="BS99" i="3" s="1"/>
  <c r="BS29" i="4"/>
  <c r="BJ270" i="14"/>
  <c r="BS89" i="3"/>
  <c r="N25" i="1"/>
  <c r="N46" i="1" s="1"/>
  <c r="BS87" i="3"/>
  <c r="BS83" i="3"/>
  <c r="BS23" i="3"/>
  <c r="BS81" i="3"/>
  <c r="BS88" i="3"/>
  <c r="BS82" i="3"/>
  <c r="BS84" i="3"/>
  <c r="BS70" i="3"/>
  <c r="BS93" i="3"/>
  <c r="BS120" i="3"/>
  <c r="BS126" i="3"/>
  <c r="BR128" i="3"/>
  <c r="BR101" i="3"/>
  <c r="BJ269" i="14"/>
  <c r="BJ271" i="14"/>
  <c r="BS22" i="3"/>
  <c r="BR98" i="3"/>
  <c r="BR125" i="3"/>
  <c r="BS20" i="3"/>
  <c r="BS74" i="3"/>
  <c r="BS19" i="3" s="1"/>
  <c r="BR124" i="3"/>
  <c r="BR97" i="3"/>
  <c r="BJ239" i="14"/>
  <c r="BJ235" i="14"/>
  <c r="BJ236" i="14" s="1"/>
  <c r="AZ111" i="13"/>
  <c r="AZ13" i="13"/>
  <c r="AZ11" i="13" s="1"/>
  <c r="AP301" i="13"/>
  <c r="AP297" i="13"/>
  <c r="BA297" i="13" s="1"/>
  <c r="AP287" i="13"/>
  <c r="AP284" i="13" s="1"/>
  <c r="AZ475" i="13"/>
  <c r="AZ449" i="13"/>
  <c r="AZ400" i="13"/>
  <c r="AZ398" i="13"/>
  <c r="AJ401" i="13"/>
  <c r="AJ352" i="13" s="1"/>
  <c r="AJ362" i="13" s="1"/>
  <c r="AO285" i="13"/>
  <c r="AO286" i="13"/>
  <c r="AO281" i="13"/>
  <c r="AO328" i="13" s="1"/>
  <c r="AO332" i="13"/>
  <c r="AL497" i="13"/>
  <c r="AL476" i="13"/>
  <c r="AL448" i="13"/>
  <c r="AL407" i="13"/>
  <c r="BA301" i="13"/>
  <c r="BA287" i="13"/>
  <c r="AJ338" i="13"/>
  <c r="AJ339" i="13"/>
  <c r="AJ336" i="13"/>
  <c r="AJ435" i="13"/>
  <c r="AJ434" i="13" s="1"/>
  <c r="AJ340" i="13" s="1"/>
  <c r="AL498" i="13"/>
  <c r="AL477" i="13"/>
  <c r="AL450" i="13"/>
  <c r="AL345" i="13"/>
  <c r="AM449" i="13"/>
  <c r="AM398" i="13"/>
  <c r="AM400" i="13"/>
  <c r="AN113" i="13"/>
  <c r="AM110" i="13"/>
  <c r="BC289" i="13"/>
  <c r="BC288" i="13" s="1"/>
  <c r="BB288" i="13"/>
  <c r="AK494" i="13"/>
  <c r="AK472" i="13"/>
  <c r="AK445" i="13"/>
  <c r="AK351" i="13"/>
  <c r="AK344" i="13"/>
  <c r="AN475" i="13"/>
  <c r="AN399" i="13"/>
  <c r="AN334" i="13"/>
  <c r="AN333" i="13"/>
  <c r="AL112" i="13"/>
  <c r="AL111" i="13"/>
  <c r="BS101" i="3" l="1"/>
  <c r="BS128" i="3"/>
  <c r="BS127" i="3"/>
  <c r="BS100" i="3"/>
  <c r="BS124" i="3"/>
  <c r="BS97" i="3"/>
  <c r="BS98" i="3"/>
  <c r="BS125" i="3"/>
  <c r="AJ581" i="13"/>
  <c r="AJ495" i="13"/>
  <c r="AJ473" i="13"/>
  <c r="AJ446" i="13"/>
  <c r="AJ364" i="13"/>
  <c r="AJ368" i="13" s="1"/>
  <c r="AJ372" i="13" s="1"/>
  <c r="AJ403" i="13"/>
  <c r="BC301" i="13"/>
  <c r="BC297" i="13"/>
  <c r="BC287" i="13"/>
  <c r="BC284" i="13" s="1"/>
  <c r="AM111" i="13"/>
  <c r="AM112" i="13"/>
  <c r="AJ440" i="13"/>
  <c r="AJ426" i="13"/>
  <c r="AJ438" i="13"/>
  <c r="AJ424" i="13"/>
  <c r="AN449" i="13"/>
  <c r="AN400" i="13"/>
  <c r="AN398" i="13"/>
  <c r="AK339" i="13"/>
  <c r="AK336" i="13"/>
  <c r="AK338" i="13"/>
  <c r="AK435" i="13"/>
  <c r="AK434" i="13" s="1"/>
  <c r="AK340" i="13" s="1"/>
  <c r="AO475" i="13"/>
  <c r="AO399" i="13"/>
  <c r="AO334" i="13"/>
  <c r="AO333" i="13"/>
  <c r="AP286" i="13"/>
  <c r="AP281" i="13"/>
  <c r="AP328" i="13" s="1"/>
  <c r="AP285" i="13"/>
  <c r="AP332" i="13"/>
  <c r="BA284" i="13"/>
  <c r="AM498" i="13"/>
  <c r="AM477" i="13"/>
  <c r="AM450" i="13"/>
  <c r="AM345" i="13"/>
  <c r="AJ429" i="13"/>
  <c r="AJ428" i="13"/>
  <c r="AJ232" i="13"/>
  <c r="AJ231" i="13" s="1"/>
  <c r="AM497" i="13"/>
  <c r="AM476" i="13"/>
  <c r="AM448" i="13"/>
  <c r="AM407" i="13"/>
  <c r="AJ437" i="13"/>
  <c r="AJ447" i="13" s="1"/>
  <c r="AJ423" i="13"/>
  <c r="AJ337" i="13"/>
  <c r="AZ476" i="13"/>
  <c r="AZ448" i="13"/>
  <c r="AZ407" i="13"/>
  <c r="AZ10" i="13"/>
  <c r="AZ9" i="13"/>
  <c r="AL494" i="13"/>
  <c r="AL472" i="13"/>
  <c r="AL445" i="13"/>
  <c r="AL351" i="13"/>
  <c r="AL344" i="13"/>
  <c r="AZ344" i="13" s="1"/>
  <c r="AZ435" i="13" s="1"/>
  <c r="BB301" i="13"/>
  <c r="BB297" i="13"/>
  <c r="BB287" i="13"/>
  <c r="BB284" i="13" s="1"/>
  <c r="AO113" i="13"/>
  <c r="AN110" i="13"/>
  <c r="AK401" i="13"/>
  <c r="AK352" i="13" s="1"/>
  <c r="AK362" i="13" s="1"/>
  <c r="AJ439" i="13"/>
  <c r="AJ425" i="13"/>
  <c r="AJ61" i="13"/>
  <c r="AZ477" i="13"/>
  <c r="AZ450" i="13"/>
  <c r="AZ345" i="13"/>
  <c r="AJ441" i="13" l="1"/>
  <c r="AK581" i="13"/>
  <c r="AK495" i="13"/>
  <c r="AK473" i="13"/>
  <c r="AK446" i="13"/>
  <c r="AK364" i="13"/>
  <c r="AK368" i="13" s="1"/>
  <c r="AK372" i="13" s="1"/>
  <c r="AK403" i="13"/>
  <c r="AM494" i="13"/>
  <c r="AM472" i="13"/>
  <c r="AM445" i="13"/>
  <c r="AM351" i="13"/>
  <c r="AM344" i="13"/>
  <c r="AK439" i="13"/>
  <c r="AK425" i="13"/>
  <c r="AK61" i="13"/>
  <c r="AK440" i="13"/>
  <c r="AK426" i="13"/>
  <c r="AJ499" i="13"/>
  <c r="AJ478" i="13"/>
  <c r="AJ451" i="13"/>
  <c r="AJ408" i="13"/>
  <c r="AJ402" i="13"/>
  <c r="AL401" i="13"/>
  <c r="AL352" i="13" s="1"/>
  <c r="AZ352" i="13" s="1"/>
  <c r="AO449" i="13"/>
  <c r="AO400" i="13"/>
  <c r="AO398" i="13"/>
  <c r="AN497" i="13"/>
  <c r="AN476" i="13"/>
  <c r="AN448" i="13"/>
  <c r="AN407" i="13"/>
  <c r="AJ374" i="13"/>
  <c r="AJ375" i="13"/>
  <c r="AJ404" i="13"/>
  <c r="AJ376" i="13"/>
  <c r="AK429" i="13"/>
  <c r="AK428" i="13"/>
  <c r="AK232" i="13"/>
  <c r="AK231" i="13" s="1"/>
  <c r="AN498" i="13"/>
  <c r="AN477" i="13"/>
  <c r="AN450" i="13"/>
  <c r="AN345" i="13"/>
  <c r="AZ472" i="13"/>
  <c r="AZ445" i="13"/>
  <c r="AZ351" i="13"/>
  <c r="AJ493" i="13"/>
  <c r="AJ471" i="13"/>
  <c r="AJ444" i="13"/>
  <c r="BA285" i="13"/>
  <c r="BA286" i="13"/>
  <c r="BA281" i="13"/>
  <c r="BA328" i="13" s="1"/>
  <c r="BA332" i="13"/>
  <c r="AN111" i="13"/>
  <c r="AN112" i="13"/>
  <c r="AP475" i="13"/>
  <c r="AP399" i="13"/>
  <c r="AP334" i="13"/>
  <c r="AP333" i="13"/>
  <c r="AK437" i="13"/>
  <c r="AK447" i="13" s="1"/>
  <c r="AK423" i="13"/>
  <c r="AK337" i="13"/>
  <c r="AL339" i="13"/>
  <c r="AL336" i="13"/>
  <c r="AL338" i="13"/>
  <c r="AL435" i="13"/>
  <c r="AL434" i="13" s="1"/>
  <c r="AL340" i="13" s="1"/>
  <c r="AP113" i="13"/>
  <c r="AP110" i="13" s="1"/>
  <c r="AO110" i="13"/>
  <c r="BB286" i="13"/>
  <c r="BB281" i="13"/>
  <c r="BB328" i="13" s="1"/>
  <c r="BB285" i="13"/>
  <c r="BB332" i="13"/>
  <c r="AK438" i="13"/>
  <c r="AK424" i="13"/>
  <c r="AJ427" i="13"/>
  <c r="BC286" i="13"/>
  <c r="BC281" i="13"/>
  <c r="BC328" i="13" s="1"/>
  <c r="BC285" i="13"/>
  <c r="BC332" i="13"/>
  <c r="AL440" i="13" l="1"/>
  <c r="AL426" i="13"/>
  <c r="AZ340" i="13"/>
  <c r="AZ544" i="13"/>
  <c r="AZ429" i="13"/>
  <c r="AZ428" i="13"/>
  <c r="AZ232" i="13"/>
  <c r="AZ231" i="13" s="1"/>
  <c r="AZ206" i="13"/>
  <c r="AZ207" i="13" s="1"/>
  <c r="AK478" i="13"/>
  <c r="AK499" i="13"/>
  <c r="AK451" i="13"/>
  <c r="AK408" i="13"/>
  <c r="AK402" i="13"/>
  <c r="AK375" i="13"/>
  <c r="AK404" i="13"/>
  <c r="AK376" i="13"/>
  <c r="AK374" i="13"/>
  <c r="AP112" i="13"/>
  <c r="AP111" i="13"/>
  <c r="AM339" i="13"/>
  <c r="AM336" i="13"/>
  <c r="AM338" i="13"/>
  <c r="AM435" i="13"/>
  <c r="AM434" i="13" s="1"/>
  <c r="AM340" i="13" s="1"/>
  <c r="AO111" i="13"/>
  <c r="AO112" i="13"/>
  <c r="AO497" i="13"/>
  <c r="AO476" i="13"/>
  <c r="AO448" i="13"/>
  <c r="AO407" i="13"/>
  <c r="AM401" i="13"/>
  <c r="AM352" i="13" s="1"/>
  <c r="AM362" i="13" s="1"/>
  <c r="AL429" i="13"/>
  <c r="AL428" i="13"/>
  <c r="AL232" i="13"/>
  <c r="AL231" i="13" s="1"/>
  <c r="AK427" i="13"/>
  <c r="AL438" i="13"/>
  <c r="AL424" i="13"/>
  <c r="AZ338" i="13"/>
  <c r="AJ405" i="13"/>
  <c r="AJ500" i="13" s="1"/>
  <c r="AJ406" i="13"/>
  <c r="AJ409" i="13" s="1"/>
  <c r="AJ479" i="13" s="1"/>
  <c r="AK493" i="13"/>
  <c r="AK471" i="13"/>
  <c r="AK444" i="13"/>
  <c r="AZ401" i="13"/>
  <c r="AZ362" i="13"/>
  <c r="BA399" i="13"/>
  <c r="BA334" i="13"/>
  <c r="BA333" i="13"/>
  <c r="AK441" i="13"/>
  <c r="BC399" i="13"/>
  <c r="BC333" i="13"/>
  <c r="BC334" i="13"/>
  <c r="AL439" i="13"/>
  <c r="AL425" i="13"/>
  <c r="AL61" i="13"/>
  <c r="AZ339" i="13"/>
  <c r="AP449" i="13"/>
  <c r="AP400" i="13"/>
  <c r="AP398" i="13"/>
  <c r="AJ496" i="13"/>
  <c r="AJ474" i="13"/>
  <c r="BA110" i="13"/>
  <c r="BB399" i="13"/>
  <c r="BB334" i="13"/>
  <c r="BB333" i="13"/>
  <c r="AL437" i="13"/>
  <c r="AL447" i="13" s="1"/>
  <c r="AL423" i="13"/>
  <c r="AL337" i="13"/>
  <c r="AN494" i="13"/>
  <c r="AN472" i="13"/>
  <c r="AN445" i="13"/>
  <c r="AN351" i="13"/>
  <c r="AN344" i="13"/>
  <c r="AO498" i="13"/>
  <c r="AO477" i="13"/>
  <c r="AO450" i="13"/>
  <c r="AO345" i="13"/>
  <c r="AL362" i="13"/>
  <c r="AZ336" i="13"/>
  <c r="AM440" i="13" l="1"/>
  <c r="AM426" i="13"/>
  <c r="BB475" i="13"/>
  <c r="BB449" i="13"/>
  <c r="BB398" i="13"/>
  <c r="BB400" i="13"/>
  <c r="AM429" i="13"/>
  <c r="AM428" i="13"/>
  <c r="AM232" i="13"/>
  <c r="AM231" i="13" s="1"/>
  <c r="AM438" i="13"/>
  <c r="AM424" i="13"/>
  <c r="AK405" i="13"/>
  <c r="AK500" i="13" s="1"/>
  <c r="AK406" i="13"/>
  <c r="AK409" i="13" s="1"/>
  <c r="AK479" i="13" s="1"/>
  <c r="AZ581" i="13"/>
  <c r="AZ473" i="13"/>
  <c r="AZ446" i="13"/>
  <c r="AZ403" i="13"/>
  <c r="AZ364" i="13"/>
  <c r="AZ368" i="13" s="1"/>
  <c r="AZ372" i="13" s="1"/>
  <c r="AL427" i="13"/>
  <c r="AM437" i="13"/>
  <c r="AM447" i="13" s="1"/>
  <c r="AM423" i="13"/>
  <c r="AM337" i="13"/>
  <c r="AK496" i="13"/>
  <c r="AK474" i="13"/>
  <c r="AZ539" i="13"/>
  <c r="AZ431" i="13"/>
  <c r="AZ437" i="13"/>
  <c r="AZ447" i="13" s="1"/>
  <c r="AZ423" i="13"/>
  <c r="AZ337" i="13"/>
  <c r="AL441" i="13"/>
  <c r="AM439" i="13"/>
  <c r="AM425" i="13"/>
  <c r="AM61" i="13"/>
  <c r="AZ438" i="13"/>
  <c r="AZ432" i="13"/>
  <c r="AZ424" i="13"/>
  <c r="BA111" i="13"/>
  <c r="BB110" i="13"/>
  <c r="BA13" i="13"/>
  <c r="BA11" i="13" s="1"/>
  <c r="BA9" i="13" s="1"/>
  <c r="AP498" i="13"/>
  <c r="AP477" i="13"/>
  <c r="AP450" i="13"/>
  <c r="AP345" i="13"/>
  <c r="BC475" i="13"/>
  <c r="BC449" i="13"/>
  <c r="BC398" i="13"/>
  <c r="BC400" i="13"/>
  <c r="AZ440" i="13"/>
  <c r="AZ426" i="13"/>
  <c r="AL581" i="13"/>
  <c r="AL495" i="13"/>
  <c r="AL473" i="13"/>
  <c r="AL446" i="13"/>
  <c r="AL364" i="13"/>
  <c r="AL368" i="13" s="1"/>
  <c r="AL372" i="13" s="1"/>
  <c r="AL403" i="13"/>
  <c r="AO494" i="13"/>
  <c r="AO472" i="13"/>
  <c r="AO445" i="13"/>
  <c r="AO351" i="13"/>
  <c r="AO344" i="13"/>
  <c r="AL493" i="13"/>
  <c r="AL471" i="13"/>
  <c r="AL444" i="13"/>
  <c r="AM581" i="13"/>
  <c r="AM495" i="13"/>
  <c r="AM473" i="13"/>
  <c r="AM446" i="13"/>
  <c r="AM403" i="13"/>
  <c r="AM364" i="13"/>
  <c r="AM368" i="13" s="1"/>
  <c r="AM372" i="13" s="1"/>
  <c r="BA475" i="13"/>
  <c r="BA449" i="13"/>
  <c r="BA400" i="13"/>
  <c r="BA398" i="13"/>
  <c r="AP497" i="13"/>
  <c r="AP476" i="13"/>
  <c r="AP448" i="13"/>
  <c r="AP407" i="13"/>
  <c r="AN339" i="13"/>
  <c r="AN336" i="13"/>
  <c r="AN338" i="13"/>
  <c r="AN435" i="13"/>
  <c r="AN434" i="13" s="1"/>
  <c r="AN340" i="13" s="1"/>
  <c r="AN401" i="13"/>
  <c r="AN352" i="13" s="1"/>
  <c r="AN362" i="13" s="1"/>
  <c r="AZ433" i="13"/>
  <c r="AZ439" i="13"/>
  <c r="AZ425" i="13"/>
  <c r="AZ61" i="13"/>
  <c r="AM427" i="13" l="1"/>
  <c r="AN581" i="13"/>
  <c r="AN495" i="13"/>
  <c r="AN446" i="13"/>
  <c r="AN473" i="13"/>
  <c r="AN364" i="13"/>
  <c r="AN368" i="13" s="1"/>
  <c r="AN372" i="13" s="1"/>
  <c r="AN403" i="13"/>
  <c r="BC476" i="13"/>
  <c r="BC448" i="13"/>
  <c r="BC407" i="13"/>
  <c r="BC110" i="13"/>
  <c r="BC13" i="13" s="1"/>
  <c r="BC11" i="13" s="1"/>
  <c r="BC9" i="13" s="1"/>
  <c r="BB13" i="13"/>
  <c r="BB11" i="13" s="1"/>
  <c r="BB9" i="13" s="1"/>
  <c r="AM493" i="13"/>
  <c r="AM471" i="13"/>
  <c r="AM444" i="13"/>
  <c r="AM375" i="13"/>
  <c r="AM404" i="13"/>
  <c r="AM376" i="13"/>
  <c r="AM374" i="13"/>
  <c r="AZ471" i="13"/>
  <c r="AZ444" i="13"/>
  <c r="BB477" i="13"/>
  <c r="BB450" i="13"/>
  <c r="BB345" i="13"/>
  <c r="AM499" i="13"/>
  <c r="AM478" i="13"/>
  <c r="AM451" i="13"/>
  <c r="AM408" i="13"/>
  <c r="AM402" i="13"/>
  <c r="AO339" i="13"/>
  <c r="AO336" i="13"/>
  <c r="AO338" i="13"/>
  <c r="AO435" i="13"/>
  <c r="AO434" i="13" s="1"/>
  <c r="AO340" i="13" s="1"/>
  <c r="BB476" i="13"/>
  <c r="BB448" i="13"/>
  <c r="BB407" i="13"/>
  <c r="AL499" i="13"/>
  <c r="AL478" i="13"/>
  <c r="AL451" i="13"/>
  <c r="AL408" i="13"/>
  <c r="AL402" i="13"/>
  <c r="AN440" i="13"/>
  <c r="AN426" i="13"/>
  <c r="AO401" i="13"/>
  <c r="AO352" i="13" s="1"/>
  <c r="AP494" i="13"/>
  <c r="AP472" i="13"/>
  <c r="AP445" i="13"/>
  <c r="AP351" i="13"/>
  <c r="AP344" i="13"/>
  <c r="BC477" i="13"/>
  <c r="BC450" i="13"/>
  <c r="BC345" i="13"/>
  <c r="AZ441" i="13"/>
  <c r="AZ427" i="13"/>
  <c r="AZ434" i="13"/>
  <c r="AZ374" i="13"/>
  <c r="AZ375" i="13"/>
  <c r="AZ474" i="13" s="1"/>
  <c r="AZ404" i="13"/>
  <c r="AZ376" i="13"/>
  <c r="AM441" i="13"/>
  <c r="AN439" i="13"/>
  <c r="AN425" i="13"/>
  <c r="AN61" i="13"/>
  <c r="AN428" i="13"/>
  <c r="AN429" i="13"/>
  <c r="AN232" i="13"/>
  <c r="AN231" i="13" s="1"/>
  <c r="AN438" i="13"/>
  <c r="AN424" i="13"/>
  <c r="AZ607" i="13"/>
  <c r="AZ610" i="13" s="1"/>
  <c r="AZ542" i="13"/>
  <c r="AZ549" i="13" s="1"/>
  <c r="AL375" i="13"/>
  <c r="AL404" i="13"/>
  <c r="AL376" i="13"/>
  <c r="AL374" i="13"/>
  <c r="BA476" i="13"/>
  <c r="BA448" i="13"/>
  <c r="BA407" i="13"/>
  <c r="AZ478" i="13"/>
  <c r="AZ442" i="13"/>
  <c r="AZ451" i="13"/>
  <c r="AZ408" i="13"/>
  <c r="AZ402" i="13"/>
  <c r="AN437" i="13"/>
  <c r="AN447" i="13" s="1"/>
  <c r="AN423" i="13"/>
  <c r="AN337" i="13"/>
  <c r="BA477" i="13"/>
  <c r="BA450" i="13"/>
  <c r="BA345" i="13"/>
  <c r="AO440" i="13" l="1"/>
  <c r="AO426" i="13"/>
  <c r="AZ674" i="13"/>
  <c r="AZ660" i="13"/>
  <c r="AZ662" i="13" s="1"/>
  <c r="AO437" i="13"/>
  <c r="AO447" i="13" s="1"/>
  <c r="AO423" i="13"/>
  <c r="AO337" i="13"/>
  <c r="AO438" i="13"/>
  <c r="AO424" i="13"/>
  <c r="BC472" i="13"/>
  <c r="BC445" i="13"/>
  <c r="BC351" i="13"/>
  <c r="BC344" i="13"/>
  <c r="AN499" i="13"/>
  <c r="AN478" i="13"/>
  <c r="AN451" i="13"/>
  <c r="AN408" i="13"/>
  <c r="AN402" i="13"/>
  <c r="AO429" i="13"/>
  <c r="AO428" i="13"/>
  <c r="AO232" i="13"/>
  <c r="AO231" i="13" s="1"/>
  <c r="AN441" i="13"/>
  <c r="AO362" i="13"/>
  <c r="AN404" i="13"/>
  <c r="AN376" i="13"/>
  <c r="AN374" i="13"/>
  <c r="AN375" i="13"/>
  <c r="AM496" i="13"/>
  <c r="AM474" i="13"/>
  <c r="AZ405" i="13"/>
  <c r="AZ406" i="13"/>
  <c r="AZ409" i="13" s="1"/>
  <c r="AZ479" i="13" s="1"/>
  <c r="AO439" i="13"/>
  <c r="AO425" i="13"/>
  <c r="AO61" i="13"/>
  <c r="AP339" i="13"/>
  <c r="AP336" i="13"/>
  <c r="AP338" i="13"/>
  <c r="AP435" i="13"/>
  <c r="AP434" i="13" s="1"/>
  <c r="AP340" i="13" s="1"/>
  <c r="AN493" i="13"/>
  <c r="AN444" i="13"/>
  <c r="AN471" i="13"/>
  <c r="BA472" i="13"/>
  <c r="BA445" i="13"/>
  <c r="BA351" i="13"/>
  <c r="BA344" i="13"/>
  <c r="BB472" i="13"/>
  <c r="BB445" i="13"/>
  <c r="BB351" i="13"/>
  <c r="BB344" i="13"/>
  <c r="AN427" i="13"/>
  <c r="AL406" i="13"/>
  <c r="AL409" i="13" s="1"/>
  <c r="AL479" i="13" s="1"/>
  <c r="AL405" i="13"/>
  <c r="AL500" i="13" s="1"/>
  <c r="AP401" i="13"/>
  <c r="AP352" i="13" s="1"/>
  <c r="AP362" i="13" s="1"/>
  <c r="AL496" i="13"/>
  <c r="AL474" i="13"/>
  <c r="AM406" i="13"/>
  <c r="AM409" i="13" s="1"/>
  <c r="AM479" i="13" s="1"/>
  <c r="AM405" i="13"/>
  <c r="AO441" i="13" l="1"/>
  <c r="AM500" i="13"/>
  <c r="AP440" i="13"/>
  <c r="AP426" i="13"/>
  <c r="AP428" i="13"/>
  <c r="AP429" i="13"/>
  <c r="AP232" i="13"/>
  <c r="AP231" i="13" s="1"/>
  <c r="BA336" i="13"/>
  <c r="BA338" i="13"/>
  <c r="BA339" i="13"/>
  <c r="BA435" i="13"/>
  <c r="BA434" i="13" s="1"/>
  <c r="BA340" i="13" s="1"/>
  <c r="AO581" i="13"/>
  <c r="AO495" i="13"/>
  <c r="AO473" i="13"/>
  <c r="AO446" i="13"/>
  <c r="AO364" i="13"/>
  <c r="AO368" i="13" s="1"/>
  <c r="AO372" i="13" s="1"/>
  <c r="AO403" i="13"/>
  <c r="AO493" i="13"/>
  <c r="AO471" i="13"/>
  <c r="AO444" i="13"/>
  <c r="BA401" i="13"/>
  <c r="AP438" i="13"/>
  <c r="AP424" i="13"/>
  <c r="BC339" i="13"/>
  <c r="BC336" i="13"/>
  <c r="BC338" i="13"/>
  <c r="BC435" i="13"/>
  <c r="BC434" i="13" s="1"/>
  <c r="BC340" i="13" s="1"/>
  <c r="BC401" i="13"/>
  <c r="BC352" i="13" s="1"/>
  <c r="BC362" i="13" s="1"/>
  <c r="BA661" i="13"/>
  <c r="AZ516" i="13"/>
  <c r="AP581" i="13"/>
  <c r="AP495" i="13"/>
  <c r="AP473" i="13"/>
  <c r="AP446" i="13"/>
  <c r="AP364" i="13"/>
  <c r="AP368" i="13" s="1"/>
  <c r="AP372" i="13" s="1"/>
  <c r="AP403" i="13"/>
  <c r="BA352" i="13"/>
  <c r="BA362" i="13" s="1"/>
  <c r="AN496" i="13"/>
  <c r="AN474" i="13"/>
  <c r="AZ678" i="13"/>
  <c r="AZ676" i="13"/>
  <c r="AZ677" i="13" s="1"/>
  <c r="AZ679" i="13"/>
  <c r="AZ680" i="13" s="1"/>
  <c r="AZ681" i="13" s="1"/>
  <c r="AZ675" i="13"/>
  <c r="AP437" i="13"/>
  <c r="AP447" i="13" s="1"/>
  <c r="AP423" i="13"/>
  <c r="AP337" i="13"/>
  <c r="BB338" i="13"/>
  <c r="BB339" i="13"/>
  <c r="BB336" i="13"/>
  <c r="BB435" i="13"/>
  <c r="BB434" i="13" s="1"/>
  <c r="BB340" i="13" s="1"/>
  <c r="AP439" i="13"/>
  <c r="AP425" i="13"/>
  <c r="AP61" i="13"/>
  <c r="BB401" i="13"/>
  <c r="BB352" i="13" s="1"/>
  <c r="BB362" i="13" s="1"/>
  <c r="AN406" i="13"/>
  <c r="AN409" i="13" s="1"/>
  <c r="AN479" i="13" s="1"/>
  <c r="AN405" i="13"/>
  <c r="AN500" i="13" s="1"/>
  <c r="AO427" i="13"/>
  <c r="BA581" i="13" l="1"/>
  <c r="BA473" i="13"/>
  <c r="BA446" i="13"/>
  <c r="BA403" i="13"/>
  <c r="BA364" i="13"/>
  <c r="BA368" i="13" s="1"/>
  <c r="BA372" i="13" s="1"/>
  <c r="BB440" i="13"/>
  <c r="BB426" i="13"/>
  <c r="AP493" i="13"/>
  <c r="AP471" i="13"/>
  <c r="AP444" i="13"/>
  <c r="AO404" i="13"/>
  <c r="AO376" i="13"/>
  <c r="AO374" i="13"/>
  <c r="AO375" i="13"/>
  <c r="BA438" i="13"/>
  <c r="BA424" i="13"/>
  <c r="AZ510" i="13"/>
  <c r="AZ511" i="13" s="1"/>
  <c r="AZ523" i="13"/>
  <c r="AZ531" i="13" s="1"/>
  <c r="AZ568" i="13" s="1"/>
  <c r="AP441" i="13"/>
  <c r="BA539" i="13"/>
  <c r="BA437" i="13"/>
  <c r="BA447" i="13" s="1"/>
  <c r="BA423" i="13"/>
  <c r="BA337" i="13"/>
  <c r="AP427" i="13"/>
  <c r="BC544" i="13"/>
  <c r="BC429" i="13"/>
  <c r="BC428" i="13"/>
  <c r="BC232" i="13"/>
  <c r="BC231" i="13" s="1"/>
  <c r="BC206" i="13"/>
  <c r="BA440" i="13"/>
  <c r="BA426" i="13"/>
  <c r="AP499" i="13"/>
  <c r="AP478" i="13"/>
  <c r="AP451" i="13"/>
  <c r="AP408" i="13"/>
  <c r="AP402" i="13"/>
  <c r="AO499" i="13"/>
  <c r="AO478" i="13"/>
  <c r="AO451" i="13"/>
  <c r="AO402" i="13"/>
  <c r="AO408" i="13"/>
  <c r="BC438" i="13"/>
  <c r="BC424" i="13"/>
  <c r="BA544" i="13"/>
  <c r="BA429" i="13"/>
  <c r="BA428" i="13"/>
  <c r="BA232" i="13"/>
  <c r="BA231" i="13" s="1"/>
  <c r="BA206" i="13"/>
  <c r="BA207" i="13" s="1"/>
  <c r="AP404" i="13"/>
  <c r="AP376" i="13"/>
  <c r="AP374" i="13"/>
  <c r="AP375" i="13"/>
  <c r="BB539" i="13"/>
  <c r="BB437" i="13"/>
  <c r="BB447" i="13" s="1"/>
  <c r="BB423" i="13"/>
  <c r="BB337" i="13"/>
  <c r="BC539" i="13"/>
  <c r="BC437" i="13"/>
  <c r="BC447" i="13" s="1"/>
  <c r="BC423" i="13"/>
  <c r="BC337" i="13"/>
  <c r="BC440" i="13"/>
  <c r="BC426" i="13"/>
  <c r="BC581" i="13"/>
  <c r="BC473" i="13"/>
  <c r="BC446" i="13"/>
  <c r="BC403" i="13"/>
  <c r="BC364" i="13"/>
  <c r="BC368" i="13" s="1"/>
  <c r="BC372" i="13" s="1"/>
  <c r="BB439" i="13"/>
  <c r="BB425" i="13"/>
  <c r="BB61" i="13"/>
  <c r="BB581" i="13"/>
  <c r="BB473" i="13"/>
  <c r="BB446" i="13"/>
  <c r="BB403" i="13"/>
  <c r="BB364" i="13"/>
  <c r="BB368" i="13" s="1"/>
  <c r="BB372" i="13" s="1"/>
  <c r="BB544" i="13"/>
  <c r="BB428" i="13"/>
  <c r="BB429" i="13"/>
  <c r="BB232" i="13"/>
  <c r="BB231" i="13" s="1"/>
  <c r="BB206" i="13"/>
  <c r="BB207" i="13" s="1"/>
  <c r="BB438" i="13"/>
  <c r="BB424" i="13"/>
  <c r="BC439" i="13"/>
  <c r="BC425" i="13"/>
  <c r="BC61" i="13"/>
  <c r="BA439" i="13"/>
  <c r="BA425" i="13"/>
  <c r="BA61" i="13"/>
  <c r="BC478" i="13" l="1"/>
  <c r="BC451" i="13"/>
  <c r="BC408" i="13"/>
  <c r="BC402" i="13"/>
  <c r="BB471" i="13"/>
  <c r="BB444" i="13"/>
  <c r="BA471" i="13"/>
  <c r="BA444" i="13"/>
  <c r="BA441" i="13"/>
  <c r="BA427" i="13"/>
  <c r="AO496" i="13"/>
  <c r="AO474" i="13"/>
  <c r="BB607" i="13"/>
  <c r="BB610" i="13" s="1"/>
  <c r="BB542" i="13"/>
  <c r="BB549" i="13" s="1"/>
  <c r="BC207" i="13"/>
  <c r="BD206" i="13"/>
  <c r="BA375" i="13"/>
  <c r="BA474" i="13" s="1"/>
  <c r="BA404" i="13"/>
  <c r="BA376" i="13"/>
  <c r="BA374" i="13"/>
  <c r="BC471" i="13"/>
  <c r="BC444" i="13"/>
  <c r="AP496" i="13"/>
  <c r="AP474" i="13"/>
  <c r="BA607" i="13"/>
  <c r="BA542" i="13"/>
  <c r="BA549" i="13" s="1"/>
  <c r="BA478" i="13"/>
  <c r="BA442" i="13"/>
  <c r="BA451" i="13"/>
  <c r="BA408" i="13"/>
  <c r="BA402" i="13"/>
  <c r="BB375" i="13"/>
  <c r="BB404" i="13"/>
  <c r="BB376" i="13"/>
  <c r="BB374" i="13"/>
  <c r="BC375" i="13"/>
  <c r="BC404" i="13"/>
  <c r="BC376" i="13"/>
  <c r="BC374" i="13"/>
  <c r="AO405" i="13"/>
  <c r="AO500" i="13" s="1"/>
  <c r="AO406" i="13"/>
  <c r="AO409" i="13" s="1"/>
  <c r="AO479" i="13" s="1"/>
  <c r="BB478" i="13"/>
  <c r="BB451" i="13"/>
  <c r="BB408" i="13"/>
  <c r="BB402" i="13"/>
  <c r="BC441" i="13"/>
  <c r="BC427" i="13"/>
  <c r="BB441" i="13"/>
  <c r="BB427" i="13"/>
  <c r="BC607" i="13"/>
  <c r="BC610" i="13" s="1"/>
  <c r="BC542" i="13"/>
  <c r="BC549" i="13" s="1"/>
  <c r="AP405" i="13"/>
  <c r="AP406" i="13"/>
  <c r="AP409" i="13" s="1"/>
  <c r="AP479" i="13" s="1"/>
  <c r="BA610" i="13"/>
  <c r="BC474" i="13" l="1"/>
  <c r="AP500" i="13"/>
  <c r="BB474" i="13"/>
  <c r="BB674" i="13"/>
  <c r="BB660" i="13"/>
  <c r="BA674" i="13"/>
  <c r="BA660" i="13"/>
  <c r="BA662" i="13" s="1"/>
  <c r="BC406" i="13"/>
  <c r="BC409" i="13" s="1"/>
  <c r="BC405" i="13"/>
  <c r="BC660" i="13"/>
  <c r="BC674" i="13"/>
  <c r="BA405" i="13"/>
  <c r="BA406" i="13"/>
  <c r="BA409" i="13" s="1"/>
  <c r="BA479" i="13" s="1"/>
  <c r="BB406" i="13"/>
  <c r="BB409" i="13" s="1"/>
  <c r="BB479" i="13" s="1"/>
  <c r="BB405" i="13"/>
  <c r="BC479" i="13" l="1"/>
  <c r="BC675" i="13"/>
  <c r="BC678" i="13"/>
  <c r="BC676" i="13"/>
  <c r="BC679" i="13"/>
  <c r="BC680" i="13" s="1"/>
  <c r="BB661" i="13"/>
  <c r="BA516" i="13"/>
  <c r="BB662" i="13"/>
  <c r="BA676" i="13"/>
  <c r="BA677" i="13" s="1"/>
  <c r="BA679" i="13"/>
  <c r="BA680" i="13" s="1"/>
  <c r="BA681" i="13" s="1"/>
  <c r="BA675" i="13"/>
  <c r="BA678" i="13"/>
  <c r="BB679" i="13"/>
  <c r="BB680" i="13" s="1"/>
  <c r="BB675" i="13"/>
  <c r="BB678" i="13"/>
  <c r="BB676" i="13"/>
  <c r="BB677" i="13" l="1"/>
  <c r="BB681" i="13"/>
  <c r="BC661" i="13"/>
  <c r="BC662" i="13" s="1"/>
  <c r="BC516" i="13" s="1"/>
  <c r="BB516" i="13"/>
  <c r="BA510" i="13"/>
  <c r="BA511" i="13" s="1"/>
  <c r="BA523" i="13"/>
  <c r="BA531" i="13" s="1"/>
  <c r="BA568" i="13" s="1"/>
  <c r="BC677" i="13"/>
  <c r="BC681" i="13"/>
  <c r="BB510" i="13" l="1"/>
  <c r="BB511" i="13" s="1"/>
  <c r="BB523" i="13"/>
  <c r="BB531" i="13" s="1"/>
  <c r="BB568" i="13" s="1"/>
  <c r="BC510" i="13"/>
  <c r="BC511" i="13" s="1"/>
  <c r="BC523" i="13"/>
  <c r="BC531" i="13" s="1"/>
  <c r="BC568" i="13" s="1"/>
  <c r="C1" i="5" l="1"/>
  <c r="C2" i="1" l="1"/>
  <c r="B49" i="4" l="1"/>
  <c r="BL58" i="3"/>
  <c r="BK58" i="3"/>
  <c r="BJ58" i="3"/>
  <c r="B57" i="3"/>
  <c r="B56" i="3"/>
  <c r="B53" i="3"/>
  <c r="B44" i="3"/>
  <c r="B41" i="3"/>
  <c r="B27" i="3"/>
  <c r="B24" i="3"/>
  <c r="BB62" i="3"/>
  <c r="BA62" i="3"/>
  <c r="AZ62" i="3"/>
  <c r="AY62" i="3"/>
  <c r="AX62" i="3"/>
  <c r="AW62" i="3"/>
  <c r="AV62" i="3"/>
  <c r="AU62" i="3"/>
  <c r="AT62" i="3"/>
  <c r="AS62" i="3"/>
  <c r="AR62" i="3"/>
  <c r="AQ62" i="3"/>
  <c r="AP62" i="3"/>
  <c r="AO62" i="3"/>
  <c r="AN62" i="3"/>
  <c r="BC58" i="3"/>
  <c r="BB58" i="3"/>
  <c r="BA58" i="3"/>
  <c r="AZ58" i="3"/>
  <c r="AY58" i="3"/>
  <c r="V36" i="3"/>
  <c r="U36" i="3"/>
  <c r="T36" i="3"/>
  <c r="S36" i="3"/>
  <c r="R36" i="3"/>
  <c r="Q36" i="3"/>
  <c r="P36" i="3"/>
  <c r="O36" i="3"/>
  <c r="N36" i="3"/>
  <c r="M36" i="3"/>
  <c r="L36" i="3"/>
  <c r="K36" i="3"/>
  <c r="J36" i="3"/>
  <c r="I36" i="3"/>
  <c r="BL45" i="3"/>
  <c r="BK45" i="3"/>
  <c r="BJ45" i="3"/>
  <c r="AW30" i="3"/>
  <c r="AV30" i="3"/>
  <c r="AU30" i="3"/>
  <c r="AT30" i="3"/>
  <c r="AS30" i="3"/>
  <c r="AR30" i="3"/>
  <c r="AQ30" i="3"/>
  <c r="AP30" i="3"/>
  <c r="AO30" i="3"/>
  <c r="AN30" i="3"/>
  <c r="BC11" i="3"/>
  <c r="BB11" i="3"/>
  <c r="BA11" i="3"/>
  <c r="AZ11" i="3"/>
  <c r="AY11" i="3"/>
  <c r="AX11" i="3"/>
  <c r="AW11" i="3"/>
  <c r="AV11" i="3"/>
  <c r="AU11" i="3"/>
  <c r="AT11" i="3"/>
  <c r="AS11" i="3"/>
  <c r="AR11" i="3"/>
  <c r="AQ11" i="3"/>
  <c r="AP11" i="3"/>
  <c r="AO11" i="3"/>
  <c r="AN11" i="3"/>
  <c r="S73" i="1"/>
  <c r="R73" i="1"/>
  <c r="P73" i="1"/>
  <c r="S72" i="1"/>
  <c r="R72" i="1"/>
  <c r="P72" i="1"/>
  <c r="S71" i="1"/>
  <c r="R71" i="1"/>
  <c r="P71" i="1"/>
  <c r="S70" i="1"/>
  <c r="R70" i="1"/>
  <c r="P70" i="1"/>
  <c r="S69" i="1"/>
  <c r="R69" i="1"/>
  <c r="P69" i="1"/>
  <c r="S68" i="1"/>
  <c r="R68" i="1"/>
  <c r="P68" i="1"/>
  <c r="S61" i="1"/>
  <c r="R61" i="1"/>
  <c r="P61" i="1"/>
  <c r="R60" i="1"/>
  <c r="P60" i="1"/>
  <c r="R59" i="1"/>
  <c r="P59" i="1"/>
  <c r="R58" i="1"/>
  <c r="P58" i="1"/>
  <c r="R57" i="1"/>
  <c r="P57" i="1"/>
  <c r="R56" i="1"/>
  <c r="P56" i="1"/>
  <c r="R55" i="1"/>
  <c r="P55" i="1"/>
  <c r="R54" i="1"/>
  <c r="P54" i="1"/>
  <c r="R53" i="1"/>
  <c r="P53" i="1"/>
  <c r="R52" i="1"/>
  <c r="P52" i="1"/>
  <c r="R51" i="1"/>
  <c r="P51" i="1"/>
  <c r="X41" i="1"/>
  <c r="X40" i="1"/>
  <c r="X39" i="1"/>
  <c r="X38" i="1"/>
  <c r="X37" i="1"/>
  <c r="X36" i="1"/>
  <c r="X35" i="1"/>
  <c r="X34" i="1"/>
  <c r="X33" i="1"/>
  <c r="X32" i="1"/>
  <c r="S32" i="1"/>
  <c r="X31" i="1"/>
  <c r="X30" i="1"/>
  <c r="X29" i="1"/>
  <c r="X28" i="1"/>
  <c r="X27" i="1"/>
  <c r="X26" i="1"/>
  <c r="X25" i="1"/>
  <c r="X24" i="1"/>
  <c r="X23" i="1"/>
  <c r="AN37" i="2" l="1"/>
  <c r="K37" i="2"/>
  <c r="J37" i="2"/>
  <c r="I37" i="2"/>
  <c r="BL37" i="4" l="1"/>
  <c r="BL32" i="4"/>
  <c r="BK37" i="4"/>
  <c r="BK32" i="4"/>
  <c r="BJ37" i="4"/>
  <c r="BJ32" i="4"/>
  <c r="A14" i="1" l="1"/>
  <c r="A15" i="1"/>
  <c r="R48" i="1" l="1"/>
  <c r="P48" i="1"/>
  <c r="AH134" i="3" l="1"/>
  <c r="AH133" i="3"/>
  <c r="AH132" i="3"/>
  <c r="K79" i="4" l="1"/>
  <c r="F2" i="2"/>
  <c r="C8" i="2"/>
  <c r="F2" i="4" l="1"/>
  <c r="F6" i="3"/>
  <c r="AL134" i="3" l="1"/>
  <c r="AK134" i="3"/>
  <c r="AJ134" i="3"/>
  <c r="AI134" i="3"/>
  <c r="AL133" i="3"/>
  <c r="AK133" i="3"/>
  <c r="AJ133" i="3"/>
  <c r="AI133" i="3"/>
  <c r="AL132" i="3"/>
  <c r="AK132" i="3"/>
  <c r="AJ132" i="3"/>
  <c r="AI132" i="3"/>
  <c r="AL107" i="3"/>
  <c r="AK107" i="3"/>
  <c r="AJ107" i="3"/>
  <c r="AI107" i="3"/>
  <c r="AH107" i="3"/>
  <c r="AG107" i="3"/>
  <c r="AF107" i="3"/>
  <c r="AE107" i="3"/>
  <c r="AL106" i="3"/>
  <c r="AK106" i="3"/>
  <c r="AJ106" i="3"/>
  <c r="AI106" i="3"/>
  <c r="AH106" i="3"/>
  <c r="AG106" i="3"/>
  <c r="AF106" i="3"/>
  <c r="AE106" i="3"/>
  <c r="AL105" i="3"/>
  <c r="AK105" i="3"/>
  <c r="AJ105" i="3"/>
  <c r="AI105" i="3"/>
  <c r="AH105" i="3"/>
  <c r="AG105" i="3"/>
  <c r="AF105" i="3"/>
  <c r="AE105" i="3"/>
  <c r="AL62" i="3"/>
  <c r="AK62" i="3"/>
  <c r="AJ62" i="3"/>
  <c r="AI62" i="3"/>
  <c r="AH62" i="3"/>
  <c r="AG62" i="3"/>
  <c r="I62" i="3"/>
  <c r="BL34" i="3"/>
  <c r="BK34" i="3"/>
  <c r="BL33" i="3"/>
  <c r="BK33" i="3"/>
  <c r="BL32" i="3"/>
  <c r="BK32" i="3"/>
  <c r="BL8" i="3"/>
  <c r="BK8" i="3"/>
  <c r="BJ8" i="3"/>
  <c r="E1" i="3"/>
  <c r="BM6" i="2"/>
  <c r="BM133" i="3" l="1"/>
  <c r="BM106" i="3"/>
  <c r="BM105" i="3"/>
  <c r="BM132" i="3"/>
  <c r="BM134" i="3"/>
  <c r="BM107" i="3"/>
  <c r="BL133" i="3"/>
  <c r="BL132" i="3"/>
  <c r="BL105" i="3"/>
  <c r="BL134" i="3"/>
  <c r="BL107" i="3"/>
  <c r="BL106" i="3"/>
  <c r="D8" i="2" l="1"/>
  <c r="BA107" i="3" l="1"/>
  <c r="BA105" i="3"/>
  <c r="BB107" i="3"/>
  <c r="BA106" i="3"/>
  <c r="BC106" i="3"/>
  <c r="BC133" i="3"/>
  <c r="AZ106" i="3"/>
  <c r="BC134" i="3"/>
  <c r="BC107" i="3"/>
  <c r="BC105" i="3"/>
  <c r="BC132" i="3"/>
  <c r="AZ105" i="3"/>
  <c r="BB106" i="3"/>
  <c r="BB105" i="3"/>
  <c r="AZ107" i="3"/>
  <c r="BB134" i="3" l="1"/>
  <c r="AY107" i="3"/>
  <c r="AD105" i="3"/>
  <c r="AG132" i="3"/>
  <c r="AY106" i="3"/>
  <c r="BB133" i="3"/>
  <c r="BB132" i="3"/>
  <c r="AY105" i="3"/>
  <c r="AD106" i="3"/>
  <c r="AG133" i="3"/>
  <c r="AD107" i="3" l="1"/>
  <c r="AG134" i="3"/>
  <c r="X22" i="1" l="1"/>
  <c r="BL54" i="3" l="1"/>
  <c r="BJ54" i="3"/>
  <c r="BK54" i="3"/>
  <c r="J20" i="3" l="1"/>
  <c r="AO21" i="3"/>
  <c r="AO24" i="3"/>
  <c r="AN32" i="3"/>
  <c r="I17" i="3"/>
  <c r="J39" i="3"/>
  <c r="J24" i="3"/>
  <c r="L106" i="4"/>
  <c r="AO48" i="3"/>
  <c r="AN37" i="3"/>
  <c r="AN31" i="3"/>
  <c r="J19" i="3"/>
  <c r="BE12" i="3"/>
  <c r="AN12" i="3"/>
  <c r="AO34" i="3"/>
  <c r="I49" i="3"/>
  <c r="AO41" i="3"/>
  <c r="AN38" i="3"/>
  <c r="J12" i="3"/>
  <c r="J70" i="3" s="1"/>
  <c r="I22" i="3"/>
  <c r="AN22" i="3"/>
  <c r="AN106" i="4"/>
  <c r="AN199" i="3"/>
  <c r="I12" i="3"/>
  <c r="I70" i="3" s="1"/>
  <c r="AN21" i="3"/>
  <c r="AN35" i="3"/>
  <c r="I19" i="3"/>
  <c r="I35" i="3"/>
  <c r="AN41" i="3"/>
  <c r="BE22" i="3"/>
  <c r="BE98" i="4"/>
  <c r="BE99" i="4" s="1"/>
  <c r="AO32" i="3"/>
  <c r="AN48" i="3"/>
  <c r="BE31" i="3"/>
  <c r="J49" i="3"/>
  <c r="I48" i="3"/>
  <c r="AN49" i="3"/>
  <c r="BE48" i="3"/>
  <c r="AO16" i="3"/>
  <c r="I21" i="3"/>
  <c r="I33" i="3"/>
  <c r="AO198" i="3"/>
  <c r="AO98" i="4"/>
  <c r="J41" i="3"/>
  <c r="J90" i="3" s="1"/>
  <c r="J22" i="3"/>
  <c r="AN98" i="4"/>
  <c r="AN99" i="4" s="1"/>
  <c r="AN198" i="3"/>
  <c r="BE38" i="3"/>
  <c r="J32" i="3"/>
  <c r="BE35" i="3"/>
  <c r="AO38" i="3"/>
  <c r="AN19" i="3"/>
  <c r="J38" i="3"/>
  <c r="AO12" i="3"/>
  <c r="I20" i="3"/>
  <c r="J17" i="3"/>
  <c r="AN17" i="3"/>
  <c r="AN20" i="3"/>
  <c r="AO35" i="3"/>
  <c r="J33" i="3"/>
  <c r="AO20" i="3"/>
  <c r="AN16" i="3"/>
  <c r="BE41" i="3"/>
  <c r="BE90" i="3" s="1"/>
  <c r="J35" i="3"/>
  <c r="I24" i="3"/>
  <c r="J31" i="3"/>
  <c r="BE17" i="3"/>
  <c r="BE16" i="3"/>
  <c r="BE24" i="3"/>
  <c r="BE106" i="4"/>
  <c r="AO37" i="3"/>
  <c r="AO31" i="3"/>
  <c r="AO199" i="3"/>
  <c r="AO106" i="4"/>
  <c r="I37" i="3"/>
  <c r="I51" i="3"/>
  <c r="AO51" i="3"/>
  <c r="AN33" i="3"/>
  <c r="AO49" i="3"/>
  <c r="AO22" i="3"/>
  <c r="BE33" i="3"/>
  <c r="AO19" i="3"/>
  <c r="J21" i="3"/>
  <c r="J76" i="3" s="1"/>
  <c r="L98" i="4"/>
  <c r="I41" i="3"/>
  <c r="I90" i="3" s="1"/>
  <c r="AN24" i="3"/>
  <c r="BE20" i="3"/>
  <c r="AO17" i="3"/>
  <c r="BE19" i="3"/>
  <c r="BE49" i="3"/>
  <c r="I39" i="3"/>
  <c r="AO39" i="3"/>
  <c r="BE32" i="3"/>
  <c r="BE82" i="3" s="1"/>
  <c r="K98" i="4"/>
  <c r="K99" i="4" s="1"/>
  <c r="BE39" i="3"/>
  <c r="AO40" i="3"/>
  <c r="AN40" i="3"/>
  <c r="AN39" i="3"/>
  <c r="I16" i="3"/>
  <c r="BE37" i="3"/>
  <c r="K106" i="4"/>
  <c r="BB199" i="3"/>
  <c r="BA198" i="3"/>
  <c r="AZ199" i="3"/>
  <c r="BG33" i="3"/>
  <c r="BG49" i="3"/>
  <c r="AS39" i="3"/>
  <c r="AR32" i="3"/>
  <c r="O24" i="3"/>
  <c r="AS24" i="3"/>
  <c r="BG37" i="3"/>
  <c r="BG24" i="3"/>
  <c r="P16" i="3"/>
  <c r="AS34" i="3"/>
  <c r="R33" i="3"/>
  <c r="AR49" i="3"/>
  <c r="O35" i="3"/>
  <c r="R22" i="3"/>
  <c r="Q98" i="4"/>
  <c r="R32" i="3"/>
  <c r="R98" i="4"/>
  <c r="BG12" i="3"/>
  <c r="P17" i="3"/>
  <c r="AS37" i="3"/>
  <c r="BG16" i="3"/>
  <c r="Q20" i="3"/>
  <c r="AS17" i="3"/>
  <c r="AR12" i="3"/>
  <c r="AR34" i="3"/>
  <c r="P35" i="3"/>
  <c r="O21" i="3"/>
  <c r="P37" i="3"/>
  <c r="P31" i="3"/>
  <c r="AS51" i="3"/>
  <c r="R19" i="3"/>
  <c r="O37" i="3"/>
  <c r="AR33" i="3"/>
  <c r="AS199" i="3"/>
  <c r="AS106" i="4"/>
  <c r="AS20" i="3"/>
  <c r="Q32" i="3"/>
  <c r="Q35" i="3"/>
  <c r="Q16" i="3"/>
  <c r="Q49" i="3"/>
  <c r="AR24" i="3"/>
  <c r="AR40" i="3"/>
  <c r="O38" i="3"/>
  <c r="BG38" i="3"/>
  <c r="BG21" i="3"/>
  <c r="BG19" i="3"/>
  <c r="R49" i="3"/>
  <c r="AR106" i="4"/>
  <c r="AR199" i="3"/>
  <c r="R48" i="3"/>
  <c r="O32" i="3"/>
  <c r="AR51" i="3"/>
  <c r="P41" i="3"/>
  <c r="O22" i="3"/>
  <c r="O19" i="3"/>
  <c r="R41" i="3"/>
  <c r="AS19" i="3"/>
  <c r="AW32" i="3"/>
  <c r="Z32" i="3"/>
  <c r="Z49" i="3"/>
  <c r="Z60" i="3" s="1"/>
  <c r="Y48" i="3"/>
  <c r="Y57" i="3" s="1"/>
  <c r="AW21" i="3"/>
  <c r="BI32" i="3"/>
  <c r="AV40" i="3"/>
  <c r="BI17" i="3"/>
  <c r="I27" i="1" s="1"/>
  <c r="BI39" i="3"/>
  <c r="Y98" i="4"/>
  <c r="BI106" i="4"/>
  <c r="X31" i="3"/>
  <c r="AB131" i="3" s="1"/>
  <c r="AW40" i="3"/>
  <c r="W16" i="3"/>
  <c r="Z48" i="3"/>
  <c r="Z57" i="3" s="1"/>
  <c r="Y39" i="3"/>
  <c r="Z35" i="3"/>
  <c r="Y41" i="3"/>
  <c r="X17" i="3"/>
  <c r="AB122" i="3" s="1"/>
  <c r="AW19" i="3"/>
  <c r="AA32" i="3"/>
  <c r="AB105" i="3" s="1"/>
  <c r="AQ38" i="3"/>
  <c r="P106" i="4"/>
  <c r="I32" i="3"/>
  <c r="Y21" i="3"/>
  <c r="AR38" i="3"/>
  <c r="AY199" i="3"/>
  <c r="N51" i="3"/>
  <c r="K49" i="3"/>
  <c r="K32" i="3"/>
  <c r="BF19" i="3"/>
  <c r="M35" i="3"/>
  <c r="K17" i="3"/>
  <c r="AQ39" i="3"/>
  <c r="AP37" i="3"/>
  <c r="N19" i="3"/>
  <c r="BF106" i="4"/>
  <c r="L19" i="3"/>
  <c r="AO33" i="3"/>
  <c r="J16" i="3"/>
  <c r="J37" i="3"/>
  <c r="W37" i="3"/>
  <c r="AU199" i="3"/>
  <c r="AU106" i="4"/>
  <c r="BI20" i="3"/>
  <c r="AT199" i="3"/>
  <c r="AT106" i="4"/>
  <c r="J51" i="3"/>
  <c r="Q12" i="3"/>
  <c r="BJ28" i="3"/>
  <c r="AA39" i="3"/>
  <c r="AB112" i="3" s="1"/>
  <c r="L51" i="3"/>
  <c r="M19" i="3"/>
  <c r="M39" i="3"/>
  <c r="BF31" i="3"/>
  <c r="O106" i="4"/>
  <c r="K20" i="3"/>
  <c r="BF12" i="3"/>
  <c r="K31" i="3"/>
  <c r="BF98" i="4"/>
  <c r="AQ106" i="4"/>
  <c r="AQ199" i="3"/>
  <c r="J48" i="3"/>
  <c r="BE21" i="3"/>
  <c r="AT21" i="3"/>
  <c r="V19" i="3"/>
  <c r="AZ198" i="3"/>
  <c r="AU24" i="3"/>
  <c r="S33" i="3"/>
  <c r="BH106" i="4"/>
  <c r="U48" i="3"/>
  <c r="U57" i="3" s="1"/>
  <c r="AS41" i="3"/>
  <c r="L37" i="3"/>
  <c r="I31" i="3"/>
  <c r="AA22" i="3"/>
  <c r="AB100" i="3" s="1"/>
  <c r="AQ32" i="3"/>
  <c r="AP20" i="3"/>
  <c r="AY198" i="3"/>
  <c r="AA33" i="3"/>
  <c r="AB106" i="3" s="1"/>
  <c r="N41" i="3"/>
  <c r="L39" i="3"/>
  <c r="BF22" i="3"/>
  <c r="M20" i="3"/>
  <c r="M106" i="4"/>
  <c r="AQ41" i="3"/>
  <c r="N35" i="3"/>
  <c r="BF21" i="3"/>
  <c r="M37" i="3"/>
  <c r="K19" i="3"/>
  <c r="M17" i="3"/>
  <c r="AN51" i="3"/>
  <c r="BE51" i="3"/>
  <c r="I38" i="3"/>
  <c r="AN34" i="3"/>
  <c r="AW106" i="4"/>
  <c r="AW199" i="3"/>
  <c r="AR48" i="3"/>
  <c r="O16" i="3"/>
  <c r="AW48" i="3"/>
  <c r="AX48" i="3" s="1"/>
  <c r="BE10" i="3"/>
  <c r="AS40" i="3"/>
  <c r="Q51" i="3"/>
  <c r="AP22" i="3"/>
  <c r="AA19" i="3"/>
  <c r="AB97" i="3" s="1"/>
  <c r="K12" i="3"/>
  <c r="AP51" i="3"/>
  <c r="K22" i="3"/>
  <c r="N39" i="3"/>
  <c r="M49" i="3"/>
  <c r="AQ34" i="3"/>
  <c r="AP35" i="3"/>
  <c r="AU19" i="3"/>
  <c r="AU22" i="3"/>
  <c r="BB198" i="3"/>
  <c r="BI16" i="3"/>
  <c r="Z33" i="3"/>
  <c r="AW37" i="3"/>
  <c r="AT98" i="4"/>
  <c r="AT198" i="3"/>
  <c r="Y38" i="3"/>
  <c r="AR31" i="3"/>
  <c r="AP48" i="3"/>
  <c r="AQ12" i="3"/>
  <c r="V12" i="3"/>
  <c r="BH31" i="3"/>
  <c r="AA31" i="3"/>
  <c r="AB104" i="3" s="1"/>
  <c r="L32" i="3"/>
  <c r="AP19" i="3"/>
  <c r="AP31" i="3"/>
  <c r="AQ19" i="3"/>
  <c r="M31" i="3"/>
  <c r="BF37" i="3"/>
  <c r="AP24" i="3"/>
  <c r="K48" i="3"/>
  <c r="BI51" i="3"/>
  <c r="Z21" i="3"/>
  <c r="BC199" i="3"/>
  <c r="BK28" i="3"/>
  <c r="AA48" i="3"/>
  <c r="AA57" i="3" s="1"/>
  <c r="N37" i="3"/>
  <c r="M21" i="3"/>
  <c r="BF33" i="3"/>
  <c r="S12" i="3"/>
  <c r="BG98" i="4"/>
  <c r="AU31" i="3"/>
  <c r="AA49" i="3"/>
  <c r="AA60" i="3" s="1"/>
  <c r="AQ40" i="3"/>
  <c r="AA16" i="3"/>
  <c r="AB94" i="3" s="1"/>
  <c r="AX198" i="3"/>
  <c r="L41" i="3"/>
  <c r="AQ198" i="3"/>
  <c r="AQ98" i="4"/>
  <c r="N22" i="3"/>
  <c r="BF48" i="3"/>
  <c r="K35" i="3"/>
  <c r="BF16" i="3"/>
  <c r="S38" i="3"/>
  <c r="V20" i="3"/>
  <c r="AW51" i="3"/>
  <c r="Y16" i="3"/>
  <c r="X32" i="3"/>
  <c r="AB132" i="3" s="1"/>
  <c r="AA20" i="3"/>
  <c r="AB98" i="3" s="1"/>
  <c r="AC48" i="3"/>
  <c r="AC57" i="3" s="1"/>
  <c r="AA37" i="3"/>
  <c r="AB110" i="3" s="1"/>
  <c r="N106" i="4"/>
  <c r="N21" i="3"/>
  <c r="AP41" i="3"/>
  <c r="N17" i="3"/>
  <c r="K38" i="3"/>
  <c r="AQ51" i="3"/>
  <c r="N48" i="3"/>
  <c r="K41" i="3"/>
  <c r="K90" i="3" s="1"/>
  <c r="K37" i="3"/>
  <c r="K86" i="3" s="1"/>
  <c r="AT32" i="3"/>
  <c r="AV33" i="3"/>
  <c r="T48" i="3"/>
  <c r="T57" i="3" s="1"/>
  <c r="T12" i="3"/>
  <c r="W48" i="3"/>
  <c r="W57" i="3" s="1"/>
  <c r="W51" i="3"/>
  <c r="BG41" i="3"/>
  <c r="BG90" i="3" s="1"/>
  <c r="W12" i="3"/>
  <c r="AR19" i="3"/>
  <c r="AP40" i="3"/>
  <c r="M33" i="3"/>
  <c r="AA38" i="3"/>
  <c r="AB111" i="3" s="1"/>
  <c r="AA21" i="3"/>
  <c r="AB99" i="3" s="1"/>
  <c r="AX199" i="3"/>
  <c r="AQ49" i="3"/>
  <c r="BF51" i="3"/>
  <c r="N24" i="3"/>
  <c r="BF17" i="3"/>
  <c r="BF32" i="3"/>
  <c r="P98" i="4"/>
  <c r="BF35" i="3"/>
  <c r="N38" i="3"/>
  <c r="AP12" i="3"/>
  <c r="BH20" i="3"/>
  <c r="AV24" i="3"/>
  <c r="P38" i="3"/>
  <c r="AW22" i="3"/>
  <c r="P21" i="3"/>
  <c r="X48" i="3"/>
  <c r="X57" i="3" s="1"/>
  <c r="AT41" i="3"/>
  <c r="AS49" i="3"/>
  <c r="U38" i="3"/>
  <c r="BG39" i="3"/>
  <c r="Q106" i="4"/>
  <c r="AQ21" i="3"/>
  <c r="AP34" i="3"/>
  <c r="L12" i="3"/>
  <c r="M16" i="3"/>
  <c r="BF38" i="3"/>
  <c r="BF39" i="3"/>
  <c r="AP38" i="3"/>
  <c r="K51" i="3"/>
  <c r="AQ33" i="3"/>
  <c r="AQ31" i="3"/>
  <c r="L22" i="3"/>
  <c r="M51" i="3"/>
  <c r="M32" i="3"/>
  <c r="T21" i="3"/>
  <c r="V24" i="3"/>
  <c r="U24" i="3"/>
  <c r="S16" i="3"/>
  <c r="AU35" i="3"/>
  <c r="T19" i="3"/>
  <c r="T22" i="3"/>
  <c r="X98" i="4"/>
  <c r="AU39" i="3"/>
  <c r="T17" i="3"/>
  <c r="BC198" i="3"/>
  <c r="Z98" i="4"/>
  <c r="Z38" i="3"/>
  <c r="AB98" i="4"/>
  <c r="X24" i="3"/>
  <c r="Q41" i="3"/>
  <c r="Q90" i="3" s="1"/>
  <c r="Q38" i="3"/>
  <c r="W98" i="4"/>
  <c r="Y24" i="3"/>
  <c r="T51" i="3"/>
  <c r="P51" i="3"/>
  <c r="X41" i="3"/>
  <c r="BI22" i="3"/>
  <c r="AU21" i="3"/>
  <c r="BL42" i="3"/>
  <c r="AT31" i="3"/>
  <c r="AV22" i="3"/>
  <c r="BH32" i="3"/>
  <c r="Y12" i="3"/>
  <c r="AV98" i="4"/>
  <c r="AV198" i="3"/>
  <c r="Z31" i="3"/>
  <c r="BI31" i="3"/>
  <c r="Z20" i="3"/>
  <c r="S49" i="3"/>
  <c r="S60" i="3" s="1"/>
  <c r="AS31" i="3"/>
  <c r="AV19" i="3"/>
  <c r="AW49" i="3"/>
  <c r="T41" i="3"/>
  <c r="T90" i="3" s="1"/>
  <c r="AW39" i="3"/>
  <c r="Y37" i="3"/>
  <c r="S17" i="3"/>
  <c r="S20" i="3"/>
  <c r="U33" i="3"/>
  <c r="AV41" i="3"/>
  <c r="R17" i="3"/>
  <c r="O20" i="3"/>
  <c r="BH39" i="3"/>
  <c r="BG32" i="3"/>
  <c r="Q22" i="3"/>
  <c r="P19" i="3"/>
  <c r="R16" i="3"/>
  <c r="R51" i="3"/>
  <c r="BL10" i="3"/>
  <c r="L23" i="1" s="1"/>
  <c r="BG22" i="3"/>
  <c r="R24" i="3"/>
  <c r="W49" i="3"/>
  <c r="W60" i="3" s="1"/>
  <c r="Q33" i="3"/>
  <c r="AS35" i="3"/>
  <c r="R37" i="3"/>
  <c r="AS12" i="3"/>
  <c r="O41" i="3"/>
  <c r="AS38" i="3"/>
  <c r="O51" i="3"/>
  <c r="T106" i="4"/>
  <c r="Q37" i="3"/>
  <c r="T98" i="4"/>
  <c r="BH22" i="3"/>
  <c r="AT38" i="3"/>
  <c r="U98" i="4"/>
  <c r="S51" i="3"/>
  <c r="W24" i="3"/>
  <c r="W38" i="3"/>
  <c r="W21" i="3"/>
  <c r="W22" i="3"/>
  <c r="BA199" i="3"/>
  <c r="AR37" i="3"/>
  <c r="R12" i="3"/>
  <c r="AW12" i="3"/>
  <c r="V48" i="3"/>
  <c r="V57" i="3" s="1"/>
  <c r="BH21" i="3"/>
  <c r="AW98" i="4"/>
  <c r="AW198" i="3"/>
  <c r="X37" i="3"/>
  <c r="AB137" i="3" s="1"/>
  <c r="L31" i="3"/>
  <c r="O98" i="4"/>
  <c r="AQ35" i="3"/>
  <c r="AW16" i="3"/>
  <c r="AU51" i="3"/>
  <c r="BJ25" i="3"/>
  <c r="Z17" i="3"/>
  <c r="U17" i="3"/>
  <c r="S35" i="3"/>
  <c r="W19" i="3"/>
  <c r="BI24" i="3"/>
  <c r="BI98" i="4"/>
  <c r="V37" i="3"/>
  <c r="BI21" i="3"/>
  <c r="AV12" i="3"/>
  <c r="AU38" i="3"/>
  <c r="AW38" i="3"/>
  <c r="AU34" i="3"/>
  <c r="AT24" i="3"/>
  <c r="S24" i="3"/>
  <c r="BH17" i="3"/>
  <c r="H27" i="1" s="1"/>
  <c r="V16" i="3"/>
  <c r="AW41" i="3"/>
  <c r="BH33" i="3"/>
  <c r="AS32" i="3"/>
  <c r="AR39" i="3"/>
  <c r="V17" i="3"/>
  <c r="AR41" i="3"/>
  <c r="AR90" i="3" s="1"/>
  <c r="BK13" i="3"/>
  <c r="P49" i="3"/>
  <c r="W33" i="3"/>
  <c r="X12" i="3"/>
  <c r="AB120" i="3" s="1"/>
  <c r="Q48" i="3"/>
  <c r="AS48" i="3"/>
  <c r="Q24" i="3"/>
  <c r="W32" i="3"/>
  <c r="Y31" i="3"/>
  <c r="S98" i="4"/>
  <c r="Q21" i="3"/>
  <c r="AR20" i="3"/>
  <c r="Q39" i="3"/>
  <c r="S106" i="4"/>
  <c r="AS98" i="4"/>
  <c r="AS198" i="3"/>
  <c r="Q31" i="3"/>
  <c r="P24" i="3"/>
  <c r="V39" i="3"/>
  <c r="AT33" i="3"/>
  <c r="BH38" i="3"/>
  <c r="AT34" i="3"/>
  <c r="V38" i="3"/>
  <c r="AT37" i="3"/>
  <c r="AU98" i="4"/>
  <c r="AU198" i="3"/>
  <c r="BH48" i="3"/>
  <c r="Y22" i="3"/>
  <c r="X39" i="3"/>
  <c r="AB139" i="3" s="1"/>
  <c r="AV49" i="3"/>
  <c r="R106" i="4"/>
  <c r="O49" i="3"/>
  <c r="AR16" i="3"/>
  <c r="AW33" i="3"/>
  <c r="AT19" i="3"/>
  <c r="T37" i="3"/>
  <c r="AV38" i="3"/>
  <c r="BH49" i="3"/>
  <c r="AB106" i="4"/>
  <c r="X49" i="3"/>
  <c r="X60" i="3" s="1"/>
  <c r="K16" i="3"/>
  <c r="Y51" i="3"/>
  <c r="S22" i="3"/>
  <c r="T16" i="3"/>
  <c r="BI38" i="3"/>
  <c r="AU32" i="3"/>
  <c r="W35" i="3"/>
  <c r="Z12" i="3"/>
  <c r="T31" i="3"/>
  <c r="BG51" i="3"/>
  <c r="AA98" i="4"/>
  <c r="V21" i="3"/>
  <c r="R35" i="3"/>
  <c r="U19" i="3"/>
  <c r="S19" i="3"/>
  <c r="BJ13" i="3"/>
  <c r="O31" i="3"/>
  <c r="U41" i="3"/>
  <c r="AR17" i="3"/>
  <c r="O33" i="3"/>
  <c r="BH16" i="3"/>
  <c r="S37" i="3"/>
  <c r="V41" i="3"/>
  <c r="V90" i="3" s="1"/>
  <c r="BL13" i="3"/>
  <c r="W41" i="3"/>
  <c r="W90" i="3" s="1"/>
  <c r="P48" i="3"/>
  <c r="X51" i="3"/>
  <c r="BG48" i="3"/>
  <c r="BG31" i="3"/>
  <c r="AR21" i="3"/>
  <c r="BL28" i="3"/>
  <c r="P39" i="3"/>
  <c r="BK10" i="3"/>
  <c r="AB8" i="3" s="1"/>
  <c r="BG20" i="3"/>
  <c r="BG106" i="4"/>
  <c r="BK25" i="3"/>
  <c r="R20" i="3"/>
  <c r="M22" i="3"/>
  <c r="AP17" i="3"/>
  <c r="K39" i="3"/>
  <c r="K88" i="3" s="1"/>
  <c r="BF49" i="3"/>
  <c r="M24" i="3"/>
  <c r="K21" i="3"/>
  <c r="K76" i="3" s="1"/>
  <c r="AP98" i="4"/>
  <c r="AP198" i="3"/>
  <c r="AQ48" i="3"/>
  <c r="M38" i="3"/>
  <c r="AQ20" i="3"/>
  <c r="K33" i="3"/>
  <c r="K83" i="3" s="1"/>
  <c r="AP16" i="3"/>
  <c r="AP39" i="3"/>
  <c r="AP199" i="3"/>
  <c r="AP106" i="4"/>
  <c r="AU20" i="3"/>
  <c r="AU40" i="3"/>
  <c r="T33" i="3"/>
  <c r="S39" i="3"/>
  <c r="BH19" i="3"/>
  <c r="V33" i="3"/>
  <c r="AU41" i="3"/>
  <c r="U31" i="3"/>
  <c r="U37" i="3"/>
  <c r="T20" i="3"/>
  <c r="W39" i="3"/>
  <c r="AV20" i="3"/>
  <c r="AA106" i="4"/>
  <c r="BI37" i="3"/>
  <c r="Q19" i="3"/>
  <c r="N98" i="4"/>
  <c r="O39" i="3"/>
  <c r="Z51" i="3"/>
  <c r="K24" i="3"/>
  <c r="R31" i="3"/>
  <c r="BI35" i="3"/>
  <c r="BH51" i="3"/>
  <c r="P20" i="3"/>
  <c r="BI48" i="3"/>
  <c r="AV21" i="3"/>
  <c r="BH37" i="3"/>
  <c r="X21" i="3"/>
  <c r="AB126" i="3" s="1"/>
  <c r="L17" i="3"/>
  <c r="Z19" i="3"/>
  <c r="AU37" i="3"/>
  <c r="AV106" i="4"/>
  <c r="AV199" i="3"/>
  <c r="U39" i="3"/>
  <c r="AU16" i="3"/>
  <c r="R38" i="3"/>
  <c r="AV51" i="3"/>
  <c r="Y35" i="3"/>
  <c r="U32" i="3"/>
  <c r="P33" i="3"/>
  <c r="Y17" i="3"/>
  <c r="BH98" i="4"/>
  <c r="O48" i="3"/>
  <c r="V106" i="4"/>
  <c r="P32" i="3"/>
  <c r="AS33" i="3"/>
  <c r="AV32" i="3"/>
  <c r="AR22" i="3"/>
  <c r="AS22" i="3"/>
  <c r="R39" i="3"/>
  <c r="O17" i="3"/>
  <c r="R21" i="3"/>
  <c r="BG17" i="3"/>
  <c r="AS21" i="3"/>
  <c r="O12" i="3"/>
  <c r="P12" i="3"/>
  <c r="AR35" i="3"/>
  <c r="Q17" i="3"/>
  <c r="AR98" i="4"/>
  <c r="AR198" i="3"/>
  <c r="AS16" i="3"/>
  <c r="BG35" i="3"/>
  <c r="P22" i="3"/>
  <c r="BG10" i="3"/>
  <c r="BF41" i="3"/>
  <c r="BF90" i="3" s="1"/>
  <c r="L49" i="3"/>
  <c r="AP21" i="3"/>
  <c r="L38" i="3"/>
  <c r="L21" i="3"/>
  <c r="AQ22" i="3"/>
  <c r="L20" i="3"/>
  <c r="N32" i="3"/>
  <c r="N16" i="3"/>
  <c r="AQ24" i="3"/>
  <c r="M98" i="4"/>
  <c r="BF24" i="3"/>
  <c r="S48" i="3"/>
  <c r="S57" i="3" s="1"/>
  <c r="AU12" i="3"/>
  <c r="V51" i="3"/>
  <c r="AU48" i="3"/>
  <c r="T38" i="3"/>
  <c r="V49" i="3"/>
  <c r="V60" i="3" s="1"/>
  <c r="S21" i="3"/>
  <c r="Z106" i="4"/>
  <c r="BI49" i="3"/>
  <c r="BI60" i="3" s="1"/>
  <c r="I35" i="1" s="1"/>
  <c r="Z39" i="3"/>
  <c r="AV16" i="3"/>
  <c r="Z41" i="3"/>
  <c r="AT39" i="3"/>
  <c r="AQ37" i="3"/>
  <c r="Z22" i="3"/>
  <c r="AU17" i="3"/>
  <c r="AP49" i="3"/>
  <c r="AW17" i="3"/>
  <c r="Y32" i="3"/>
  <c r="AT22" i="3"/>
  <c r="M12" i="3"/>
  <c r="AW20" i="3"/>
  <c r="AW31" i="3"/>
  <c r="BI41" i="3"/>
  <c r="BI90" i="3" s="1"/>
  <c r="T35" i="3"/>
  <c r="V22" i="3"/>
  <c r="Y49" i="3"/>
  <c r="Y60" i="3" s="1"/>
  <c r="AV17" i="3"/>
  <c r="AT12" i="3"/>
  <c r="BI33" i="3"/>
  <c r="W20" i="3"/>
  <c r="U20" i="3"/>
  <c r="U106" i="4"/>
  <c r="AV39" i="3"/>
  <c r="BJ42" i="3"/>
  <c r="Y20" i="3"/>
  <c r="AV34" i="3"/>
  <c r="N20" i="3"/>
  <c r="N31" i="3"/>
  <c r="AQ16" i="3"/>
  <c r="AT16" i="3"/>
  <c r="U51" i="3"/>
  <c r="AU49" i="3"/>
  <c r="S41" i="3"/>
  <c r="S90" i="3" s="1"/>
  <c r="AT51" i="3"/>
  <c r="AT49" i="3"/>
  <c r="W106" i="4"/>
  <c r="AV37" i="3"/>
  <c r="W17" i="3"/>
  <c r="X35" i="3"/>
  <c r="AB135" i="3" s="1"/>
  <c r="X38" i="3"/>
  <c r="AB138" i="3" s="1"/>
  <c r="BJ10" i="3"/>
  <c r="Z24" i="3"/>
  <c r="AV31" i="3"/>
  <c r="U22" i="3"/>
  <c r="Z16" i="3"/>
  <c r="BI19" i="3"/>
  <c r="T32" i="3"/>
  <c r="BH24" i="3"/>
  <c r="AV48" i="3"/>
  <c r="X33" i="3"/>
  <c r="AB133" i="3" s="1"/>
  <c r="T49" i="3"/>
  <c r="T60" i="3" s="1"/>
  <c r="W31" i="3"/>
  <c r="AT17" i="3"/>
  <c r="X16" i="3"/>
  <c r="AB121" i="3" s="1"/>
  <c r="N33" i="3"/>
  <c r="Y106" i="4"/>
  <c r="AV35" i="3"/>
  <c r="U12" i="3"/>
  <c r="AT48" i="3"/>
  <c r="X22" i="3"/>
  <c r="AB127" i="3" s="1"/>
  <c r="AW35" i="3"/>
  <c r="U21" i="3"/>
  <c r="U16" i="3"/>
  <c r="Y33" i="3"/>
  <c r="X20" i="3"/>
  <c r="AB125" i="3" s="1"/>
  <c r="X19" i="3"/>
  <c r="AB124" i="3" s="1"/>
  <c r="BI12" i="3"/>
  <c r="I25" i="1" s="1"/>
  <c r="I32" i="1" s="1"/>
  <c r="BH35" i="3"/>
  <c r="AW34" i="3"/>
  <c r="BH41" i="3"/>
  <c r="Y19" i="3"/>
  <c r="BL25" i="3"/>
  <c r="Z37" i="3"/>
  <c r="AW24" i="3"/>
  <c r="BI10" i="3"/>
  <c r="BK42" i="3"/>
  <c r="L33" i="3"/>
  <c r="BF20" i="3"/>
  <c r="L48" i="3"/>
  <c r="M48" i="3"/>
  <c r="M41" i="3"/>
  <c r="M90" i="3" s="1"/>
  <c r="AP32" i="3"/>
  <c r="L16" i="3"/>
  <c r="AP33" i="3"/>
  <c r="L24" i="3"/>
  <c r="AQ17" i="3"/>
  <c r="N12" i="3"/>
  <c r="L35" i="3"/>
  <c r="N49" i="3"/>
  <c r="AT40" i="3"/>
  <c r="S32" i="3"/>
  <c r="S31" i="3"/>
  <c r="AT35" i="3"/>
  <c r="U49" i="3"/>
  <c r="U60" i="3" s="1"/>
  <c r="T39" i="3"/>
  <c r="V32" i="3"/>
  <c r="AU33" i="3"/>
  <c r="V31" i="3"/>
  <c r="X106" i="4"/>
  <c r="T24" i="3"/>
  <c r="AT20" i="3"/>
  <c r="BF10" i="3"/>
  <c r="U35" i="3"/>
  <c r="V35" i="3"/>
  <c r="V98" i="4"/>
  <c r="BH12" i="3"/>
  <c r="H25" i="1" s="1"/>
  <c r="H32" i="1" s="1"/>
  <c r="BH10" i="3"/>
  <c r="AZ54" i="3"/>
  <c r="BA54" i="3"/>
  <c r="L34" i="3"/>
  <c r="L53" i="3"/>
  <c r="L56" i="3"/>
  <c r="K34" i="3"/>
  <c r="K84" i="3" s="1"/>
  <c r="AP56" i="3"/>
  <c r="AP53" i="3"/>
  <c r="K40" i="3"/>
  <c r="K89" i="3" s="1"/>
  <c r="BF40" i="3"/>
  <c r="M40" i="3"/>
  <c r="K23" i="3"/>
  <c r="K78" i="3" s="1"/>
  <c r="K57" i="3"/>
  <c r="K60" i="3"/>
  <c r="K56" i="3"/>
  <c r="AQ56" i="3"/>
  <c r="L40" i="3"/>
  <c r="X40" i="3"/>
  <c r="AB140" i="3" s="1"/>
  <c r="Y34" i="3"/>
  <c r="AV23" i="3"/>
  <c r="W23" i="3"/>
  <c r="R40" i="3"/>
  <c r="P56" i="3"/>
  <c r="P53" i="3"/>
  <c r="O40" i="3"/>
  <c r="AO23" i="3"/>
  <c r="N60" i="3"/>
  <c r="N57" i="3"/>
  <c r="M56" i="3"/>
  <c r="AR56" i="3"/>
  <c r="AR53" i="3"/>
  <c r="AV56" i="3"/>
  <c r="Q23" i="3"/>
  <c r="AQ23" i="3"/>
  <c r="I56" i="3"/>
  <c r="I53" i="3"/>
  <c r="R57" i="3"/>
  <c r="R60" i="3"/>
  <c r="Q40" i="3"/>
  <c r="BI34" i="3"/>
  <c r="Y40" i="3"/>
  <c r="N34" i="3"/>
  <c r="V34" i="3"/>
  <c r="T23" i="3"/>
  <c r="BC54" i="3"/>
  <c r="J60" i="3"/>
  <c r="J57" i="3"/>
  <c r="BH40" i="3"/>
  <c r="BH34" i="3"/>
  <c r="N23" i="3"/>
  <c r="AS53" i="3"/>
  <c r="M23" i="3"/>
  <c r="Q57" i="3"/>
  <c r="Q60" i="3"/>
  <c r="J23" i="3"/>
  <c r="J78" i="3" s="1"/>
  <c r="AW23" i="3"/>
  <c r="BB54" i="3"/>
  <c r="X23" i="3"/>
  <c r="AB128" i="3" s="1"/>
  <c r="W34" i="3"/>
  <c r="I57" i="3"/>
  <c r="I60" i="3"/>
  <c r="N56" i="3"/>
  <c r="N53" i="3"/>
  <c r="L60" i="3"/>
  <c r="L57" i="3"/>
  <c r="BF23" i="3"/>
  <c r="M60" i="3"/>
  <c r="M57" i="3"/>
  <c r="BG40" i="3"/>
  <c r="U40" i="3"/>
  <c r="S34" i="3"/>
  <c r="T34" i="3"/>
  <c r="U34" i="3"/>
  <c r="AT23" i="3"/>
  <c r="R53" i="3"/>
  <c r="R56" i="3"/>
  <c r="P60" i="3"/>
  <c r="P57" i="3"/>
  <c r="AO9" i="3"/>
  <c r="O57" i="3"/>
  <c r="O60" i="3"/>
  <c r="AT53" i="3"/>
  <c r="AU56" i="3"/>
  <c r="AU53" i="3"/>
  <c r="AS23" i="3"/>
  <c r="S40" i="3"/>
  <c r="AW90" i="3" l="1"/>
  <c r="AQ90" i="3"/>
  <c r="X90" i="3"/>
  <c r="AP90" i="3"/>
  <c r="R90" i="3"/>
  <c r="U90" i="3"/>
  <c r="L90" i="3"/>
  <c r="P90" i="3"/>
  <c r="AN90" i="3"/>
  <c r="AT90" i="3"/>
  <c r="O90" i="3"/>
  <c r="Y90" i="3"/>
  <c r="AV90" i="3"/>
  <c r="Z90" i="3"/>
  <c r="AU90" i="3"/>
  <c r="N90" i="3"/>
  <c r="AS90" i="3"/>
  <c r="AO90" i="3"/>
  <c r="J86" i="3"/>
  <c r="J71" i="3"/>
  <c r="J81" i="3"/>
  <c r="H28" i="1"/>
  <c r="BI53" i="3"/>
  <c r="BI56" i="3"/>
  <c r="BJ48" i="3"/>
  <c r="BI57" i="3"/>
  <c r="T53" i="3"/>
  <c r="T56" i="3"/>
  <c r="AB141" i="3"/>
  <c r="X56" i="3"/>
  <c r="AB144" i="3" s="1"/>
  <c r="X53" i="3"/>
  <c r="AB143" i="3" s="1"/>
  <c r="S56" i="3"/>
  <c r="S117" i="3" s="1"/>
  <c r="S53" i="3"/>
  <c r="S116" i="3" s="1"/>
  <c r="Z53" i="3"/>
  <c r="Z56" i="3"/>
  <c r="Y56" i="3"/>
  <c r="Y53" i="3"/>
  <c r="W56" i="3"/>
  <c r="W53" i="3"/>
  <c r="V53" i="3"/>
  <c r="V143" i="3" s="1"/>
  <c r="V56" i="3"/>
  <c r="V144" i="3" s="1"/>
  <c r="U53" i="3"/>
  <c r="U56" i="3"/>
  <c r="BE76" i="3"/>
  <c r="BE88" i="3"/>
  <c r="BE75" i="3"/>
  <c r="BE77" i="3"/>
  <c r="I76" i="3"/>
  <c r="AB129" i="3"/>
  <c r="K77" i="3"/>
  <c r="M117" i="3"/>
  <c r="BE74" i="3"/>
  <c r="BE83" i="3"/>
  <c r="N117" i="3"/>
  <c r="BE87" i="3"/>
  <c r="J88" i="3"/>
  <c r="J87" i="3"/>
  <c r="J77" i="3"/>
  <c r="J83" i="3"/>
  <c r="J74" i="3"/>
  <c r="J82" i="3"/>
  <c r="K82" i="3"/>
  <c r="BK29" i="3"/>
  <c r="X34" i="3"/>
  <c r="BF34" i="3"/>
  <c r="AU83" i="3"/>
  <c r="AY133" i="3"/>
  <c r="AU133" i="3"/>
  <c r="AU106" i="3"/>
  <c r="X75" i="3"/>
  <c r="X125" i="3"/>
  <c r="X98" i="3"/>
  <c r="S114" i="3"/>
  <c r="S141" i="3"/>
  <c r="S68" i="3"/>
  <c r="BG63" i="3"/>
  <c r="U3" i="3"/>
  <c r="U4" i="3" s="1"/>
  <c r="BG9" i="3"/>
  <c r="BG8" i="2"/>
  <c r="BG8" i="4"/>
  <c r="P8" i="3"/>
  <c r="R8" i="3"/>
  <c r="Q8" i="3"/>
  <c r="O8" i="3"/>
  <c r="P75" i="3"/>
  <c r="P98" i="3"/>
  <c r="P125" i="3"/>
  <c r="X88" i="3"/>
  <c r="X139" i="3"/>
  <c r="X112" i="3"/>
  <c r="AR137" i="3"/>
  <c r="AR110" i="3"/>
  <c r="AR36" i="3"/>
  <c r="AR86" i="3"/>
  <c r="Y120" i="3"/>
  <c r="Y70" i="3"/>
  <c r="Y93" i="3"/>
  <c r="AU67" i="3"/>
  <c r="AU108" i="3"/>
  <c r="AU135" i="3"/>
  <c r="AU85" i="3"/>
  <c r="P99" i="3"/>
  <c r="P126" i="3"/>
  <c r="P76" i="3"/>
  <c r="N99" i="3"/>
  <c r="N76" i="3"/>
  <c r="M104" i="3"/>
  <c r="M81" i="3"/>
  <c r="M88" i="3"/>
  <c r="M112" i="3"/>
  <c r="AV113" i="3"/>
  <c r="AV140" i="3"/>
  <c r="AV89" i="3"/>
  <c r="R105" i="3"/>
  <c r="R132" i="3"/>
  <c r="R82" i="3"/>
  <c r="AO132" i="3"/>
  <c r="AO82" i="3"/>
  <c r="AO105" i="3"/>
  <c r="AU116" i="3"/>
  <c r="U107" i="3"/>
  <c r="U84" i="3"/>
  <c r="BE40" i="3"/>
  <c r="BE89" i="3" s="1"/>
  <c r="Z40" i="3"/>
  <c r="U89" i="3"/>
  <c r="U140" i="3"/>
  <c r="M34" i="3"/>
  <c r="N107" i="3" s="1"/>
  <c r="X101" i="3"/>
  <c r="X78" i="3"/>
  <c r="X128" i="3"/>
  <c r="AW78" i="3"/>
  <c r="AW101" i="3"/>
  <c r="AW128" i="3"/>
  <c r="AS116" i="3"/>
  <c r="Y140" i="3"/>
  <c r="Y89" i="3"/>
  <c r="Y113" i="3"/>
  <c r="Q140" i="3"/>
  <c r="Q89" i="3"/>
  <c r="N40" i="3"/>
  <c r="R140" i="3" s="1"/>
  <c r="AN56" i="3"/>
  <c r="AR144" i="3" s="1"/>
  <c r="BE23" i="3"/>
  <c r="BE78" i="3" s="1"/>
  <c r="L23" i="3"/>
  <c r="M101" i="3" s="1"/>
  <c r="M53" i="3"/>
  <c r="M116" i="3" s="1"/>
  <c r="AO78" i="3"/>
  <c r="P143" i="3"/>
  <c r="L84" i="3"/>
  <c r="L107" i="3"/>
  <c r="V67" i="3"/>
  <c r="V108" i="3"/>
  <c r="V85" i="3"/>
  <c r="V135" i="3"/>
  <c r="V105" i="3"/>
  <c r="V82" i="3"/>
  <c r="V132" i="3"/>
  <c r="L108" i="3"/>
  <c r="L67" i="3"/>
  <c r="L85" i="3"/>
  <c r="Y106" i="3"/>
  <c r="Y133" i="3"/>
  <c r="Y83" i="3"/>
  <c r="AC133" i="3"/>
  <c r="BH55" i="4"/>
  <c r="BH66" i="3"/>
  <c r="BH79" i="3"/>
  <c r="BH129" i="3"/>
  <c r="BH102" i="3"/>
  <c r="X111" i="3"/>
  <c r="X87" i="3"/>
  <c r="X138" i="3"/>
  <c r="Y82" i="3"/>
  <c r="Y132" i="3"/>
  <c r="Y105" i="3"/>
  <c r="AC132" i="3"/>
  <c r="AV71" i="3"/>
  <c r="AV94" i="3"/>
  <c r="AV121" i="3"/>
  <c r="L75" i="3"/>
  <c r="L98" i="3"/>
  <c r="P100" i="3"/>
  <c r="P77" i="3"/>
  <c r="P127" i="3"/>
  <c r="O70" i="3"/>
  <c r="O120" i="3"/>
  <c r="O93" i="3"/>
  <c r="AV105" i="3"/>
  <c r="AZ132" i="3"/>
  <c r="AV82" i="3"/>
  <c r="AV132" i="3"/>
  <c r="U105" i="3"/>
  <c r="U82" i="3"/>
  <c r="U132" i="3"/>
  <c r="AU137" i="3"/>
  <c r="AU110" i="3"/>
  <c r="AU36" i="3"/>
  <c r="AU86" i="3"/>
  <c r="BI36" i="3"/>
  <c r="BI86" i="3"/>
  <c r="BI110" i="3"/>
  <c r="BI137" i="3"/>
  <c r="V83" i="3"/>
  <c r="V106" i="3"/>
  <c r="V133" i="3"/>
  <c r="AP88" i="3"/>
  <c r="AP112" i="3"/>
  <c r="O106" i="3"/>
  <c r="O83" i="3"/>
  <c r="O133" i="3"/>
  <c r="V99" i="3"/>
  <c r="V76" i="3"/>
  <c r="V126" i="3"/>
  <c r="T121" i="3"/>
  <c r="T94" i="3"/>
  <c r="T79" i="4" s="1"/>
  <c r="T71" i="3"/>
  <c r="T86" i="3"/>
  <c r="T110" i="3"/>
  <c r="T137" i="3"/>
  <c r="Y100" i="3"/>
  <c r="Y127" i="3"/>
  <c r="Y77" i="3"/>
  <c r="AT83" i="3"/>
  <c r="AT133" i="3"/>
  <c r="AT106" i="3"/>
  <c r="AX133" i="3"/>
  <c r="AR75" i="3"/>
  <c r="AR125" i="3"/>
  <c r="AR98" i="3"/>
  <c r="X120" i="3"/>
  <c r="X70" i="3"/>
  <c r="X93" i="3"/>
  <c r="BH83" i="3"/>
  <c r="BH133" i="3"/>
  <c r="BH106" i="3"/>
  <c r="AU138" i="3"/>
  <c r="AU111" i="3"/>
  <c r="AU87" i="3"/>
  <c r="U65" i="3"/>
  <c r="U95" i="3"/>
  <c r="U72" i="3"/>
  <c r="U122" i="3"/>
  <c r="X36" i="3"/>
  <c r="X86" i="3"/>
  <c r="X137" i="3"/>
  <c r="X110" i="3"/>
  <c r="BH100" i="3"/>
  <c r="BH127" i="3"/>
  <c r="BH77" i="3"/>
  <c r="R137" i="3"/>
  <c r="R86" i="3"/>
  <c r="R110" i="3"/>
  <c r="R94" i="3"/>
  <c r="R79" i="4" s="1"/>
  <c r="R121" i="3"/>
  <c r="R71" i="3"/>
  <c r="U83" i="3"/>
  <c r="U106" i="3"/>
  <c r="U133" i="3"/>
  <c r="AS131" i="3"/>
  <c r="AS104" i="3"/>
  <c r="AS81" i="3"/>
  <c r="BH82" i="3"/>
  <c r="BH132" i="3"/>
  <c r="BH105" i="3"/>
  <c r="S71" i="3"/>
  <c r="S121" i="3"/>
  <c r="S94" i="3"/>
  <c r="S79" i="4" s="1"/>
  <c r="AQ83" i="3"/>
  <c r="AQ133" i="3"/>
  <c r="AQ106" i="3"/>
  <c r="AQ99" i="3"/>
  <c r="AQ76" i="3"/>
  <c r="AQ126" i="3"/>
  <c r="AW100" i="3"/>
  <c r="AW127" i="3"/>
  <c r="AW77" i="3"/>
  <c r="BF105" i="3"/>
  <c r="BF82" i="3"/>
  <c r="BF132" i="3"/>
  <c r="W93" i="3"/>
  <c r="W70" i="3"/>
  <c r="W120" i="3"/>
  <c r="Y121" i="3"/>
  <c r="Y94" i="3"/>
  <c r="Y71" i="3"/>
  <c r="AU81" i="3"/>
  <c r="AU104" i="3"/>
  <c r="AU131" i="3"/>
  <c r="AQ74" i="3"/>
  <c r="AQ124" i="3"/>
  <c r="AQ97" i="3"/>
  <c r="V70" i="3"/>
  <c r="V93" i="3"/>
  <c r="V120" i="3"/>
  <c r="Z83" i="3"/>
  <c r="AD133" i="3"/>
  <c r="Z106" i="3"/>
  <c r="Z133" i="3"/>
  <c r="N88" i="3"/>
  <c r="N112" i="3"/>
  <c r="AS89" i="3"/>
  <c r="AS113" i="3"/>
  <c r="AS140" i="3"/>
  <c r="I87" i="3"/>
  <c r="AQ68" i="3"/>
  <c r="AQ114" i="3"/>
  <c r="AQ141" i="3"/>
  <c r="AQ79" i="4"/>
  <c r="AP75" i="3"/>
  <c r="AP98" i="3"/>
  <c r="S83" i="3"/>
  <c r="S133" i="3"/>
  <c r="S106" i="3"/>
  <c r="M97" i="3"/>
  <c r="M74" i="3"/>
  <c r="L97" i="3"/>
  <c r="L74" i="3"/>
  <c r="AQ87" i="3"/>
  <c r="AQ138" i="3"/>
  <c r="AQ111" i="3"/>
  <c r="W94" i="3"/>
  <c r="W71" i="3"/>
  <c r="W121" i="3"/>
  <c r="BI105" i="3"/>
  <c r="BI82" i="3"/>
  <c r="BI132" i="3"/>
  <c r="O124" i="3"/>
  <c r="O97" i="3"/>
  <c r="O74" i="3"/>
  <c r="Q71" i="3"/>
  <c r="Q94" i="3"/>
  <c r="Q79" i="4" s="1"/>
  <c r="Q121" i="3"/>
  <c r="R74" i="3"/>
  <c r="R124" i="3"/>
  <c r="R97" i="3"/>
  <c r="AS95" i="3"/>
  <c r="AS65" i="3"/>
  <c r="AS122" i="3"/>
  <c r="AS72" i="3"/>
  <c r="BG137" i="3"/>
  <c r="BG36" i="3"/>
  <c r="BG110" i="3"/>
  <c r="BG86" i="3"/>
  <c r="AO110" i="3"/>
  <c r="AO36" i="3"/>
  <c r="AO86" i="3"/>
  <c r="BE56" i="3"/>
  <c r="BE68" i="3"/>
  <c r="BE53" i="3"/>
  <c r="BE79" i="4"/>
  <c r="I75" i="3"/>
  <c r="AO94" i="3"/>
  <c r="AO71" i="3"/>
  <c r="AO84" i="3"/>
  <c r="AO134" i="3"/>
  <c r="AO107" i="3"/>
  <c r="J66" i="3"/>
  <c r="J79" i="3"/>
  <c r="R144" i="3"/>
  <c r="M114" i="3"/>
  <c r="M68" i="3"/>
  <c r="Y75" i="3"/>
  <c r="Y125" i="3"/>
  <c r="Y98" i="3"/>
  <c r="Z68" i="3"/>
  <c r="Z79" i="4"/>
  <c r="Z114" i="3"/>
  <c r="Z141" i="3"/>
  <c r="N82" i="3"/>
  <c r="N105" i="3"/>
  <c r="BH94" i="3"/>
  <c r="BH71" i="3"/>
  <c r="BH121" i="3"/>
  <c r="BI138" i="3"/>
  <c r="BI111" i="3"/>
  <c r="BI87" i="3"/>
  <c r="BH87" i="3"/>
  <c r="BH138" i="3"/>
  <c r="BH111" i="3"/>
  <c r="AS105" i="3"/>
  <c r="AS132" i="3"/>
  <c r="AS82" i="3"/>
  <c r="S85" i="3"/>
  <c r="S67" i="3"/>
  <c r="S135" i="3"/>
  <c r="S108" i="3"/>
  <c r="AT111" i="3"/>
  <c r="AT87" i="3"/>
  <c r="AT138" i="3"/>
  <c r="AV114" i="3"/>
  <c r="AV79" i="4"/>
  <c r="AV68" i="3"/>
  <c r="AV141" i="3"/>
  <c r="Z111" i="3"/>
  <c r="Z138" i="3"/>
  <c r="Z87" i="3"/>
  <c r="AQ131" i="3"/>
  <c r="AQ104" i="3"/>
  <c r="AQ81" i="3"/>
  <c r="AR97" i="3"/>
  <c r="AR74" i="3"/>
  <c r="AR124" i="3"/>
  <c r="X105" i="3"/>
  <c r="X132" i="3"/>
  <c r="X82" i="3"/>
  <c r="AW36" i="3"/>
  <c r="AX36" i="3" s="1"/>
  <c r="AY36" i="3" s="1"/>
  <c r="AZ36" i="3" s="1"/>
  <c r="BA36" i="3" s="1"/>
  <c r="BB36" i="3" s="1"/>
  <c r="BC36" i="3" s="1"/>
  <c r="AW110" i="3"/>
  <c r="AW86" i="3"/>
  <c r="AW137" i="3"/>
  <c r="N108" i="3"/>
  <c r="N67" i="3"/>
  <c r="N85" i="3"/>
  <c r="R68" i="3"/>
  <c r="R141" i="3"/>
  <c r="R114" i="3"/>
  <c r="AR120" i="3"/>
  <c r="AR93" i="3"/>
  <c r="AR70" i="3"/>
  <c r="AO81" i="3"/>
  <c r="AO104" i="3"/>
  <c r="Q53" i="3"/>
  <c r="T107" i="3"/>
  <c r="T84" i="3"/>
  <c r="S84" i="3"/>
  <c r="O53" i="3"/>
  <c r="BH84" i="3"/>
  <c r="T78" i="3"/>
  <c r="AQ78" i="3"/>
  <c r="AQ128" i="3"/>
  <c r="AV53" i="3"/>
  <c r="AX54" i="3"/>
  <c r="P144" i="3"/>
  <c r="R89" i="3"/>
  <c r="R113" i="3"/>
  <c r="AQ53" i="3"/>
  <c r="AR116" i="3" s="1"/>
  <c r="U85" i="3"/>
  <c r="U108" i="3"/>
  <c r="U135" i="3"/>
  <c r="U67" i="3"/>
  <c r="T88" i="3"/>
  <c r="T112" i="3"/>
  <c r="T139" i="3"/>
  <c r="N93" i="3"/>
  <c r="N70" i="3"/>
  <c r="Y124" i="3"/>
  <c r="Y74" i="3"/>
  <c r="Y97" i="3"/>
  <c r="U71" i="3"/>
  <c r="U94" i="3"/>
  <c r="U79" i="4" s="1"/>
  <c r="U121" i="3"/>
  <c r="N83" i="3"/>
  <c r="N106" i="3"/>
  <c r="T105" i="3"/>
  <c r="T82" i="3"/>
  <c r="T132" i="3"/>
  <c r="X108" i="3"/>
  <c r="X85" i="3"/>
  <c r="X67" i="3"/>
  <c r="X135" i="3"/>
  <c r="AV112" i="3"/>
  <c r="AV88" i="3"/>
  <c r="AV139" i="3"/>
  <c r="V77" i="3"/>
  <c r="V100" i="3"/>
  <c r="V127" i="3"/>
  <c r="AW72" i="3"/>
  <c r="AW95" i="3"/>
  <c r="AW65" i="3"/>
  <c r="AW122" i="3"/>
  <c r="Z139" i="3"/>
  <c r="Z112" i="3"/>
  <c r="Z88" i="3"/>
  <c r="AU120" i="3"/>
  <c r="AU70" i="3"/>
  <c r="AU93" i="3"/>
  <c r="AQ77" i="3"/>
  <c r="AQ100" i="3"/>
  <c r="AQ127" i="3"/>
  <c r="BG135" i="3"/>
  <c r="BG108" i="3"/>
  <c r="BG85" i="3"/>
  <c r="BG67" i="3"/>
  <c r="AS99" i="3"/>
  <c r="AS126" i="3"/>
  <c r="AS76" i="3"/>
  <c r="AS83" i="3"/>
  <c r="AS133" i="3"/>
  <c r="AS106" i="3"/>
  <c r="Y108" i="3"/>
  <c r="Y135" i="3"/>
  <c r="Y67" i="3"/>
  <c r="Y85" i="3"/>
  <c r="Z124" i="3"/>
  <c r="Z97" i="3"/>
  <c r="Z74" i="3"/>
  <c r="BI67" i="3"/>
  <c r="BI108" i="3"/>
  <c r="BI85" i="3"/>
  <c r="BI135" i="3"/>
  <c r="BH74" i="3"/>
  <c r="BH97" i="3"/>
  <c r="BH124" i="3"/>
  <c r="AP71" i="3"/>
  <c r="AP94" i="3"/>
  <c r="M66" i="3"/>
  <c r="M79" i="3"/>
  <c r="M102" i="3"/>
  <c r="M55" i="4"/>
  <c r="BG75" i="3"/>
  <c r="BG98" i="3"/>
  <c r="BG125" i="3"/>
  <c r="AR65" i="3"/>
  <c r="AR122" i="3"/>
  <c r="AR72" i="3"/>
  <c r="AR95" i="3"/>
  <c r="S77" i="3"/>
  <c r="S127" i="3"/>
  <c r="S100" i="3"/>
  <c r="AT124" i="3"/>
  <c r="AT74" i="3"/>
  <c r="AT97" i="3"/>
  <c r="V112" i="3"/>
  <c r="V88" i="3"/>
  <c r="V139" i="3"/>
  <c r="Q76" i="3"/>
  <c r="Q99" i="3"/>
  <c r="Q126" i="3"/>
  <c r="W133" i="3"/>
  <c r="W83" i="3"/>
  <c r="W106" i="3"/>
  <c r="AW114" i="3"/>
  <c r="AW79" i="4"/>
  <c r="AW141" i="3"/>
  <c r="AW68" i="3"/>
  <c r="AV70" i="3"/>
  <c r="AV93" i="3"/>
  <c r="AV120" i="3"/>
  <c r="Z122" i="3"/>
  <c r="Z65" i="3"/>
  <c r="Z72" i="3"/>
  <c r="Z95" i="3"/>
  <c r="W77" i="3"/>
  <c r="W100" i="3"/>
  <c r="W127" i="3"/>
  <c r="AS85" i="3"/>
  <c r="AS108" i="3"/>
  <c r="AS67" i="3"/>
  <c r="AS135" i="3"/>
  <c r="P74" i="3"/>
  <c r="P97" i="3"/>
  <c r="P124" i="3"/>
  <c r="S75" i="3"/>
  <c r="S98" i="3"/>
  <c r="S125" i="3"/>
  <c r="AV100" i="3"/>
  <c r="AV77" i="3"/>
  <c r="AV127" i="3"/>
  <c r="Y55" i="4"/>
  <c r="Y66" i="3"/>
  <c r="Y102" i="3"/>
  <c r="Y129" i="3"/>
  <c r="Y79" i="3"/>
  <c r="U66" i="3"/>
  <c r="U79" i="3"/>
  <c r="U55" i="4"/>
  <c r="U102" i="3"/>
  <c r="U129" i="3"/>
  <c r="P87" i="3"/>
  <c r="P138" i="3"/>
  <c r="P111" i="3"/>
  <c r="BF95" i="3"/>
  <c r="BF72" i="3"/>
  <c r="BF122" i="3"/>
  <c r="BF65" i="3"/>
  <c r="BG68" i="3"/>
  <c r="BG56" i="3"/>
  <c r="BG79" i="4"/>
  <c r="BG53" i="3"/>
  <c r="BG141" i="3"/>
  <c r="BG114" i="3"/>
  <c r="K68" i="3"/>
  <c r="AA110" i="3"/>
  <c r="AA137" i="3"/>
  <c r="AP104" i="3"/>
  <c r="AP81" i="3"/>
  <c r="AQ120" i="3"/>
  <c r="AQ70" i="3"/>
  <c r="AQ93" i="3"/>
  <c r="BI71" i="3"/>
  <c r="BI94" i="3"/>
  <c r="BI121" i="3"/>
  <c r="BE9" i="3"/>
  <c r="BL3" i="3"/>
  <c r="BL4" i="3" s="1"/>
  <c r="BE63" i="3"/>
  <c r="J62" i="3" s="1"/>
  <c r="BE8" i="2"/>
  <c r="BE7" i="2" s="1"/>
  <c r="BE8" i="4"/>
  <c r="BE7" i="4" s="1"/>
  <c r="AQ82" i="3"/>
  <c r="AQ132" i="3"/>
  <c r="AQ105" i="3"/>
  <c r="AU79" i="3"/>
  <c r="AU102" i="3"/>
  <c r="AU66" i="3"/>
  <c r="AU55" i="4"/>
  <c r="AU129" i="3"/>
  <c r="BI75" i="3"/>
  <c r="BI98" i="3"/>
  <c r="BI125" i="3"/>
  <c r="AA132" i="3"/>
  <c r="AA105" i="3"/>
  <c r="AE132" i="3"/>
  <c r="BJ32" i="3"/>
  <c r="AX40" i="3"/>
  <c r="AW113" i="3"/>
  <c r="AW89" i="3"/>
  <c r="AW140" i="3"/>
  <c r="AW76" i="3"/>
  <c r="AW99" i="3"/>
  <c r="AW126" i="3"/>
  <c r="O77" i="3"/>
  <c r="O127" i="3"/>
  <c r="O100" i="3"/>
  <c r="BG74" i="3"/>
  <c r="BG97" i="3"/>
  <c r="BG124" i="3"/>
  <c r="Q135" i="3"/>
  <c r="Q67" i="3"/>
  <c r="Q108" i="3"/>
  <c r="Q85" i="3"/>
  <c r="Q125" i="3"/>
  <c r="Q75" i="3"/>
  <c r="Q98" i="3"/>
  <c r="R100" i="3"/>
  <c r="R127" i="3"/>
  <c r="R77" i="3"/>
  <c r="AS66" i="3"/>
  <c r="AS129" i="3"/>
  <c r="AS102" i="3"/>
  <c r="AS79" i="3"/>
  <c r="AS55" i="4"/>
  <c r="AN102" i="3"/>
  <c r="AN55" i="4"/>
  <c r="AN66" i="3"/>
  <c r="AN79" i="3"/>
  <c r="AN106" i="3"/>
  <c r="AN133" i="3"/>
  <c r="AN83" i="3"/>
  <c r="AN94" i="3"/>
  <c r="AN71" i="3"/>
  <c r="AO93" i="3"/>
  <c r="AO70" i="3"/>
  <c r="AN93" i="3"/>
  <c r="AN70" i="3"/>
  <c r="P40" i="3"/>
  <c r="Q113" i="3" s="1"/>
  <c r="BG140" i="3"/>
  <c r="BG89" i="3"/>
  <c r="BG113" i="3"/>
  <c r="Z34" i="3"/>
  <c r="I34" i="3"/>
  <c r="I84" i="3" s="1"/>
  <c r="BH23" i="3"/>
  <c r="Z86" i="3"/>
  <c r="Z137" i="3"/>
  <c r="Z110" i="3"/>
  <c r="Z36" i="3"/>
  <c r="BJ63" i="3"/>
  <c r="AC8" i="3"/>
  <c r="BJ8" i="4"/>
  <c r="BJ8" i="2"/>
  <c r="BD3" i="3"/>
  <c r="BJ9" i="3"/>
  <c r="J22" i="1" s="1"/>
  <c r="AA8" i="3"/>
  <c r="AD8" i="3"/>
  <c r="AV65" i="3"/>
  <c r="AV72" i="3"/>
  <c r="AV95" i="3"/>
  <c r="AV122" i="3"/>
  <c r="P120" i="3"/>
  <c r="P93" i="3"/>
  <c r="P70" i="3"/>
  <c r="P83" i="3"/>
  <c r="P133" i="3"/>
  <c r="P106" i="3"/>
  <c r="Q97" i="3"/>
  <c r="Q124" i="3"/>
  <c r="Q74" i="3"/>
  <c r="BG104" i="3"/>
  <c r="BG131" i="3"/>
  <c r="BG81" i="3"/>
  <c r="AV87" i="3"/>
  <c r="AV138" i="3"/>
  <c r="AV111" i="3"/>
  <c r="Q139" i="3"/>
  <c r="Q88" i="3"/>
  <c r="Q112" i="3"/>
  <c r="AW87" i="3"/>
  <c r="AW111" i="3"/>
  <c r="AW138" i="3"/>
  <c r="L104" i="3"/>
  <c r="L81" i="3"/>
  <c r="AV74" i="3"/>
  <c r="AV97" i="3"/>
  <c r="AV124" i="3"/>
  <c r="AP107" i="3"/>
  <c r="AP134" i="3"/>
  <c r="AP84" i="3"/>
  <c r="AT82" i="3"/>
  <c r="AT132" i="3"/>
  <c r="AX132" i="3"/>
  <c r="AT105" i="3"/>
  <c r="N100" i="3"/>
  <c r="N77" i="3"/>
  <c r="BH81" i="3"/>
  <c r="BH131" i="3"/>
  <c r="BH104" i="3"/>
  <c r="BF74" i="3"/>
  <c r="BF97" i="3"/>
  <c r="BF124" i="3"/>
  <c r="AO89" i="3"/>
  <c r="AO113" i="3"/>
  <c r="AO77" i="3"/>
  <c r="AO100" i="3"/>
  <c r="S89" i="3"/>
  <c r="S140" i="3"/>
  <c r="S113" i="3"/>
  <c r="AU144" i="3"/>
  <c r="AT143" i="3"/>
  <c r="AT116" i="3"/>
  <c r="BE34" i="3"/>
  <c r="BE84" i="3" s="1"/>
  <c r="AW56" i="3"/>
  <c r="U23" i="3"/>
  <c r="BF78" i="3"/>
  <c r="BF101" i="3"/>
  <c r="AS56" i="3"/>
  <c r="AR23" i="3"/>
  <c r="AV128" i="3" s="1"/>
  <c r="BI23" i="3"/>
  <c r="I40" i="3"/>
  <c r="I89" i="3" s="1"/>
  <c r="X116" i="3"/>
  <c r="X143" i="3"/>
  <c r="T40" i="3"/>
  <c r="X140" i="3" s="1"/>
  <c r="O34" i="3"/>
  <c r="AN23" i="3"/>
  <c r="X89" i="3"/>
  <c r="BF89" i="3"/>
  <c r="N8" i="3"/>
  <c r="BF8" i="4"/>
  <c r="BF63" i="3"/>
  <c r="M8" i="3"/>
  <c r="BF8" i="2"/>
  <c r="K8" i="3"/>
  <c r="P3" i="3"/>
  <c r="P4" i="3" s="1"/>
  <c r="BF9" i="3"/>
  <c r="L8" i="3"/>
  <c r="AQ72" i="3"/>
  <c r="AQ95" i="3"/>
  <c r="AQ65" i="3"/>
  <c r="AQ122" i="3"/>
  <c r="BF75" i="3"/>
  <c r="BF125" i="3"/>
  <c r="BF98" i="3"/>
  <c r="BH53" i="3"/>
  <c r="BH56" i="3"/>
  <c r="BH68" i="3"/>
  <c r="BH141" i="3"/>
  <c r="BH114" i="3"/>
  <c r="U76" i="3"/>
  <c r="U126" i="3"/>
  <c r="U99" i="3"/>
  <c r="X94" i="3"/>
  <c r="X121" i="3"/>
  <c r="X71" i="3"/>
  <c r="BI97" i="3"/>
  <c r="BI124" i="3"/>
  <c r="BI74" i="3"/>
  <c r="W72" i="3"/>
  <c r="W65" i="3"/>
  <c r="W122" i="3"/>
  <c r="W95" i="3"/>
  <c r="AT121" i="3"/>
  <c r="AT71" i="3"/>
  <c r="AT94" i="3"/>
  <c r="T85" i="3"/>
  <c r="T108" i="3"/>
  <c r="T135" i="3"/>
  <c r="T67" i="3"/>
  <c r="L76" i="3"/>
  <c r="L99" i="3"/>
  <c r="AS71" i="3"/>
  <c r="AS121" i="3"/>
  <c r="AS94" i="3"/>
  <c r="BG72" i="3"/>
  <c r="BG95" i="3"/>
  <c r="BG65" i="3"/>
  <c r="BG122" i="3"/>
  <c r="P105" i="3"/>
  <c r="P82" i="3"/>
  <c r="P132" i="3"/>
  <c r="L65" i="3"/>
  <c r="L72" i="3"/>
  <c r="L95" i="3"/>
  <c r="R104" i="3"/>
  <c r="R131" i="3"/>
  <c r="R81" i="3"/>
  <c r="AV98" i="3"/>
  <c r="AV75" i="3"/>
  <c r="AV125" i="3"/>
  <c r="S88" i="3"/>
  <c r="S139" i="3"/>
  <c r="S112" i="3"/>
  <c r="AG8" i="3"/>
  <c r="AE8" i="3"/>
  <c r="AF8" i="3"/>
  <c r="BI3" i="3"/>
  <c r="AH8" i="3"/>
  <c r="BK9" i="3"/>
  <c r="K22" i="1" s="1"/>
  <c r="BK63" i="3"/>
  <c r="AB62" i="3" s="1"/>
  <c r="BK8" i="2"/>
  <c r="BK8" i="4"/>
  <c r="U68" i="3"/>
  <c r="U114" i="3"/>
  <c r="U141" i="3"/>
  <c r="AC51" i="3"/>
  <c r="AG51" i="3" s="1"/>
  <c r="AK51" i="3" s="1"/>
  <c r="BA51" i="3" s="1"/>
  <c r="AW83" i="3"/>
  <c r="AW106" i="3"/>
  <c r="BA133" i="3"/>
  <c r="AX106" i="3"/>
  <c r="AW133" i="3"/>
  <c r="P79" i="3"/>
  <c r="P55" i="4"/>
  <c r="P129" i="3"/>
  <c r="P66" i="3"/>
  <c r="P102" i="3"/>
  <c r="V94" i="3"/>
  <c r="V79" i="4" s="1"/>
  <c r="V71" i="3"/>
  <c r="V121" i="3"/>
  <c r="BI126" i="3"/>
  <c r="BI99" i="3"/>
  <c r="BI76" i="3"/>
  <c r="W99" i="3"/>
  <c r="W76" i="3"/>
  <c r="W126" i="3"/>
  <c r="Q110" i="3"/>
  <c r="Q137" i="3"/>
  <c r="Q86" i="3"/>
  <c r="Q133" i="3"/>
  <c r="Q83" i="3"/>
  <c r="Q106" i="3"/>
  <c r="Q100" i="3"/>
  <c r="Q127" i="3"/>
  <c r="Q77" i="3"/>
  <c r="S72" i="3"/>
  <c r="S65" i="3"/>
  <c r="S95" i="3"/>
  <c r="S122" i="3"/>
  <c r="Z98" i="3"/>
  <c r="Z75" i="3"/>
  <c r="Z125" i="3"/>
  <c r="AT131" i="3"/>
  <c r="AT81" i="3"/>
  <c r="AT104" i="3"/>
  <c r="T95" i="3"/>
  <c r="T72" i="3"/>
  <c r="T122" i="3"/>
  <c r="T65" i="3"/>
  <c r="V66" i="3"/>
  <c r="V79" i="3"/>
  <c r="V102" i="3"/>
  <c r="V55" i="4"/>
  <c r="V129" i="3"/>
  <c r="AP87" i="3"/>
  <c r="AP111" i="3"/>
  <c r="BG139" i="3"/>
  <c r="BG88" i="3"/>
  <c r="BG112" i="3"/>
  <c r="AV55" i="4"/>
  <c r="AV79" i="3"/>
  <c r="AV66" i="3"/>
  <c r="AV102" i="3"/>
  <c r="AV129" i="3"/>
  <c r="N79" i="3"/>
  <c r="N55" i="4"/>
  <c r="N102" i="3"/>
  <c r="N66" i="3"/>
  <c r="AA126" i="3"/>
  <c r="AA99" i="3"/>
  <c r="AD48" i="3"/>
  <c r="AD57" i="3" s="1"/>
  <c r="AC49" i="3"/>
  <c r="AC60" i="3" s="1"/>
  <c r="V75" i="3"/>
  <c r="V98" i="3"/>
  <c r="V125" i="3"/>
  <c r="L68" i="3"/>
  <c r="L114" i="3"/>
  <c r="S70" i="3"/>
  <c r="S120" i="3"/>
  <c r="S93" i="3"/>
  <c r="Z126" i="3"/>
  <c r="Z99" i="3"/>
  <c r="Z76" i="3"/>
  <c r="AC106" i="3"/>
  <c r="AF133" i="3"/>
  <c r="AX49" i="3"/>
  <c r="AY48" i="3"/>
  <c r="M75" i="3"/>
  <c r="M98" i="3"/>
  <c r="AA100" i="3"/>
  <c r="AA127" i="3"/>
  <c r="K81" i="3"/>
  <c r="AA139" i="3"/>
  <c r="AA112" i="3"/>
  <c r="N74" i="3"/>
  <c r="N97" i="3"/>
  <c r="AW74" i="3"/>
  <c r="AW97" i="3"/>
  <c r="AW124" i="3"/>
  <c r="X81" i="3"/>
  <c r="X104" i="3"/>
  <c r="X131" i="3"/>
  <c r="P141" i="3"/>
  <c r="P68" i="3"/>
  <c r="P114" i="3"/>
  <c r="BG99" i="3"/>
  <c r="BG126" i="3"/>
  <c r="BG76" i="3"/>
  <c r="Q132" i="3"/>
  <c r="Q105" i="3"/>
  <c r="Q82" i="3"/>
  <c r="P104" i="3"/>
  <c r="P131" i="3"/>
  <c r="P81" i="3"/>
  <c r="BG71" i="3"/>
  <c r="BG94" i="3"/>
  <c r="BG121" i="3"/>
  <c r="O67" i="3"/>
  <c r="O108" i="3"/>
  <c r="O135" i="3"/>
  <c r="O85" i="3"/>
  <c r="O79" i="3"/>
  <c r="O55" i="4"/>
  <c r="O102" i="3"/>
  <c r="O129" i="3"/>
  <c r="O66" i="3"/>
  <c r="I68" i="3"/>
  <c r="BE66" i="3"/>
  <c r="BE79" i="3"/>
  <c r="BE55" i="4"/>
  <c r="AO75" i="3"/>
  <c r="AO98" i="3"/>
  <c r="AN79" i="4"/>
  <c r="AN68" i="3"/>
  <c r="AN114" i="3"/>
  <c r="AN77" i="3"/>
  <c r="AN100" i="3"/>
  <c r="BE70" i="3"/>
  <c r="I65" i="3"/>
  <c r="I72" i="3"/>
  <c r="Q56" i="3"/>
  <c r="AY54" i="3"/>
  <c r="AW53" i="3"/>
  <c r="AN53" i="3"/>
  <c r="AV85" i="3"/>
  <c r="AV67" i="3"/>
  <c r="AV108" i="3"/>
  <c r="AV135" i="3"/>
  <c r="AT77" i="3"/>
  <c r="AT100" i="3"/>
  <c r="AT127" i="3"/>
  <c r="AR100" i="3"/>
  <c r="AR77" i="3"/>
  <c r="AR127" i="3"/>
  <c r="AU114" i="3"/>
  <c r="AU68" i="3"/>
  <c r="AU79" i="4"/>
  <c r="AU141" i="3"/>
  <c r="R67" i="3"/>
  <c r="R108" i="3"/>
  <c r="R85" i="3"/>
  <c r="R135" i="3"/>
  <c r="AS93" i="3"/>
  <c r="AS120" i="3"/>
  <c r="AS70" i="3"/>
  <c r="O86" i="3"/>
  <c r="O110" i="3"/>
  <c r="O137" i="3"/>
  <c r="BG79" i="3"/>
  <c r="BG55" i="4"/>
  <c r="BG102" i="3"/>
  <c r="BG129" i="3"/>
  <c r="BG66" i="3"/>
  <c r="AO65" i="3"/>
  <c r="AO95" i="3"/>
  <c r="AO72" i="3"/>
  <c r="J85" i="3"/>
  <c r="J67" i="3"/>
  <c r="J65" i="3"/>
  <c r="J72" i="3"/>
  <c r="BG23" i="3"/>
  <c r="R143" i="3"/>
  <c r="V40" i="3"/>
  <c r="S23" i="3"/>
  <c r="T101" i="3" s="1"/>
  <c r="O23" i="3"/>
  <c r="W84" i="3"/>
  <c r="W107" i="3"/>
  <c r="W134" i="3"/>
  <c r="V117" i="3"/>
  <c r="M78" i="3"/>
  <c r="N78" i="3"/>
  <c r="N101" i="3"/>
  <c r="BH89" i="3"/>
  <c r="BH140" i="3"/>
  <c r="BH113" i="3"/>
  <c r="R34" i="3"/>
  <c r="V134" i="3" s="1"/>
  <c r="N84" i="3"/>
  <c r="Z117" i="3"/>
  <c r="J53" i="3"/>
  <c r="Q78" i="3"/>
  <c r="Q128" i="3"/>
  <c r="AR117" i="3"/>
  <c r="J40" i="3"/>
  <c r="J89" i="3" s="1"/>
  <c r="AV78" i="3"/>
  <c r="L113" i="3"/>
  <c r="L89" i="3"/>
  <c r="AQ144" i="3"/>
  <c r="AQ117" i="3"/>
  <c r="M89" i="3"/>
  <c r="M113" i="3"/>
  <c r="AT75" i="3"/>
  <c r="AT125" i="3"/>
  <c r="AT98" i="3"/>
  <c r="AT85" i="3"/>
  <c r="AT135" i="3"/>
  <c r="AT67" i="3"/>
  <c r="AT108" i="3"/>
  <c r="L79" i="3"/>
  <c r="L102" i="3"/>
  <c r="L55" i="4"/>
  <c r="L66" i="3"/>
  <c r="L83" i="3"/>
  <c r="L106" i="3"/>
  <c r="AW84" i="3"/>
  <c r="BA134" i="3"/>
  <c r="AW107" i="3"/>
  <c r="AX107" i="3"/>
  <c r="AW134" i="3"/>
  <c r="AW108" i="3"/>
  <c r="AW85" i="3"/>
  <c r="AW67" i="3"/>
  <c r="AW135" i="3"/>
  <c r="AT72" i="3"/>
  <c r="AT65" i="3"/>
  <c r="AT122" i="3"/>
  <c r="AT95" i="3"/>
  <c r="Z94" i="3"/>
  <c r="Z71" i="3"/>
  <c r="Z121" i="3"/>
  <c r="AV110" i="3"/>
  <c r="AV36" i="3"/>
  <c r="AV137" i="3"/>
  <c r="AV86" i="3"/>
  <c r="AQ71" i="3"/>
  <c r="AQ121" i="3"/>
  <c r="AQ94" i="3"/>
  <c r="U98" i="3"/>
  <c r="U75" i="3"/>
  <c r="U125" i="3"/>
  <c r="BI141" i="3"/>
  <c r="BI79" i="4"/>
  <c r="BI114" i="3"/>
  <c r="BI68" i="3"/>
  <c r="AU95" i="3"/>
  <c r="AU65" i="3"/>
  <c r="AU72" i="3"/>
  <c r="AU122" i="3"/>
  <c r="BF102" i="3"/>
  <c r="BF66" i="3"/>
  <c r="BF79" i="3"/>
  <c r="BF55" i="4"/>
  <c r="BF129" i="3"/>
  <c r="L111" i="3"/>
  <c r="L87" i="3"/>
  <c r="R126" i="3"/>
  <c r="R76" i="3"/>
  <c r="R99" i="3"/>
  <c r="R87" i="3"/>
  <c r="R111" i="3"/>
  <c r="R138" i="3"/>
  <c r="X76" i="3"/>
  <c r="X99" i="3"/>
  <c r="X126" i="3"/>
  <c r="K66" i="3"/>
  <c r="K79" i="3"/>
  <c r="K55" i="4"/>
  <c r="W88" i="3"/>
  <c r="W139" i="3"/>
  <c r="W112" i="3"/>
  <c r="T83" i="3"/>
  <c r="T106" i="3"/>
  <c r="T133" i="3"/>
  <c r="AQ125" i="3"/>
  <c r="AQ98" i="3"/>
  <c r="AQ75" i="3"/>
  <c r="P139" i="3"/>
  <c r="P88" i="3"/>
  <c r="P112" i="3"/>
  <c r="W79" i="4"/>
  <c r="W68" i="3"/>
  <c r="W114" i="3"/>
  <c r="W141" i="3"/>
  <c r="O81" i="3"/>
  <c r="O131" i="3"/>
  <c r="O104" i="3"/>
  <c r="T81" i="3"/>
  <c r="T104" i="3"/>
  <c r="T131" i="3"/>
  <c r="K71" i="3"/>
  <c r="AR121" i="3"/>
  <c r="AR71" i="3"/>
  <c r="AR94" i="3"/>
  <c r="Q81" i="3"/>
  <c r="Q131" i="3"/>
  <c r="Q104" i="3"/>
  <c r="Y131" i="3"/>
  <c r="Y81" i="3"/>
  <c r="Y104" i="3"/>
  <c r="BH72" i="3"/>
  <c r="BH95" i="3"/>
  <c r="BH65" i="3"/>
  <c r="BH122" i="3"/>
  <c r="V86" i="3"/>
  <c r="V110" i="3"/>
  <c r="V137" i="3"/>
  <c r="BH76" i="3"/>
  <c r="BH99" i="3"/>
  <c r="BH126" i="3"/>
  <c r="W87" i="3"/>
  <c r="W138" i="3"/>
  <c r="W111" i="3"/>
  <c r="BG105" i="3"/>
  <c r="BG82" i="3"/>
  <c r="BG132" i="3"/>
  <c r="Y137" i="3"/>
  <c r="Y86" i="3"/>
  <c r="Y36" i="3"/>
  <c r="Y110" i="3"/>
  <c r="BI131" i="3"/>
  <c r="BI81" i="3"/>
  <c r="BI104" i="3"/>
  <c r="Q87" i="3"/>
  <c r="Q111" i="3"/>
  <c r="Q138" i="3"/>
  <c r="AU139" i="3"/>
  <c r="AU112" i="3"/>
  <c r="AU88" i="3"/>
  <c r="T99" i="3"/>
  <c r="T126" i="3"/>
  <c r="T76" i="3"/>
  <c r="BF112" i="3"/>
  <c r="BF139" i="3"/>
  <c r="BF88" i="3"/>
  <c r="U87" i="3"/>
  <c r="U111" i="3"/>
  <c r="U138" i="3"/>
  <c r="BH75" i="3"/>
  <c r="BH125" i="3"/>
  <c r="BH98" i="3"/>
  <c r="BJ51" i="3"/>
  <c r="AA138" i="3"/>
  <c r="AA111" i="3"/>
  <c r="S111" i="3"/>
  <c r="S138" i="3"/>
  <c r="S87" i="3"/>
  <c r="BF133" i="3"/>
  <c r="BF106" i="3"/>
  <c r="BF83" i="3"/>
  <c r="AC39" i="3"/>
  <c r="AR104" i="3"/>
  <c r="AR81" i="3"/>
  <c r="AR131" i="3"/>
  <c r="AU127" i="3"/>
  <c r="AU100" i="3"/>
  <c r="AU77" i="3"/>
  <c r="K70" i="3"/>
  <c r="O71" i="3"/>
  <c r="O121" i="3"/>
  <c r="O94" i="3"/>
  <c r="O79" i="4" s="1"/>
  <c r="M72" i="3"/>
  <c r="M95" i="3"/>
  <c r="M65" i="3"/>
  <c r="BF100" i="3"/>
  <c r="BF127" i="3"/>
  <c r="BF77" i="3"/>
  <c r="I81" i="3"/>
  <c r="V97" i="3"/>
  <c r="V74" i="3"/>
  <c r="V124" i="3"/>
  <c r="BF93" i="3"/>
  <c r="BF120" i="3"/>
  <c r="BF70" i="3"/>
  <c r="AP110" i="3"/>
  <c r="AP86" i="3"/>
  <c r="AP36" i="3"/>
  <c r="X72" i="3"/>
  <c r="X95" i="3"/>
  <c r="X65" i="3"/>
  <c r="X122" i="3"/>
  <c r="BG138" i="3"/>
  <c r="BG87" i="3"/>
  <c r="BG111" i="3"/>
  <c r="AS98" i="3"/>
  <c r="AS75" i="3"/>
  <c r="AS125" i="3"/>
  <c r="P86" i="3"/>
  <c r="P110" i="3"/>
  <c r="P137" i="3"/>
  <c r="AS110" i="3"/>
  <c r="AS86" i="3"/>
  <c r="AS36" i="3"/>
  <c r="AS137" i="3"/>
  <c r="AR105" i="3"/>
  <c r="AR132" i="3"/>
  <c r="AR82" i="3"/>
  <c r="BE36" i="3"/>
  <c r="BE86" i="3"/>
  <c r="AO88" i="3"/>
  <c r="AO112" i="3"/>
  <c r="BE71" i="3"/>
  <c r="AN74" i="3"/>
  <c r="AN97" i="3"/>
  <c r="J68" i="3"/>
  <c r="I67" i="3"/>
  <c r="I85" i="3"/>
  <c r="I77" i="3"/>
  <c r="AN132" i="3"/>
  <c r="AN105" i="3"/>
  <c r="AN82" i="3"/>
  <c r="T143" i="3"/>
  <c r="P34" i="3"/>
  <c r="T134" i="3" s="1"/>
  <c r="V107" i="3"/>
  <c r="V84" i="3"/>
  <c r="BI40" i="3"/>
  <c r="W78" i="3"/>
  <c r="T79" i="3"/>
  <c r="T102" i="3"/>
  <c r="T66" i="3"/>
  <c r="T55" i="4"/>
  <c r="T129" i="3"/>
  <c r="S81" i="3"/>
  <c r="S104" i="3"/>
  <c r="S131" i="3"/>
  <c r="AP106" i="3"/>
  <c r="AP133" i="3"/>
  <c r="AP83" i="3"/>
  <c r="BH67" i="3"/>
  <c r="BH108" i="3"/>
  <c r="BH135" i="3"/>
  <c r="BH85" i="3"/>
  <c r="X127" i="3"/>
  <c r="X77" i="3"/>
  <c r="X100" i="3"/>
  <c r="W131" i="3"/>
  <c r="W81" i="3"/>
  <c r="W104" i="3"/>
  <c r="U100" i="3"/>
  <c r="U77" i="3"/>
  <c r="U127" i="3"/>
  <c r="N104" i="3"/>
  <c r="N81" i="3"/>
  <c r="W98" i="3"/>
  <c r="W75" i="3"/>
  <c r="W125" i="3"/>
  <c r="AW104" i="3"/>
  <c r="AW131" i="3"/>
  <c r="AW81" i="3"/>
  <c r="Z77" i="3"/>
  <c r="Z127" i="3"/>
  <c r="Z100" i="3"/>
  <c r="S76" i="3"/>
  <c r="S126" i="3"/>
  <c r="S99" i="3"/>
  <c r="AP76" i="3"/>
  <c r="AP99" i="3"/>
  <c r="O72" i="3"/>
  <c r="O122" i="3"/>
  <c r="O65" i="3"/>
  <c r="O95" i="3"/>
  <c r="AU121" i="3"/>
  <c r="AU94" i="3"/>
  <c r="AU71" i="3"/>
  <c r="BH36" i="3"/>
  <c r="BH86" i="3"/>
  <c r="BH137" i="3"/>
  <c r="BH110" i="3"/>
  <c r="AD51" i="3"/>
  <c r="AH51" i="3" s="1"/>
  <c r="AL51" i="3" s="1"/>
  <c r="AX51" i="3" s="1"/>
  <c r="BB51" i="3" s="1"/>
  <c r="T98" i="3"/>
  <c r="T125" i="3"/>
  <c r="T75" i="3"/>
  <c r="AU140" i="3"/>
  <c r="AU113" i="3"/>
  <c r="AU89" i="3"/>
  <c r="M111" i="3"/>
  <c r="M87" i="3"/>
  <c r="AP72" i="3"/>
  <c r="AP65" i="3"/>
  <c r="AP95" i="3"/>
  <c r="Z120" i="3"/>
  <c r="Z93" i="3"/>
  <c r="Z70" i="3"/>
  <c r="AT137" i="3"/>
  <c r="AT86" i="3"/>
  <c r="AT36" i="3"/>
  <c r="AT110" i="3"/>
  <c r="W82" i="3"/>
  <c r="W132" i="3"/>
  <c r="W105" i="3"/>
  <c r="AR79" i="4"/>
  <c r="AR114" i="3"/>
  <c r="AR68" i="3"/>
  <c r="AR141" i="3"/>
  <c r="S55" i="4"/>
  <c r="S79" i="3"/>
  <c r="S66" i="3"/>
  <c r="S102" i="3"/>
  <c r="S129" i="3"/>
  <c r="AW71" i="3"/>
  <c r="AW121" i="3"/>
  <c r="AW94" i="3"/>
  <c r="W129" i="3"/>
  <c r="W66" i="3"/>
  <c r="W55" i="4"/>
  <c r="W79" i="3"/>
  <c r="W102" i="3"/>
  <c r="R55" i="4"/>
  <c r="R102" i="3"/>
  <c r="R66" i="3"/>
  <c r="R129" i="3"/>
  <c r="R79" i="3"/>
  <c r="BH88" i="3"/>
  <c r="BH139" i="3"/>
  <c r="BH112" i="3"/>
  <c r="AX39" i="3"/>
  <c r="AW112" i="3"/>
  <c r="AW88" i="3"/>
  <c r="AW139" i="3"/>
  <c r="Z81" i="3"/>
  <c r="Z104" i="3"/>
  <c r="Z131" i="3"/>
  <c r="AU99" i="3"/>
  <c r="AU126" i="3"/>
  <c r="AU76" i="3"/>
  <c r="Q114" i="3"/>
  <c r="Q141" i="3"/>
  <c r="Q68" i="3"/>
  <c r="M105" i="3"/>
  <c r="M82" i="3"/>
  <c r="BF138" i="3"/>
  <c r="BF87" i="3"/>
  <c r="BF111" i="3"/>
  <c r="AP70" i="3"/>
  <c r="AP93" i="3"/>
  <c r="AC105" i="3"/>
  <c r="AF132" i="3"/>
  <c r="T93" i="3"/>
  <c r="T70" i="3"/>
  <c r="T120" i="3"/>
  <c r="K87" i="3"/>
  <c r="BF121" i="3"/>
  <c r="BF71" i="3"/>
  <c r="BF94" i="3"/>
  <c r="M76" i="3"/>
  <c r="M99" i="3"/>
  <c r="AP97" i="3"/>
  <c r="AP74" i="3"/>
  <c r="Y138" i="3"/>
  <c r="Y87" i="3"/>
  <c r="Y111" i="3"/>
  <c r="AU97" i="3"/>
  <c r="AU74" i="3"/>
  <c r="AU124" i="3"/>
  <c r="AA124" i="3"/>
  <c r="AA97" i="3"/>
  <c r="K74" i="3"/>
  <c r="L112" i="3"/>
  <c r="L88" i="3"/>
  <c r="L110" i="3"/>
  <c r="L86" i="3"/>
  <c r="AT76" i="3"/>
  <c r="AT126" i="3"/>
  <c r="AT99" i="3"/>
  <c r="K75" i="3"/>
  <c r="BJ29" i="3"/>
  <c r="W110" i="3"/>
  <c r="W137" i="3"/>
  <c r="W36" i="3"/>
  <c r="W86" i="3"/>
  <c r="AQ139" i="3"/>
  <c r="AQ112" i="3"/>
  <c r="AQ88" i="3"/>
  <c r="AR138" i="3"/>
  <c r="AR111" i="3"/>
  <c r="AR87" i="3"/>
  <c r="Y68" i="3"/>
  <c r="Y114" i="3"/>
  <c r="Y141" i="3"/>
  <c r="Y79" i="4"/>
  <c r="Z105" i="3"/>
  <c r="Z132" i="3"/>
  <c r="AD132" i="3"/>
  <c r="Z82" i="3"/>
  <c r="O82" i="3"/>
  <c r="O105" i="3"/>
  <c r="O132" i="3"/>
  <c r="O138" i="3"/>
  <c r="O111" i="3"/>
  <c r="O87" i="3"/>
  <c r="O76" i="3"/>
  <c r="O99" i="3"/>
  <c r="O126" i="3"/>
  <c r="P95" i="3"/>
  <c r="P122" i="3"/>
  <c r="P72" i="3"/>
  <c r="P65" i="3"/>
  <c r="R83" i="3"/>
  <c r="R133" i="3"/>
  <c r="AS88" i="3"/>
  <c r="AS139" i="3"/>
  <c r="AS112" i="3"/>
  <c r="I71" i="3"/>
  <c r="I88" i="3"/>
  <c r="I86" i="3"/>
  <c r="BE65" i="3"/>
  <c r="BE72" i="3"/>
  <c r="AO85" i="3"/>
  <c r="AO108" i="3"/>
  <c r="AO67" i="3"/>
  <c r="AO111" i="3"/>
  <c r="AO87" i="3"/>
  <c r="I74" i="3"/>
  <c r="AN81" i="3"/>
  <c r="AN104" i="3"/>
  <c r="AO102" i="3"/>
  <c r="AO55" i="4"/>
  <c r="AO66" i="3"/>
  <c r="AO79" i="3"/>
  <c r="O56" i="3"/>
  <c r="Q34" i="3"/>
  <c r="X144" i="3"/>
  <c r="X117" i="3"/>
  <c r="O89" i="3"/>
  <c r="O140" i="3"/>
  <c r="R23" i="3"/>
  <c r="Z23" i="3"/>
  <c r="AN84" i="3"/>
  <c r="AN134" i="3"/>
  <c r="AN107" i="3"/>
  <c r="I23" i="3"/>
  <c r="I78" i="3" s="1"/>
  <c r="AU23" i="3"/>
  <c r="BG34" i="3"/>
  <c r="AT78" i="3"/>
  <c r="AT101" i="3"/>
  <c r="BI84" i="3"/>
  <c r="BI134" i="3"/>
  <c r="BI107" i="3"/>
  <c r="J56" i="3"/>
  <c r="AO53" i="3"/>
  <c r="AS143" i="3" s="1"/>
  <c r="AV144" i="3"/>
  <c r="AV117" i="3"/>
  <c r="J34" i="3"/>
  <c r="J84" i="3" s="1"/>
  <c r="Y23" i="3"/>
  <c r="Y84" i="3"/>
  <c r="Y134" i="3"/>
  <c r="AC134" i="3"/>
  <c r="K53" i="3"/>
  <c r="L116" i="3" s="1"/>
  <c r="L117" i="3"/>
  <c r="T8" i="3"/>
  <c r="BH63" i="3"/>
  <c r="U8" i="3"/>
  <c r="BH8" i="2"/>
  <c r="V8" i="3"/>
  <c r="BH9" i="3"/>
  <c r="H22" i="1" s="1"/>
  <c r="S8" i="3"/>
  <c r="BH8" i="4"/>
  <c r="Z3" i="3"/>
  <c r="Z4" i="3" s="1"/>
  <c r="S82" i="3"/>
  <c r="S132" i="3"/>
  <c r="L71" i="3"/>
  <c r="L94" i="3"/>
  <c r="L79" i="4" s="1"/>
  <c r="BI9" i="3"/>
  <c r="I22" i="1" s="1"/>
  <c r="BI8" i="2"/>
  <c r="Z8" i="3"/>
  <c r="Y8" i="3"/>
  <c r="Z9" i="3"/>
  <c r="X8" i="3"/>
  <c r="AE3" i="3"/>
  <c r="AE4" i="3" s="1"/>
  <c r="BI63" i="3"/>
  <c r="W8" i="3"/>
  <c r="BI8" i="4"/>
  <c r="BI120" i="3"/>
  <c r="BI93" i="3"/>
  <c r="BI70" i="3"/>
  <c r="AV81" i="3"/>
  <c r="AV104" i="3"/>
  <c r="AV131" i="3"/>
  <c r="N98" i="3"/>
  <c r="N75" i="3"/>
  <c r="BI106" i="3"/>
  <c r="BI83" i="3"/>
  <c r="BI133" i="3"/>
  <c r="AW75" i="3"/>
  <c r="AW98" i="3"/>
  <c r="AW125" i="3"/>
  <c r="AQ86" i="3"/>
  <c r="AQ137" i="3"/>
  <c r="AQ36" i="3"/>
  <c r="AQ110" i="3"/>
  <c r="AQ55" i="4"/>
  <c r="AQ102" i="3"/>
  <c r="AQ129" i="3"/>
  <c r="AQ79" i="3"/>
  <c r="AQ66" i="3"/>
  <c r="Q122" i="3"/>
  <c r="Q65" i="3"/>
  <c r="Q95" i="3"/>
  <c r="Q72" i="3"/>
  <c r="R88" i="3"/>
  <c r="R139" i="3"/>
  <c r="R112" i="3"/>
  <c r="U112" i="3"/>
  <c r="U88" i="3"/>
  <c r="U139" i="3"/>
  <c r="AV99" i="3"/>
  <c r="AV76" i="3"/>
  <c r="AV126" i="3"/>
  <c r="O112" i="3"/>
  <c r="O139" i="3"/>
  <c r="O88" i="3"/>
  <c r="U86" i="3"/>
  <c r="U137" i="3"/>
  <c r="U110" i="3"/>
  <c r="AU125" i="3"/>
  <c r="AU98" i="3"/>
  <c r="AU75" i="3"/>
  <c r="M77" i="3"/>
  <c r="M100" i="3"/>
  <c r="BL29" i="3"/>
  <c r="V114" i="3"/>
  <c r="V68" i="3"/>
  <c r="V141" i="3"/>
  <c r="S97" i="3"/>
  <c r="S124" i="3"/>
  <c r="S74" i="3"/>
  <c r="W85" i="3"/>
  <c r="W135" i="3"/>
  <c r="W108" i="3"/>
  <c r="W67" i="3"/>
  <c r="V87" i="3"/>
  <c r="V111" i="3"/>
  <c r="V138" i="3"/>
  <c r="Q102" i="3"/>
  <c r="Q129" i="3"/>
  <c r="Q66" i="3"/>
  <c r="Q79" i="3"/>
  <c r="Q55" i="4"/>
  <c r="V95" i="3"/>
  <c r="V122" i="3"/>
  <c r="V65" i="3"/>
  <c r="V72" i="3"/>
  <c r="AT66" i="3"/>
  <c r="AT55" i="4"/>
  <c r="AT129" i="3"/>
  <c r="AT79" i="3"/>
  <c r="AT102" i="3"/>
  <c r="BI102" i="3"/>
  <c r="BI66" i="3"/>
  <c r="BI55" i="4"/>
  <c r="BI129" i="3"/>
  <c r="BI79" i="3"/>
  <c r="AQ135" i="3"/>
  <c r="AQ108" i="3"/>
  <c r="AQ67" i="3"/>
  <c r="AQ85" i="3"/>
  <c r="AW70" i="3"/>
  <c r="AW93" i="3"/>
  <c r="AW120" i="3"/>
  <c r="AS111" i="3"/>
  <c r="AS138" i="3"/>
  <c r="AS87" i="3"/>
  <c r="BG77" i="3"/>
  <c r="BG127" i="3"/>
  <c r="BG100" i="3"/>
  <c r="O75" i="3"/>
  <c r="O125" i="3"/>
  <c r="O98" i="3"/>
  <c r="T114" i="3"/>
  <c r="T68" i="3"/>
  <c r="T141" i="3"/>
  <c r="BI127" i="3"/>
  <c r="BI100" i="3"/>
  <c r="BI77" i="3"/>
  <c r="X102" i="3"/>
  <c r="X79" i="3"/>
  <c r="X66" i="3"/>
  <c r="X129" i="3"/>
  <c r="X55" i="4"/>
  <c r="T77" i="3"/>
  <c r="T100" i="3"/>
  <c r="T127" i="3"/>
  <c r="M71" i="3"/>
  <c r="M94" i="3"/>
  <c r="M79" i="4" s="1"/>
  <c r="AT141" i="3"/>
  <c r="AT79" i="4"/>
  <c r="AT68" i="3"/>
  <c r="AT114" i="3"/>
  <c r="N111" i="3"/>
  <c r="N87" i="3"/>
  <c r="M83" i="3"/>
  <c r="M106" i="3"/>
  <c r="N95" i="3"/>
  <c r="N72" i="3"/>
  <c r="N65" i="3"/>
  <c r="AA125" i="3"/>
  <c r="AA98" i="3"/>
  <c r="K85" i="3"/>
  <c r="K67" i="3"/>
  <c r="AA121" i="3"/>
  <c r="AA94" i="3"/>
  <c r="N110" i="3"/>
  <c r="N86" i="3"/>
  <c r="AP66" i="3"/>
  <c r="AP55" i="4"/>
  <c r="AP102" i="3"/>
  <c r="AP79" i="3"/>
  <c r="L82" i="3"/>
  <c r="L105" i="3"/>
  <c r="AP85" i="3"/>
  <c r="AP67" i="3"/>
  <c r="AP108" i="3"/>
  <c r="AP77" i="3"/>
  <c r="AP100" i="3"/>
  <c r="M110" i="3"/>
  <c r="M86" i="3"/>
  <c r="N114" i="3"/>
  <c r="N68" i="3"/>
  <c r="AS68" i="3"/>
  <c r="AS79" i="4"/>
  <c r="AS141" i="3"/>
  <c r="AS114" i="3"/>
  <c r="Q70" i="3"/>
  <c r="Q93" i="3"/>
  <c r="Q120" i="3"/>
  <c r="K65" i="3"/>
  <c r="K72" i="3"/>
  <c r="Y126" i="3"/>
  <c r="Y76" i="3"/>
  <c r="Y99" i="3"/>
  <c r="Z85" i="3"/>
  <c r="Z108" i="3"/>
  <c r="Z67" i="3"/>
  <c r="Z135" i="3"/>
  <c r="BI88" i="3"/>
  <c r="BI139" i="3"/>
  <c r="BI112" i="3"/>
  <c r="AW82" i="3"/>
  <c r="AW105" i="3"/>
  <c r="BA132" i="3"/>
  <c r="AW132" i="3"/>
  <c r="AX105" i="3"/>
  <c r="AR140" i="3"/>
  <c r="AR89" i="3"/>
  <c r="AR113" i="3"/>
  <c r="P67" i="3"/>
  <c r="P108" i="3"/>
  <c r="P135" i="3"/>
  <c r="P85" i="3"/>
  <c r="BG70" i="3"/>
  <c r="BG120" i="3"/>
  <c r="BG93" i="3"/>
  <c r="AS84" i="3"/>
  <c r="AS107" i="3"/>
  <c r="AS134" i="3"/>
  <c r="AN112" i="3"/>
  <c r="AN88" i="3"/>
  <c r="AO97" i="3"/>
  <c r="AO74" i="3"/>
  <c r="AN75" i="3"/>
  <c r="AN98" i="3"/>
  <c r="BE85" i="3"/>
  <c r="BE67" i="3"/>
  <c r="BE81" i="3"/>
  <c r="AN85" i="3"/>
  <c r="AN108" i="3"/>
  <c r="AN67" i="3"/>
  <c r="AN111" i="3"/>
  <c r="AN87" i="3"/>
  <c r="AN110" i="3"/>
  <c r="AN86" i="3"/>
  <c r="AN36" i="3"/>
  <c r="AO99" i="3"/>
  <c r="AO76" i="3"/>
  <c r="AT56" i="3"/>
  <c r="AO56" i="3"/>
  <c r="AP117" i="3" s="1"/>
  <c r="AO83" i="3"/>
  <c r="AO106" i="3"/>
  <c r="AO133" i="3"/>
  <c r="V23" i="3"/>
  <c r="AS128" i="3"/>
  <c r="AS78" i="3"/>
  <c r="P23" i="3"/>
  <c r="T128" i="3" s="1"/>
  <c r="AP23" i="3"/>
  <c r="W40" i="3"/>
  <c r="BH70" i="3"/>
  <c r="BH120" i="3"/>
  <c r="BH93" i="3"/>
  <c r="V81" i="3"/>
  <c r="V104" i="3"/>
  <c r="V131" i="3"/>
  <c r="AT89" i="3"/>
  <c r="AT113" i="3"/>
  <c r="AT140" i="3"/>
  <c r="AP132" i="3"/>
  <c r="AP82" i="3"/>
  <c r="AP105" i="3"/>
  <c r="AW102" i="3"/>
  <c r="AW66" i="3"/>
  <c r="AW55" i="4"/>
  <c r="AW79" i="3"/>
  <c r="AW129" i="3"/>
  <c r="X97" i="3"/>
  <c r="X74" i="3"/>
  <c r="X124" i="3"/>
  <c r="U93" i="3"/>
  <c r="U120" i="3"/>
  <c r="U70" i="3"/>
  <c r="X83" i="3"/>
  <c r="X106" i="3"/>
  <c r="X133" i="3"/>
  <c r="Z79" i="3"/>
  <c r="Z129" i="3"/>
  <c r="Z55" i="4"/>
  <c r="Z102" i="3"/>
  <c r="Z66" i="3"/>
  <c r="AV107" i="3"/>
  <c r="AZ134" i="3"/>
  <c r="AV134" i="3"/>
  <c r="AV84" i="3"/>
  <c r="AT70" i="3"/>
  <c r="AT120" i="3"/>
  <c r="AT93" i="3"/>
  <c r="M93" i="3"/>
  <c r="M70" i="3"/>
  <c r="AT139" i="3"/>
  <c r="AT88" i="3"/>
  <c r="AT112" i="3"/>
  <c r="T111" i="3"/>
  <c r="T87" i="3"/>
  <c r="T138" i="3"/>
  <c r="N71" i="3"/>
  <c r="N94" i="3"/>
  <c r="N79" i="4" s="1"/>
  <c r="BF141" i="3"/>
  <c r="BF79" i="4"/>
  <c r="BF56" i="3"/>
  <c r="BF53" i="3"/>
  <c r="BF68" i="3"/>
  <c r="BF114" i="3"/>
  <c r="AR67" i="3"/>
  <c r="AR135" i="3"/>
  <c r="AR85" i="3"/>
  <c r="AR108" i="3"/>
  <c r="AS127" i="3"/>
  <c r="AS77" i="3"/>
  <c r="AS100" i="3"/>
  <c r="Y95" i="3"/>
  <c r="Y122" i="3"/>
  <c r="Y72" i="3"/>
  <c r="Y65" i="3"/>
  <c r="BJ49" i="3"/>
  <c r="BK48" i="3"/>
  <c r="U104" i="3"/>
  <c r="U81" i="3"/>
  <c r="U131" i="3"/>
  <c r="R98" i="3"/>
  <c r="R75" i="3"/>
  <c r="R125" i="3"/>
  <c r="AR126" i="3"/>
  <c r="AR99" i="3"/>
  <c r="AR76" i="3"/>
  <c r="S86" i="3"/>
  <c r="S137" i="3"/>
  <c r="S110" i="3"/>
  <c r="U97" i="3"/>
  <c r="U74" i="3"/>
  <c r="U124" i="3"/>
  <c r="AU132" i="3"/>
  <c r="AU82" i="3"/>
  <c r="AU105" i="3"/>
  <c r="AY132" i="3"/>
  <c r="AT134" i="3"/>
  <c r="AT84" i="3"/>
  <c r="AT107" i="3"/>
  <c r="AX134" i="3"/>
  <c r="AR88" i="3"/>
  <c r="AR112" i="3"/>
  <c r="AR139" i="3"/>
  <c r="AU107" i="3"/>
  <c r="AU84" i="3"/>
  <c r="AY134" i="3"/>
  <c r="AU134" i="3"/>
  <c r="W97" i="3"/>
  <c r="W124" i="3"/>
  <c r="W74" i="3"/>
  <c r="R93" i="3"/>
  <c r="R120" i="3"/>
  <c r="R70" i="3"/>
  <c r="O114" i="3"/>
  <c r="O141" i="3"/>
  <c r="O68" i="3"/>
  <c r="BJ3" i="3"/>
  <c r="BL9" i="3"/>
  <c r="L22" i="1" s="1"/>
  <c r="BL63" i="3"/>
  <c r="BL8" i="4"/>
  <c r="BL7" i="4" s="1"/>
  <c r="BL8" i="2"/>
  <c r="R95" i="3"/>
  <c r="R122" i="3"/>
  <c r="R72" i="3"/>
  <c r="R65" i="3"/>
  <c r="X79" i="4"/>
  <c r="X114" i="3"/>
  <c r="X68" i="3"/>
  <c r="X141" i="3"/>
  <c r="T74" i="3"/>
  <c r="T97" i="3"/>
  <c r="T124" i="3"/>
  <c r="L100" i="3"/>
  <c r="L77" i="3"/>
  <c r="L93" i="3"/>
  <c r="L70" i="3"/>
  <c r="BF67" i="3"/>
  <c r="BF85" i="3"/>
  <c r="BF108" i="3"/>
  <c r="BF135" i="3"/>
  <c r="AP113" i="3"/>
  <c r="AP89" i="3"/>
  <c r="AV106" i="3"/>
  <c r="AZ133" i="3"/>
  <c r="AV83" i="3"/>
  <c r="AV133" i="3"/>
  <c r="AP114" i="3"/>
  <c r="AP79" i="4"/>
  <c r="AP68" i="3"/>
  <c r="AQ113" i="3"/>
  <c r="AQ89" i="3"/>
  <c r="AQ140" i="3"/>
  <c r="BF86" i="3"/>
  <c r="BF36" i="3"/>
  <c r="BF110" i="3"/>
  <c r="BF137" i="3"/>
  <c r="AA104" i="3"/>
  <c r="AA131" i="3"/>
  <c r="AQ134" i="3"/>
  <c r="AQ107" i="3"/>
  <c r="AQ84" i="3"/>
  <c r="AX31" i="3"/>
  <c r="BF76" i="3"/>
  <c r="BF126" i="3"/>
  <c r="BF99" i="3"/>
  <c r="AA106" i="3"/>
  <c r="AA133" i="3"/>
  <c r="AE133" i="3"/>
  <c r="BJ33" i="3"/>
  <c r="BF81" i="3"/>
  <c r="BF104" i="3"/>
  <c r="BF131" i="3"/>
  <c r="M67" i="3"/>
  <c r="M85" i="3"/>
  <c r="M108" i="3"/>
  <c r="I82" i="3"/>
  <c r="Y112" i="3"/>
  <c r="Y139" i="3"/>
  <c r="Y88" i="3"/>
  <c r="BI72" i="3"/>
  <c r="BI65" i="3"/>
  <c r="BI95" i="3"/>
  <c r="BI122" i="3"/>
  <c r="AS124" i="3"/>
  <c r="AS97" i="3"/>
  <c r="AS74" i="3"/>
  <c r="AR102" i="3"/>
  <c r="AR55" i="4"/>
  <c r="AR66" i="3"/>
  <c r="AR129" i="3"/>
  <c r="AR79" i="3"/>
  <c r="AR106" i="3"/>
  <c r="AR133" i="3"/>
  <c r="AR83" i="3"/>
  <c r="AR134" i="3"/>
  <c r="AR84" i="3"/>
  <c r="AR107" i="3"/>
  <c r="P71" i="3"/>
  <c r="P94" i="3"/>
  <c r="P79" i="4" s="1"/>
  <c r="P121" i="3"/>
  <c r="BG106" i="3"/>
  <c r="BG133" i="3"/>
  <c r="BG83" i="3"/>
  <c r="AN113" i="3"/>
  <c r="AN89" i="3"/>
  <c r="I66" i="3"/>
  <c r="I79" i="3"/>
  <c r="AN95" i="3"/>
  <c r="AN65" i="3"/>
  <c r="AN72" i="3"/>
  <c r="I83" i="3"/>
  <c r="AN99" i="3"/>
  <c r="AN76" i="3"/>
  <c r="AO114" i="3"/>
  <c r="AO68" i="3"/>
  <c r="AO79" i="4"/>
  <c r="J75" i="3"/>
  <c r="AP9" i="3"/>
  <c r="Y144" i="3" l="1"/>
  <c r="U117" i="3"/>
  <c r="Y116" i="3"/>
  <c r="U116" i="3"/>
  <c r="U144" i="3"/>
  <c r="T144" i="3"/>
  <c r="Y117" i="3"/>
  <c r="O113" i="3"/>
  <c r="T117" i="3"/>
  <c r="W116" i="3"/>
  <c r="T116" i="3"/>
  <c r="BK51" i="3"/>
  <c r="W117" i="3"/>
  <c r="W143" i="3"/>
  <c r="Z144" i="3"/>
  <c r="Y143" i="3"/>
  <c r="Z143" i="3"/>
  <c r="V116" i="3"/>
  <c r="W144" i="3"/>
  <c r="S144" i="3"/>
  <c r="Z116" i="3"/>
  <c r="U143" i="3"/>
  <c r="I9" i="1"/>
  <c r="Q4" i="1"/>
  <c r="I15" i="1"/>
  <c r="H15" i="1"/>
  <c r="H9" i="1"/>
  <c r="J9" i="1"/>
  <c r="R4" i="1"/>
  <c r="J15" i="1"/>
  <c r="K9" i="1"/>
  <c r="S4" i="1"/>
  <c r="K15" i="1"/>
  <c r="L9" i="1"/>
  <c r="T4" i="1"/>
  <c r="L15" i="1"/>
  <c r="N116" i="3"/>
  <c r="Y107" i="3"/>
  <c r="AB134" i="3"/>
  <c r="R116" i="3"/>
  <c r="I28" i="1"/>
  <c r="BF113" i="3"/>
  <c r="BF128" i="3"/>
  <c r="BF140" i="3"/>
  <c r="AY75" i="3"/>
  <c r="BA75" i="3" s="1"/>
  <c r="BC75" i="3" s="1"/>
  <c r="AX72" i="3"/>
  <c r="AZ72" i="3" s="1"/>
  <c r="BB72" i="3" s="1"/>
  <c r="AS101" i="3"/>
  <c r="AX76" i="3"/>
  <c r="AZ76" i="3" s="1"/>
  <c r="BB76" i="3" s="1"/>
  <c r="V78" i="3"/>
  <c r="V128" i="3"/>
  <c r="V101" i="3"/>
  <c r="AT144" i="3"/>
  <c r="AT117" i="3"/>
  <c r="BG84" i="3"/>
  <c r="BG107" i="3"/>
  <c r="BG134" i="3"/>
  <c r="O101" i="3"/>
  <c r="O78" i="3"/>
  <c r="O128" i="3"/>
  <c r="BG78" i="3"/>
  <c r="BG128" i="3"/>
  <c r="BG101" i="3"/>
  <c r="AZ48" i="3"/>
  <c r="AY49" i="3"/>
  <c r="AE62" i="3"/>
  <c r="AS117" i="3"/>
  <c r="AS144" i="3"/>
  <c r="BJ6" i="2"/>
  <c r="BJ7" i="2"/>
  <c r="AY76" i="3"/>
  <c r="BA76" i="3" s="1"/>
  <c r="BC76" i="3" s="1"/>
  <c r="AX77" i="3"/>
  <c r="AZ77" i="3" s="1"/>
  <c r="AQ143" i="3"/>
  <c r="AQ116" i="3"/>
  <c r="P117" i="3"/>
  <c r="O116" i="3"/>
  <c r="O143" i="3"/>
  <c r="Q116" i="3"/>
  <c r="Q143" i="3"/>
  <c r="AY77" i="3"/>
  <c r="BA77" i="3" s="1"/>
  <c r="BC77" i="3" s="1"/>
  <c r="BL6" i="2"/>
  <c r="BL7" i="2"/>
  <c r="P101" i="3"/>
  <c r="P128" i="3"/>
  <c r="P78" i="3"/>
  <c r="Z6" i="4"/>
  <c r="Y6" i="4"/>
  <c r="BI7" i="4"/>
  <c r="Z7" i="4"/>
  <c r="X6" i="4"/>
  <c r="W6" i="4"/>
  <c r="Z7" i="2"/>
  <c r="BI7" i="2"/>
  <c r="BI6" i="2"/>
  <c r="AW7" i="2"/>
  <c r="V62" i="3"/>
  <c r="S62" i="3"/>
  <c r="U62" i="3"/>
  <c r="T62" i="3"/>
  <c r="Z128" i="3"/>
  <c r="Z101" i="3"/>
  <c r="Z78" i="3"/>
  <c r="AN116" i="3"/>
  <c r="BF6" i="2"/>
  <c r="BF7" i="2"/>
  <c r="L6" i="2"/>
  <c r="N6" i="2"/>
  <c r="M6" i="2"/>
  <c r="K6" i="2"/>
  <c r="AN78" i="3"/>
  <c r="AN101" i="3"/>
  <c r="AW117" i="3"/>
  <c r="AW144" i="3"/>
  <c r="BG116" i="3"/>
  <c r="BG143" i="3"/>
  <c r="AR143" i="3"/>
  <c r="N113" i="3"/>
  <c r="N89" i="3"/>
  <c r="AN9" i="3"/>
  <c r="S107" i="3"/>
  <c r="W89" i="3"/>
  <c r="W113" i="3"/>
  <c r="W140" i="3"/>
  <c r="Z62" i="3"/>
  <c r="X62" i="3"/>
  <c r="Y62" i="3"/>
  <c r="W62" i="3"/>
  <c r="T6" i="4"/>
  <c r="S6" i="4"/>
  <c r="V6" i="4"/>
  <c r="U6" i="4"/>
  <c r="BH7" i="4"/>
  <c r="R128" i="3"/>
  <c r="R78" i="3"/>
  <c r="R101" i="3"/>
  <c r="Q84" i="3"/>
  <c r="Q134" i="3"/>
  <c r="Q107" i="3"/>
  <c r="Q101" i="3"/>
  <c r="AW143" i="3"/>
  <c r="AW116" i="3"/>
  <c r="AE48" i="3"/>
  <c r="AE57" i="3" s="1"/>
  <c r="AD49" i="3"/>
  <c r="AD60" i="3" s="1"/>
  <c r="AX75" i="3"/>
  <c r="AZ75" i="3" s="1"/>
  <c r="BH143" i="3"/>
  <c r="BH116" i="3"/>
  <c r="K62" i="3"/>
  <c r="N62" i="3"/>
  <c r="L62" i="3"/>
  <c r="M62" i="3"/>
  <c r="X113" i="3"/>
  <c r="O107" i="3"/>
  <c r="O84" i="3"/>
  <c r="O134" i="3"/>
  <c r="BH78" i="3"/>
  <c r="BH101" i="3"/>
  <c r="BH128" i="3"/>
  <c r="BG144" i="3"/>
  <c r="BG117" i="3"/>
  <c r="S134" i="3"/>
  <c r="L78" i="3"/>
  <c r="L101" i="3"/>
  <c r="U134" i="3"/>
  <c r="BG7" i="4"/>
  <c r="O6" i="4"/>
  <c r="P6" i="4"/>
  <c r="Q6" i="4"/>
  <c r="R6" i="4"/>
  <c r="BK49" i="3"/>
  <c r="BL48" i="3"/>
  <c r="AU128" i="3"/>
  <c r="AU78" i="3"/>
  <c r="AY78" i="3" s="1"/>
  <c r="BA78" i="3" s="1"/>
  <c r="BC78" i="3" s="1"/>
  <c r="AU101" i="3"/>
  <c r="AC62" i="3"/>
  <c r="AF62" i="3"/>
  <c r="BF116" i="3"/>
  <c r="BF143" i="3"/>
  <c r="AO116" i="3"/>
  <c r="AD39" i="3"/>
  <c r="AC112" i="3"/>
  <c r="AC139" i="3"/>
  <c r="I34" i="1"/>
  <c r="AV101" i="3"/>
  <c r="V89" i="3"/>
  <c r="V113" i="3"/>
  <c r="V140" i="3"/>
  <c r="L6" i="4"/>
  <c r="M6" i="4"/>
  <c r="K6" i="4"/>
  <c r="BF7" i="4"/>
  <c r="N6" i="4"/>
  <c r="BI128" i="3"/>
  <c r="BI101" i="3"/>
  <c r="BI78" i="3"/>
  <c r="AD62" i="3"/>
  <c r="AA62" i="3"/>
  <c r="AY40" i="3"/>
  <c r="AX113" i="3"/>
  <c r="AX140" i="3"/>
  <c r="AV116" i="3"/>
  <c r="AV143" i="3"/>
  <c r="P116" i="3"/>
  <c r="BG6" i="2"/>
  <c r="P6" i="2"/>
  <c r="R6" i="2"/>
  <c r="Q6" i="2"/>
  <c r="O6" i="2"/>
  <c r="BG7" i="2"/>
  <c r="BF84" i="3"/>
  <c r="BF134" i="3"/>
  <c r="BF107" i="3"/>
  <c r="S78" i="3"/>
  <c r="S101" i="3"/>
  <c r="S128" i="3"/>
  <c r="BF144" i="3"/>
  <c r="BF117" i="3"/>
  <c r="AP78" i="3"/>
  <c r="AP101" i="3"/>
  <c r="I26" i="1"/>
  <c r="AP116" i="3"/>
  <c r="AT128" i="3"/>
  <c r="O144" i="3"/>
  <c r="O117" i="3"/>
  <c r="AY39" i="3"/>
  <c r="AX139" i="3"/>
  <c r="AX112" i="3"/>
  <c r="W101" i="3"/>
  <c r="BI117" i="3"/>
  <c r="BI144" i="3"/>
  <c r="Q144" i="3"/>
  <c r="Q117" i="3"/>
  <c r="T113" i="3"/>
  <c r="T89" i="3"/>
  <c r="T140" i="3"/>
  <c r="AY72" i="3"/>
  <c r="BA72" i="3" s="1"/>
  <c r="BC72" i="3" s="1"/>
  <c r="AQ101" i="3"/>
  <c r="BH107" i="3"/>
  <c r="H26" i="1"/>
  <c r="BH117" i="3"/>
  <c r="BH144" i="3"/>
  <c r="AO63" i="3"/>
  <c r="AO10" i="3"/>
  <c r="AO117" i="3"/>
  <c r="W10" i="3"/>
  <c r="W63" i="3" s="1"/>
  <c r="Z10" i="3"/>
  <c r="Z63" i="3" s="1"/>
  <c r="Y10" i="3"/>
  <c r="Y63" i="3" s="1"/>
  <c r="X10" i="3"/>
  <c r="X63" i="3" s="1"/>
  <c r="AA9" i="3"/>
  <c r="Y9" i="3"/>
  <c r="X9" i="3" s="1"/>
  <c r="W9" i="3" s="1"/>
  <c r="V9" i="3" s="1"/>
  <c r="Y101" i="3"/>
  <c r="Y78" i="3"/>
  <c r="Y128" i="3"/>
  <c r="I81" i="1"/>
  <c r="AE6" i="4"/>
  <c r="AG6" i="4"/>
  <c r="BK7" i="4"/>
  <c r="AH6" i="4"/>
  <c r="AF6" i="4"/>
  <c r="AR101" i="3"/>
  <c r="AR78" i="3"/>
  <c r="AR128" i="3"/>
  <c r="AX74" i="3"/>
  <c r="AZ74" i="3" s="1"/>
  <c r="BB74" i="3" s="1"/>
  <c r="P89" i="3"/>
  <c r="P140" i="3"/>
  <c r="P113" i="3"/>
  <c r="BJ105" i="3"/>
  <c r="BJ132" i="3"/>
  <c r="BK105" i="3"/>
  <c r="BK132" i="3"/>
  <c r="BH134" i="3"/>
  <c r="U113" i="3"/>
  <c r="AU143" i="3"/>
  <c r="X134" i="3"/>
  <c r="X107" i="3"/>
  <c r="X84" i="3"/>
  <c r="BI113" i="3"/>
  <c r="BI89" i="3"/>
  <c r="BI140" i="3"/>
  <c r="R134" i="3"/>
  <c r="R107" i="3"/>
  <c r="R84" i="3"/>
  <c r="AU117" i="3"/>
  <c r="AD6" i="4"/>
  <c r="AB6" i="4"/>
  <c r="BJ7" i="4"/>
  <c r="AC6" i="4"/>
  <c r="AA6" i="4"/>
  <c r="M107" i="3"/>
  <c r="M84" i="3"/>
  <c r="BK106" i="3"/>
  <c r="BJ106" i="3"/>
  <c r="BK133" i="3"/>
  <c r="BJ133" i="3"/>
  <c r="AX131" i="3"/>
  <c r="AX104" i="3"/>
  <c r="V6" i="2"/>
  <c r="BH6" i="2"/>
  <c r="BH7" i="2"/>
  <c r="T6" i="2"/>
  <c r="S6" i="2"/>
  <c r="U6" i="2"/>
  <c r="W128" i="3"/>
  <c r="P134" i="3"/>
  <c r="P107" i="3"/>
  <c r="P84" i="3"/>
  <c r="BI143" i="3"/>
  <c r="BI116" i="3"/>
  <c r="AY74" i="3"/>
  <c r="BA74" i="3" s="1"/>
  <c r="BC74" i="3" s="1"/>
  <c r="BK6" i="2"/>
  <c r="BK7" i="2"/>
  <c r="U78" i="3"/>
  <c r="U101" i="3"/>
  <c r="U128" i="3"/>
  <c r="S143" i="3"/>
  <c r="Z134" i="3"/>
  <c r="Z84" i="3"/>
  <c r="AD134" i="3"/>
  <c r="Z107" i="3"/>
  <c r="R117" i="3"/>
  <c r="AO101" i="3"/>
  <c r="AN117" i="3"/>
  <c r="Z140" i="3"/>
  <c r="Z89" i="3"/>
  <c r="Z113" i="3"/>
  <c r="R62" i="3"/>
  <c r="Q62" i="3"/>
  <c r="O62" i="3"/>
  <c r="P62" i="3"/>
  <c r="AQ9" i="3"/>
  <c r="BM48" i="3" l="1"/>
  <c r="BN48" i="3" s="1"/>
  <c r="BL51" i="3"/>
  <c r="T9" i="1"/>
  <c r="T15" i="1"/>
  <c r="AB9" i="3"/>
  <c r="AC9" i="3" s="1"/>
  <c r="AD9" i="3" s="1"/>
  <c r="AX78" i="3"/>
  <c r="AZ78" i="3" s="1"/>
  <c r="BB78" i="3" s="1"/>
  <c r="AA51" i="3"/>
  <c r="AE51" i="3" s="1"/>
  <c r="AI51" i="3" s="1"/>
  <c r="AY51" i="3" s="1"/>
  <c r="BC51" i="3" s="1"/>
  <c r="AA24" i="3"/>
  <c r="AB102" i="3" s="1"/>
  <c r="AA41" i="3"/>
  <c r="AA12" i="3"/>
  <c r="AB93" i="3" s="1"/>
  <c r="AA58" i="3"/>
  <c r="AA35" i="3"/>
  <c r="AB108" i="3" s="1"/>
  <c r="BB75" i="3"/>
  <c r="AN63" i="3"/>
  <c r="AN10" i="3"/>
  <c r="W8" i="4"/>
  <c r="Y7" i="4"/>
  <c r="X7" i="4" s="1"/>
  <c r="W7" i="4" s="1"/>
  <c r="V7" i="4" s="1"/>
  <c r="X8" i="4"/>
  <c r="Z8" i="4"/>
  <c r="Y8" i="4"/>
  <c r="AA7" i="4"/>
  <c r="AB7" i="4" s="1"/>
  <c r="AC7" i="4" s="1"/>
  <c r="AD7" i="4" s="1"/>
  <c r="AP63" i="3"/>
  <c r="AP10" i="3"/>
  <c r="BJ39" i="3"/>
  <c r="AD139" i="3"/>
  <c r="AE39" i="3"/>
  <c r="AD112" i="3"/>
  <c r="BL49" i="3"/>
  <c r="AF48" i="3"/>
  <c r="AF57" i="3" s="1"/>
  <c r="AE49" i="3"/>
  <c r="AE60" i="3" s="1"/>
  <c r="AW8" i="2"/>
  <c r="AX7" i="2"/>
  <c r="AV7" i="2"/>
  <c r="AZ40" i="3"/>
  <c r="AY140" i="3"/>
  <c r="AY113" i="3"/>
  <c r="BB77" i="3"/>
  <c r="AZ39" i="3"/>
  <c r="AY112" i="3"/>
  <c r="AY139" i="3"/>
  <c r="U9" i="3"/>
  <c r="T9" i="3" s="1"/>
  <c r="S9" i="3" s="1"/>
  <c r="R9" i="3" s="1"/>
  <c r="U10" i="3"/>
  <c r="U63" i="3" s="1"/>
  <c r="T10" i="3"/>
  <c r="T63" i="3" s="1"/>
  <c r="S10" i="3"/>
  <c r="S63" i="3" s="1"/>
  <c r="V10" i="3"/>
  <c r="V63" i="3" s="1"/>
  <c r="AA7" i="2"/>
  <c r="W8" i="2"/>
  <c r="Y7" i="2"/>
  <c r="Z8" i="2"/>
  <c r="Y8" i="2"/>
  <c r="X8" i="2"/>
  <c r="Z5" i="2"/>
  <c r="BA48" i="3"/>
  <c r="BB48" i="3" s="1"/>
  <c r="AZ49" i="3"/>
  <c r="AR9" i="3"/>
  <c r="AA40" i="3"/>
  <c r="AB113" i="3" s="1"/>
  <c r="AA34" i="3"/>
  <c r="AB107" i="3" s="1"/>
  <c r="AA90" i="3" l="1"/>
  <c r="BM49" i="3"/>
  <c r="BO48" i="3"/>
  <c r="BM51" i="3"/>
  <c r="BN51" i="3" s="1"/>
  <c r="AB114" i="3"/>
  <c r="AA56" i="3"/>
  <c r="AB117" i="3" s="1"/>
  <c r="AA53" i="3"/>
  <c r="AB116" i="3" s="1"/>
  <c r="AB10" i="3"/>
  <c r="AB63" i="3" s="1"/>
  <c r="AC10" i="3"/>
  <c r="AC63" i="3" s="1"/>
  <c r="AA10" i="3"/>
  <c r="AA63" i="3" s="1"/>
  <c r="AD10" i="3"/>
  <c r="AD63" i="3" s="1"/>
  <c r="AE9" i="3"/>
  <c r="AF9" i="3" s="1"/>
  <c r="AG9" i="3" s="1"/>
  <c r="AH9" i="3" s="1"/>
  <c r="AE10" i="3" s="1"/>
  <c r="AE63" i="3" s="1"/>
  <c r="AA59" i="3"/>
  <c r="AF51" i="3"/>
  <c r="AJ51" i="3" s="1"/>
  <c r="AZ51" i="3" s="1"/>
  <c r="AA17" i="3"/>
  <c r="AB95" i="3" s="1"/>
  <c r="AF39" i="3"/>
  <c r="AE112" i="3"/>
  <c r="AE139" i="3"/>
  <c r="BJ139" i="3"/>
  <c r="BJ112" i="3"/>
  <c r="AV8" i="2"/>
  <c r="AU7" i="2"/>
  <c r="AA113" i="3"/>
  <c r="AA140" i="3"/>
  <c r="AA89" i="3"/>
  <c r="BA39" i="3"/>
  <c r="AZ112" i="3"/>
  <c r="AZ139" i="3"/>
  <c r="AY7" i="2"/>
  <c r="AX8" i="2"/>
  <c r="Y5" i="2"/>
  <c r="X7" i="2"/>
  <c r="V8" i="4"/>
  <c r="U7" i="4"/>
  <c r="T7" i="4" s="1"/>
  <c r="S7" i="4" s="1"/>
  <c r="R7" i="4" s="1"/>
  <c r="T8" i="4"/>
  <c r="U8" i="4"/>
  <c r="S8" i="4"/>
  <c r="AA70" i="3"/>
  <c r="AA93" i="3"/>
  <c r="AA120" i="3"/>
  <c r="AA76" i="3"/>
  <c r="AA81" i="3"/>
  <c r="AA83" i="3"/>
  <c r="AA82" i="3"/>
  <c r="AA77" i="3"/>
  <c r="AA88" i="3"/>
  <c r="AA75" i="3"/>
  <c r="AA74" i="3"/>
  <c r="AA71" i="3"/>
  <c r="AA87" i="3"/>
  <c r="AA135" i="3"/>
  <c r="AA85" i="3"/>
  <c r="AA108" i="3"/>
  <c r="AA67" i="3"/>
  <c r="AA36" i="3"/>
  <c r="AA86" i="3"/>
  <c r="AE134" i="3"/>
  <c r="AA84" i="3"/>
  <c r="AA107" i="3"/>
  <c r="AA134" i="3"/>
  <c r="AG48" i="3"/>
  <c r="AG57" i="3" s="1"/>
  <c r="AF49" i="3"/>
  <c r="AF60" i="3" s="1"/>
  <c r="AA79" i="4"/>
  <c r="AA141" i="3"/>
  <c r="AA114" i="3"/>
  <c r="AA68" i="3"/>
  <c r="BA49" i="3"/>
  <c r="BB49" i="3" s="1"/>
  <c r="AA5" i="2"/>
  <c r="AB7" i="2"/>
  <c r="AC7" i="2" s="1"/>
  <c r="AC5" i="2" s="1"/>
  <c r="AA79" i="3"/>
  <c r="AA55" i="4"/>
  <c r="AA129" i="3"/>
  <c r="AA102" i="3"/>
  <c r="AA66" i="3"/>
  <c r="BC48" i="3"/>
  <c r="AQ63" i="3"/>
  <c r="AQ10" i="3"/>
  <c r="R10" i="3"/>
  <c r="R63" i="3" s="1"/>
  <c r="P10" i="3"/>
  <c r="P63" i="3" s="1"/>
  <c r="Q10" i="3"/>
  <c r="Q63" i="3" s="1"/>
  <c r="O10" i="3"/>
  <c r="O63" i="3" s="1"/>
  <c r="Q9" i="3"/>
  <c r="P9" i="3" s="1"/>
  <c r="O9" i="3" s="1"/>
  <c r="N9" i="3" s="1"/>
  <c r="BA40" i="3"/>
  <c r="AZ113" i="3"/>
  <c r="AZ140" i="3"/>
  <c r="AD8" i="4"/>
  <c r="AE7" i="4"/>
  <c r="AF7" i="4" s="1"/>
  <c r="AG7" i="4" s="1"/>
  <c r="AH7" i="4" s="1"/>
  <c r="AC8" i="4"/>
  <c r="AB8" i="4"/>
  <c r="AA8" i="4"/>
  <c r="AS9" i="3"/>
  <c r="BJ34" i="3"/>
  <c r="AA116" i="3" l="1"/>
  <c r="AA117" i="3"/>
  <c r="BN49" i="3"/>
  <c r="BO49" i="3" s="1"/>
  <c r="AA144" i="3"/>
  <c r="AA143" i="3"/>
  <c r="BO51" i="3"/>
  <c r="BP51" i="3" s="1"/>
  <c r="BP48" i="3"/>
  <c r="AF10" i="3"/>
  <c r="AF63" i="3" s="1"/>
  <c r="AG10" i="3"/>
  <c r="AG63" i="3" s="1"/>
  <c r="AI9" i="3"/>
  <c r="AJ9" i="3" s="1"/>
  <c r="AK9" i="3" s="1"/>
  <c r="AL9" i="3" s="1"/>
  <c r="AH10" i="3"/>
  <c r="AH63" i="3" s="1"/>
  <c r="AX12" i="3"/>
  <c r="AX93" i="3" s="1"/>
  <c r="AC45" i="3"/>
  <c r="AC58" i="3"/>
  <c r="AC25" i="3"/>
  <c r="AC13" i="3"/>
  <c r="AC54" i="3"/>
  <c r="AC28" i="3"/>
  <c r="AC42" i="3"/>
  <c r="AA23" i="3"/>
  <c r="AB101" i="3" s="1"/>
  <c r="BK107" i="3"/>
  <c r="BJ107" i="3"/>
  <c r="BK134" i="3"/>
  <c r="BJ134" i="3"/>
  <c r="AH8" i="4"/>
  <c r="AF8" i="4"/>
  <c r="AG8" i="4"/>
  <c r="AI7" i="4"/>
  <c r="AJ7" i="4" s="1"/>
  <c r="AK7" i="4" s="1"/>
  <c r="AL7" i="4" s="1"/>
  <c r="AE8" i="4"/>
  <c r="AY8" i="2"/>
  <c r="AZ7" i="2"/>
  <c r="AA72" i="3"/>
  <c r="AA122" i="3"/>
  <c r="AA95" i="3"/>
  <c r="AA65" i="3"/>
  <c r="AB55" i="4"/>
  <c r="AB79" i="4"/>
  <c r="AF134" i="3"/>
  <c r="AC107" i="3"/>
  <c r="M9" i="3"/>
  <c r="L9" i="3" s="1"/>
  <c r="K9" i="3" s="1"/>
  <c r="J9" i="3" s="1"/>
  <c r="L10" i="3"/>
  <c r="L63" i="3" s="1"/>
  <c r="M10" i="3"/>
  <c r="M63" i="3" s="1"/>
  <c r="K10" i="3"/>
  <c r="K63" i="3" s="1"/>
  <c r="N10" i="3"/>
  <c r="N63" i="3" s="1"/>
  <c r="AX83" i="3"/>
  <c r="AX23" i="3"/>
  <c r="AX20" i="3"/>
  <c r="AX17" i="3"/>
  <c r="AX16" i="3" s="1"/>
  <c r="Q8" i="4"/>
  <c r="O8" i="4"/>
  <c r="P8" i="4"/>
  <c r="R8" i="4"/>
  <c r="Q7" i="4"/>
  <c r="P7" i="4" s="1"/>
  <c r="O7" i="4" s="1"/>
  <c r="N7" i="4" s="1"/>
  <c r="AU8" i="2"/>
  <c r="AT7" i="2"/>
  <c r="BC49" i="3"/>
  <c r="AB5" i="2"/>
  <c r="AG49" i="3"/>
  <c r="AG60" i="3" s="1"/>
  <c r="AH48" i="3"/>
  <c r="AH57" i="3" s="1"/>
  <c r="BB39" i="3"/>
  <c r="BA139" i="3"/>
  <c r="BA112" i="3"/>
  <c r="AF112" i="3"/>
  <c r="AG39" i="3"/>
  <c r="AF139" i="3"/>
  <c r="AR63" i="3"/>
  <c r="AR10" i="3"/>
  <c r="BB40" i="3"/>
  <c r="BA113" i="3"/>
  <c r="BA140" i="3"/>
  <c r="W7" i="2"/>
  <c r="X5" i="2"/>
  <c r="AT9" i="3"/>
  <c r="AX38" i="3" l="1"/>
  <c r="AX111" i="3" s="1"/>
  <c r="AX88" i="3"/>
  <c r="BP49" i="3"/>
  <c r="BQ48" i="3"/>
  <c r="BQ51" i="3"/>
  <c r="BR51" i="3" s="1"/>
  <c r="BS51" i="3" s="1"/>
  <c r="AX22" i="3"/>
  <c r="AX127" i="3" s="1"/>
  <c r="AX120" i="3"/>
  <c r="AX81" i="3"/>
  <c r="AX82" i="3"/>
  <c r="AX89" i="3"/>
  <c r="AX84" i="3"/>
  <c r="AX21" i="3"/>
  <c r="AX99" i="3" s="1"/>
  <c r="AX70" i="3"/>
  <c r="AX19" i="3"/>
  <c r="AX24" i="3" s="1"/>
  <c r="AC29" i="3"/>
  <c r="AD42" i="3"/>
  <c r="AD54" i="3"/>
  <c r="AD25" i="3"/>
  <c r="AD45" i="3"/>
  <c r="AD28" i="3"/>
  <c r="BJ12" i="3"/>
  <c r="AD13" i="3"/>
  <c r="AD58" i="3"/>
  <c r="W5" i="2"/>
  <c r="V7" i="2"/>
  <c r="AX94" i="3"/>
  <c r="AX121" i="3"/>
  <c r="AX71" i="3"/>
  <c r="AK8" i="4"/>
  <c r="AJ8" i="4"/>
  <c r="AI8" i="4"/>
  <c r="AL8" i="4"/>
  <c r="AC14" i="3"/>
  <c r="AC83" i="3"/>
  <c r="AC84" i="3"/>
  <c r="AC93" i="3"/>
  <c r="AC70" i="3"/>
  <c r="AC120" i="3"/>
  <c r="AC82" i="3"/>
  <c r="AC22" i="3"/>
  <c r="AC23" i="3"/>
  <c r="AC21" i="3"/>
  <c r="AC20" i="3"/>
  <c r="AC88" i="3"/>
  <c r="AG112" i="3"/>
  <c r="AH39" i="3"/>
  <c r="BK39" i="3" s="1"/>
  <c r="AG139" i="3"/>
  <c r="AX122" i="3"/>
  <c r="AX65" i="3"/>
  <c r="AX95" i="3"/>
  <c r="AA78" i="3"/>
  <c r="AA101" i="3"/>
  <c r="AA128" i="3"/>
  <c r="AC89" i="3"/>
  <c r="BJ40" i="3"/>
  <c r="AC140" i="3"/>
  <c r="AC113" i="3"/>
  <c r="BA7" i="2"/>
  <c r="AZ8" i="2"/>
  <c r="AI48" i="3"/>
  <c r="AI57" i="3" s="1"/>
  <c r="AH49" i="3"/>
  <c r="AH60" i="3" s="1"/>
  <c r="BC40" i="3"/>
  <c r="BB113" i="3"/>
  <c r="BB140" i="3"/>
  <c r="AX125" i="3"/>
  <c r="AX98" i="3"/>
  <c r="I10" i="3"/>
  <c r="I63" i="3" s="1"/>
  <c r="I9" i="3"/>
  <c r="J10" i="3"/>
  <c r="J63" i="3" s="1"/>
  <c r="AT8" i="2"/>
  <c r="AS7" i="2"/>
  <c r="AX101" i="3"/>
  <c r="AX128" i="3"/>
  <c r="AC59" i="3"/>
  <c r="AD7" i="2"/>
  <c r="AC8" i="2" s="1"/>
  <c r="AX100" i="3"/>
  <c r="AL10" i="3"/>
  <c r="AL63" i="3" s="1"/>
  <c r="AK10" i="3"/>
  <c r="AK63" i="3" s="1"/>
  <c r="AI10" i="3"/>
  <c r="AI63" i="3" s="1"/>
  <c r="AJ10" i="3"/>
  <c r="AJ63" i="3" s="1"/>
  <c r="AC46" i="3"/>
  <c r="AS63" i="3"/>
  <c r="AS10" i="3"/>
  <c r="BC39" i="3"/>
  <c r="BB112" i="3"/>
  <c r="BB139" i="3"/>
  <c r="K8" i="4"/>
  <c r="M8" i="4"/>
  <c r="M7" i="4"/>
  <c r="L7" i="4" s="1"/>
  <c r="K7" i="4" s="1"/>
  <c r="L8" i="4"/>
  <c r="N8" i="4"/>
  <c r="AU9" i="3"/>
  <c r="J25" i="1" l="1"/>
  <c r="J32" i="1" s="1"/>
  <c r="BJ29" i="4"/>
  <c r="AX87" i="3"/>
  <c r="AX138" i="3"/>
  <c r="BQ49" i="3"/>
  <c r="BR48" i="3"/>
  <c r="AX35" i="4"/>
  <c r="AX29" i="4"/>
  <c r="AX39" i="4"/>
  <c r="AX33" i="4"/>
  <c r="AX97" i="4" s="1"/>
  <c r="AX124" i="3"/>
  <c r="AX13" i="4"/>
  <c r="AX38" i="4"/>
  <c r="AX97" i="3"/>
  <c r="AX126" i="3"/>
  <c r="AX43" i="4"/>
  <c r="AX30" i="4"/>
  <c r="BJ113" i="3"/>
  <c r="BJ140" i="3"/>
  <c r="BJ120" i="3"/>
  <c r="BJ84" i="3"/>
  <c r="BJ14" i="3"/>
  <c r="BJ93" i="3"/>
  <c r="BJ88" i="3"/>
  <c r="BJ83" i="3"/>
  <c r="BJ82" i="3"/>
  <c r="BJ89" i="3"/>
  <c r="J26" i="1"/>
  <c r="BJ70" i="3"/>
  <c r="AD29" i="3"/>
  <c r="AE13" i="3"/>
  <c r="AE42" i="3"/>
  <c r="AE28" i="3"/>
  <c r="AE45" i="3"/>
  <c r="AE54" i="3"/>
  <c r="AE25" i="3"/>
  <c r="AE58" i="3"/>
  <c r="BC139" i="3"/>
  <c r="BC112" i="3"/>
  <c r="BA8" i="2"/>
  <c r="BB7" i="2"/>
  <c r="BJ38" i="3"/>
  <c r="AC138" i="3"/>
  <c r="AC111" i="3"/>
  <c r="AC87" i="3"/>
  <c r="AD89" i="3"/>
  <c r="AD113" i="3"/>
  <c r="AD140" i="3"/>
  <c r="AT63" i="3"/>
  <c r="AT10" i="3"/>
  <c r="AC16" i="3"/>
  <c r="AC65" i="3"/>
  <c r="AC122" i="3"/>
  <c r="AC95" i="3"/>
  <c r="AI49" i="3"/>
  <c r="AI60" i="3" s="1"/>
  <c r="AJ48" i="3"/>
  <c r="AJ57" i="3" s="1"/>
  <c r="AD59" i="3"/>
  <c r="AD46" i="3"/>
  <c r="AA8" i="2"/>
  <c r="AB8" i="2"/>
  <c r="AD8" i="2"/>
  <c r="AD5" i="2"/>
  <c r="AE7" i="2"/>
  <c r="AC100" i="3"/>
  <c r="AC127" i="3"/>
  <c r="AY12" i="3"/>
  <c r="AD70" i="3"/>
  <c r="AD20" i="3"/>
  <c r="BJ20" i="3" s="1"/>
  <c r="AD82" i="3"/>
  <c r="AD83" i="3"/>
  <c r="AD22" i="3"/>
  <c r="BJ22" i="3" s="1"/>
  <c r="AD17" i="3"/>
  <c r="BJ17" i="3" s="1"/>
  <c r="J27" i="1" s="1"/>
  <c r="AD23" i="3"/>
  <c r="AD14" i="3"/>
  <c r="AD120" i="3"/>
  <c r="AD84" i="3"/>
  <c r="AD21" i="3"/>
  <c r="BJ21" i="3" s="1"/>
  <c r="AD93" i="3"/>
  <c r="AD88" i="3"/>
  <c r="AC126" i="3"/>
  <c r="AC99" i="3"/>
  <c r="BK112" i="3"/>
  <c r="BK139" i="3"/>
  <c r="AC125" i="3"/>
  <c r="AC98" i="3"/>
  <c r="T8" i="2"/>
  <c r="U7" i="2"/>
  <c r="T7" i="2" s="1"/>
  <c r="S7" i="2" s="1"/>
  <c r="R7" i="2" s="1"/>
  <c r="S8" i="2"/>
  <c r="U8" i="2"/>
  <c r="V8" i="2"/>
  <c r="AS8" i="2"/>
  <c r="AR7" i="2"/>
  <c r="BC140" i="3"/>
  <c r="BC113" i="3"/>
  <c r="AX35" i="3"/>
  <c r="AX102" i="3"/>
  <c r="AX129" i="3"/>
  <c r="AX79" i="3"/>
  <c r="AX66" i="3"/>
  <c r="AI39" i="3"/>
  <c r="AH139" i="3"/>
  <c r="AH112" i="3"/>
  <c r="AC101" i="3"/>
  <c r="AC128" i="3"/>
  <c r="AV9" i="3"/>
  <c r="BR49" i="3" l="1"/>
  <c r="BS48" i="3"/>
  <c r="BJ122" i="3"/>
  <c r="J28" i="1"/>
  <c r="BJ95" i="3"/>
  <c r="BJ72" i="3"/>
  <c r="BJ65" i="3"/>
  <c r="AD128" i="3"/>
  <c r="BJ23" i="3"/>
  <c r="AF54" i="3"/>
  <c r="AF42" i="3"/>
  <c r="AF58" i="3"/>
  <c r="AF28" i="3"/>
  <c r="AF45" i="3"/>
  <c r="AF25" i="3"/>
  <c r="AF13" i="3"/>
  <c r="AF23" i="3"/>
  <c r="AF128" i="3" s="1"/>
  <c r="AJ49" i="3"/>
  <c r="AJ60" i="3" s="1"/>
  <c r="AK48" i="3"/>
  <c r="AK57" i="3" s="1"/>
  <c r="BB8" i="2"/>
  <c r="BC7" i="2"/>
  <c r="BC8" i="2" s="1"/>
  <c r="BJ127" i="3"/>
  <c r="BJ100" i="3"/>
  <c r="BJ77" i="3"/>
  <c r="AE59" i="3"/>
  <c r="AE46" i="3"/>
  <c r="AD16" i="3"/>
  <c r="BJ16" i="3" s="1"/>
  <c r="AD122" i="3"/>
  <c r="AD65" i="3"/>
  <c r="AD95" i="3"/>
  <c r="AU63" i="3"/>
  <c r="AU10" i="3"/>
  <c r="AY21" i="3"/>
  <c r="AY70" i="3"/>
  <c r="AY93" i="3"/>
  <c r="AY84" i="3"/>
  <c r="AY20" i="3"/>
  <c r="AY19" i="3"/>
  <c r="AY22" i="3"/>
  <c r="AY82" i="3"/>
  <c r="AY23" i="3"/>
  <c r="AY120" i="3"/>
  <c r="AY38" i="3"/>
  <c r="AY83" i="3"/>
  <c r="AY17" i="3"/>
  <c r="AY88" i="3"/>
  <c r="AY89" i="3"/>
  <c r="BJ111" i="3"/>
  <c r="BJ87" i="3"/>
  <c r="BJ138" i="3"/>
  <c r="AJ39" i="3"/>
  <c r="AI139" i="3"/>
  <c r="AI112" i="3"/>
  <c r="AD127" i="3"/>
  <c r="AD100" i="3"/>
  <c r="AE29" i="3"/>
  <c r="AE5" i="2"/>
  <c r="AF7" i="2"/>
  <c r="AE89" i="3"/>
  <c r="AE140" i="3"/>
  <c r="AE113" i="3"/>
  <c r="AD87" i="3"/>
  <c r="AD111" i="3"/>
  <c r="AD138" i="3"/>
  <c r="Q8" i="2"/>
  <c r="Q7" i="2"/>
  <c r="P7" i="2" s="1"/>
  <c r="O7" i="2" s="1"/>
  <c r="N7" i="2" s="1"/>
  <c r="P8" i="2"/>
  <c r="R8" i="2"/>
  <c r="O8" i="2"/>
  <c r="AD126" i="3"/>
  <c r="AD99" i="3"/>
  <c r="BJ76" i="3"/>
  <c r="BJ99" i="3"/>
  <c r="BJ126" i="3"/>
  <c r="BJ75" i="3"/>
  <c r="BJ98" i="3"/>
  <c r="BJ125" i="3"/>
  <c r="AD125" i="3"/>
  <c r="AD98" i="3"/>
  <c r="AX67" i="3"/>
  <c r="AX135" i="3"/>
  <c r="AX108" i="3"/>
  <c r="AX85" i="3"/>
  <c r="AX37" i="3"/>
  <c r="AD101" i="3"/>
  <c r="AQ7" i="2"/>
  <c r="AR8" i="2"/>
  <c r="AC121" i="3"/>
  <c r="AC71" i="3"/>
  <c r="AC94" i="3"/>
  <c r="AE83" i="3"/>
  <c r="AE82" i="3"/>
  <c r="AE84" i="3"/>
  <c r="AE93" i="3"/>
  <c r="AE70" i="3"/>
  <c r="AE120" i="3"/>
  <c r="AE14" i="3"/>
  <c r="AE23" i="3"/>
  <c r="AE88" i="3"/>
  <c r="AE22" i="3"/>
  <c r="AE21" i="3"/>
  <c r="AE20" i="3"/>
  <c r="AE17" i="3"/>
  <c r="AW9" i="3"/>
  <c r="BS49" i="3" l="1"/>
  <c r="BJ78" i="3"/>
  <c r="BJ128" i="3"/>
  <c r="BJ101" i="3"/>
  <c r="AZ12" i="3"/>
  <c r="AZ38" i="3" s="1"/>
  <c r="AG28" i="3"/>
  <c r="AG13" i="3"/>
  <c r="AG58" i="3"/>
  <c r="AG54" i="3"/>
  <c r="AG42" i="3"/>
  <c r="AG45" i="3"/>
  <c r="AG25" i="3"/>
  <c r="AF89" i="3"/>
  <c r="AF113" i="3"/>
  <c r="AF140" i="3"/>
  <c r="AK49" i="3"/>
  <c r="AK60" i="3" s="1"/>
  <c r="AL48" i="3"/>
  <c r="AL57" i="3" s="1"/>
  <c r="AE111" i="3"/>
  <c r="AE87" i="3"/>
  <c r="AE138" i="3"/>
  <c r="BJ121" i="3"/>
  <c r="BJ94" i="3"/>
  <c r="BJ71" i="3"/>
  <c r="AF5" i="2"/>
  <c r="AG7" i="2"/>
  <c r="AY125" i="3"/>
  <c r="AY98" i="3"/>
  <c r="AY24" i="3"/>
  <c r="AY122" i="3"/>
  <c r="AY65" i="3"/>
  <c r="AY95" i="3"/>
  <c r="AY124" i="3"/>
  <c r="AY97" i="3"/>
  <c r="AY39" i="4"/>
  <c r="AY30" i="2" s="1"/>
  <c r="AY33" i="4"/>
  <c r="AY97" i="4" s="1"/>
  <c r="AY35" i="4"/>
  <c r="AY29" i="4"/>
  <c r="AY38" i="4"/>
  <c r="AY43" i="4"/>
  <c r="AY13" i="4"/>
  <c r="AY30" i="4"/>
  <c r="AV63" i="3"/>
  <c r="AV10" i="3"/>
  <c r="AY87" i="3"/>
  <c r="AY111" i="3"/>
  <c r="AY138" i="3"/>
  <c r="AF59" i="3"/>
  <c r="AF46" i="3"/>
  <c r="AE122" i="3"/>
  <c r="AE65" i="3"/>
  <c r="AE95" i="3"/>
  <c r="AE16" i="3"/>
  <c r="AQ8" i="2"/>
  <c r="AP7" i="2"/>
  <c r="AE125" i="3"/>
  <c r="AE98" i="3"/>
  <c r="AF101" i="3"/>
  <c r="AE101" i="3"/>
  <c r="AE128" i="3"/>
  <c r="AF29" i="3"/>
  <c r="AE99" i="3"/>
  <c r="AE126" i="3"/>
  <c r="AY128" i="3"/>
  <c r="AY101" i="3"/>
  <c r="AY126" i="3"/>
  <c r="AY99" i="3"/>
  <c r="AE100" i="3"/>
  <c r="AE127" i="3"/>
  <c r="AX41" i="3"/>
  <c r="AX90" i="3" s="1"/>
  <c r="AX86" i="3"/>
  <c r="AX110" i="3"/>
  <c r="AX137" i="3"/>
  <c r="AD121" i="3"/>
  <c r="AD71" i="3"/>
  <c r="AD94" i="3"/>
  <c r="AF84" i="3"/>
  <c r="AF82" i="3"/>
  <c r="AF70" i="3"/>
  <c r="AF93" i="3"/>
  <c r="AF120" i="3"/>
  <c r="AF83" i="3"/>
  <c r="AF14" i="3"/>
  <c r="AF22" i="3"/>
  <c r="AF17" i="3"/>
  <c r="AF16" i="3" s="1"/>
  <c r="AF88" i="3"/>
  <c r="AF21" i="3"/>
  <c r="AF20" i="3"/>
  <c r="N8" i="2"/>
  <c r="M8" i="2"/>
  <c r="L8" i="2"/>
  <c r="M7" i="2"/>
  <c r="L7" i="2" s="1"/>
  <c r="K7" i="2" s="1"/>
  <c r="J7" i="2" s="1"/>
  <c r="K8" i="2"/>
  <c r="AJ112" i="3"/>
  <c r="AK39" i="3"/>
  <c r="AJ139" i="3"/>
  <c r="AN139" i="3"/>
  <c r="AY16" i="3"/>
  <c r="AY127" i="3"/>
  <c r="AY100" i="3"/>
  <c r="AX9" i="3"/>
  <c r="AZ84" i="3" l="1"/>
  <c r="AZ93" i="3"/>
  <c r="AZ89" i="3"/>
  <c r="AZ83" i="3"/>
  <c r="AZ22" i="3"/>
  <c r="AZ100" i="3" s="1"/>
  <c r="AZ120" i="3"/>
  <c r="AZ20" i="3"/>
  <c r="AZ125" i="3" s="1"/>
  <c r="AZ19" i="3"/>
  <c r="AZ29" i="4" s="1"/>
  <c r="AZ82" i="3"/>
  <c r="AZ23" i="3"/>
  <c r="AZ128" i="3" s="1"/>
  <c r="AZ21" i="3"/>
  <c r="AZ126" i="3" s="1"/>
  <c r="AZ88" i="3"/>
  <c r="AZ70" i="3"/>
  <c r="AZ17" i="3"/>
  <c r="AZ16" i="3" s="1"/>
  <c r="AZ71" i="3" s="1"/>
  <c r="AH45" i="3"/>
  <c r="AH42" i="3"/>
  <c r="AH54" i="3"/>
  <c r="AH28" i="3"/>
  <c r="AH58" i="3"/>
  <c r="BK12" i="3"/>
  <c r="AH13" i="3"/>
  <c r="AH25" i="3"/>
  <c r="AF94" i="3"/>
  <c r="AF121" i="3"/>
  <c r="AF71" i="3"/>
  <c r="AO7" i="2"/>
  <c r="AP8" i="2"/>
  <c r="AZ87" i="3"/>
  <c r="AZ138" i="3"/>
  <c r="AZ111" i="3"/>
  <c r="AY79" i="3"/>
  <c r="AY66" i="3"/>
  <c r="AY129" i="3"/>
  <c r="AY102" i="3"/>
  <c r="AG113" i="3"/>
  <c r="AG140" i="3"/>
  <c r="AG89" i="3"/>
  <c r="BK40" i="3"/>
  <c r="AG59" i="3"/>
  <c r="AG46" i="3"/>
  <c r="AF98" i="3"/>
  <c r="AF125" i="3"/>
  <c r="AX68" i="3"/>
  <c r="AX79" i="4"/>
  <c r="AX114" i="3"/>
  <c r="AX56" i="3"/>
  <c r="AX141" i="3"/>
  <c r="AX53" i="3"/>
  <c r="AW63" i="3"/>
  <c r="AW10" i="3"/>
  <c r="AL39" i="3"/>
  <c r="BL39" i="3" s="1"/>
  <c r="AK112" i="3"/>
  <c r="AK139" i="3"/>
  <c r="AO139" i="3"/>
  <c r="AG5" i="2"/>
  <c r="AH7" i="2"/>
  <c r="AF127" i="3"/>
  <c r="AF100" i="3"/>
  <c r="AF126" i="3"/>
  <c r="AF99" i="3"/>
  <c r="AF87" i="3"/>
  <c r="AF138" i="3"/>
  <c r="AF111" i="3"/>
  <c r="I8" i="2"/>
  <c r="J8" i="2"/>
  <c r="I7" i="2"/>
  <c r="AY121" i="3"/>
  <c r="AY71" i="3"/>
  <c r="AY94" i="3"/>
  <c r="AE71" i="3"/>
  <c r="AE94" i="3"/>
  <c r="AE121" i="3"/>
  <c r="AL49" i="3"/>
  <c r="AL60" i="3" s="1"/>
  <c r="AG82" i="3"/>
  <c r="AG84" i="3"/>
  <c r="AG120" i="3"/>
  <c r="AG93" i="3"/>
  <c r="AG70" i="3"/>
  <c r="AG14" i="3"/>
  <c r="AG83" i="3"/>
  <c r="BA12" i="3"/>
  <c r="AG21" i="3"/>
  <c r="AG17" i="3"/>
  <c r="AG16" i="3" s="1"/>
  <c r="AG20" i="3"/>
  <c r="AG22" i="3"/>
  <c r="AG23" i="3"/>
  <c r="AG88" i="3"/>
  <c r="AF122" i="3"/>
  <c r="AF65" i="3"/>
  <c r="AF95" i="3"/>
  <c r="AG29" i="3"/>
  <c r="AY9" i="3"/>
  <c r="K25" i="1" l="1"/>
  <c r="K32" i="1" s="1"/>
  <c r="BK29" i="4"/>
  <c r="AZ99" i="3"/>
  <c r="BM112" i="3"/>
  <c r="BM139" i="3"/>
  <c r="AZ101" i="3"/>
  <c r="AZ98" i="3"/>
  <c r="AZ127" i="3"/>
  <c r="AZ95" i="3"/>
  <c r="AZ43" i="4"/>
  <c r="AZ39" i="4"/>
  <c r="AZ30" i="2" s="1"/>
  <c r="AZ30" i="4"/>
  <c r="AZ38" i="4"/>
  <c r="AZ13" i="4"/>
  <c r="AZ97" i="3"/>
  <c r="AZ35" i="4"/>
  <c r="AZ124" i="3"/>
  <c r="AZ33" i="4"/>
  <c r="AZ97" i="4" s="1"/>
  <c r="BK113" i="3"/>
  <c r="BK140" i="3"/>
  <c r="AZ121" i="3"/>
  <c r="AZ24" i="3"/>
  <c r="AZ102" i="3" s="1"/>
  <c r="AZ65" i="3"/>
  <c r="AZ122" i="3"/>
  <c r="BK88" i="3"/>
  <c r="BK120" i="3"/>
  <c r="BK89" i="3"/>
  <c r="K26" i="1"/>
  <c r="BK84" i="3"/>
  <c r="BK83" i="3"/>
  <c r="BK93" i="3"/>
  <c r="BK82" i="3"/>
  <c r="BK70" i="3"/>
  <c r="AZ94" i="3"/>
  <c r="AI58" i="3"/>
  <c r="AI42" i="3"/>
  <c r="AI45" i="3"/>
  <c r="AI54" i="3"/>
  <c r="AI28" i="3"/>
  <c r="AI13" i="3"/>
  <c r="AI25" i="3"/>
  <c r="BA17" i="3"/>
  <c r="BA16" i="3" s="1"/>
  <c r="BA120" i="3"/>
  <c r="BA23" i="3"/>
  <c r="BA93" i="3"/>
  <c r="BA84" i="3"/>
  <c r="BA21" i="3"/>
  <c r="BA83" i="3"/>
  <c r="BA70" i="3"/>
  <c r="BA20" i="3"/>
  <c r="BA22" i="3"/>
  <c r="BA19" i="3"/>
  <c r="BA30" i="4" s="1"/>
  <c r="BA82" i="3"/>
  <c r="BA38" i="3"/>
  <c r="BA88" i="3"/>
  <c r="BA89" i="3"/>
  <c r="AG125" i="3"/>
  <c r="AG98" i="3"/>
  <c r="AG87" i="3"/>
  <c r="AG111" i="3"/>
  <c r="AG138" i="3"/>
  <c r="AX63" i="3"/>
  <c r="AX10" i="3"/>
  <c r="BL139" i="3"/>
  <c r="BL112" i="3"/>
  <c r="AL139" i="3"/>
  <c r="AL112" i="3"/>
  <c r="AP139" i="3"/>
  <c r="AH70" i="3"/>
  <c r="AH22" i="3"/>
  <c r="AH83" i="3"/>
  <c r="AH23" i="3"/>
  <c r="BK23" i="3" s="1"/>
  <c r="AH120" i="3"/>
  <c r="AH17" i="3"/>
  <c r="AH16" i="3" s="1"/>
  <c r="BK16" i="3" s="1"/>
  <c r="AH84" i="3"/>
  <c r="AH21" i="3"/>
  <c r="BK21" i="3" s="1"/>
  <c r="AH14" i="3"/>
  <c r="AH82" i="3"/>
  <c r="AH20" i="3"/>
  <c r="BK20" i="3" s="1"/>
  <c r="AH93" i="3"/>
  <c r="AH88" i="3"/>
  <c r="AG65" i="3"/>
  <c r="AG122" i="3"/>
  <c r="AG95" i="3"/>
  <c r="AH5" i="2"/>
  <c r="AG8" i="2"/>
  <c r="AE8" i="2"/>
  <c r="AH8" i="2"/>
  <c r="AF8" i="2"/>
  <c r="AI7" i="2"/>
  <c r="AJ7" i="2" s="1"/>
  <c r="AK7" i="2" s="1"/>
  <c r="AL7" i="2" s="1"/>
  <c r="AH113" i="3"/>
  <c r="AH89" i="3"/>
  <c r="AH140" i="3"/>
  <c r="AO8" i="2"/>
  <c r="AN7" i="2"/>
  <c r="AG127" i="3"/>
  <c r="AG100" i="3"/>
  <c r="AH29" i="3"/>
  <c r="AG99" i="3"/>
  <c r="AG126" i="3"/>
  <c r="AG128" i="3"/>
  <c r="AG101" i="3"/>
  <c r="AG121" i="3"/>
  <c r="AG71" i="3"/>
  <c r="AG94" i="3"/>
  <c r="AX143" i="3"/>
  <c r="AX116" i="3"/>
  <c r="AH59" i="3"/>
  <c r="AH46" i="3"/>
  <c r="AX117" i="3"/>
  <c r="AX144" i="3"/>
  <c r="AZ9" i="3"/>
  <c r="AZ66" i="3" l="1"/>
  <c r="AZ79" i="3"/>
  <c r="BA43" i="4"/>
  <c r="BK125" i="3"/>
  <c r="BK98" i="3"/>
  <c r="BK75" i="3"/>
  <c r="BK128" i="3"/>
  <c r="BK101" i="3"/>
  <c r="BK78" i="3"/>
  <c r="BK94" i="3"/>
  <c r="BK121" i="3"/>
  <c r="BK71" i="3"/>
  <c r="BK99" i="3"/>
  <c r="BK126" i="3"/>
  <c r="BK76" i="3"/>
  <c r="BK17" i="3"/>
  <c r="K27" i="1" s="1"/>
  <c r="AH127" i="3"/>
  <c r="BK22" i="3"/>
  <c r="BA13" i="4"/>
  <c r="AZ129" i="3"/>
  <c r="BA29" i="4"/>
  <c r="BA38" i="4"/>
  <c r="BA39" i="4"/>
  <c r="BA30" i="2" s="1"/>
  <c r="AJ58" i="3"/>
  <c r="AJ54" i="3"/>
  <c r="AJ45" i="3"/>
  <c r="AJ28" i="3"/>
  <c r="AJ42" i="3"/>
  <c r="AJ13" i="3"/>
  <c r="AJ25" i="3"/>
  <c r="AI120" i="3"/>
  <c r="AI84" i="3"/>
  <c r="AI83" i="3"/>
  <c r="AI93" i="3"/>
  <c r="AI82" i="3"/>
  <c r="AI14" i="3"/>
  <c r="AI70" i="3"/>
  <c r="AI20" i="3"/>
  <c r="AI21" i="3"/>
  <c r="AI22" i="3"/>
  <c r="AI23" i="3"/>
  <c r="AI17" i="3"/>
  <c r="AI88" i="3"/>
  <c r="AH100" i="3"/>
  <c r="AI113" i="3"/>
  <c r="AI89" i="3"/>
  <c r="AI140" i="3"/>
  <c r="AH126" i="3"/>
  <c r="AH99" i="3"/>
  <c r="BA124" i="3"/>
  <c r="BA97" i="3"/>
  <c r="BA33" i="4"/>
  <c r="BA97" i="4" s="1"/>
  <c r="BA35" i="4"/>
  <c r="AN8" i="2"/>
  <c r="AH121" i="3"/>
  <c r="AH71" i="3"/>
  <c r="AH94" i="3"/>
  <c r="BA128" i="3"/>
  <c r="BA101" i="3"/>
  <c r="AI29" i="3"/>
  <c r="BK38" i="3"/>
  <c r="AH111" i="3"/>
  <c r="AH87" i="3"/>
  <c r="AH138" i="3"/>
  <c r="AH122" i="3"/>
  <c r="AH65" i="3"/>
  <c r="AH95" i="3"/>
  <c r="BA127" i="3"/>
  <c r="BA100" i="3"/>
  <c r="AJ8" i="2"/>
  <c r="AL8" i="2"/>
  <c r="AI8" i="2"/>
  <c r="AK8" i="2"/>
  <c r="AY63" i="3"/>
  <c r="AY10" i="3"/>
  <c r="BA125" i="3"/>
  <c r="BA98" i="3"/>
  <c r="BA65" i="3"/>
  <c r="BA122" i="3"/>
  <c r="BA24" i="3"/>
  <c r="BA95" i="3"/>
  <c r="AI59" i="3"/>
  <c r="AI46" i="3"/>
  <c r="AH125" i="3"/>
  <c r="AH98" i="3"/>
  <c r="AH128" i="3"/>
  <c r="AH101" i="3"/>
  <c r="BA121" i="3"/>
  <c r="BA71" i="3"/>
  <c r="BA94" i="3"/>
  <c r="BA111" i="3"/>
  <c r="BA138" i="3"/>
  <c r="BA87" i="3"/>
  <c r="BA126" i="3"/>
  <c r="BA99" i="3"/>
  <c r="BA9" i="3"/>
  <c r="BK100" i="3" l="1"/>
  <c r="BK127" i="3"/>
  <c r="BK77" i="3"/>
  <c r="BK95" i="3"/>
  <c r="BK122" i="3"/>
  <c r="K28" i="1"/>
  <c r="BK65" i="3"/>
  <c r="BK72" i="3"/>
  <c r="AK58" i="3"/>
  <c r="AK42" i="3"/>
  <c r="AK25" i="3"/>
  <c r="AK54" i="3"/>
  <c r="AK28" i="3"/>
  <c r="AK13" i="3"/>
  <c r="AK45" i="3"/>
  <c r="AI125" i="3"/>
  <c r="AI98" i="3"/>
  <c r="AJ120" i="3"/>
  <c r="AJ14" i="3"/>
  <c r="AJ93" i="3"/>
  <c r="AJ84" i="3"/>
  <c r="AJ82" i="3"/>
  <c r="AJ70" i="3"/>
  <c r="AJ83" i="3"/>
  <c r="AN120" i="3"/>
  <c r="AJ22" i="3"/>
  <c r="AJ21" i="3"/>
  <c r="AJ17" i="3"/>
  <c r="AJ16" i="3" s="1"/>
  <c r="AJ20" i="3"/>
  <c r="AJ23" i="3"/>
  <c r="AJ88" i="3"/>
  <c r="AI95" i="3"/>
  <c r="AI122" i="3"/>
  <c r="AI65" i="3"/>
  <c r="AI16" i="3"/>
  <c r="BA129" i="3"/>
  <c r="BA79" i="3"/>
  <c r="BA66" i="3"/>
  <c r="BA102" i="3"/>
  <c r="AJ113" i="3"/>
  <c r="AJ89" i="3"/>
  <c r="AJ140" i="3"/>
  <c r="AN140" i="3"/>
  <c r="AI101" i="3"/>
  <c r="AI128" i="3"/>
  <c r="AJ29" i="3"/>
  <c r="AZ63" i="3"/>
  <c r="AZ10" i="3"/>
  <c r="BK87" i="3"/>
  <c r="BK111" i="3"/>
  <c r="BK138" i="3"/>
  <c r="AI127" i="3"/>
  <c r="AI100" i="3"/>
  <c r="BB12" i="3"/>
  <c r="AI138" i="3"/>
  <c r="AI111" i="3"/>
  <c r="AI87" i="3"/>
  <c r="AI126" i="3"/>
  <c r="AI99" i="3"/>
  <c r="AJ59" i="3"/>
  <c r="AJ46" i="3"/>
  <c r="BB9" i="3"/>
  <c r="AK29" i="3" l="1"/>
  <c r="AL13" i="3"/>
  <c r="BC12" i="3"/>
  <c r="AL45" i="3"/>
  <c r="AL54" i="3"/>
  <c r="AL42" i="3"/>
  <c r="AL58" i="3"/>
  <c r="AL25" i="3"/>
  <c r="AL28" i="3"/>
  <c r="AJ71" i="3"/>
  <c r="AJ94" i="3"/>
  <c r="AJ121" i="3"/>
  <c r="AN121" i="3"/>
  <c r="AK59" i="3"/>
  <c r="AK46" i="3"/>
  <c r="BA63" i="3"/>
  <c r="BA10" i="3"/>
  <c r="AN128" i="3"/>
  <c r="AJ128" i="3"/>
  <c r="AJ101" i="3"/>
  <c r="AJ125" i="3"/>
  <c r="AJ98" i="3"/>
  <c r="AN125" i="3"/>
  <c r="AK70" i="3"/>
  <c r="AK120" i="3"/>
  <c r="AK84" i="3"/>
  <c r="AK14" i="3"/>
  <c r="AK93" i="3"/>
  <c r="AK82" i="3"/>
  <c r="AK83" i="3"/>
  <c r="AO120" i="3"/>
  <c r="AK21" i="3"/>
  <c r="AK17" i="3"/>
  <c r="AK22" i="3"/>
  <c r="AK20" i="3"/>
  <c r="AK23" i="3"/>
  <c r="AK88" i="3"/>
  <c r="AI121" i="3"/>
  <c r="AI94" i="3"/>
  <c r="AI71" i="3"/>
  <c r="AJ95" i="3"/>
  <c r="AJ122" i="3"/>
  <c r="AJ65" i="3"/>
  <c r="AN122" i="3"/>
  <c r="AJ126" i="3"/>
  <c r="AJ99" i="3"/>
  <c r="AN126" i="3"/>
  <c r="BB38" i="3"/>
  <c r="BB120" i="3"/>
  <c r="BB93" i="3"/>
  <c r="BB84" i="3"/>
  <c r="BB83" i="3"/>
  <c r="BB70" i="3"/>
  <c r="BB82" i="3"/>
  <c r="BB21" i="3"/>
  <c r="BB19" i="3"/>
  <c r="BB23" i="3"/>
  <c r="BB17" i="3"/>
  <c r="BB20" i="3"/>
  <c r="BB22" i="3"/>
  <c r="BB89" i="3"/>
  <c r="BB88" i="3"/>
  <c r="AJ100" i="3"/>
  <c r="AJ127" i="3"/>
  <c r="AN127" i="3"/>
  <c r="AJ87" i="3"/>
  <c r="AJ111" i="3"/>
  <c r="AJ138" i="3"/>
  <c r="AN138" i="3"/>
  <c r="BL40" i="3"/>
  <c r="AK89" i="3"/>
  <c r="AK140" i="3"/>
  <c r="AK113" i="3"/>
  <c r="AO140" i="3"/>
  <c r="BM113" i="3" l="1"/>
  <c r="BM140" i="3"/>
  <c r="BL113" i="3"/>
  <c r="BL140" i="3"/>
  <c r="BL12" i="3"/>
  <c r="BL29" i="4" s="1"/>
  <c r="BB122" i="3"/>
  <c r="BB24" i="3"/>
  <c r="BB95" i="3"/>
  <c r="BB65" i="3"/>
  <c r="AK127" i="3"/>
  <c r="AK100" i="3"/>
  <c r="AO127" i="3"/>
  <c r="BB128" i="3"/>
  <c r="BB101" i="3"/>
  <c r="AK16" i="3"/>
  <c r="AK95" i="3"/>
  <c r="AK65" i="3"/>
  <c r="AK122" i="3"/>
  <c r="AO122" i="3"/>
  <c r="AL89" i="3"/>
  <c r="AL140" i="3"/>
  <c r="AL113" i="3"/>
  <c r="AP140" i="3"/>
  <c r="BB124" i="3"/>
  <c r="BB97" i="3"/>
  <c r="BB33" i="4"/>
  <c r="BB97" i="4" s="1"/>
  <c r="BB35" i="4"/>
  <c r="BB29" i="4"/>
  <c r="BB43" i="4"/>
  <c r="BB13" i="4"/>
  <c r="BB30" i="4"/>
  <c r="BB38" i="4"/>
  <c r="BB39" i="4"/>
  <c r="AK99" i="3"/>
  <c r="AK126" i="3"/>
  <c r="AO126" i="3"/>
  <c r="BB98" i="3"/>
  <c r="BB125" i="3"/>
  <c r="AK125" i="3"/>
  <c r="AK98" i="3"/>
  <c r="AO125" i="3"/>
  <c r="BB99" i="3"/>
  <c r="BB126" i="3"/>
  <c r="BC9" i="3"/>
  <c r="BB16" i="3"/>
  <c r="BB111" i="3"/>
  <c r="BB87" i="3"/>
  <c r="BB138" i="3"/>
  <c r="AL59" i="3"/>
  <c r="AL46" i="3"/>
  <c r="AK128" i="3"/>
  <c r="AK101" i="3"/>
  <c r="AO128" i="3"/>
  <c r="BB63" i="3"/>
  <c r="BB10" i="3"/>
  <c r="BC20" i="3"/>
  <c r="BC120" i="3"/>
  <c r="BC17" i="3"/>
  <c r="BC22" i="3"/>
  <c r="BC84" i="3"/>
  <c r="BC93" i="3"/>
  <c r="BC19" i="3"/>
  <c r="BC70" i="3"/>
  <c r="BC23" i="3"/>
  <c r="BC21" i="3"/>
  <c r="BC82" i="3"/>
  <c r="BC38" i="3"/>
  <c r="BC83" i="3"/>
  <c r="BC89" i="3"/>
  <c r="BC88" i="3"/>
  <c r="BB127" i="3"/>
  <c r="BB100" i="3"/>
  <c r="AK111" i="3"/>
  <c r="AK138" i="3"/>
  <c r="AK87" i="3"/>
  <c r="AO138" i="3"/>
  <c r="AL29" i="3"/>
  <c r="AL17" i="3"/>
  <c r="AL16" i="3" s="1"/>
  <c r="AL120" i="3"/>
  <c r="AL83" i="3"/>
  <c r="BL38" i="3"/>
  <c r="AL70" i="3"/>
  <c r="AL21" i="3"/>
  <c r="BL21" i="3" s="1"/>
  <c r="AL93" i="3"/>
  <c r="AL20" i="3"/>
  <c r="AL98" i="3" s="1"/>
  <c r="AL23" i="3"/>
  <c r="BL23" i="3" s="1"/>
  <c r="AL82" i="3"/>
  <c r="AL14" i="3"/>
  <c r="AL84" i="3"/>
  <c r="AL22" i="3"/>
  <c r="BL22" i="3" s="1"/>
  <c r="AP120" i="3"/>
  <c r="AL88" i="3"/>
  <c r="BM126" i="3" l="1"/>
  <c r="BM99" i="3"/>
  <c r="L25" i="1"/>
  <c r="L46" i="1" s="1"/>
  <c r="BM93" i="3"/>
  <c r="BM120" i="3"/>
  <c r="BM111" i="3"/>
  <c r="BM138" i="3"/>
  <c r="BM128" i="3"/>
  <c r="BM101" i="3"/>
  <c r="BM127" i="3"/>
  <c r="BM100" i="3"/>
  <c r="BL100" i="3"/>
  <c r="BL127" i="3"/>
  <c r="BL99" i="3"/>
  <c r="BL126" i="3"/>
  <c r="BL128" i="3"/>
  <c r="BL101" i="3"/>
  <c r="BL16" i="3"/>
  <c r="BL20" i="3"/>
  <c r="BL17" i="3"/>
  <c r="BL84" i="3"/>
  <c r="BL70" i="3"/>
  <c r="BL93" i="3"/>
  <c r="BL120" i="3"/>
  <c r="BL88" i="3"/>
  <c r="BL83" i="3"/>
  <c r="BL89" i="3"/>
  <c r="BL82" i="3"/>
  <c r="BL77" i="3"/>
  <c r="BL76" i="3"/>
  <c r="BL78" i="3"/>
  <c r="BC29" i="4"/>
  <c r="BL111" i="3"/>
  <c r="BL87" i="3"/>
  <c r="BL138" i="3"/>
  <c r="AL126" i="3"/>
  <c r="AL99" i="3"/>
  <c r="AP126" i="3"/>
  <c r="BC128" i="3"/>
  <c r="BC101" i="3"/>
  <c r="BC125" i="3"/>
  <c r="BC98" i="3"/>
  <c r="AL127" i="3"/>
  <c r="AL100" i="3"/>
  <c r="AP127" i="3"/>
  <c r="BC126" i="3"/>
  <c r="BC99" i="3"/>
  <c r="AL111" i="3"/>
  <c r="AL138" i="3"/>
  <c r="AL87" i="3"/>
  <c r="AP138" i="3"/>
  <c r="BC124" i="3"/>
  <c r="BC97" i="3"/>
  <c r="BC33" i="4"/>
  <c r="BC97" i="4" s="1"/>
  <c r="BB71" i="3"/>
  <c r="BB94" i="3"/>
  <c r="BB121" i="3"/>
  <c r="BC39" i="4"/>
  <c r="BC30" i="2" s="1"/>
  <c r="BB30" i="2"/>
  <c r="BC38" i="4"/>
  <c r="BC63" i="3"/>
  <c r="BC10" i="3"/>
  <c r="BC30" i="4"/>
  <c r="AL128" i="3"/>
  <c r="AL101" i="3"/>
  <c r="AP128" i="3"/>
  <c r="BC87" i="3"/>
  <c r="BC111" i="3"/>
  <c r="BC138" i="3"/>
  <c r="BC127" i="3"/>
  <c r="BC100" i="3"/>
  <c r="BC13" i="4"/>
  <c r="AK71" i="3"/>
  <c r="AK121" i="3"/>
  <c r="AK94" i="3"/>
  <c r="AO121" i="3"/>
  <c r="AL121" i="3"/>
  <c r="AL71" i="3"/>
  <c r="AL94" i="3"/>
  <c r="AP121" i="3"/>
  <c r="AL65" i="3"/>
  <c r="AL122" i="3"/>
  <c r="AL95" i="3"/>
  <c r="AP122" i="3"/>
  <c r="AL125" i="3"/>
  <c r="AP125" i="3"/>
  <c r="BC16" i="3"/>
  <c r="BC24" i="3"/>
  <c r="BC65" i="3"/>
  <c r="BC122" i="3"/>
  <c r="BC95" i="3"/>
  <c r="BC43" i="4"/>
  <c r="BB102" i="3"/>
  <c r="BB79" i="3"/>
  <c r="BB129" i="3"/>
  <c r="BB66" i="3"/>
  <c r="BL65" i="3" l="1"/>
  <c r="L27" i="1"/>
  <c r="L28" i="1" s="1"/>
  <c r="BL75" i="3"/>
  <c r="BM125" i="3"/>
  <c r="BM98" i="3"/>
  <c r="L26" i="1"/>
  <c r="L32" i="1"/>
  <c r="BL72" i="3"/>
  <c r="BL122" i="3"/>
  <c r="BL95" i="3"/>
  <c r="BL125" i="3"/>
  <c r="BL98" i="3"/>
  <c r="BL71" i="3"/>
  <c r="BL94" i="3"/>
  <c r="BL121" i="3"/>
  <c r="BC66" i="3"/>
  <c r="BC129" i="3"/>
  <c r="BC79" i="3"/>
  <c r="BC102" i="3"/>
  <c r="BC121" i="3"/>
  <c r="BC71" i="3"/>
  <c r="BC94" i="3"/>
  <c r="K64" i="1" l="1"/>
  <c r="H60" i="1"/>
  <c r="H63" i="1"/>
  <c r="J64" i="1"/>
  <c r="K65" i="1"/>
  <c r="H65" i="1"/>
  <c r="K63" i="1"/>
  <c r="H59" i="1"/>
  <c r="H64" i="1"/>
  <c r="I65" i="1"/>
  <c r="I63" i="1"/>
  <c r="J65" i="1"/>
  <c r="I64" i="1"/>
  <c r="J63" i="1"/>
  <c r="BA57" i="2" l="1"/>
  <c r="AW57" i="2"/>
  <c r="BK57" i="2"/>
  <c r="BB57" i="2"/>
  <c r="AT57" i="2"/>
  <c r="AU57" i="2"/>
  <c r="BC57" i="2"/>
  <c r="AV57" i="2"/>
  <c r="AY57" i="2"/>
  <c r="AZ57" i="2"/>
  <c r="BJ57" i="2"/>
  <c r="BI57" i="2"/>
  <c r="BL57" i="2"/>
  <c r="AX57" i="2"/>
  <c r="J23" i="1" l="1"/>
  <c r="I23" i="1"/>
  <c r="K23" i="1"/>
  <c r="H23" i="1"/>
  <c r="AO7" i="4" l="1"/>
  <c r="AP7" i="4"/>
  <c r="AN7" i="4"/>
  <c r="AO8" i="4" l="1"/>
  <c r="AP8" i="4"/>
  <c r="S15" i="1"/>
  <c r="S9" i="1"/>
  <c r="Q15" i="1"/>
  <c r="Q9" i="1"/>
  <c r="R9" i="1"/>
  <c r="R15" i="1"/>
  <c r="X4" i="1"/>
  <c r="AQ7" i="4"/>
  <c r="AN8" i="4"/>
  <c r="N49" i="4" l="1"/>
  <c r="P49" i="4"/>
  <c r="BI13" i="2"/>
  <c r="L49" i="4"/>
  <c r="BG13" i="2"/>
  <c r="BH13" i="2"/>
  <c r="BF13" i="2"/>
  <c r="S49" i="4"/>
  <c r="M49" i="4"/>
  <c r="K49" i="4"/>
  <c r="BE13" i="2"/>
  <c r="R49" i="4"/>
  <c r="O49" i="4"/>
  <c r="BH21" i="2"/>
  <c r="BH43" i="2" s="1"/>
  <c r="BH44" i="2" s="1"/>
  <c r="Q49" i="4"/>
  <c r="BF21" i="2"/>
  <c r="BF43" i="2" s="1"/>
  <c r="BF44" i="2" s="1"/>
  <c r="BG21" i="2"/>
  <c r="BG43" i="2" s="1"/>
  <c r="BG44" i="2" s="1"/>
  <c r="V49" i="4"/>
  <c r="U49" i="4"/>
  <c r="T49" i="4"/>
  <c r="BE21" i="2"/>
  <c r="BE43" i="2" s="1"/>
  <c r="BE44" i="2" s="1"/>
  <c r="BI21" i="2"/>
  <c r="BI43" i="2" s="1"/>
  <c r="BI44" i="2" s="1"/>
  <c r="AQ8" i="4"/>
  <c r="AR7" i="4"/>
  <c r="AR8" i="4" l="1"/>
  <c r="AS7" i="4"/>
  <c r="AA57" i="2" l="1"/>
  <c r="AB57" i="2"/>
  <c r="AA20" i="2"/>
  <c r="AA13" i="2"/>
  <c r="AA49" i="2" s="1"/>
  <c r="AB12" i="2"/>
  <c r="AB46" i="2" s="1"/>
  <c r="AB17" i="2"/>
  <c r="AB20" i="2"/>
  <c r="AA12" i="2"/>
  <c r="AA46" i="2" s="1"/>
  <c r="AB13" i="2"/>
  <c r="A8" i="2" s="1"/>
  <c r="AT7" i="4"/>
  <c r="AS8" i="4"/>
  <c r="AC46" i="2" l="1"/>
  <c r="AC12" i="2" s="1"/>
  <c r="AC48" i="4"/>
  <c r="AA17" i="2"/>
  <c r="AB55" i="2"/>
  <c r="AB41" i="2"/>
  <c r="AB54" i="2"/>
  <c r="AB56" i="2" s="1"/>
  <c r="AB58" i="2" s="1"/>
  <c r="AA41" i="2"/>
  <c r="AA55" i="2"/>
  <c r="AB49" i="2"/>
  <c r="A11" i="3"/>
  <c r="AU7" i="4"/>
  <c r="AT8" i="4"/>
  <c r="AB42" i="2" l="1"/>
  <c r="AC41" i="2"/>
  <c r="AD46" i="2"/>
  <c r="AE46" i="2" s="1"/>
  <c r="AF46" i="2" s="1"/>
  <c r="AG46" i="2" s="1"/>
  <c r="AH46" i="2" s="1"/>
  <c r="AI46" i="2" s="1"/>
  <c r="AJ46" i="2" s="1"/>
  <c r="AK46" i="2" s="1"/>
  <c r="AL46" i="2" s="1"/>
  <c r="AD57" i="2"/>
  <c r="AD48" i="4"/>
  <c r="BJ48" i="4" s="1"/>
  <c r="BH49" i="2"/>
  <c r="BI49" i="2"/>
  <c r="BE49" i="2"/>
  <c r="BF49" i="2"/>
  <c r="BG49" i="2"/>
  <c r="AA54" i="2"/>
  <c r="AA56" i="2" s="1"/>
  <c r="AA58" i="2" s="1"/>
  <c r="AA42" i="2"/>
  <c r="AX41" i="2"/>
  <c r="AV7" i="4"/>
  <c r="AU8" i="4"/>
  <c r="AD41" i="2" l="1"/>
  <c r="AC20" i="2"/>
  <c r="AC55" i="2" s="1"/>
  <c r="AC42" i="2"/>
  <c r="AY41" i="2"/>
  <c r="AE57" i="2"/>
  <c r="AE48" i="4"/>
  <c r="AX20" i="2"/>
  <c r="AX55" i="2" s="1"/>
  <c r="AX42" i="2"/>
  <c r="AW7" i="4"/>
  <c r="AV8" i="4"/>
  <c r="AY20" i="2" l="1"/>
  <c r="AY55" i="2" s="1"/>
  <c r="AY42" i="2"/>
  <c r="AE41" i="2"/>
  <c r="AD20" i="2"/>
  <c r="AD55" i="2" s="1"/>
  <c r="AD42" i="2"/>
  <c r="BJ41" i="2"/>
  <c r="AF57" i="2"/>
  <c r="AF48" i="4"/>
  <c r="AW8" i="4"/>
  <c r="AX7" i="4"/>
  <c r="AF41" i="2" l="1"/>
  <c r="AZ41" i="2"/>
  <c r="AE20" i="2"/>
  <c r="AE55" i="2" s="1"/>
  <c r="AE42" i="2"/>
  <c r="BJ42" i="2"/>
  <c r="BJ20" i="2"/>
  <c r="AG48" i="4"/>
  <c r="AX8" i="4"/>
  <c r="AY7" i="4"/>
  <c r="BJ55" i="2" l="1"/>
  <c r="J73" i="1"/>
  <c r="AZ20" i="2"/>
  <c r="AZ55" i="2" s="1"/>
  <c r="AZ42" i="2"/>
  <c r="AG41" i="2"/>
  <c r="AF20" i="2"/>
  <c r="AF55" i="2" s="1"/>
  <c r="AF42" i="2"/>
  <c r="AH48" i="4"/>
  <c r="BK48" i="4" s="1"/>
  <c r="AY8" i="4"/>
  <c r="AZ7" i="4"/>
  <c r="R47" i="1"/>
  <c r="P47" i="1"/>
  <c r="R46" i="1"/>
  <c r="P46" i="1"/>
  <c r="R45" i="1"/>
  <c r="P45" i="1"/>
  <c r="R44" i="1"/>
  <c r="P44" i="1"/>
  <c r="R43" i="1"/>
  <c r="P43" i="1"/>
  <c r="C4" i="1"/>
  <c r="AH41" i="2" l="1"/>
  <c r="AG20" i="2"/>
  <c r="AG55" i="2" s="1"/>
  <c r="BA41" i="2"/>
  <c r="AG42" i="2"/>
  <c r="BK41" i="2"/>
  <c r="AI48" i="4"/>
  <c r="BA7" i="4"/>
  <c r="AZ8" i="4"/>
  <c r="P42" i="1"/>
  <c r="R42" i="1"/>
  <c r="BK20" i="2" l="1"/>
  <c r="BK42" i="2"/>
  <c r="BA20" i="2"/>
  <c r="BA55" i="2" s="1"/>
  <c r="BA42" i="2"/>
  <c r="AI41" i="2"/>
  <c r="AH20" i="2"/>
  <c r="AH55" i="2" s="1"/>
  <c r="AH42" i="2"/>
  <c r="AJ48" i="4"/>
  <c r="BA8" i="4"/>
  <c r="BB7" i="4"/>
  <c r="AJ41" i="2" l="1"/>
  <c r="BB41" i="2"/>
  <c r="AI20" i="2"/>
  <c r="AI55" i="2" s="1"/>
  <c r="AI42" i="2"/>
  <c r="BK55" i="2"/>
  <c r="K73" i="1"/>
  <c r="AK57" i="2"/>
  <c r="L18" i="1"/>
  <c r="BA25" i="2"/>
  <c r="AN23" i="4"/>
  <c r="X22" i="2"/>
  <c r="K60" i="1"/>
  <c r="AZ15" i="2"/>
  <c r="AP24" i="2"/>
  <c r="AW16" i="4"/>
  <c r="AX16" i="4" s="1"/>
  <c r="J30" i="2"/>
  <c r="L23" i="4"/>
  <c r="AA14" i="4"/>
  <c r="AT33" i="2"/>
  <c r="Z40" i="4"/>
  <c r="BE17" i="4"/>
  <c r="AV49" i="4"/>
  <c r="V17" i="2"/>
  <c r="T26" i="2"/>
  <c r="AV24" i="2"/>
  <c r="J55" i="1"/>
  <c r="S33" i="1"/>
  <c r="P25" i="2"/>
  <c r="Z12" i="4"/>
  <c r="Z66" i="4" s="1"/>
  <c r="AP38" i="4"/>
  <c r="BI24" i="2"/>
  <c r="BH37" i="2"/>
  <c r="J10" i="2"/>
  <c r="I11" i="2"/>
  <c r="AB10" i="2"/>
  <c r="T12" i="4"/>
  <c r="T66" i="4" s="1"/>
  <c r="T70" i="4" s="1"/>
  <c r="AB12" i="4"/>
  <c r="AB66" i="4" s="1"/>
  <c r="K33" i="2"/>
  <c r="BI29" i="2"/>
  <c r="K54" i="1"/>
  <c r="AX15" i="2"/>
  <c r="J50" i="1"/>
  <c r="W15" i="2"/>
  <c r="AB39" i="4"/>
  <c r="AQ23" i="2"/>
  <c r="AS12" i="2"/>
  <c r="O21" i="2"/>
  <c r="AO43" i="4"/>
  <c r="U14" i="2"/>
  <c r="K14" i="2"/>
  <c r="M10" i="4"/>
  <c r="S26" i="2"/>
  <c r="AT17" i="4"/>
  <c r="Z11" i="4"/>
  <c r="Z65" i="4" s="1"/>
  <c r="Z69" i="4" s="1"/>
  <c r="AO13" i="4"/>
  <c r="BG18" i="4"/>
  <c r="AB25" i="2"/>
  <c r="AV19" i="4"/>
  <c r="O16" i="2"/>
  <c r="AT42" i="4"/>
  <c r="J17" i="1"/>
  <c r="S24" i="2"/>
  <c r="BI11" i="4"/>
  <c r="I17" i="1"/>
  <c r="BE44" i="4"/>
  <c r="AP12" i="4"/>
  <c r="AP66" i="4" s="1"/>
  <c r="AP70" i="4" s="1"/>
  <c r="K58" i="1"/>
  <c r="S34" i="4"/>
  <c r="Y32" i="2"/>
  <c r="V31" i="2"/>
  <c r="W45" i="4"/>
  <c r="AG24" i="2"/>
  <c r="AQ23" i="4"/>
  <c r="AS16" i="4"/>
  <c r="BE12" i="2"/>
  <c r="AL22" i="2"/>
  <c r="P28" i="4"/>
  <c r="AN29" i="2"/>
  <c r="K32" i="2"/>
  <c r="AV23" i="4"/>
  <c r="I43" i="1"/>
  <c r="I46" i="1" s="1"/>
  <c r="AW34" i="2"/>
  <c r="K28" i="4"/>
  <c r="AN18" i="4"/>
  <c r="I16" i="1"/>
  <c r="Q17" i="1" s="1"/>
  <c r="AV40" i="4"/>
  <c r="I25" i="2"/>
  <c r="BF29" i="2"/>
  <c r="BH31" i="2"/>
  <c r="A1" i="1"/>
  <c r="Y16" i="2"/>
  <c r="J59" i="1"/>
  <c r="Y19" i="4"/>
  <c r="AC19" i="4" s="1"/>
  <c r="AG19" i="4" s="1"/>
  <c r="AK19" i="4" s="1"/>
  <c r="AP11" i="2"/>
  <c r="BI23" i="4"/>
  <c r="R17" i="4"/>
  <c r="BI28" i="4"/>
  <c r="BF34" i="2"/>
  <c r="M33" i="2"/>
  <c r="AW11" i="4"/>
  <c r="AW65" i="4" s="1"/>
  <c r="AW69" i="4" s="1"/>
  <c r="T28" i="4"/>
  <c r="AB34" i="2"/>
  <c r="Y29" i="4"/>
  <c r="BF26" i="2"/>
  <c r="BE10" i="2"/>
  <c r="M23" i="2"/>
  <c r="AP14" i="4"/>
  <c r="D2" i="1"/>
  <c r="S47" i="4"/>
  <c r="AT10" i="4"/>
  <c r="BI25" i="2"/>
  <c r="Z21" i="4"/>
  <c r="AD21" i="4" s="1"/>
  <c r="AU11" i="2"/>
  <c r="H53" i="1"/>
  <c r="H56" i="1" s="1"/>
  <c r="BG31" i="2"/>
  <c r="N22" i="2"/>
  <c r="Z44" i="4"/>
  <c r="M36" i="4"/>
  <c r="AS45" i="4"/>
  <c r="AR33" i="2"/>
  <c r="AI32" i="2"/>
  <c r="BH14" i="2"/>
  <c r="AA10" i="4"/>
  <c r="R12" i="4"/>
  <c r="R66" i="4" s="1"/>
  <c r="R70" i="4" s="1"/>
  <c r="P17" i="4"/>
  <c r="Y34" i="2"/>
  <c r="BG32" i="2"/>
  <c r="R14" i="4"/>
  <c r="I45" i="1"/>
  <c r="H58" i="1"/>
  <c r="BE14" i="2"/>
  <c r="BH21" i="4"/>
  <c r="L20" i="2"/>
  <c r="L55" i="2" s="1"/>
  <c r="W22" i="2"/>
  <c r="AO31" i="4"/>
  <c r="P29" i="2"/>
  <c r="K55" i="1"/>
  <c r="AO19" i="4"/>
  <c r="I44" i="1"/>
  <c r="BI36" i="2"/>
  <c r="K11" i="4"/>
  <c r="K65" i="4" s="1"/>
  <c r="K69" i="4" s="1"/>
  <c r="N38" i="4"/>
  <c r="AY32" i="2"/>
  <c r="Z33" i="4"/>
  <c r="Z97" i="4" s="1"/>
  <c r="AN25" i="2"/>
  <c r="AT18" i="4"/>
  <c r="T34" i="4"/>
  <c r="R10" i="2"/>
  <c r="I49" i="1"/>
  <c r="AW29" i="4"/>
  <c r="O40" i="4"/>
  <c r="Y16" i="4"/>
  <c r="AT16" i="2"/>
  <c r="BF11" i="2"/>
  <c r="AN17" i="2"/>
  <c r="BG12" i="4"/>
  <c r="BG66" i="4" s="1"/>
  <c r="BG70" i="4" s="1"/>
  <c r="S30" i="2"/>
  <c r="I33" i="2"/>
  <c r="Z16" i="2"/>
  <c r="AD32" i="2"/>
  <c r="Y29" i="2"/>
  <c r="AA29" i="2"/>
  <c r="Q23" i="4"/>
  <c r="R32" i="2"/>
  <c r="AS26" i="4"/>
  <c r="AT10" i="2"/>
  <c r="Z29" i="2"/>
  <c r="AY33" i="2"/>
  <c r="W44" i="4"/>
  <c r="J60" i="1"/>
  <c r="AY22" i="2"/>
  <c r="S29" i="1"/>
  <c r="L31" i="4"/>
  <c r="M22" i="2"/>
  <c r="K44" i="1"/>
  <c r="AQ29" i="2"/>
  <c r="W25" i="2"/>
  <c r="AS13" i="4"/>
  <c r="AN31" i="4"/>
  <c r="BH23" i="4"/>
  <c r="L36" i="4"/>
  <c r="D3" i="1"/>
  <c r="AT12" i="2"/>
  <c r="Y11" i="4"/>
  <c r="Y65" i="4" s="1"/>
  <c r="Y69" i="4" s="1"/>
  <c r="I19" i="1"/>
  <c r="AS21" i="2"/>
  <c r="AS43" i="2" s="1"/>
  <c r="AS44" i="2" s="1"/>
  <c r="AY15" i="2"/>
  <c r="BH17" i="4"/>
  <c r="T14" i="2"/>
  <c r="R38" i="4"/>
  <c r="W33" i="2"/>
  <c r="AO47" i="4"/>
  <c r="AR17" i="4"/>
  <c r="W34" i="4"/>
  <c r="N27" i="4"/>
  <c r="N67" i="4" s="1"/>
  <c r="N72" i="4" s="1"/>
  <c r="W43" i="4"/>
  <c r="AS11" i="4"/>
  <c r="AS65" i="4" s="1"/>
  <c r="AS69" i="4" s="1"/>
  <c r="BI31" i="2"/>
  <c r="U38" i="4"/>
  <c r="BG10" i="4"/>
  <c r="K39" i="4"/>
  <c r="AP20" i="4"/>
  <c r="U27" i="4"/>
  <c r="U67" i="4" s="1"/>
  <c r="U72" i="4" s="1"/>
  <c r="I58" i="1"/>
  <c r="I61" i="1" s="1"/>
  <c r="O15" i="2"/>
  <c r="AW23" i="4"/>
  <c r="E15" i="1"/>
  <c r="AB17" i="4"/>
  <c r="AC17" i="4" s="1"/>
  <c r="AQ15" i="2"/>
  <c r="P21" i="4"/>
  <c r="R47" i="4"/>
  <c r="AP39" i="4"/>
  <c r="BE48" i="4"/>
  <c r="BI45" i="4"/>
  <c r="X39" i="4"/>
  <c r="S30" i="1"/>
  <c r="J19" i="1"/>
  <c r="S34" i="2"/>
  <c r="AQ34" i="2"/>
  <c r="AV34" i="4"/>
  <c r="AA30" i="2"/>
  <c r="R22" i="2"/>
  <c r="U10" i="2"/>
  <c r="BI44" i="4"/>
  <c r="Y33" i="2"/>
  <c r="BI37" i="2"/>
  <c r="I18" i="1"/>
  <c r="Q16" i="2"/>
  <c r="X45" i="4"/>
  <c r="AA12" i="4"/>
  <c r="AA66" i="4" s="1"/>
  <c r="U17" i="2"/>
  <c r="AS19" i="4"/>
  <c r="N16" i="2"/>
  <c r="AQ28" i="4"/>
  <c r="AR20" i="4"/>
  <c r="AU12" i="2"/>
  <c r="AQ13" i="4"/>
  <c r="BE49" i="4"/>
  <c r="M20" i="2"/>
  <c r="M55" i="2" s="1"/>
  <c r="H55" i="1"/>
  <c r="BE18" i="4"/>
  <c r="T38" i="4"/>
  <c r="K33" i="4"/>
  <c r="K97" i="4" s="1"/>
  <c r="X21" i="2"/>
  <c r="X43" i="2" s="1"/>
  <c r="X44" i="2" s="1"/>
  <c r="AW47" i="4"/>
  <c r="N34" i="4"/>
  <c r="AO16" i="4"/>
  <c r="K49" i="1"/>
  <c r="BA15" i="2"/>
  <c r="V25" i="2"/>
  <c r="W47" i="4"/>
  <c r="AR48" i="4"/>
  <c r="S12" i="4"/>
  <c r="S66" i="4" s="1"/>
  <c r="S70" i="4" s="1"/>
  <c r="BF19" i="4"/>
  <c r="BH45" i="4"/>
  <c r="AP10" i="2"/>
  <c r="J54" i="1"/>
  <c r="AW14" i="2"/>
  <c r="AI57" i="2"/>
  <c r="Y44" i="4"/>
  <c r="S36" i="1"/>
  <c r="AN40" i="4"/>
  <c r="V11" i="4"/>
  <c r="V65" i="4" s="1"/>
  <c r="V69" i="4" s="1"/>
  <c r="BF23" i="4"/>
  <c r="AX13" i="2"/>
  <c r="AX49" i="2" s="1"/>
  <c r="AA22" i="2"/>
  <c r="X26" i="4"/>
  <c r="L33" i="2"/>
  <c r="BF20" i="4"/>
  <c r="BG50" i="2" s="1"/>
  <c r="T26" i="4"/>
  <c r="AT23" i="4"/>
  <c r="AN29" i="4"/>
  <c r="W40" i="4"/>
  <c r="AU14" i="4"/>
  <c r="K16" i="1"/>
  <c r="BI12" i="4"/>
  <c r="BI66" i="4" s="1"/>
  <c r="BI70" i="4" s="1"/>
  <c r="AU12" i="4"/>
  <c r="AU66" i="4" s="1"/>
  <c r="K53" i="1"/>
  <c r="V18" i="4"/>
  <c r="H44" i="1"/>
  <c r="AN30" i="2"/>
  <c r="Q13" i="4"/>
  <c r="L39" i="4"/>
  <c r="AR47" i="4"/>
  <c r="P23" i="4"/>
  <c r="J22" i="2"/>
  <c r="AJ57" i="2"/>
  <c r="K59" i="1"/>
  <c r="AA47" i="4"/>
  <c r="S28" i="1"/>
  <c r="AL24" i="2"/>
  <c r="X18" i="4"/>
  <c r="L42" i="4"/>
  <c r="V34" i="4"/>
  <c r="W23" i="2"/>
  <c r="J44" i="1"/>
  <c r="AO17" i="4"/>
  <c r="AW13" i="4"/>
  <c r="X23" i="2"/>
  <c r="T15" i="2"/>
  <c r="AQ20" i="2"/>
  <c r="U18" i="4"/>
  <c r="K11" i="2"/>
  <c r="BG24" i="2"/>
  <c r="T14" i="4"/>
  <c r="BE37" i="2"/>
  <c r="BE38" i="2"/>
  <c r="S22" i="1"/>
  <c r="T43" i="4"/>
  <c r="BI38" i="2"/>
  <c r="AA19" i="4"/>
  <c r="AE19" i="4" s="1"/>
  <c r="AI19" i="4" s="1"/>
  <c r="E6" i="1"/>
  <c r="I54" i="1"/>
  <c r="AW29" i="2"/>
  <c r="AP25" i="2"/>
  <c r="S14" i="2"/>
  <c r="H48" i="1"/>
  <c r="AA36" i="4"/>
  <c r="BE34" i="4"/>
  <c r="K15" i="2"/>
  <c r="K18" i="4"/>
  <c r="I24" i="2"/>
  <c r="V20" i="2"/>
  <c r="V55" i="2" s="1"/>
  <c r="W11" i="2"/>
  <c r="I16" i="2"/>
  <c r="BF17" i="4"/>
  <c r="AQ12" i="2"/>
  <c r="Z21" i="2"/>
  <c r="Z43" i="2" s="1"/>
  <c r="Z44" i="2" s="1"/>
  <c r="AV30" i="2"/>
  <c r="AW26" i="4"/>
  <c r="AV12" i="4"/>
  <c r="AV66" i="4" s="1"/>
  <c r="BF16" i="2"/>
  <c r="H49" i="1"/>
  <c r="N21" i="4"/>
  <c r="AP22" i="2"/>
  <c r="AO12" i="2"/>
  <c r="AB26" i="4"/>
  <c r="S21" i="4"/>
  <c r="BI23" i="2"/>
  <c r="AR28" i="4"/>
  <c r="BE21" i="4"/>
  <c r="AS44" i="4"/>
  <c r="U43" i="4"/>
  <c r="K29" i="2"/>
  <c r="J53" i="1"/>
  <c r="AK22" i="2"/>
  <c r="I53" i="1"/>
  <c r="I56" i="1" s="1"/>
  <c r="Z14" i="4"/>
  <c r="P32" i="2"/>
  <c r="BE34" i="2"/>
  <c r="S38" i="4"/>
  <c r="I50" i="1"/>
  <c r="K48" i="1"/>
  <c r="AQ31" i="4"/>
  <c r="AB43" i="4"/>
  <c r="BH20" i="2"/>
  <c r="AS48" i="4"/>
  <c r="J43" i="1"/>
  <c r="J46" i="1" s="1"/>
  <c r="BF43" i="4"/>
  <c r="R18" i="4"/>
  <c r="H45" i="1"/>
  <c r="AQ11" i="2"/>
  <c r="BE31" i="2"/>
  <c r="P42" i="4"/>
  <c r="T31" i="2"/>
  <c r="AV13" i="4"/>
  <c r="X49" i="4"/>
  <c r="S27" i="1"/>
  <c r="AP14" i="2"/>
  <c r="BG14" i="2"/>
  <c r="K21" i="4"/>
  <c r="BF34" i="4"/>
  <c r="AX32" i="2"/>
  <c r="L16" i="1"/>
  <c r="AP13" i="2"/>
  <c r="AP49" i="2" s="1"/>
  <c r="AR11" i="4"/>
  <c r="AR65" i="4" s="1"/>
  <c r="AR69" i="4" s="1"/>
  <c r="AS10" i="2"/>
  <c r="AN11" i="4"/>
  <c r="AN65" i="4" s="1"/>
  <c r="AN69" i="4" s="1"/>
  <c r="AV18" i="4"/>
  <c r="BI11" i="2"/>
  <c r="AU25" i="2"/>
  <c r="U21" i="2"/>
  <c r="K17" i="1"/>
  <c r="BF32" i="2"/>
  <c r="AU39" i="4"/>
  <c r="AN38" i="4"/>
  <c r="W27" i="4"/>
  <c r="W67" i="4" s="1"/>
  <c r="W72" i="4" s="1"/>
  <c r="M38" i="4"/>
  <c r="V38" i="4"/>
  <c r="AA10" i="2"/>
  <c r="AO26" i="4"/>
  <c r="P10" i="4"/>
  <c r="Y48" i="4"/>
  <c r="L12" i="4"/>
  <c r="L66" i="4" s="1"/>
  <c r="L70" i="4" s="1"/>
  <c r="AR31" i="2"/>
  <c r="BI34" i="4"/>
  <c r="K45" i="1"/>
  <c r="X24" i="2"/>
  <c r="BG39" i="4"/>
  <c r="M15" i="2"/>
  <c r="BG10" i="2"/>
  <c r="AR15" i="2"/>
  <c r="AU36" i="4"/>
  <c r="AR44" i="4"/>
  <c r="O17" i="4"/>
  <c r="P16" i="4"/>
  <c r="AS34" i="2"/>
  <c r="E10" i="1"/>
  <c r="AN20" i="4"/>
  <c r="AA29" i="4"/>
  <c r="H43" i="1"/>
  <c r="H46" i="1" s="1"/>
  <c r="Z13" i="4"/>
  <c r="O14" i="4"/>
  <c r="V34" i="2"/>
  <c r="I21" i="2"/>
  <c r="AP18" i="4"/>
  <c r="AS42" i="4"/>
  <c r="AO17" i="2"/>
  <c r="L16" i="4"/>
  <c r="AO48" i="4"/>
  <c r="K10" i="4"/>
  <c r="AQ14" i="2"/>
  <c r="U16" i="2"/>
  <c r="AO32" i="2"/>
  <c r="AP20" i="2"/>
  <c r="L18" i="4"/>
  <c r="AS22" i="2"/>
  <c r="N34" i="2"/>
  <c r="K43" i="4"/>
  <c r="X27" i="4"/>
  <c r="X67" i="4" s="1"/>
  <c r="X72" i="4" s="1"/>
  <c r="AP11" i="4"/>
  <c r="AP65" i="4" s="1"/>
  <c r="AP69" i="4" s="1"/>
  <c r="N26" i="2"/>
  <c r="BF25" i="2"/>
  <c r="Q11" i="2"/>
  <c r="O45" i="4"/>
  <c r="BE14" i="4"/>
  <c r="Z11" i="2"/>
  <c r="I29" i="2"/>
  <c r="AN33" i="2"/>
  <c r="K38" i="4"/>
  <c r="AO10" i="2"/>
  <c r="AO33" i="2"/>
  <c r="AP48" i="4"/>
  <c r="I26" i="2"/>
  <c r="W14" i="2"/>
  <c r="O48" i="4"/>
  <c r="J45" i="1"/>
  <c r="AN49" i="4"/>
  <c r="T18" i="4"/>
  <c r="W17" i="4"/>
  <c r="J16" i="1"/>
  <c r="X47" i="4"/>
  <c r="N29" i="4"/>
  <c r="AQ39" i="4"/>
  <c r="H54" i="1"/>
  <c r="AU49" i="4"/>
  <c r="AN17" i="4"/>
  <c r="N10" i="2"/>
  <c r="AN34" i="2"/>
  <c r="Q36" i="4"/>
  <c r="I48" i="1"/>
  <c r="L14" i="2"/>
  <c r="AP26" i="2"/>
  <c r="O17" i="2"/>
  <c r="W31" i="4"/>
  <c r="AB34" i="4"/>
  <c r="AC34" i="4" s="1"/>
  <c r="AC14" i="2" s="1"/>
  <c r="BF33" i="4"/>
  <c r="BF97" i="4" s="1"/>
  <c r="AV36" i="4"/>
  <c r="Q29" i="4"/>
  <c r="U26" i="2"/>
  <c r="AB49" i="4"/>
  <c r="AC49" i="4" s="1"/>
  <c r="AD49" i="4" s="1"/>
  <c r="AE49" i="4" s="1"/>
  <c r="AF49" i="4" s="1"/>
  <c r="AG49" i="4" s="1"/>
  <c r="AH49" i="4" s="1"/>
  <c r="AI49" i="4" s="1"/>
  <c r="AJ49" i="4" s="1"/>
  <c r="AK49" i="4" s="1"/>
  <c r="AL49" i="4" s="1"/>
  <c r="J49" i="1"/>
  <c r="BG45" i="4"/>
  <c r="T29" i="4"/>
  <c r="V24" i="2"/>
  <c r="AQ36" i="4"/>
  <c r="Y28" i="4"/>
  <c r="AY24" i="2"/>
  <c r="AR10" i="4"/>
  <c r="J18" i="1"/>
  <c r="L17" i="1"/>
  <c r="U13" i="4"/>
  <c r="BI33" i="2"/>
  <c r="AB13" i="4"/>
  <c r="S40" i="4"/>
  <c r="Q27" i="4"/>
  <c r="Q67" i="4" s="1"/>
  <c r="Q72" i="4" s="1"/>
  <c r="BG31" i="4"/>
  <c r="N14" i="2"/>
  <c r="O14" i="2"/>
  <c r="R23" i="4"/>
  <c r="AQ20" i="4"/>
  <c r="Y15" i="2"/>
  <c r="Y11" i="2"/>
  <c r="Y38" i="4"/>
  <c r="AW21" i="4"/>
  <c r="AX21" i="4" s="1"/>
  <c r="AY21" i="4" s="1"/>
  <c r="AZ21" i="4" s="1"/>
  <c r="BA21" i="4" s="1"/>
  <c r="BB21" i="4" s="1"/>
  <c r="BC21" i="4" s="1"/>
  <c r="S23" i="1"/>
  <c r="P31" i="2"/>
  <c r="J29" i="2"/>
  <c r="M32" i="2"/>
  <c r="Z15" i="2"/>
  <c r="N44" i="4"/>
  <c r="BE43" i="4"/>
  <c r="U44" i="4"/>
  <c r="V16" i="2"/>
  <c r="AS18" i="4"/>
  <c r="AQ45" i="4"/>
  <c r="Q45" i="4"/>
  <c r="M14" i="2"/>
  <c r="BI29" i="4"/>
  <c r="BI25" i="4" s="1"/>
  <c r="AB29" i="2"/>
  <c r="AW20" i="4"/>
  <c r="BH42" i="4"/>
  <c r="AP43" i="4"/>
  <c r="V42" i="4"/>
  <c r="AB21" i="2"/>
  <c r="AB43" i="2" s="1"/>
  <c r="AB44" i="2" s="1"/>
  <c r="R33" i="2"/>
  <c r="O43" i="4"/>
  <c r="I31" i="2"/>
  <c r="AB38" i="4"/>
  <c r="T21" i="2"/>
  <c r="BF48" i="4"/>
  <c r="AQ16" i="2"/>
  <c r="W31" i="2"/>
  <c r="BI33" i="4"/>
  <c r="BI97" i="4" s="1"/>
  <c r="AO14" i="4"/>
  <c r="R25" i="2"/>
  <c r="AS12" i="4"/>
  <c r="AS66" i="4" s="1"/>
  <c r="AS70" i="4" s="1"/>
  <c r="S31" i="4"/>
  <c r="BH19" i="4"/>
  <c r="AH32" i="2"/>
  <c r="S48" i="4"/>
  <c r="AH24" i="2"/>
  <c r="BG26" i="4"/>
  <c r="K40" i="4"/>
  <c r="E12" i="1"/>
  <c r="BG37" i="2"/>
  <c r="W21" i="4"/>
  <c r="P33" i="2"/>
  <c r="V23" i="2"/>
  <c r="I59" i="1"/>
  <c r="BG29" i="4"/>
  <c r="BG25" i="4" s="1"/>
  <c r="BE42" i="4"/>
  <c r="AT12" i="4"/>
  <c r="AT66" i="4" s="1"/>
  <c r="Q10" i="2"/>
  <c r="AT44" i="4"/>
  <c r="AS14" i="4"/>
  <c r="AW12" i="4"/>
  <c r="AW66" i="4" s="1"/>
  <c r="O28" i="4"/>
  <c r="M27" i="4"/>
  <c r="M67" i="4" s="1"/>
  <c r="M72" i="4" s="1"/>
  <c r="O47" i="4"/>
  <c r="AS47" i="4"/>
  <c r="I22" i="2"/>
  <c r="BF17" i="2"/>
  <c r="BF54" i="2" s="1"/>
  <c r="M26" i="2"/>
  <c r="BF12" i="2"/>
  <c r="AN32" i="2"/>
  <c r="AR45" i="4"/>
  <c r="Z25" i="2"/>
  <c r="M29" i="4"/>
  <c r="BF18" i="4"/>
  <c r="Z20" i="4"/>
  <c r="AA50" i="2" s="1"/>
  <c r="E18" i="1"/>
  <c r="AB40" i="4"/>
  <c r="V14" i="4"/>
  <c r="AT16" i="4"/>
  <c r="AQ24" i="2"/>
  <c r="AN26" i="4"/>
  <c r="BC22" i="2"/>
  <c r="N13" i="4"/>
  <c r="AB47" i="4"/>
  <c r="BI26" i="2"/>
  <c r="BI26" i="4"/>
  <c r="AR18" i="4"/>
  <c r="S38" i="1"/>
  <c r="W36" i="4"/>
  <c r="BG17" i="4"/>
  <c r="BH48" i="4"/>
  <c r="BH36" i="2"/>
  <c r="BF10" i="2"/>
  <c r="AT25" i="2"/>
  <c r="I55" i="1"/>
  <c r="E14" i="1"/>
  <c r="W13" i="2"/>
  <c r="W49" i="2" s="1"/>
  <c r="P34" i="4"/>
  <c r="AV16" i="2"/>
  <c r="U23" i="4"/>
  <c r="AW16" i="2"/>
  <c r="AA17" i="4"/>
  <c r="AQ14" i="4"/>
  <c r="BH33" i="4"/>
  <c r="BH97" i="4" s="1"/>
  <c r="BI39" i="4"/>
  <c r="K43" i="1"/>
  <c r="K46" i="1" s="1"/>
  <c r="AV22" i="2"/>
  <c r="BC25" i="2"/>
  <c r="AN14" i="4"/>
  <c r="AR17" i="2"/>
  <c r="K16" i="4"/>
  <c r="X16" i="4"/>
  <c r="K29" i="4"/>
  <c r="S32" i="2"/>
  <c r="Y20" i="2"/>
  <c r="BF36" i="2"/>
  <c r="BH12" i="2"/>
  <c r="J33" i="2"/>
  <c r="BI16" i="4"/>
  <c r="BG12" i="2"/>
  <c r="M10" i="2"/>
  <c r="O42" i="4"/>
  <c r="V36" i="4"/>
  <c r="AQ11" i="4"/>
  <c r="AQ65" i="4" s="1"/>
  <c r="AQ69" i="4" s="1"/>
  <c r="AR23" i="2"/>
  <c r="AG22" i="2"/>
  <c r="M17" i="2"/>
  <c r="AN39" i="4"/>
  <c r="AN28" i="4"/>
  <c r="AV23" i="2"/>
  <c r="BF38" i="2"/>
  <c r="AW27" i="4"/>
  <c r="AW67" i="4" s="1"/>
  <c r="AW72" i="4" s="1"/>
  <c r="AW12" i="2"/>
  <c r="M34" i="2"/>
  <c r="M42" i="4"/>
  <c r="P48" i="4"/>
  <c r="T22" i="2"/>
  <c r="M34" i="4"/>
  <c r="K45" i="4"/>
  <c r="T33" i="2"/>
  <c r="AL32" i="2"/>
  <c r="BE39" i="4"/>
  <c r="AU20" i="4"/>
  <c r="BH10" i="2"/>
  <c r="I60" i="1"/>
  <c r="AP21" i="4"/>
  <c r="AA44" i="4"/>
  <c r="O20" i="2"/>
  <c r="O55" i="2" s="1"/>
  <c r="AV39" i="4"/>
  <c r="AW40" i="4"/>
  <c r="AX40" i="4" s="1"/>
  <c r="O18" i="4"/>
  <c r="N16" i="4"/>
  <c r="Q16" i="4"/>
  <c r="X30" i="2"/>
  <c r="BE11" i="2"/>
  <c r="AA13" i="4"/>
  <c r="BF16" i="4"/>
  <c r="BG15" i="2"/>
  <c r="Q30" i="2"/>
  <c r="BF12" i="4"/>
  <c r="BF66" i="4" s="1"/>
  <c r="BF70" i="4" s="1"/>
  <c r="AP29" i="4"/>
  <c r="L48" i="4"/>
  <c r="Q20" i="2"/>
  <c r="Q55" i="2" s="1"/>
  <c r="L32" i="2"/>
  <c r="N43" i="4"/>
  <c r="Q33" i="4"/>
  <c r="Q97" i="4" s="1"/>
  <c r="L29" i="2"/>
  <c r="AQ33" i="2"/>
  <c r="Z26" i="4"/>
  <c r="P39" i="4"/>
  <c r="AX22" i="2"/>
  <c r="AU21" i="4"/>
  <c r="AN22" i="2"/>
  <c r="AS21" i="4"/>
  <c r="BC15" i="2"/>
  <c r="AA21" i="2"/>
  <c r="AX17" i="2"/>
  <c r="K23" i="4"/>
  <c r="AU17" i="4"/>
  <c r="AT24" i="2"/>
  <c r="Y26" i="4"/>
  <c r="AR24" i="2"/>
  <c r="R29" i="2"/>
  <c r="AX30" i="2"/>
  <c r="AA45" i="4"/>
  <c r="L15" i="2"/>
  <c r="U28" i="4"/>
  <c r="AV47" i="4"/>
  <c r="V11" i="2"/>
  <c r="AS31" i="2"/>
  <c r="R13" i="4"/>
  <c r="X17" i="4"/>
  <c r="O13" i="4"/>
  <c r="W17" i="2"/>
  <c r="AT11" i="4"/>
  <c r="AT65" i="4" s="1"/>
  <c r="AT69" i="4" s="1"/>
  <c r="BE11" i="4"/>
  <c r="AZ25" i="2"/>
  <c r="M45" i="4"/>
  <c r="AE22" i="2"/>
  <c r="AW20" i="2"/>
  <c r="S15" i="2"/>
  <c r="Z19" i="4"/>
  <c r="AD19" i="4" s="1"/>
  <c r="AH19" i="4" s="1"/>
  <c r="AL19" i="4" s="1"/>
  <c r="AO16" i="2"/>
  <c r="W26" i="2"/>
  <c r="AU15" i="2"/>
  <c r="BB22" i="2"/>
  <c r="AU20" i="2"/>
  <c r="L45" i="4"/>
  <c r="M28" i="4"/>
  <c r="U34" i="2"/>
  <c r="AQ38" i="4"/>
  <c r="T45" i="4"/>
  <c r="AV27" i="4"/>
  <c r="AV67" i="4" s="1"/>
  <c r="AV72" i="4" s="1"/>
  <c r="J25" i="2"/>
  <c r="BH36" i="4"/>
  <c r="J21" i="2"/>
  <c r="T29" i="2"/>
  <c r="S22" i="2"/>
  <c r="AR32" i="2"/>
  <c r="BG16" i="4"/>
  <c r="Q21" i="2"/>
  <c r="O33" i="4"/>
  <c r="O97" i="4" s="1"/>
  <c r="AO29" i="4"/>
  <c r="S11" i="2"/>
  <c r="AT21" i="4"/>
  <c r="BH49" i="4"/>
  <c r="T39" i="4"/>
  <c r="AA23" i="2"/>
  <c r="AF22" i="2"/>
  <c r="BF27" i="4"/>
  <c r="BF67" i="4" s="1"/>
  <c r="BF72" i="4" s="1"/>
  <c r="AR22" i="2"/>
  <c r="Z20" i="2"/>
  <c r="AD24" i="2"/>
  <c r="BH11" i="4"/>
  <c r="BH65" i="4" s="1"/>
  <c r="BH69" i="4" s="1"/>
  <c r="BC33" i="2"/>
  <c r="P26" i="2"/>
  <c r="BE36" i="4"/>
  <c r="U29" i="2"/>
  <c r="Y14" i="4"/>
  <c r="AF23" i="2"/>
  <c r="AG23" i="2"/>
  <c r="AW18" i="4"/>
  <c r="X34" i="2"/>
  <c r="X28" i="4"/>
  <c r="AU30" i="2"/>
  <c r="L22" i="2"/>
  <c r="V23" i="4"/>
  <c r="BH10" i="4"/>
  <c r="R48" i="4"/>
  <c r="AU23" i="4"/>
  <c r="K50" i="1"/>
  <c r="AO18" i="4"/>
  <c r="BE26" i="2"/>
  <c r="Q14" i="4"/>
  <c r="P22" i="2"/>
  <c r="W29" i="2"/>
  <c r="S29" i="4"/>
  <c r="V43" i="4"/>
  <c r="AP15" i="2"/>
  <c r="AX33" i="2"/>
  <c r="AT15" i="2"/>
  <c r="Z30" i="2"/>
  <c r="AT14" i="4"/>
  <c r="V10" i="4"/>
  <c r="BH32" i="2"/>
  <c r="BI42" i="4"/>
  <c r="AJ22" i="2"/>
  <c r="BG22" i="2"/>
  <c r="S28" i="4"/>
  <c r="N48" i="4"/>
  <c r="L26" i="2"/>
  <c r="Y18" i="4"/>
  <c r="AC18" i="4" s="1"/>
  <c r="AG18" i="4" s="1"/>
  <c r="AK18" i="4" s="1"/>
  <c r="Q32" i="2"/>
  <c r="Q23" i="2"/>
  <c r="AP27" i="4"/>
  <c r="AP67" i="4" s="1"/>
  <c r="AP72" i="4" s="1"/>
  <c r="AK24" i="2"/>
  <c r="AE24" i="2"/>
  <c r="AW26" i="2"/>
  <c r="X14" i="4"/>
  <c r="K30" i="2"/>
  <c r="BF33" i="2"/>
  <c r="AR43" i="4"/>
  <c r="L27" i="4"/>
  <c r="L67" i="4" s="1"/>
  <c r="L72" i="4" s="1"/>
  <c r="W38" i="4"/>
  <c r="AE32" i="2"/>
  <c r="I30" i="2"/>
  <c r="L11" i="2"/>
  <c r="AQ21" i="2"/>
  <c r="AQ43" i="2" s="1"/>
  <c r="AQ44" i="2" s="1"/>
  <c r="V32" i="2"/>
  <c r="Z17" i="4"/>
  <c r="U33" i="4"/>
  <c r="U97" i="4" s="1"/>
  <c r="X23" i="4"/>
  <c r="Z39" i="4"/>
  <c r="M21" i="4"/>
  <c r="AO13" i="2"/>
  <c r="AO49" i="2" s="1"/>
  <c r="AO50" i="2" s="1"/>
  <c r="R33" i="4"/>
  <c r="R97" i="4" s="1"/>
  <c r="AS25" i="2"/>
  <c r="AN31" i="2"/>
  <c r="Y12" i="2"/>
  <c r="Y46" i="2" s="1"/>
  <c r="R26" i="2"/>
  <c r="AA11" i="2"/>
  <c r="U34" i="4"/>
  <c r="P45" i="4"/>
  <c r="BG11" i="4"/>
  <c r="BG65" i="4" s="1"/>
  <c r="BG69" i="4" s="1"/>
  <c r="BE29" i="2"/>
  <c r="AW44" i="4"/>
  <c r="V26" i="2"/>
  <c r="AW30" i="2"/>
  <c r="AA31" i="4"/>
  <c r="V12" i="4"/>
  <c r="V66" i="4" s="1"/>
  <c r="V70" i="4" s="1"/>
  <c r="K20" i="2"/>
  <c r="K55" i="2" s="1"/>
  <c r="R30" i="2"/>
  <c r="U29" i="4"/>
  <c r="Q31" i="2"/>
  <c r="AV15" i="2"/>
  <c r="X11" i="4"/>
  <c r="X65" i="4" s="1"/>
  <c r="X69" i="4" s="1"/>
  <c r="L34" i="2"/>
  <c r="AD22" i="2"/>
  <c r="AU43" i="4"/>
  <c r="W24" i="2"/>
  <c r="Y45" i="4"/>
  <c r="Y14" i="2"/>
  <c r="AW33" i="2"/>
  <c r="AS10" i="4"/>
  <c r="AP32" i="2"/>
  <c r="AQ40" i="4"/>
  <c r="X12" i="4"/>
  <c r="X66" i="4" s="1"/>
  <c r="X70" i="4" s="1"/>
  <c r="AT27" i="4"/>
  <c r="AT67" i="4" s="1"/>
  <c r="AT72" i="4" s="1"/>
  <c r="Z27" i="4"/>
  <c r="Z67" i="4" s="1"/>
  <c r="Z72" i="4" s="1"/>
  <c r="AR40" i="4"/>
  <c r="K34" i="4"/>
  <c r="Q11" i="4"/>
  <c r="Q65" i="4" s="1"/>
  <c r="Q69" i="4" s="1"/>
  <c r="M16" i="4"/>
  <c r="N11" i="4"/>
  <c r="N65" i="4" s="1"/>
  <c r="N69" i="4" s="1"/>
  <c r="T30" i="2"/>
  <c r="AW32" i="2"/>
  <c r="U31" i="2"/>
  <c r="K10" i="2"/>
  <c r="V14" i="2"/>
  <c r="BH18" i="4"/>
  <c r="Z36" i="4"/>
  <c r="T23" i="2"/>
  <c r="AX24" i="2"/>
  <c r="AA40" i="4"/>
  <c r="BG40" i="4"/>
  <c r="P43" i="4"/>
  <c r="Q26" i="2"/>
  <c r="X16" i="2"/>
  <c r="T32" i="2"/>
  <c r="N25" i="2"/>
  <c r="BH20" i="4"/>
  <c r="BI50" i="2" s="1"/>
  <c r="BF29" i="4"/>
  <c r="BF25" i="4" s="1"/>
  <c r="Q12" i="4"/>
  <c r="Q66" i="4" s="1"/>
  <c r="Q70" i="4" s="1"/>
  <c r="Z49" i="4"/>
  <c r="BB48" i="4"/>
  <c r="AP16" i="4"/>
  <c r="I32" i="2"/>
  <c r="W26" i="4"/>
  <c r="AN19" i="4"/>
  <c r="AU40" i="4"/>
  <c r="T47" i="4"/>
  <c r="R27" i="4"/>
  <c r="R67" i="4" s="1"/>
  <c r="R72" i="4" s="1"/>
  <c r="AP17" i="2"/>
  <c r="AQ26" i="4"/>
  <c r="AO22" i="2"/>
  <c r="Z14" i="2"/>
  <c r="BH29" i="2"/>
  <c r="BE15" i="2"/>
  <c r="AQ44" i="4"/>
  <c r="AN16" i="4"/>
  <c r="X33" i="2"/>
  <c r="AW48" i="4"/>
  <c r="S23" i="4"/>
  <c r="BH12" i="4"/>
  <c r="BH66" i="4" s="1"/>
  <c r="BH70" i="4" s="1"/>
  <c r="Z16" i="4"/>
  <c r="AA47" i="2" s="1"/>
  <c r="Y27" i="4"/>
  <c r="Y67" i="4" s="1"/>
  <c r="Y72" i="4" s="1"/>
  <c r="AV20" i="2"/>
  <c r="Q43" i="4"/>
  <c r="BE28" i="4"/>
  <c r="BF26" i="4"/>
  <c r="AW25" i="2"/>
  <c r="AS43" i="4"/>
  <c r="W11" i="4"/>
  <c r="W65" i="4" s="1"/>
  <c r="W69" i="4" s="1"/>
  <c r="BG28" i="4"/>
  <c r="AB23" i="2"/>
  <c r="R29" i="4"/>
  <c r="X32" i="2"/>
  <c r="BF24" i="2"/>
  <c r="O44" i="4"/>
  <c r="BF31" i="4"/>
  <c r="AU10" i="4"/>
  <c r="T33" i="4"/>
  <c r="T97" i="4" s="1"/>
  <c r="J48" i="1"/>
  <c r="K16" i="2"/>
  <c r="AT13" i="4"/>
  <c r="AT17" i="2"/>
  <c r="O33" i="2"/>
  <c r="BG26" i="2"/>
  <c r="Q15" i="2"/>
  <c r="AR34" i="4"/>
  <c r="AS17" i="4"/>
  <c r="AV14" i="4"/>
  <c r="M31" i="4"/>
  <c r="N21" i="2"/>
  <c r="BA49" i="4"/>
  <c r="H50" i="1"/>
  <c r="S13" i="4"/>
  <c r="S26" i="4"/>
  <c r="AY25" i="2"/>
  <c r="AU16" i="4"/>
  <c r="AQ18" i="4"/>
  <c r="U11" i="2"/>
  <c r="BI48" i="4"/>
  <c r="O16" i="4"/>
  <c r="L30" i="2"/>
  <c r="AB18" i="4"/>
  <c r="AF18" i="4" s="1"/>
  <c r="AJ18" i="4" s="1"/>
  <c r="Y42" i="4"/>
  <c r="O24" i="2"/>
  <c r="Y17" i="2"/>
  <c r="X10" i="2"/>
  <c r="Y43" i="4"/>
  <c r="AS33" i="2"/>
  <c r="BH38" i="2"/>
  <c r="H76" i="1" s="1"/>
  <c r="Y12" i="4"/>
  <c r="Y66" i="4" s="1"/>
  <c r="AU31" i="2"/>
  <c r="M21" i="2"/>
  <c r="Z34" i="4"/>
  <c r="BG38" i="2"/>
  <c r="W33" i="4"/>
  <c r="W97" i="4" s="1"/>
  <c r="Y31" i="2"/>
  <c r="AT31" i="2"/>
  <c r="V29" i="4"/>
  <c r="AT29" i="2"/>
  <c r="W48" i="4"/>
  <c r="BB15" i="2"/>
  <c r="AQ19" i="4"/>
  <c r="BI38" i="4"/>
  <c r="L44" i="4"/>
  <c r="X17" i="2"/>
  <c r="BA48" i="4"/>
  <c r="X48" i="4"/>
  <c r="BI14" i="4"/>
  <c r="BH16" i="4"/>
  <c r="M39" i="4"/>
  <c r="Y20" i="4"/>
  <c r="AO29" i="2"/>
  <c r="BA23" i="2"/>
  <c r="X12" i="2"/>
  <c r="X46" i="2" s="1"/>
  <c r="AV44" i="4"/>
  <c r="V28" i="4"/>
  <c r="R39" i="4"/>
  <c r="BE20" i="4"/>
  <c r="BF50" i="2" s="1"/>
  <c r="AV26" i="4"/>
  <c r="AT34" i="2"/>
  <c r="I23" i="2"/>
  <c r="AV43" i="4"/>
  <c r="U21" i="4"/>
  <c r="V47" i="4"/>
  <c r="R36" i="4"/>
  <c r="AO10" i="4"/>
  <c r="N28" i="4"/>
  <c r="R26" i="4"/>
  <c r="AV45" i="4"/>
  <c r="N45" i="4"/>
  <c r="K48" i="4"/>
  <c r="AQ34" i="4"/>
  <c r="AU33" i="4"/>
  <c r="AU97" i="4" s="1"/>
  <c r="T48" i="4"/>
  <c r="BF31" i="2"/>
  <c r="P16" i="2"/>
  <c r="X29" i="4"/>
  <c r="O34" i="4"/>
  <c r="L19" i="1"/>
  <c r="V45" i="4"/>
  <c r="K31" i="2"/>
  <c r="V15" i="2"/>
  <c r="M40" i="4"/>
  <c r="AV33" i="2"/>
  <c r="S27" i="4"/>
  <c r="S67" i="4" s="1"/>
  <c r="S72" i="4" s="1"/>
  <c r="N40" i="4"/>
  <c r="Y21" i="4"/>
  <c r="AC21" i="4" s="1"/>
  <c r="AG21" i="4" s="1"/>
  <c r="AK21" i="4" s="1"/>
  <c r="AB23" i="4"/>
  <c r="BI13" i="4"/>
  <c r="C3" i="1"/>
  <c r="AW23" i="2"/>
  <c r="N33" i="2"/>
  <c r="AN45" i="4"/>
  <c r="S29" i="2"/>
  <c r="AW28" i="4"/>
  <c r="AX28" i="4" s="1"/>
  <c r="AY28" i="4" s="1"/>
  <c r="AZ28" i="4" s="1"/>
  <c r="BA28" i="4" s="1"/>
  <c r="BB28" i="4" s="1"/>
  <c r="BC28" i="4" s="1"/>
  <c r="Y30" i="2"/>
  <c r="AA24" i="2"/>
  <c r="AJ24" i="2"/>
  <c r="I20" i="2"/>
  <c r="I55" i="2" s="1"/>
  <c r="AK32" i="2"/>
  <c r="AI22" i="2"/>
  <c r="M11" i="2"/>
  <c r="O34" i="2"/>
  <c r="AO23" i="4"/>
  <c r="Z13" i="2"/>
  <c r="Z49" i="2" s="1"/>
  <c r="AQ27" i="4"/>
  <c r="AQ67" i="4" s="1"/>
  <c r="AQ72" i="4" s="1"/>
  <c r="AV48" i="4"/>
  <c r="AT34" i="4"/>
  <c r="BH38" i="4"/>
  <c r="S43" i="4"/>
  <c r="U20" i="2"/>
  <c r="U55" i="2" s="1"/>
  <c r="J17" i="2"/>
  <c r="K12" i="4"/>
  <c r="K66" i="4" s="1"/>
  <c r="K70" i="4" s="1"/>
  <c r="AV13" i="2"/>
  <c r="AV49" i="2" s="1"/>
  <c r="AU34" i="2"/>
  <c r="Q29" i="2"/>
  <c r="U12" i="4"/>
  <c r="U66" i="4" s="1"/>
  <c r="U70" i="4" s="1"/>
  <c r="AQ17" i="4"/>
  <c r="AV12" i="2"/>
  <c r="P24" i="2"/>
  <c r="AY48" i="4"/>
  <c r="AP21" i="2"/>
  <c r="AP43" i="2" s="1"/>
  <c r="AP44" i="2" s="1"/>
  <c r="S25" i="2"/>
  <c r="AS20" i="2"/>
  <c r="P23" i="2"/>
  <c r="AV33" i="4"/>
  <c r="AV97" i="4" s="1"/>
  <c r="Q42" i="4"/>
  <c r="T21" i="4"/>
  <c r="AO42" i="4"/>
  <c r="AP33" i="2"/>
  <c r="Y13" i="4"/>
  <c r="BE32" i="2"/>
  <c r="AP45" i="4"/>
  <c r="AA27" i="4"/>
  <c r="AA67" i="4" s="1"/>
  <c r="AA72" i="4" s="1"/>
  <c r="BF45" i="4"/>
  <c r="L38" i="4"/>
  <c r="K19" i="1"/>
  <c r="M23" i="4"/>
  <c r="AA34" i="2"/>
  <c r="AZ49" i="4"/>
  <c r="AQ30" i="2"/>
  <c r="Q24" i="2"/>
  <c r="J58" i="1"/>
  <c r="E16" i="1"/>
  <c r="AQ13" i="2"/>
  <c r="AQ49" i="2" s="1"/>
  <c r="BE33" i="2"/>
  <c r="V16" i="4"/>
  <c r="U17" i="4"/>
  <c r="AR12" i="4"/>
  <c r="AR66" i="4" s="1"/>
  <c r="AR70" i="4" s="1"/>
  <c r="AW34" i="4"/>
  <c r="AX34" i="4" s="1"/>
  <c r="AY34" i="4" s="1"/>
  <c r="R43" i="4"/>
  <c r="R21" i="2"/>
  <c r="BH14" i="4"/>
  <c r="AB28" i="4"/>
  <c r="S39" i="4"/>
  <c r="AB22" i="2"/>
  <c r="X26" i="2"/>
  <c r="I17" i="2"/>
  <c r="K22" i="2"/>
  <c r="J11" i="2"/>
  <c r="U30" i="2"/>
  <c r="Z38" i="4"/>
  <c r="AB31" i="2"/>
  <c r="BG23" i="4"/>
  <c r="BF44" i="4"/>
  <c r="AS14" i="2"/>
  <c r="S34" i="1"/>
  <c r="AW49" i="4"/>
  <c r="M25" i="2"/>
  <c r="AS28" i="4"/>
  <c r="S11" i="4"/>
  <c r="S65" i="4" s="1"/>
  <c r="S69" i="4" s="1"/>
  <c r="BG20" i="2"/>
  <c r="AX31" i="2"/>
  <c r="R44" i="4"/>
  <c r="Z18" i="4"/>
  <c r="AD18" i="4" s="1"/>
  <c r="AH18" i="4" s="1"/>
  <c r="AL18" i="4" s="1"/>
  <c r="BE29" i="4"/>
  <c r="BE25" i="4" s="1"/>
  <c r="AU44" i="4"/>
  <c r="O11" i="4"/>
  <c r="O65" i="4" s="1"/>
  <c r="O69" i="4" s="1"/>
  <c r="AV16" i="4"/>
  <c r="N32" i="2"/>
  <c r="AU26" i="2"/>
  <c r="BG16" i="2"/>
  <c r="V27" i="4"/>
  <c r="V67" i="4" s="1"/>
  <c r="V72" i="4" s="1"/>
  <c r="U25" i="2"/>
  <c r="AB11" i="4"/>
  <c r="L21" i="4"/>
  <c r="L14" i="4"/>
  <c r="W12" i="2"/>
  <c r="W46" i="2" s="1"/>
  <c r="BF11" i="4"/>
  <c r="BF65" i="4" s="1"/>
  <c r="BF69" i="4" s="1"/>
  <c r="AP30" i="2"/>
  <c r="U47" i="4"/>
  <c r="N17" i="4"/>
  <c r="AB33" i="2"/>
  <c r="BG29" i="2"/>
  <c r="BI49" i="4"/>
  <c r="AH23" i="2"/>
  <c r="AT11" i="2"/>
  <c r="AT46" i="2" s="1"/>
  <c r="BG21" i="4"/>
  <c r="AN26" i="2"/>
  <c r="AO15" i="2"/>
  <c r="M30" i="2"/>
  <c r="BB49" i="4"/>
  <c r="AR13" i="4"/>
  <c r="O31" i="4"/>
  <c r="BG42" i="4"/>
  <c r="R17" i="2"/>
  <c r="BE27" i="4"/>
  <c r="BE67" i="4" s="1"/>
  <c r="BE72" i="4" s="1"/>
  <c r="AZ24" i="2"/>
  <c r="Q48" i="4"/>
  <c r="S14" i="4"/>
  <c r="AS13" i="2"/>
  <c r="AS49" i="2" s="1"/>
  <c r="BH25" i="2"/>
  <c r="Z29" i="4"/>
  <c r="Y17" i="4"/>
  <c r="AS34" i="4"/>
  <c r="M43" i="4"/>
  <c r="Z10" i="4"/>
  <c r="AP36" i="4"/>
  <c r="AS31" i="4"/>
  <c r="Q44" i="4"/>
  <c r="J31" i="2"/>
  <c r="BI16" i="2"/>
  <c r="AN21" i="4"/>
  <c r="AB20" i="4"/>
  <c r="U26" i="4"/>
  <c r="AS23" i="4"/>
  <c r="V29" i="2"/>
  <c r="K25" i="2"/>
  <c r="AO34" i="4"/>
  <c r="N31" i="4"/>
  <c r="BI21" i="4"/>
  <c r="O38" i="4"/>
  <c r="AO24" i="2"/>
  <c r="AR29" i="2"/>
  <c r="AA15" i="2"/>
  <c r="AA42" i="4"/>
  <c r="AA25" i="2"/>
  <c r="AR29" i="4"/>
  <c r="T25" i="2"/>
  <c r="AT23" i="2"/>
  <c r="AN12" i="4"/>
  <c r="AN66" i="4" s="1"/>
  <c r="AN70" i="4" s="1"/>
  <c r="AT26" i="4"/>
  <c r="BG33" i="2"/>
  <c r="AU47" i="4"/>
  <c r="K18" i="1"/>
  <c r="Z31" i="2"/>
  <c r="AA26" i="2"/>
  <c r="P40" i="4"/>
  <c r="AQ12" i="4"/>
  <c r="AQ66" i="4" s="1"/>
  <c r="AQ70" i="4" s="1"/>
  <c r="W34" i="2"/>
  <c r="N12" i="4"/>
  <c r="N66" i="4" s="1"/>
  <c r="N70" i="4" s="1"/>
  <c r="T16" i="2"/>
  <c r="R24" i="2"/>
  <c r="AH57" i="2"/>
  <c r="AZ22" i="2"/>
  <c r="BF40" i="4"/>
  <c r="BE40" i="4"/>
  <c r="AO12" i="4"/>
  <c r="AO66" i="4" s="1"/>
  <c r="AO70" i="4" s="1"/>
  <c r="BF13" i="4"/>
  <c r="W18" i="4"/>
  <c r="T36" i="4"/>
  <c r="AO39" i="4"/>
  <c r="R34" i="2"/>
  <c r="S17" i="4"/>
  <c r="BH28" i="4"/>
  <c r="BI17" i="4"/>
  <c r="X21" i="4"/>
  <c r="BG13" i="4"/>
  <c r="S21" i="2"/>
  <c r="U15" i="2"/>
  <c r="BE16" i="4"/>
  <c r="BH11" i="2"/>
  <c r="V21" i="4"/>
  <c r="AA16" i="2"/>
  <c r="AV21" i="4"/>
  <c r="J14" i="2"/>
  <c r="AS29" i="2"/>
  <c r="AP49" i="4"/>
  <c r="L40" i="4"/>
  <c r="AU42" i="4"/>
  <c r="W16" i="4"/>
  <c r="Q21" i="4"/>
  <c r="K13" i="4"/>
  <c r="AV10" i="4"/>
  <c r="AT19" i="4"/>
  <c r="AV17" i="4"/>
  <c r="BC48" i="4"/>
  <c r="W20" i="4"/>
  <c r="AR42" i="4"/>
  <c r="AQ31" i="2"/>
  <c r="O27" i="4"/>
  <c r="O67" i="4" s="1"/>
  <c r="O72" i="4" s="1"/>
  <c r="AT32" i="2"/>
  <c r="AA28" i="4"/>
  <c r="AQ48" i="4"/>
  <c r="W19" i="4"/>
  <c r="AU29" i="2"/>
  <c r="X19" i="4"/>
  <c r="Z32" i="2"/>
  <c r="BI12" i="2"/>
  <c r="BI46" i="2" s="1"/>
  <c r="Z24" i="2"/>
  <c r="O25" i="2"/>
  <c r="Z34" i="2"/>
  <c r="K26" i="2"/>
  <c r="AX25" i="2"/>
  <c r="BF22" i="2"/>
  <c r="Q39" i="4"/>
  <c r="J32" i="2"/>
  <c r="AB31" i="4"/>
  <c r="AP44" i="4"/>
  <c r="AU31" i="4"/>
  <c r="BI10" i="2"/>
  <c r="BE13" i="4"/>
  <c r="O31" i="2"/>
  <c r="AB16" i="2"/>
  <c r="W49" i="4"/>
  <c r="AT21" i="2"/>
  <c r="AT43" i="2" s="1"/>
  <c r="AT44" i="2" s="1"/>
  <c r="S24" i="1"/>
  <c r="R10" i="4"/>
  <c r="U24" i="2"/>
  <c r="R11" i="4"/>
  <c r="R65" i="4" s="1"/>
  <c r="R69" i="4" s="1"/>
  <c r="AS39" i="4"/>
  <c r="AN16" i="2"/>
  <c r="AR33" i="4"/>
  <c r="AR97" i="4" s="1"/>
  <c r="AN36" i="4"/>
  <c r="BH26" i="2"/>
  <c r="T20" i="2"/>
  <c r="T55" i="2" s="1"/>
  <c r="AA34" i="4"/>
  <c r="P30" i="2"/>
  <c r="AP10" i="4"/>
  <c r="AV21" i="2"/>
  <c r="AV43" i="2" s="1"/>
  <c r="AV44" i="2" s="1"/>
  <c r="X33" i="4"/>
  <c r="X97" i="4" s="1"/>
  <c r="U45" i="4"/>
  <c r="AV17" i="2"/>
  <c r="AW14" i="4"/>
  <c r="Q28" i="4"/>
  <c r="AA39" i="4"/>
  <c r="AP33" i="4"/>
  <c r="AP97" i="4" s="1"/>
  <c r="AQ26" i="2"/>
  <c r="X36" i="4"/>
  <c r="BG44" i="4"/>
  <c r="R42" i="4"/>
  <c r="BI43" i="4"/>
  <c r="U48" i="4"/>
  <c r="BI14" i="2"/>
  <c r="Q34" i="2"/>
  <c r="M17" i="4"/>
  <c r="M26" i="4"/>
  <c r="W32" i="2"/>
  <c r="BI30" i="2"/>
  <c r="BF14" i="2"/>
  <c r="V10" i="2"/>
  <c r="AO20" i="2"/>
  <c r="Q25" i="2"/>
  <c r="Y47" i="4"/>
  <c r="BG33" i="4"/>
  <c r="BG97" i="4" s="1"/>
  <c r="Q47" i="4"/>
  <c r="U11" i="4"/>
  <c r="U65" i="4" s="1"/>
  <c r="U69" i="4" s="1"/>
  <c r="Q34" i="4"/>
  <c r="BB25" i="2"/>
  <c r="BF10" i="4"/>
  <c r="J23" i="2"/>
  <c r="U14" i="4"/>
  <c r="AR14" i="2"/>
  <c r="AX23" i="2"/>
  <c r="O29" i="2"/>
  <c r="N23" i="4"/>
  <c r="BI20" i="2"/>
  <c r="AO34" i="2"/>
  <c r="AP23" i="2"/>
  <c r="J20" i="2"/>
  <c r="J55" i="2" s="1"/>
  <c r="S42" i="4"/>
  <c r="AV26" i="2"/>
  <c r="AA11" i="4"/>
  <c r="AA65" i="4" s="1"/>
  <c r="AA69" i="4" s="1"/>
  <c r="Q17" i="2"/>
  <c r="O10" i="4"/>
  <c r="T27" i="4"/>
  <c r="T67" i="4" s="1"/>
  <c r="T72" i="4" s="1"/>
  <c r="I14" i="2"/>
  <c r="AR13" i="2"/>
  <c r="AR49" i="2" s="1"/>
  <c r="Y25" i="2"/>
  <c r="Y10" i="2"/>
  <c r="AA32" i="2"/>
  <c r="L43" i="4"/>
  <c r="S33" i="2"/>
  <c r="AS15" i="2"/>
  <c r="AT20" i="2"/>
  <c r="S31" i="2"/>
  <c r="P10" i="2"/>
  <c r="AP34" i="2"/>
  <c r="Y33" i="4"/>
  <c r="Y97" i="4" s="1"/>
  <c r="BH15" i="2"/>
  <c r="AU13" i="4"/>
  <c r="R21" i="4"/>
  <c r="U32" i="2"/>
  <c r="AU23" i="2"/>
  <c r="AN47" i="4"/>
  <c r="U36" i="4"/>
  <c r="AN27" i="4"/>
  <c r="AN67" i="4" s="1"/>
  <c r="AN72" i="4" s="1"/>
  <c r="I10" i="2"/>
  <c r="U39" i="4"/>
  <c r="AQ21" i="4"/>
  <c r="L31" i="2"/>
  <c r="BG48" i="4"/>
  <c r="I15" i="2"/>
  <c r="AV32" i="2"/>
  <c r="AW11" i="2"/>
  <c r="AW46" i="2" s="1"/>
  <c r="AQ29" i="4"/>
  <c r="R16" i="2"/>
  <c r="AR31" i="4"/>
  <c r="AS20" i="4"/>
  <c r="P44" i="4"/>
  <c r="AO40" i="4"/>
  <c r="AN10" i="2"/>
  <c r="J24" i="2"/>
  <c r="W29" i="4"/>
  <c r="BE23" i="4"/>
  <c r="T13" i="4"/>
  <c r="AB14" i="4"/>
  <c r="AU48" i="4"/>
  <c r="AT28" i="4"/>
  <c r="P33" i="4"/>
  <c r="P97" i="4" s="1"/>
  <c r="Z12" i="2"/>
  <c r="Z46" i="2" s="1"/>
  <c r="Z47" i="2" s="1"/>
  <c r="AO14" i="2"/>
  <c r="AW17" i="2"/>
  <c r="N42" i="4"/>
  <c r="P38" i="4"/>
  <c r="O32" i="2"/>
  <c r="AV34" i="2"/>
  <c r="AS27" i="4"/>
  <c r="AS67" i="4" s="1"/>
  <c r="AS72" i="4" s="1"/>
  <c r="AQ17" i="2"/>
  <c r="BI54" i="2"/>
  <c r="AA14" i="2"/>
  <c r="W21" i="2"/>
  <c r="W43" i="2" s="1"/>
  <c r="W44" i="2" s="1"/>
  <c r="AN42" i="4"/>
  <c r="AS33" i="4"/>
  <c r="AS97" i="4" s="1"/>
  <c r="S44" i="4"/>
  <c r="T10" i="2"/>
  <c r="J26" i="2"/>
  <c r="AP47" i="4"/>
  <c r="AA48" i="4"/>
  <c r="AU24" i="2"/>
  <c r="Q22" i="2"/>
  <c r="U31" i="4"/>
  <c r="K26" i="4"/>
  <c r="Q40" i="4"/>
  <c r="BB24" i="2"/>
  <c r="V33" i="4"/>
  <c r="V97" i="4" s="1"/>
  <c r="BH30" i="2"/>
  <c r="AB19" i="4"/>
  <c r="AF19" i="4" s="1"/>
  <c r="AJ19" i="4" s="1"/>
  <c r="K36" i="4"/>
  <c r="AL23" i="2"/>
  <c r="AW31" i="2"/>
  <c r="AB10" i="4"/>
  <c r="AC37" i="2" s="1"/>
  <c r="N26" i="4"/>
  <c r="O10" i="2"/>
  <c r="BG19" i="4"/>
  <c r="AV38" i="4"/>
  <c r="BE26" i="4"/>
  <c r="BH29" i="4"/>
  <c r="BH25" i="4" s="1"/>
  <c r="O26" i="2"/>
  <c r="BI34" i="2"/>
  <c r="W42" i="4"/>
  <c r="BG27" i="4"/>
  <c r="BG67" i="4" s="1"/>
  <c r="BG72" i="4" s="1"/>
  <c r="BH44" i="4"/>
  <c r="H38" i="1" s="1"/>
  <c r="AO20" i="4"/>
  <c r="AQ16" i="4"/>
  <c r="BF28" i="4"/>
  <c r="AT20" i="4"/>
  <c r="X13" i="4"/>
  <c r="AU17" i="2"/>
  <c r="AW43" i="4"/>
  <c r="AN23" i="2"/>
  <c r="X31" i="2"/>
  <c r="M48" i="4"/>
  <c r="Y23" i="2"/>
  <c r="AD23" i="2"/>
  <c r="AP13" i="4"/>
  <c r="M44" i="4"/>
  <c r="M29" i="2"/>
  <c r="AS11" i="2"/>
  <c r="AV11" i="4"/>
  <c r="AV65" i="4" s="1"/>
  <c r="AV69" i="4" s="1"/>
  <c r="AW10" i="4"/>
  <c r="R16" i="4"/>
  <c r="AX34" i="2"/>
  <c r="AO36" i="4"/>
  <c r="V33" i="2"/>
  <c r="Y26" i="2"/>
  <c r="AT45" i="4"/>
  <c r="L26" i="4"/>
  <c r="P17" i="2"/>
  <c r="P11" i="4"/>
  <c r="P65" i="4" s="1"/>
  <c r="P69" i="4" s="1"/>
  <c r="AH22" i="2"/>
  <c r="W13" i="4"/>
  <c r="BG30" i="2"/>
  <c r="AG57" i="2"/>
  <c r="Q14" i="2"/>
  <c r="S33" i="4"/>
  <c r="S97" i="4" s="1"/>
  <c r="AA20" i="4"/>
  <c r="AB50" i="2" s="1"/>
  <c r="AC50" i="2" s="1"/>
  <c r="Y13" i="2"/>
  <c r="Y49" i="2" s="1"/>
  <c r="BC32" i="2"/>
  <c r="AT48" i="4"/>
  <c r="AN44" i="4"/>
  <c r="BE25" i="2"/>
  <c r="AT49" i="4"/>
  <c r="S16" i="2"/>
  <c r="AU19" i="4"/>
  <c r="AO25" i="2"/>
  <c r="X29" i="2"/>
  <c r="BI20" i="4"/>
  <c r="AQ43" i="4"/>
  <c r="AQ47" i="4"/>
  <c r="AB45" i="4"/>
  <c r="AA49" i="4"/>
  <c r="AW10" i="2"/>
  <c r="AR34" i="2"/>
  <c r="AU16" i="2"/>
  <c r="T17" i="4"/>
  <c r="R28" i="4"/>
  <c r="AO21" i="4"/>
  <c r="R45" i="4"/>
  <c r="BG38" i="4"/>
  <c r="V48" i="4"/>
  <c r="S10" i="4"/>
  <c r="Z23" i="4"/>
  <c r="AP42" i="4"/>
  <c r="AU34" i="4"/>
  <c r="BH31" i="4"/>
  <c r="AF24" i="2"/>
  <c r="BE33" i="4"/>
  <c r="BE97" i="4" s="1"/>
  <c r="N10" i="4"/>
  <c r="K24" i="2"/>
  <c r="AX21" i="2"/>
  <c r="AX43" i="2" s="1"/>
  <c r="AX44" i="2" s="1"/>
  <c r="AY44" i="2" s="1"/>
  <c r="Q33" i="2"/>
  <c r="Z45" i="4"/>
  <c r="BC23" i="2"/>
  <c r="Z28" i="4"/>
  <c r="BA32" i="2"/>
  <c r="T24" i="2"/>
  <c r="AO11" i="2"/>
  <c r="P47" i="4"/>
  <c r="N11" i="2"/>
  <c r="AO28" i="4"/>
  <c r="AU32" i="2"/>
  <c r="BH40" i="4"/>
  <c r="L16" i="2"/>
  <c r="AW13" i="2"/>
  <c r="AW49" i="2" s="1"/>
  <c r="AO44" i="4"/>
  <c r="AX29" i="2"/>
  <c r="AQ22" i="2"/>
  <c r="N29" i="2"/>
  <c r="BH23" i="2"/>
  <c r="X42" i="4"/>
  <c r="AV25" i="2"/>
  <c r="AT40" i="4"/>
  <c r="BG34" i="2"/>
  <c r="AR19" i="4"/>
  <c r="AO31" i="2"/>
  <c r="N33" i="4"/>
  <c r="N97" i="4" s="1"/>
  <c r="O23" i="2"/>
  <c r="Z10" i="2"/>
  <c r="BG23" i="2"/>
  <c r="AU26" i="4"/>
  <c r="AP31" i="2"/>
  <c r="AO33" i="4"/>
  <c r="AO97" i="4" s="1"/>
  <c r="M24" i="2"/>
  <c r="AW15" i="2"/>
  <c r="AZ23" i="2"/>
  <c r="AN43" i="4"/>
  <c r="S16" i="4"/>
  <c r="AS36" i="4"/>
  <c r="AX14" i="2"/>
  <c r="BE30" i="2"/>
  <c r="AN13" i="2"/>
  <c r="P21" i="2"/>
  <c r="AO27" i="4"/>
  <c r="AO67" i="4" s="1"/>
  <c r="AO72" i="4" s="1"/>
  <c r="AR14" i="4"/>
  <c r="N31" i="2"/>
  <c r="Z47" i="4"/>
  <c r="J34" i="2"/>
  <c r="O26" i="4"/>
  <c r="P18" i="4"/>
  <c r="P15" i="2"/>
  <c r="AS26" i="2"/>
  <c r="AN21" i="2"/>
  <c r="AT39" i="4"/>
  <c r="M33" i="4"/>
  <c r="M97" i="4" s="1"/>
  <c r="AX48" i="4"/>
  <c r="AZ32" i="2"/>
  <c r="W12" i="4"/>
  <c r="W66" i="4" s="1"/>
  <c r="W70" i="4" s="1"/>
  <c r="Q38" i="4"/>
  <c r="L33" i="4"/>
  <c r="L97" i="4" s="1"/>
  <c r="AN48" i="4"/>
  <c r="AN15" i="2"/>
  <c r="AJ23" i="2"/>
  <c r="V39" i="4"/>
  <c r="AQ49" i="4"/>
  <c r="AW31" i="4"/>
  <c r="AR16" i="2"/>
  <c r="AA18" i="4"/>
  <c r="AE18" i="4" s="1"/>
  <c r="AI18" i="4" s="1"/>
  <c r="AS40" i="4"/>
  <c r="T11" i="4"/>
  <c r="T65" i="4" s="1"/>
  <c r="T69" i="4" s="1"/>
  <c r="BB23" i="2"/>
  <c r="T44" i="4"/>
  <c r="AR10" i="2"/>
  <c r="AS24" i="2"/>
  <c r="AZ48" i="4"/>
  <c r="AA43" i="4"/>
  <c r="AS16" i="2"/>
  <c r="O29" i="4"/>
  <c r="R31" i="4"/>
  <c r="L17" i="4"/>
  <c r="BE24" i="2"/>
  <c r="AB33" i="4"/>
  <c r="AQ42" i="4"/>
  <c r="AA33" i="4"/>
  <c r="AA97" i="4" s="1"/>
  <c r="BC49" i="4"/>
  <c r="R20" i="2"/>
  <c r="R55" i="2" s="1"/>
  <c r="AV28" i="4"/>
  <c r="AB36" i="4"/>
  <c r="BF42" i="4"/>
  <c r="X15" i="2"/>
  <c r="AN33" i="4"/>
  <c r="AN97" i="4" s="1"/>
  <c r="J15" i="2"/>
  <c r="W16" i="2"/>
  <c r="BI32" i="2"/>
  <c r="BB33" i="2"/>
  <c r="K42" i="4"/>
  <c r="P20" i="2"/>
  <c r="P55" i="2" s="1"/>
  <c r="P13" i="4"/>
  <c r="AW38" i="4"/>
  <c r="BF30" i="2"/>
  <c r="BF36" i="4"/>
  <c r="AR27" i="4"/>
  <c r="AR67" i="4" s="1"/>
  <c r="AR72" i="4" s="1"/>
  <c r="X13" i="2"/>
  <c r="X49" i="2" s="1"/>
  <c r="S17" i="2"/>
  <c r="BH43" i="4"/>
  <c r="AT47" i="4"/>
  <c r="BE12" i="4"/>
  <c r="BE66" i="4" s="1"/>
  <c r="BE70" i="4" s="1"/>
  <c r="BB32" i="2"/>
  <c r="X20" i="2"/>
  <c r="AU33" i="2"/>
  <c r="BC24" i="2"/>
  <c r="BH33" i="2"/>
  <c r="N23" i="2"/>
  <c r="V31" i="4"/>
  <c r="L17" i="2"/>
  <c r="Y34" i="4"/>
  <c r="AV42" i="4"/>
  <c r="AX10" i="2"/>
  <c r="BE17" i="2"/>
  <c r="BE54" i="2" s="1"/>
  <c r="P34" i="2"/>
  <c r="BF14" i="4"/>
  <c r="AR36" i="4"/>
  <c r="X43" i="4"/>
  <c r="BI36" i="4"/>
  <c r="BI31" i="4"/>
  <c r="AB15" i="2"/>
  <c r="S23" i="2"/>
  <c r="L29" i="4"/>
  <c r="AO11" i="4"/>
  <c r="AO65" i="4" s="1"/>
  <c r="AO69" i="4" s="1"/>
  <c r="K17" i="4"/>
  <c r="Z33" i="2"/>
  <c r="AX49" i="4"/>
  <c r="AQ33" i="4"/>
  <c r="AQ97" i="4" s="1"/>
  <c r="T23" i="4"/>
  <c r="AT31" i="4"/>
  <c r="AT43" i="4"/>
  <c r="AB48" i="4"/>
  <c r="BE31" i="4"/>
  <c r="AR30" i="2"/>
  <c r="P14" i="4"/>
  <c r="AX16" i="2"/>
  <c r="BI15" i="2"/>
  <c r="BI22" i="2"/>
  <c r="BG17" i="2"/>
  <c r="BG54" i="2" s="1"/>
  <c r="L23" i="2"/>
  <c r="AN12" i="2"/>
  <c r="AP16" i="2"/>
  <c r="Y23" i="4"/>
  <c r="AB44" i="4"/>
  <c r="L25" i="2"/>
  <c r="V40" i="4"/>
  <c r="L47" i="4"/>
  <c r="BE23" i="2"/>
  <c r="U42" i="4"/>
  <c r="Q17" i="4"/>
  <c r="T10" i="4"/>
  <c r="M13" i="4"/>
  <c r="AQ25" i="2"/>
  <c r="AR23" i="4"/>
  <c r="AP40" i="4"/>
  <c r="K34" i="2"/>
  <c r="BG43" i="4"/>
  <c r="X31" i="4"/>
  <c r="T31" i="4"/>
  <c r="BH17" i="2"/>
  <c r="BH54" i="2" s="1"/>
  <c r="N18" i="4"/>
  <c r="Z43" i="4"/>
  <c r="AU22" i="2"/>
  <c r="V21" i="2"/>
  <c r="AW33" i="4"/>
  <c r="AW97" i="4" s="1"/>
  <c r="N17" i="2"/>
  <c r="AB21" i="4"/>
  <c r="AF21" i="4" s="1"/>
  <c r="AJ21" i="4" s="1"/>
  <c r="AB42" i="4"/>
  <c r="K47" i="4"/>
  <c r="L11" i="4"/>
  <c r="L65" i="4" s="1"/>
  <c r="L69" i="4" s="1"/>
  <c r="AW17" i="4"/>
  <c r="BG34" i="4"/>
  <c r="R11" i="2"/>
  <c r="AS17" i="2"/>
  <c r="K44" i="4"/>
  <c r="Y31" i="4"/>
  <c r="AB11" i="2"/>
  <c r="AC11" i="2" s="1"/>
  <c r="AD11" i="2" s="1"/>
  <c r="AE11" i="2" s="1"/>
  <c r="AF11" i="2" s="1"/>
  <c r="AG11" i="2" s="1"/>
  <c r="AH11" i="2" s="1"/>
  <c r="AI11" i="2" s="1"/>
  <c r="AJ11" i="2" s="1"/>
  <c r="AK11" i="2" s="1"/>
  <c r="AL11" i="2" s="1"/>
  <c r="AN20" i="2"/>
  <c r="AN55" i="2" s="1"/>
  <c r="AP31" i="4"/>
  <c r="O39" i="4"/>
  <c r="AP29" i="2"/>
  <c r="N39" i="4"/>
  <c r="U16" i="4"/>
  <c r="BA24" i="2"/>
  <c r="X38" i="4"/>
  <c r="BE45" i="4"/>
  <c r="AT26" i="2"/>
  <c r="AX12" i="2"/>
  <c r="X40" i="4"/>
  <c r="O11" i="2"/>
  <c r="AR25" i="2"/>
  <c r="U23" i="2"/>
  <c r="O36" i="4"/>
  <c r="Y39" i="4"/>
  <c r="BF39" i="4"/>
  <c r="AS32" i="2"/>
  <c r="R23" i="2"/>
  <c r="R34" i="4"/>
  <c r="W10" i="2"/>
  <c r="AU11" i="4"/>
  <c r="AU65" i="4" s="1"/>
  <c r="AU69" i="4" s="1"/>
  <c r="Y22" i="2"/>
  <c r="AQ10" i="2"/>
  <c r="AU45" i="4"/>
  <c r="AN10" i="4"/>
  <c r="P31" i="4"/>
  <c r="V13" i="4"/>
  <c r="T34" i="2"/>
  <c r="AO21" i="2"/>
  <c r="AO43" i="2" s="1"/>
  <c r="AO44" i="2" s="1"/>
  <c r="AB32" i="2"/>
  <c r="AA31" i="2"/>
  <c r="AU13" i="2"/>
  <c r="AU49" i="2" s="1"/>
  <c r="K23" i="2"/>
  <c r="AB29" i="4"/>
  <c r="T42" i="4"/>
  <c r="BH16" i="2"/>
  <c r="AU10" i="2"/>
  <c r="AS30" i="2"/>
  <c r="BG36" i="4"/>
  <c r="M12" i="4"/>
  <c r="M66" i="4" s="1"/>
  <c r="M70" i="4" s="1"/>
  <c r="K17" i="2"/>
  <c r="S45" i="4"/>
  <c r="R40" i="4"/>
  <c r="BG25" i="2"/>
  <c r="AU21" i="2"/>
  <c r="AU43" i="2" s="1"/>
  <c r="AU44" i="2" s="1"/>
  <c r="O21" i="4"/>
  <c r="M16" i="2"/>
  <c r="M11" i="4"/>
  <c r="M65" i="4" s="1"/>
  <c r="M69" i="4" s="1"/>
  <c r="AU29" i="4"/>
  <c r="BI10" i="4"/>
  <c r="AT14" i="2"/>
  <c r="AB14" i="2"/>
  <c r="L10" i="4"/>
  <c r="AW22" i="2"/>
  <c r="AX26" i="2"/>
  <c r="X44" i="4"/>
  <c r="W30" i="2"/>
  <c r="AA38" i="4"/>
  <c r="BF49" i="4"/>
  <c r="Q26" i="4"/>
  <c r="AR39" i="4"/>
  <c r="Z31" i="4"/>
  <c r="W39" i="4"/>
  <c r="BH27" i="4"/>
  <c r="BH67" i="4" s="1"/>
  <c r="BH72" i="4" s="1"/>
  <c r="AY23" i="2"/>
  <c r="N20" i="2"/>
  <c r="N55" i="2" s="1"/>
  <c r="BI18" i="4"/>
  <c r="BH34" i="2"/>
  <c r="L10" i="2"/>
  <c r="AS49" i="4"/>
  <c r="W14" i="4"/>
  <c r="X20" i="4"/>
  <c r="T16" i="4"/>
  <c r="Q18" i="4"/>
  <c r="AA23" i="4"/>
  <c r="AA21" i="4"/>
  <c r="AE21" i="4" s="1"/>
  <c r="AI21" i="4" s="1"/>
  <c r="BE38" i="4"/>
  <c r="T11" i="2"/>
  <c r="X25" i="2"/>
  <c r="BI40" i="4"/>
  <c r="K27" i="4"/>
  <c r="K67" i="4" s="1"/>
  <c r="K72" i="4" s="1"/>
  <c r="Y24" i="2"/>
  <c r="AP19" i="4"/>
  <c r="BG36" i="2"/>
  <c r="BH26" i="4"/>
  <c r="AS38" i="4"/>
  <c r="X11" i="2"/>
  <c r="M18" i="4"/>
  <c r="N47" i="4"/>
  <c r="AV14" i="2"/>
  <c r="R14" i="2"/>
  <c r="O22" i="2"/>
  <c r="L13" i="4"/>
  <c r="AB24" i="2"/>
  <c r="BI27" i="4"/>
  <c r="BI67" i="4" s="1"/>
  <c r="BI72" i="4" s="1"/>
  <c r="BH39" i="4"/>
  <c r="P27" i="4"/>
  <c r="P67" i="4" s="1"/>
  <c r="P72" i="4" s="1"/>
  <c r="L28" i="4"/>
  <c r="AW42" i="4"/>
  <c r="BE36" i="2"/>
  <c r="AS29" i="4"/>
  <c r="AJ32" i="2"/>
  <c r="V17" i="4"/>
  <c r="AB16" i="4"/>
  <c r="AC16" i="4" s="1"/>
  <c r="AO30" i="2"/>
  <c r="N24" i="2"/>
  <c r="Y40" i="4"/>
  <c r="AA26" i="4"/>
  <c r="M47" i="4"/>
  <c r="S20" i="2"/>
  <c r="S55" i="2" s="1"/>
  <c r="X14" i="2"/>
  <c r="N14" i="4"/>
  <c r="AG32" i="2"/>
  <c r="X34" i="4"/>
  <c r="N36" i="4"/>
  <c r="V44" i="4"/>
  <c r="AT13" i="2"/>
  <c r="AT49" i="2" s="1"/>
  <c r="S10" i="2"/>
  <c r="AU27" i="4"/>
  <c r="AU67" i="4" s="1"/>
  <c r="AU72" i="4" s="1"/>
  <c r="AQ10" i="4"/>
  <c r="P11" i="2"/>
  <c r="AA33" i="2"/>
  <c r="BJ33" i="2" s="1"/>
  <c r="AU14" i="2"/>
  <c r="N30" i="2"/>
  <c r="U22" i="2"/>
  <c r="AT33" i="4"/>
  <c r="AT97" i="4" s="1"/>
  <c r="AB27" i="4"/>
  <c r="AB67" i="4" s="1"/>
  <c r="AB72" i="4" s="1"/>
  <c r="P14" i="2"/>
  <c r="O12" i="4"/>
  <c r="O66" i="4" s="1"/>
  <c r="O70" i="4" s="1"/>
  <c r="AP23" i="4"/>
  <c r="AU28" i="4"/>
  <c r="R31" i="2"/>
  <c r="X10" i="4"/>
  <c r="AZ33" i="2"/>
  <c r="AV10" i="2"/>
  <c r="AX11" i="2"/>
  <c r="AX46" i="2" s="1"/>
  <c r="AX47" i="2" s="1"/>
  <c r="AY47" i="2" s="1"/>
  <c r="BE22" i="2"/>
  <c r="AN24" i="2"/>
  <c r="L21" i="2"/>
  <c r="AT22" i="2"/>
  <c r="Z23" i="2"/>
  <c r="W10" i="4"/>
  <c r="BG20" i="4"/>
  <c r="BH50" i="2" s="1"/>
  <c r="R15" i="2"/>
  <c r="BI19" i="4"/>
  <c r="AE23" i="2"/>
  <c r="Y36" i="4"/>
  <c r="BE10" i="4"/>
  <c r="Z42" i="4"/>
  <c r="BA33" i="2"/>
  <c r="V22" i="2"/>
  <c r="U40" i="4"/>
  <c r="AP26" i="4"/>
  <c r="AN11" i="2"/>
  <c r="AN14" i="2"/>
  <c r="AO49" i="4"/>
  <c r="AV20" i="4"/>
  <c r="Q31" i="4"/>
  <c r="K14" i="4"/>
  <c r="AB30" i="2"/>
  <c r="AP28" i="4"/>
  <c r="AI24" i="2"/>
  <c r="AV11" i="2"/>
  <c r="AV46" i="2" s="1"/>
  <c r="AV47" i="2" s="1"/>
  <c r="AP17" i="4"/>
  <c r="BF23" i="2"/>
  <c r="L34" i="4"/>
  <c r="AR12" i="2"/>
  <c r="W28" i="4"/>
  <c r="BA22" i="2"/>
  <c r="BH34" i="4"/>
  <c r="T17" i="2"/>
  <c r="AR11" i="2"/>
  <c r="AR38" i="4"/>
  <c r="Z17" i="2"/>
  <c r="AV29" i="2"/>
  <c r="BH22" i="2"/>
  <c r="V30" i="2"/>
  <c r="AQ32" i="2"/>
  <c r="BF20" i="2"/>
  <c r="AW21" i="2"/>
  <c r="AW43" i="2" s="1"/>
  <c r="AW44" i="2" s="1"/>
  <c r="AP34" i="4"/>
  <c r="Y21" i="2"/>
  <c r="Y43" i="2" s="1"/>
  <c r="Y44" i="2" s="1"/>
  <c r="L24" i="2"/>
  <c r="AB26" i="2"/>
  <c r="BG11" i="2"/>
  <c r="AR20" i="2"/>
  <c r="N15" i="2"/>
  <c r="BH24" i="2"/>
  <c r="W20" i="2"/>
  <c r="BF37" i="2"/>
  <c r="AT30" i="2"/>
  <c r="S36" i="4"/>
  <c r="BF21" i="4"/>
  <c r="AU38" i="4"/>
  <c r="AN13" i="4"/>
  <c r="BE20" i="2"/>
  <c r="BF15" i="2"/>
  <c r="Q10" i="4"/>
  <c r="AW39" i="4"/>
  <c r="J16" i="2"/>
  <c r="P26" i="4"/>
  <c r="BG14" i="4"/>
  <c r="BE19" i="4"/>
  <c r="AV31" i="2"/>
  <c r="Z26" i="2"/>
  <c r="AS23" i="2"/>
  <c r="AR49" i="4"/>
  <c r="U33" i="2"/>
  <c r="AP12" i="2"/>
  <c r="AR21" i="4"/>
  <c r="AO45" i="4"/>
  <c r="I34" i="2"/>
  <c r="BG49" i="4"/>
  <c r="AW36" i="4"/>
  <c r="P36" i="4"/>
  <c r="AO23" i="2"/>
  <c r="AY49" i="4"/>
  <c r="K31" i="4"/>
  <c r="K21" i="2"/>
  <c r="AO26" i="2"/>
  <c r="P12" i="4"/>
  <c r="P66" i="4" s="1"/>
  <c r="P70" i="4" s="1"/>
  <c r="AU18" i="4"/>
  <c r="AW45" i="4"/>
  <c r="BF38" i="4"/>
  <c r="AO38" i="4"/>
  <c r="U10" i="4"/>
  <c r="AA16" i="4"/>
  <c r="AB47" i="2" s="1"/>
  <c r="AN34" i="4"/>
  <c r="Y49" i="4"/>
  <c r="M31" i="2"/>
  <c r="AT36" i="4"/>
  <c r="S18" i="4"/>
  <c r="Z48" i="4"/>
  <c r="Y10" i="4"/>
  <c r="BH13" i="4"/>
  <c r="AK23" i="2"/>
  <c r="AR26" i="2"/>
  <c r="AR26" i="4"/>
  <c r="W23" i="4"/>
  <c r="AW24" i="2"/>
  <c r="P29" i="4"/>
  <c r="T40" i="4"/>
  <c r="O23" i="4"/>
  <c r="AR16" i="4"/>
  <c r="V26" i="4"/>
  <c r="AF32" i="2"/>
  <c r="AR21" i="2"/>
  <c r="AR43" i="2" s="1"/>
  <c r="AR44" i="2" s="1"/>
  <c r="M14" i="4"/>
  <c r="AW19" i="4"/>
  <c r="AX19" i="4" s="1"/>
  <c r="AY19" i="4" s="1"/>
  <c r="AZ19" i="4" s="1"/>
  <c r="BA19" i="4" s="1"/>
  <c r="BB19" i="4" s="1"/>
  <c r="BC19" i="4" s="1"/>
  <c r="AV29" i="4"/>
  <c r="AT38" i="4"/>
  <c r="AV31" i="4"/>
  <c r="O30" i="2"/>
  <c r="AT29" i="4"/>
  <c r="Z22" i="2"/>
  <c r="AI23" i="2"/>
  <c r="AK48" i="4"/>
  <c r="AN22" i="4"/>
  <c r="AQ22" i="4"/>
  <c r="AV22" i="4"/>
  <c r="BI22" i="4"/>
  <c r="M35" i="4"/>
  <c r="AO30" i="4"/>
  <c r="L30" i="4"/>
  <c r="AN30" i="4"/>
  <c r="BH22" i="4"/>
  <c r="L35" i="4"/>
  <c r="AW22" i="4"/>
  <c r="AX22" i="4" s="1"/>
  <c r="AY22" i="4" s="1"/>
  <c r="AZ22" i="4" s="1"/>
  <c r="BA22" i="4" s="1"/>
  <c r="BB22" i="4" s="1"/>
  <c r="BC22" i="4" s="1"/>
  <c r="BF22" i="4"/>
  <c r="AT22" i="4"/>
  <c r="AA35" i="4"/>
  <c r="AQ30" i="4"/>
  <c r="AU35" i="4"/>
  <c r="E13" i="1"/>
  <c r="Q35" i="4"/>
  <c r="W30" i="4"/>
  <c r="AV35" i="4"/>
  <c r="AQ35" i="4"/>
  <c r="BG30" i="4"/>
  <c r="S30" i="4"/>
  <c r="S59" i="1"/>
  <c r="S53" i="1"/>
  <c r="S57" i="1"/>
  <c r="S58" i="1"/>
  <c r="S56" i="1"/>
  <c r="S55" i="1"/>
  <c r="S60" i="1"/>
  <c r="S54" i="1"/>
  <c r="S51" i="1"/>
  <c r="S52" i="1"/>
  <c r="S39" i="1"/>
  <c r="W35" i="4"/>
  <c r="V35" i="4"/>
  <c r="BH35" i="4"/>
  <c r="BE35" i="4"/>
  <c r="AU22" i="4"/>
  <c r="X22" i="4"/>
  <c r="AA30" i="4"/>
  <c r="Z35" i="4"/>
  <c r="BF30" i="4"/>
  <c r="M30" i="4"/>
  <c r="R35" i="4"/>
  <c r="AB22" i="4"/>
  <c r="AF22" i="4" s="1"/>
  <c r="AJ22" i="4" s="1"/>
  <c r="AO22" i="4"/>
  <c r="BG22" i="4"/>
  <c r="O30" i="4"/>
  <c r="AP35" i="4"/>
  <c r="AS30" i="4"/>
  <c r="AS22" i="4"/>
  <c r="N30" i="4"/>
  <c r="T35" i="4"/>
  <c r="AB30" i="4"/>
  <c r="AC30" i="4" s="1"/>
  <c r="AD30" i="4" s="1"/>
  <c r="AU30" i="4"/>
  <c r="AN35" i="4"/>
  <c r="X35" i="4"/>
  <c r="U35" i="4"/>
  <c r="AR30" i="4"/>
  <c r="BE22" i="4"/>
  <c r="U30" i="4"/>
  <c r="K35" i="4"/>
  <c r="AO35" i="4"/>
  <c r="Z22" i="4"/>
  <c r="AD22" i="4" s="1"/>
  <c r="AH22" i="4" s="1"/>
  <c r="AL22" i="4" s="1"/>
  <c r="BH30" i="4"/>
  <c r="AS35" i="4"/>
  <c r="AW30" i="4"/>
  <c r="R30" i="4"/>
  <c r="AB35" i="4"/>
  <c r="BF35" i="4"/>
  <c r="V30" i="4"/>
  <c r="AR35" i="4"/>
  <c r="BI35" i="4"/>
  <c r="BI30" i="4"/>
  <c r="AT30" i="4"/>
  <c r="BE30" i="4"/>
  <c r="Y22" i="4"/>
  <c r="AC22" i="4" s="1"/>
  <c r="AG22" i="4" s="1"/>
  <c r="AK22" i="4" s="1"/>
  <c r="AR22" i="4"/>
  <c r="X30" i="4"/>
  <c r="T30" i="4"/>
  <c r="Y30" i="4"/>
  <c r="AP30" i="4"/>
  <c r="O35" i="4"/>
  <c r="P30" i="4"/>
  <c r="BG35" i="4"/>
  <c r="Z30" i="4"/>
  <c r="AA22" i="4"/>
  <c r="AE22" i="4" s="1"/>
  <c r="AI22" i="4" s="1"/>
  <c r="N35" i="4"/>
  <c r="AP22" i="4"/>
  <c r="Y35" i="4"/>
  <c r="Q30" i="4"/>
  <c r="S35" i="4"/>
  <c r="AW35" i="4"/>
  <c r="P35" i="4"/>
  <c r="K30" i="4"/>
  <c r="AT35" i="4"/>
  <c r="W22" i="4"/>
  <c r="AV30" i="4"/>
  <c r="BC7" i="4"/>
  <c r="BB8" i="4"/>
  <c r="BI65" i="4" l="1"/>
  <c r="BI69" i="4" s="1"/>
  <c r="BE65" i="4"/>
  <c r="BE69" i="4" s="1"/>
  <c r="BE16" i="2"/>
  <c r="AS46" i="2"/>
  <c r="BB20" i="2"/>
  <c r="BB55" i="2" s="1"/>
  <c r="BB42" i="2"/>
  <c r="AK41" i="2"/>
  <c r="AJ20" i="2"/>
  <c r="AJ55" i="2" s="1"/>
  <c r="AJ42" i="2"/>
  <c r="BJ30" i="4"/>
  <c r="AE30" i="4"/>
  <c r="AF30" i="4" s="1"/>
  <c r="AG30" i="4" s="1"/>
  <c r="AH30" i="4" s="1"/>
  <c r="AH21" i="4"/>
  <c r="AL21" i="4" s="1"/>
  <c r="BJ21" i="4"/>
  <c r="BI46" i="4"/>
  <c r="AO46" i="2"/>
  <c r="AC49" i="2"/>
  <c r="AC13" i="2" s="1"/>
  <c r="AS50" i="2"/>
  <c r="I29" i="1"/>
  <c r="I13" i="1" s="1"/>
  <c r="I74" i="1"/>
  <c r="AC31" i="2"/>
  <c r="AD31" i="2" s="1"/>
  <c r="AE31" i="2" s="1"/>
  <c r="AF31" i="2" s="1"/>
  <c r="AG31" i="2" s="1"/>
  <c r="AH31" i="2" s="1"/>
  <c r="AI31" i="2" s="1"/>
  <c r="AJ31" i="2" s="1"/>
  <c r="AK31" i="2" s="1"/>
  <c r="AL31" i="2" s="1"/>
  <c r="H29" i="1"/>
  <c r="H30" i="1" s="1"/>
  <c r="H74" i="1"/>
  <c r="H71" i="1"/>
  <c r="I71" i="1"/>
  <c r="AT50" i="2"/>
  <c r="AT47" i="2"/>
  <c r="I10" i="1"/>
  <c r="M12" i="1"/>
  <c r="O12" i="1"/>
  <c r="H12" i="1"/>
  <c r="I12" i="1"/>
  <c r="N12" i="1"/>
  <c r="H11" i="1"/>
  <c r="L12" i="1"/>
  <c r="AQ50" i="2"/>
  <c r="AW47" i="2"/>
  <c r="BL24" i="2"/>
  <c r="BM24" i="2" s="1"/>
  <c r="BN24" i="2" s="1"/>
  <c r="BO24" i="2" s="1"/>
  <c r="BP24" i="2" s="1"/>
  <c r="BQ24" i="2" s="1"/>
  <c r="BR24" i="2" s="1"/>
  <c r="BS24" i="2" s="1"/>
  <c r="AQ46" i="2"/>
  <c r="AQ47" i="2" s="1"/>
  <c r="BL22" i="2"/>
  <c r="BM22" i="2" s="1"/>
  <c r="BN22" i="2" s="1"/>
  <c r="BO22" i="2" s="1"/>
  <c r="BP22" i="2" s="1"/>
  <c r="BQ22" i="2" s="1"/>
  <c r="BR22" i="2" s="1"/>
  <c r="BS22" i="2" s="1"/>
  <c r="AV50" i="2"/>
  <c r="Y47" i="2"/>
  <c r="X50" i="2"/>
  <c r="AC72" i="4"/>
  <c r="AG72" i="4" s="1"/>
  <c r="Z50" i="2"/>
  <c r="AB88" i="4"/>
  <c r="BK23" i="2"/>
  <c r="AO47" i="2"/>
  <c r="AP46" i="2"/>
  <c r="AP47" i="2" s="1"/>
  <c r="AR46" i="2"/>
  <c r="AR47" i="2" s="1"/>
  <c r="AX50" i="2"/>
  <c r="AY50" i="2" s="1"/>
  <c r="AZ50" i="2" s="1"/>
  <c r="BA50" i="2" s="1"/>
  <c r="BB50" i="2" s="1"/>
  <c r="BC50" i="2" s="1"/>
  <c r="BL25" i="2"/>
  <c r="BM25" i="2" s="1"/>
  <c r="BN25" i="2" s="1"/>
  <c r="BO25" i="2" s="1"/>
  <c r="BP25" i="2" s="1"/>
  <c r="BQ25" i="2" s="1"/>
  <c r="BR25" i="2" s="1"/>
  <c r="BS25" i="2" s="1"/>
  <c r="AB97" i="4"/>
  <c r="AU50" i="2"/>
  <c r="AP50" i="2"/>
  <c r="AR50" i="2"/>
  <c r="BK25" i="2"/>
  <c r="BL32" i="2"/>
  <c r="BM32" i="2" s="1"/>
  <c r="BN32" i="2" s="1"/>
  <c r="BO32" i="2" s="1"/>
  <c r="BP32" i="2" s="1"/>
  <c r="BQ32" i="2" s="1"/>
  <c r="BR32" i="2" s="1"/>
  <c r="BS32" i="2" s="1"/>
  <c r="AU46" i="2"/>
  <c r="AU47" i="2" s="1"/>
  <c r="AW50" i="2"/>
  <c r="BK32" i="2"/>
  <c r="BK24" i="2"/>
  <c r="AB36" i="2"/>
  <c r="BJ25" i="2"/>
  <c r="BJ70" i="4"/>
  <c r="BJ66" i="4" s="1"/>
  <c r="AF72" i="4"/>
  <c r="AJ72" i="4" s="1"/>
  <c r="AJ67" i="4" s="1"/>
  <c r="AJ27" i="4" s="1"/>
  <c r="AX17" i="4"/>
  <c r="AX18" i="4" s="1"/>
  <c r="BL23" i="2"/>
  <c r="BM23" i="2" s="1"/>
  <c r="BN23" i="2" s="1"/>
  <c r="BO23" i="2" s="1"/>
  <c r="BP23" i="2" s="1"/>
  <c r="BQ23" i="2" s="1"/>
  <c r="BR23" i="2" s="1"/>
  <c r="BS23" i="2" s="1"/>
  <c r="BL15" i="2"/>
  <c r="AL57" i="2"/>
  <c r="E11" i="1"/>
  <c r="E17" i="1"/>
  <c r="AL48" i="4"/>
  <c r="BL48" i="4" s="1"/>
  <c r="BM48" i="4" s="1"/>
  <c r="BN48" i="4" s="1"/>
  <c r="BO48" i="4" s="1"/>
  <c r="BP48" i="4" s="1"/>
  <c r="BQ48" i="4" s="1"/>
  <c r="BR48" i="4" s="1"/>
  <c r="BS48" i="4" s="1"/>
  <c r="S35" i="1"/>
  <c r="R35" i="1" s="1"/>
  <c r="O76" i="4"/>
  <c r="O81" i="4"/>
  <c r="O46" i="4"/>
  <c r="O59" i="4"/>
  <c r="O53" i="4"/>
  <c r="O60" i="4"/>
  <c r="P80" i="4"/>
  <c r="AD47" i="2"/>
  <c r="BF41" i="2"/>
  <c r="BF42" i="2" s="1"/>
  <c r="BF55" i="2"/>
  <c r="BF56" i="2" s="1"/>
  <c r="T54" i="2"/>
  <c r="T56" i="2" s="1"/>
  <c r="T36" i="2"/>
  <c r="BE61" i="4"/>
  <c r="BF101" i="4"/>
  <c r="BE105" i="4"/>
  <c r="BE62" i="4"/>
  <c r="V84" i="4"/>
  <c r="V88" i="4"/>
  <c r="AA52" i="4"/>
  <c r="AA96" i="4"/>
  <c r="AA95" i="4" s="1"/>
  <c r="AB99" i="4" s="1"/>
  <c r="AA92" i="4"/>
  <c r="Q92" i="4"/>
  <c r="Q96" i="4"/>
  <c r="Q95" i="4" s="1"/>
  <c r="R99" i="4" s="1"/>
  <c r="Q52" i="4"/>
  <c r="AB41" i="4"/>
  <c r="AB77" i="4"/>
  <c r="AV41" i="4"/>
  <c r="AV77" i="4"/>
  <c r="X41" i="2"/>
  <c r="X42" i="2" s="1"/>
  <c r="X55" i="2"/>
  <c r="BF89" i="4"/>
  <c r="BF87" i="4"/>
  <c r="N62" i="4"/>
  <c r="N105" i="4"/>
  <c r="N61" i="4"/>
  <c r="O37" i="2"/>
  <c r="S62" i="4"/>
  <c r="T37" i="2"/>
  <c r="S105" i="4"/>
  <c r="S61" i="4"/>
  <c r="Y50" i="2"/>
  <c r="P73" i="4"/>
  <c r="P100" i="4" s="1"/>
  <c r="P71" i="4"/>
  <c r="AB105" i="4"/>
  <c r="AB62" i="4"/>
  <c r="AB61" i="4"/>
  <c r="O62" i="4"/>
  <c r="O105" i="4"/>
  <c r="P37" i="2"/>
  <c r="O61" i="4"/>
  <c r="BI55" i="2"/>
  <c r="BI56" i="2" s="1"/>
  <c r="I73" i="1"/>
  <c r="BI41" i="2"/>
  <c r="BI42" i="2" s="1"/>
  <c r="AA41" i="4"/>
  <c r="AA77" i="4"/>
  <c r="BG41" i="4"/>
  <c r="BF73" i="4"/>
  <c r="BF100" i="4" s="1"/>
  <c r="BF71" i="4"/>
  <c r="BF88" i="4"/>
  <c r="BF47" i="4"/>
  <c r="BF84" i="4"/>
  <c r="BF77" i="4"/>
  <c r="X47" i="2"/>
  <c r="AP54" i="2"/>
  <c r="AP36" i="2"/>
  <c r="Q71" i="4"/>
  <c r="Q73" i="4"/>
  <c r="Q100" i="4" s="1"/>
  <c r="AT15" i="4"/>
  <c r="AT54" i="4"/>
  <c r="V53" i="4"/>
  <c r="V81" i="4"/>
  <c r="V60" i="4"/>
  <c r="V76" i="4"/>
  <c r="V59" i="4"/>
  <c r="V46" i="4"/>
  <c r="W80" i="4"/>
  <c r="Y54" i="4"/>
  <c r="Y15" i="4"/>
  <c r="BH87" i="4"/>
  <c r="BH89" i="4"/>
  <c r="AU41" i="2"/>
  <c r="AU42" i="2" s="1"/>
  <c r="AU55" i="2"/>
  <c r="BK22" i="2"/>
  <c r="AS54" i="4"/>
  <c r="AS15" i="4"/>
  <c r="AQ89" i="4"/>
  <c r="AQ87" i="4"/>
  <c r="AV87" i="4"/>
  <c r="AV89" i="4"/>
  <c r="Q89" i="4"/>
  <c r="Q87" i="4"/>
  <c r="P77" i="4"/>
  <c r="P41" i="4"/>
  <c r="BH41" i="2"/>
  <c r="BH42" i="2" s="1"/>
  <c r="H73" i="1"/>
  <c r="BH55" i="2"/>
  <c r="BH56" i="2" s="1"/>
  <c r="Z15" i="4"/>
  <c r="Z54" i="4"/>
  <c r="AA89" i="4"/>
  <c r="AA87" i="4"/>
  <c r="AU54" i="4"/>
  <c r="AU15" i="4"/>
  <c r="BJ22" i="2"/>
  <c r="L87" i="4"/>
  <c r="L89" i="4"/>
  <c r="AS96" i="4"/>
  <c r="AS95" i="4" s="1"/>
  <c r="AT99" i="4" s="1"/>
  <c r="AS52" i="4"/>
  <c r="AS92" i="4"/>
  <c r="K73" i="4"/>
  <c r="K100" i="4" s="1"/>
  <c r="K71" i="4"/>
  <c r="M89" i="4"/>
  <c r="M87" i="4"/>
  <c r="AT62" i="4"/>
  <c r="AT105" i="4"/>
  <c r="AT61" i="4"/>
  <c r="BE88" i="4"/>
  <c r="BE47" i="4"/>
  <c r="BE77" i="4"/>
  <c r="BE84" i="4"/>
  <c r="K86" i="1"/>
  <c r="K85" i="1"/>
  <c r="Y62" i="4"/>
  <c r="Y105" i="4"/>
  <c r="Y61" i="4"/>
  <c r="Z37" i="2"/>
  <c r="U62" i="4"/>
  <c r="U61" i="4"/>
  <c r="U105" i="4"/>
  <c r="V37" i="2"/>
  <c r="BG15" i="4"/>
  <c r="BG54" i="4"/>
  <c r="AR41" i="2"/>
  <c r="AR42" i="2" s="1"/>
  <c r="AR55" i="2"/>
  <c r="Y87" i="4"/>
  <c r="Y89" i="4"/>
  <c r="N89" i="4"/>
  <c r="N87" i="4"/>
  <c r="AW41" i="4"/>
  <c r="AX41" i="4" s="1"/>
  <c r="AY41" i="4" s="1"/>
  <c r="AZ41" i="4" s="1"/>
  <c r="BA41" i="4" s="1"/>
  <c r="BB41" i="4" s="1"/>
  <c r="BC41" i="4" s="1"/>
  <c r="AW77" i="4"/>
  <c r="AA46" i="4"/>
  <c r="AA53" i="4"/>
  <c r="AA81" i="4"/>
  <c r="AA60" i="4"/>
  <c r="AA59" i="4"/>
  <c r="AA76" i="4"/>
  <c r="AB80" i="4"/>
  <c r="T41" i="4"/>
  <c r="T77" i="4"/>
  <c r="K84" i="4"/>
  <c r="K88" i="4"/>
  <c r="T105" i="4"/>
  <c r="T62" i="4"/>
  <c r="U37" i="2"/>
  <c r="T61" i="4"/>
  <c r="Y60" i="4"/>
  <c r="Y59" i="4"/>
  <c r="Y53" i="4"/>
  <c r="Y46" i="4"/>
  <c r="Y81" i="4"/>
  <c r="Y76" i="4"/>
  <c r="Z80" i="4"/>
  <c r="P15" i="4"/>
  <c r="P54" i="4"/>
  <c r="BI87" i="4"/>
  <c r="BI89" i="4"/>
  <c r="AR54" i="4"/>
  <c r="AR15" i="4"/>
  <c r="BS15" i="4" s="1"/>
  <c r="X41" i="4"/>
  <c r="X77" i="4"/>
  <c r="AD50" i="2"/>
  <c r="AE50" i="2" s="1"/>
  <c r="P36" i="2"/>
  <c r="P54" i="2"/>
  <c r="P56" i="2" s="1"/>
  <c r="AQ54" i="2"/>
  <c r="AQ36" i="2"/>
  <c r="Q54" i="2"/>
  <c r="Q56" i="2" s="1"/>
  <c r="Q36" i="2"/>
  <c r="N53" i="4"/>
  <c r="N60" i="4"/>
  <c r="N81" i="4"/>
  <c r="N76" i="4"/>
  <c r="N46" i="4"/>
  <c r="N59" i="4"/>
  <c r="O80" i="4"/>
  <c r="AO55" i="2"/>
  <c r="AO41" i="2"/>
  <c r="AO42" i="2" s="1"/>
  <c r="AP61" i="4"/>
  <c r="AP62" i="4"/>
  <c r="AP105" i="4"/>
  <c r="AR41" i="4"/>
  <c r="AR77" i="4"/>
  <c r="BJ15" i="2"/>
  <c r="Q88" i="4"/>
  <c r="Q84" i="4"/>
  <c r="BG55" i="2"/>
  <c r="BG56" i="2" s="1"/>
  <c r="BG41" i="2"/>
  <c r="BG42" i="2" s="1"/>
  <c r="BG53" i="4"/>
  <c r="BG59" i="4"/>
  <c r="BG60" i="4"/>
  <c r="BG46" i="4"/>
  <c r="BG81" i="4"/>
  <c r="BG76" i="4"/>
  <c r="BG80" i="4"/>
  <c r="Y70" i="4"/>
  <c r="AC70" i="4" s="1"/>
  <c r="AC66" i="4" s="1"/>
  <c r="AC12" i="4"/>
  <c r="Y41" i="4"/>
  <c r="Y77" i="4"/>
  <c r="AV54" i="4"/>
  <c r="AV15" i="4"/>
  <c r="AS61" i="4"/>
  <c r="AS105" i="4"/>
  <c r="AS62" i="4"/>
  <c r="Q54" i="4"/>
  <c r="Q15" i="4"/>
  <c r="AY40" i="4"/>
  <c r="W89" i="4"/>
  <c r="W87" i="4"/>
  <c r="AN96" i="4"/>
  <c r="AN95" i="4" s="1"/>
  <c r="AO99" i="4" s="1"/>
  <c r="AN92" i="4"/>
  <c r="AN52" i="4"/>
  <c r="AT88" i="4"/>
  <c r="AT84" i="4"/>
  <c r="V77" i="4"/>
  <c r="V41" i="4"/>
  <c r="R76" i="4"/>
  <c r="R81" i="4"/>
  <c r="R59" i="4"/>
  <c r="R53" i="4"/>
  <c r="R46" i="4"/>
  <c r="R60" i="4"/>
  <c r="S80" i="4"/>
  <c r="BE54" i="4"/>
  <c r="BE15" i="4"/>
  <c r="AN73" i="4"/>
  <c r="AN100" i="4" s="1"/>
  <c r="AN71" i="4"/>
  <c r="I76" i="1"/>
  <c r="BJ37" i="2"/>
  <c r="BH60" i="4"/>
  <c r="BH81" i="4"/>
  <c r="H83" i="1" s="1"/>
  <c r="BH59" i="4"/>
  <c r="BH53" i="4"/>
  <c r="BH46" i="4"/>
  <c r="BH80" i="4"/>
  <c r="BH76" i="4"/>
  <c r="Z88" i="4"/>
  <c r="E7" i="1"/>
  <c r="P92" i="4"/>
  <c r="P96" i="4"/>
  <c r="P95" i="4" s="1"/>
  <c r="Q99" i="4" s="1"/>
  <c r="P52" i="4"/>
  <c r="BG46" i="2"/>
  <c r="BG47" i="2" s="1"/>
  <c r="AP46" i="4"/>
  <c r="AP53" i="4"/>
  <c r="AP60" i="4"/>
  <c r="AP59" i="4"/>
  <c r="AP81" i="4"/>
  <c r="AQ80" i="4"/>
  <c r="AP76" i="4"/>
  <c r="BI61" i="4"/>
  <c r="BI105" i="4"/>
  <c r="BI62" i="4"/>
  <c r="AS54" i="2"/>
  <c r="AS36" i="2"/>
  <c r="N36" i="2"/>
  <c r="N54" i="2"/>
  <c r="N56" i="2" s="1"/>
  <c r="L36" i="2"/>
  <c r="L54" i="2"/>
  <c r="L56" i="2" s="1"/>
  <c r="AQ41" i="4"/>
  <c r="AQ77" i="4"/>
  <c r="L92" i="4"/>
  <c r="L96" i="4"/>
  <c r="L95" i="4" s="1"/>
  <c r="M99" i="4" s="1"/>
  <c r="L52" i="4"/>
  <c r="AX101" i="4"/>
  <c r="AW62" i="4"/>
  <c r="AW61" i="4"/>
  <c r="AW105" i="4"/>
  <c r="K92" i="4"/>
  <c r="K96" i="4"/>
  <c r="K95" i="4" s="1"/>
  <c r="L99" i="4" s="1"/>
  <c r="K52" i="4"/>
  <c r="S84" i="4"/>
  <c r="S88" i="4"/>
  <c r="BK15" i="2"/>
  <c r="BJ32" i="2"/>
  <c r="AE69" i="4"/>
  <c r="R73" i="4"/>
  <c r="R100" i="4" s="1"/>
  <c r="R71" i="4"/>
  <c r="AU41" i="4"/>
  <c r="AU77" i="4"/>
  <c r="AT96" i="4"/>
  <c r="AT95" i="4" s="1"/>
  <c r="AU99" i="4" s="1"/>
  <c r="AT52" i="4"/>
  <c r="AT92" i="4"/>
  <c r="AS46" i="4"/>
  <c r="AS60" i="4"/>
  <c r="AS81" i="4"/>
  <c r="AS59" i="4"/>
  <c r="AS53" i="4"/>
  <c r="AT80" i="4"/>
  <c r="AS76" i="4"/>
  <c r="L15" i="4"/>
  <c r="L54" i="4"/>
  <c r="S71" i="4"/>
  <c r="S73" i="4"/>
  <c r="S100" i="4" s="1"/>
  <c r="AS41" i="2"/>
  <c r="AS42" i="2" s="1"/>
  <c r="AS55" i="2"/>
  <c r="R92" i="4"/>
  <c r="R52" i="4"/>
  <c r="R96" i="4"/>
  <c r="R95" i="4" s="1"/>
  <c r="S99" i="4" s="1"/>
  <c r="X36" i="2"/>
  <c r="X54" i="2"/>
  <c r="S96" i="4"/>
  <c r="S95" i="4" s="1"/>
  <c r="T99" i="4" s="1"/>
  <c r="S92" i="4"/>
  <c r="S52" i="4"/>
  <c r="AV55" i="2"/>
  <c r="AV41" i="2"/>
  <c r="AV42" i="2" s="1"/>
  <c r="AQ88" i="4"/>
  <c r="AQ84" i="4"/>
  <c r="X73" i="4"/>
  <c r="X100" i="4" s="1"/>
  <c r="X71" i="4"/>
  <c r="X59" i="4"/>
  <c r="X53" i="4"/>
  <c r="X81" i="4"/>
  <c r="X60" i="4"/>
  <c r="X46" i="4"/>
  <c r="Y80" i="4"/>
  <c r="X76" i="4"/>
  <c r="BE89" i="4"/>
  <c r="BE87" i="4"/>
  <c r="AX72" i="4"/>
  <c r="Y92" i="4"/>
  <c r="Y96" i="4"/>
  <c r="Y95" i="4" s="1"/>
  <c r="Z99" i="4" s="1"/>
  <c r="Y52" i="4"/>
  <c r="M41" i="4"/>
  <c r="M77" i="4"/>
  <c r="M54" i="2"/>
  <c r="M56" i="2" s="1"/>
  <c r="M36" i="2"/>
  <c r="AD34" i="4"/>
  <c r="Q16" i="1"/>
  <c r="Q18" i="1"/>
  <c r="K105" i="4"/>
  <c r="K61" i="4"/>
  <c r="L37" i="2"/>
  <c r="K62" i="4"/>
  <c r="O15" i="4"/>
  <c r="O54" i="4"/>
  <c r="P62" i="4"/>
  <c r="Q37" i="2"/>
  <c r="P61" i="4"/>
  <c r="P105" i="4"/>
  <c r="AV70" i="4"/>
  <c r="AV73" i="4" s="1"/>
  <c r="AV100" i="4" s="1"/>
  <c r="AQ55" i="2"/>
  <c r="AQ41" i="2"/>
  <c r="AQ42" i="2" s="1"/>
  <c r="BF59" i="4"/>
  <c r="BF81" i="4"/>
  <c r="BF53" i="4"/>
  <c r="BF46" i="4"/>
  <c r="BF60" i="4"/>
  <c r="BF80" i="4"/>
  <c r="BF76" i="4"/>
  <c r="Q60" i="4"/>
  <c r="Q76" i="4"/>
  <c r="Q46" i="4"/>
  <c r="Q81" i="4"/>
  <c r="Q59" i="4"/>
  <c r="Q53" i="4"/>
  <c r="R80" i="4"/>
  <c r="AN36" i="2"/>
  <c r="AN38" i="2" s="1"/>
  <c r="AO37" i="2" s="1"/>
  <c r="AN54" i="2"/>
  <c r="AN56" i="2" s="1"/>
  <c r="AB37" i="2"/>
  <c r="AA105" i="4"/>
  <c r="AA62" i="4"/>
  <c r="AA61" i="4"/>
  <c r="A36" i="1"/>
  <c r="P9" i="1"/>
  <c r="A39" i="1"/>
  <c r="AY69" i="4"/>
  <c r="BI73" i="4"/>
  <c r="BI100" i="4" s="1"/>
  <c r="BI71" i="4"/>
  <c r="I70" i="1"/>
  <c r="J86" i="1"/>
  <c r="J85" i="1"/>
  <c r="I86" i="1"/>
  <c r="I85" i="1"/>
  <c r="M15" i="4"/>
  <c r="M54" i="4"/>
  <c r="S89" i="4"/>
  <c r="S87" i="4"/>
  <c r="AP52" i="4"/>
  <c r="AP96" i="4"/>
  <c r="AP95" i="4" s="1"/>
  <c r="AQ99" i="4" s="1"/>
  <c r="AP92" i="4"/>
  <c r="K54" i="2"/>
  <c r="K56" i="2" s="1"/>
  <c r="K36" i="2"/>
  <c r="K38" i="2" s="1"/>
  <c r="U77" i="4"/>
  <c r="U41" i="4"/>
  <c r="AR89" i="4"/>
  <c r="AR87" i="4"/>
  <c r="AX69" i="4"/>
  <c r="BE92" i="4"/>
  <c r="BE52" i="4"/>
  <c r="BE96" i="4"/>
  <c r="BE95" i="4" s="1"/>
  <c r="BF99" i="4" s="1"/>
  <c r="K89" i="4"/>
  <c r="K87" i="4"/>
  <c r="U89" i="4"/>
  <c r="U87" i="4"/>
  <c r="U73" i="4"/>
  <c r="U100" i="4" s="1"/>
  <c r="U71" i="4"/>
  <c r="BH46" i="2"/>
  <c r="BH47" i="2" s="1"/>
  <c r="U96" i="4"/>
  <c r="U95" i="4" s="1"/>
  <c r="V99" i="4" s="1"/>
  <c r="U92" i="4"/>
  <c r="U52" i="4"/>
  <c r="AP89" i="4"/>
  <c r="AP87" i="4"/>
  <c r="S15" i="4"/>
  <c r="S54" i="4"/>
  <c r="O73" i="4"/>
  <c r="O100" i="4" s="1"/>
  <c r="O71" i="4"/>
  <c r="M53" i="4"/>
  <c r="M59" i="4"/>
  <c r="M76" i="4"/>
  <c r="M60" i="4"/>
  <c r="M46" i="4"/>
  <c r="M81" i="4"/>
  <c r="N80" i="4"/>
  <c r="AV92" i="4"/>
  <c r="AV96" i="4"/>
  <c r="AV95" i="4" s="1"/>
  <c r="AW99" i="4" s="1"/>
  <c r="AV52" i="4"/>
  <c r="L88" i="4"/>
  <c r="L84" i="4"/>
  <c r="BJ23" i="2"/>
  <c r="BJ69" i="4"/>
  <c r="BE73" i="4"/>
  <c r="BE100" i="4" s="1"/>
  <c r="BE71" i="4"/>
  <c r="AQ54" i="4"/>
  <c r="AQ15" i="4"/>
  <c r="BR15" i="4" s="1"/>
  <c r="AT70" i="4"/>
  <c r="AT71" i="4" s="1"/>
  <c r="AX12" i="4"/>
  <c r="R36" i="1"/>
  <c r="R34" i="1"/>
  <c r="R33" i="1"/>
  <c r="BH41" i="4"/>
  <c r="AR88" i="4"/>
  <c r="AR84" i="4"/>
  <c r="AO52" i="4"/>
  <c r="AO96" i="4"/>
  <c r="AO95" i="4" s="1"/>
  <c r="AP99" i="4" s="1"/>
  <c r="AO92" i="4"/>
  <c r="AR73" i="4"/>
  <c r="AR100" i="4" s="1"/>
  <c r="AR71" i="4"/>
  <c r="AB92" i="4"/>
  <c r="AB52" i="4"/>
  <c r="AB96" i="4"/>
  <c r="AC96" i="4" s="1"/>
  <c r="AW52" i="4"/>
  <c r="AW96" i="4"/>
  <c r="AW95" i="4" s="1"/>
  <c r="AW92" i="4"/>
  <c r="AT46" i="4"/>
  <c r="AT60" i="4"/>
  <c r="AT81" i="4"/>
  <c r="AT59" i="4"/>
  <c r="AT53" i="4"/>
  <c r="AT76" i="4"/>
  <c r="AU80" i="4"/>
  <c r="V73" i="4"/>
  <c r="V100" i="4" s="1"/>
  <c r="V71" i="4"/>
  <c r="I38" i="1"/>
  <c r="BI88" i="4"/>
  <c r="BI47" i="4"/>
  <c r="BI77" i="4"/>
  <c r="BI84" i="4"/>
  <c r="BF46" i="2"/>
  <c r="BF47" i="2" s="1"/>
  <c r="AP15" i="4"/>
  <c r="BQ15" i="4" s="1"/>
  <c r="AP54" i="4"/>
  <c r="AD69" i="4"/>
  <c r="W59" i="4"/>
  <c r="W81" i="4"/>
  <c r="W46" i="4"/>
  <c r="W53" i="4"/>
  <c r="W60" i="4"/>
  <c r="W76" i="4"/>
  <c r="X80" i="4"/>
  <c r="AT89" i="4"/>
  <c r="AT87" i="4"/>
  <c r="P87" i="4"/>
  <c r="P89" i="4"/>
  <c r="K54" i="4"/>
  <c r="K15" i="4"/>
  <c r="AY46" i="2"/>
  <c r="AZ47" i="2"/>
  <c r="AQ61" i="4"/>
  <c r="AQ62" i="4"/>
  <c r="AQ105" i="4"/>
  <c r="N54" i="4"/>
  <c r="N15" i="4"/>
  <c r="AD16" i="4"/>
  <c r="X88" i="4"/>
  <c r="X84" i="4"/>
  <c r="M71" i="4"/>
  <c r="M73" i="4"/>
  <c r="M100" i="4" s="1"/>
  <c r="AN62" i="4"/>
  <c r="AN105" i="4"/>
  <c r="AN61" i="4"/>
  <c r="AO71" i="4"/>
  <c r="AO73" i="4"/>
  <c r="AO100" i="4" s="1"/>
  <c r="BF15" i="4"/>
  <c r="BF54" i="4"/>
  <c r="BF41" i="4"/>
  <c r="AS47" i="2"/>
  <c r="BH47" i="4"/>
  <c r="BH88" i="4"/>
  <c r="BH84" i="4"/>
  <c r="BH77" i="4"/>
  <c r="AN41" i="4"/>
  <c r="AN77" i="4"/>
  <c r="P88" i="4"/>
  <c r="P84" i="4"/>
  <c r="S77" i="4"/>
  <c r="S41" i="4"/>
  <c r="AW54" i="4"/>
  <c r="AW15" i="4"/>
  <c r="R105" i="4"/>
  <c r="R61" i="4"/>
  <c r="S37" i="2"/>
  <c r="R62" i="4"/>
  <c r="AA37" i="2"/>
  <c r="Z61" i="4"/>
  <c r="Z105" i="4"/>
  <c r="Z62" i="4"/>
  <c r="AB65" i="4"/>
  <c r="AB69" i="4" s="1"/>
  <c r="AU88" i="4"/>
  <c r="AU84" i="4"/>
  <c r="BH15" i="4"/>
  <c r="BH54" i="4"/>
  <c r="AO61" i="4"/>
  <c r="AO105" i="4"/>
  <c r="AO62" i="4"/>
  <c r="AU105" i="4"/>
  <c r="AU62" i="4"/>
  <c r="AU61" i="4"/>
  <c r="W71" i="4"/>
  <c r="W73" i="4"/>
  <c r="W100" i="4" s="1"/>
  <c r="AD72" i="4"/>
  <c r="AW88" i="4"/>
  <c r="AW84" i="4"/>
  <c r="BE46" i="2"/>
  <c r="AR54" i="2"/>
  <c r="AR36" i="2"/>
  <c r="BI96" i="4"/>
  <c r="BI95" i="4" s="1"/>
  <c r="BI52" i="4"/>
  <c r="BI92" i="4"/>
  <c r="I77" i="1"/>
  <c r="V15" i="4"/>
  <c r="V54" i="4"/>
  <c r="BE41" i="4"/>
  <c r="U84" i="4"/>
  <c r="U88" i="4"/>
  <c r="O54" i="2"/>
  <c r="O56" i="2" s="1"/>
  <c r="O36" i="2"/>
  <c r="AP55" i="2"/>
  <c r="AP41" i="2"/>
  <c r="AP42" i="2" s="1"/>
  <c r="AU87" i="4"/>
  <c r="AU89" i="4"/>
  <c r="L77" i="4"/>
  <c r="L41" i="4"/>
  <c r="T52" i="4"/>
  <c r="T92" i="4"/>
  <c r="T96" i="4"/>
  <c r="T95" i="4" s="1"/>
  <c r="U99" i="4" s="1"/>
  <c r="U36" i="2"/>
  <c r="U54" i="2"/>
  <c r="U56" i="2" s="1"/>
  <c r="BG61" i="4"/>
  <c r="BG105" i="4"/>
  <c r="BG62" i="4"/>
  <c r="BH101" i="4"/>
  <c r="W88" i="4"/>
  <c r="W84" i="4"/>
  <c r="A1" i="4"/>
  <c r="A5" i="3"/>
  <c r="A1" i="2"/>
  <c r="B91" i="3"/>
  <c r="AA54" i="4"/>
  <c r="AA15" i="4"/>
  <c r="AN60" i="4"/>
  <c r="AN53" i="4"/>
  <c r="AN46" i="4"/>
  <c r="AN59" i="4"/>
  <c r="AN81" i="4"/>
  <c r="AO80" i="4"/>
  <c r="AN80" i="4"/>
  <c r="AN76" i="4"/>
  <c r="AR52" i="4"/>
  <c r="AR92" i="4"/>
  <c r="AR96" i="4"/>
  <c r="AR95" i="4" s="1"/>
  <c r="AS99" i="4" s="1"/>
  <c r="AW87" i="4"/>
  <c r="AW89" i="4"/>
  <c r="Q62" i="4"/>
  <c r="Q61" i="4"/>
  <c r="R37" i="2"/>
  <c r="Q105" i="4"/>
  <c r="Z54" i="2"/>
  <c r="Z36" i="2"/>
  <c r="W54" i="4"/>
  <c r="W15" i="4"/>
  <c r="BG89" i="4"/>
  <c r="BG87" i="4"/>
  <c r="S54" i="2"/>
  <c r="S56" i="2" s="1"/>
  <c r="S36" i="2"/>
  <c r="K41" i="4"/>
  <c r="K77" i="4"/>
  <c r="AB87" i="4"/>
  <c r="AB89" i="4"/>
  <c r="T84" i="4"/>
  <c r="T88" i="4"/>
  <c r="O92" i="4"/>
  <c r="O96" i="4"/>
  <c r="O95" i="4" s="1"/>
  <c r="P99" i="4" s="1"/>
  <c r="O52" i="4"/>
  <c r="AN88" i="4"/>
  <c r="AN84" i="4"/>
  <c r="AB15" i="4"/>
  <c r="AB54" i="4"/>
  <c r="U54" i="4"/>
  <c r="U15" i="4"/>
  <c r="R41" i="4"/>
  <c r="R77" i="4"/>
  <c r="AV54" i="2"/>
  <c r="AV36" i="2"/>
  <c r="AP88" i="4"/>
  <c r="AP84" i="4"/>
  <c r="AA36" i="2"/>
  <c r="AO41" i="4"/>
  <c r="AO77" i="4"/>
  <c r="BJ24" i="2"/>
  <c r="R87" i="4"/>
  <c r="R89" i="4"/>
  <c r="W96" i="4"/>
  <c r="W95" i="4" s="1"/>
  <c r="X99" i="4" s="1"/>
  <c r="W52" i="4"/>
  <c r="W92" i="4"/>
  <c r="N71" i="4"/>
  <c r="N73" i="4"/>
  <c r="N100" i="4" s="1"/>
  <c r="BI41" i="4"/>
  <c r="AU60" i="4"/>
  <c r="AU81" i="4"/>
  <c r="AU46" i="4"/>
  <c r="AU53" i="4"/>
  <c r="AU59" i="4"/>
  <c r="AV80" i="4"/>
  <c r="AU76" i="4"/>
  <c r="H70" i="1"/>
  <c r="BH73" i="4"/>
  <c r="BH100" i="4" s="1"/>
  <c r="BH71" i="4"/>
  <c r="W54" i="2"/>
  <c r="W36" i="2"/>
  <c r="K81" i="4"/>
  <c r="K46" i="4"/>
  <c r="K59" i="4"/>
  <c r="K60" i="4"/>
  <c r="K76" i="4"/>
  <c r="K53" i="4"/>
  <c r="L80" i="4"/>
  <c r="K80" i="4"/>
  <c r="AA88" i="4"/>
  <c r="AY72" i="4"/>
  <c r="AQ73" i="4"/>
  <c r="AQ100" i="4" s="1"/>
  <c r="AQ71" i="4"/>
  <c r="AN54" i="4"/>
  <c r="AN15" i="4"/>
  <c r="BG52" i="4"/>
  <c r="BG92" i="4"/>
  <c r="BG96" i="4"/>
  <c r="BG95" i="4" s="1"/>
  <c r="AR62" i="4"/>
  <c r="AR61" i="4"/>
  <c r="AR105" i="4"/>
  <c r="BJ49" i="4"/>
  <c r="AO54" i="2"/>
  <c r="AO36" i="2"/>
  <c r="P76" i="4"/>
  <c r="P59" i="4"/>
  <c r="P60" i="4"/>
  <c r="P53" i="4"/>
  <c r="P81" i="4"/>
  <c r="P46" i="4"/>
  <c r="Q80" i="4"/>
  <c r="AU70" i="4"/>
  <c r="AU73" i="4" s="1"/>
  <c r="AU100" i="4" s="1"/>
  <c r="AA70" i="4"/>
  <c r="AE70" i="4" s="1"/>
  <c r="AC69" i="4"/>
  <c r="AC65" i="4" s="1"/>
  <c r="R54" i="4"/>
  <c r="R15" i="4"/>
  <c r="AT41" i="4"/>
  <c r="AT77" i="4"/>
  <c r="L81" i="4"/>
  <c r="L60" i="4"/>
  <c r="L53" i="4"/>
  <c r="L46" i="4"/>
  <c r="L76" i="4"/>
  <c r="L59" i="4"/>
  <c r="M80" i="4"/>
  <c r="H86" i="1"/>
  <c r="H85" i="1"/>
  <c r="BJ22" i="4"/>
  <c r="V96" i="4"/>
  <c r="V95" i="4" s="1"/>
  <c r="W99" i="4" s="1"/>
  <c r="V92" i="4"/>
  <c r="V52" i="4"/>
  <c r="W55" i="2"/>
  <c r="W41" i="2"/>
  <c r="W42" i="2" s="1"/>
  <c r="W62" i="4"/>
  <c r="W61" i="4"/>
  <c r="X37" i="2"/>
  <c r="W105" i="4"/>
  <c r="L73" i="4"/>
  <c r="L100" i="4" s="1"/>
  <c r="L71" i="4"/>
  <c r="AR60" i="4"/>
  <c r="AR81" i="4"/>
  <c r="AR59" i="4"/>
  <c r="AR46" i="4"/>
  <c r="AR53" i="4"/>
  <c r="AS80" i="4"/>
  <c r="AR76" i="4"/>
  <c r="AO88" i="4"/>
  <c r="AO84" i="4"/>
  <c r="AZ44" i="2"/>
  <c r="AY43" i="2"/>
  <c r="AY21" i="2" s="1"/>
  <c r="AY26" i="2" s="1"/>
  <c r="AP41" i="4"/>
  <c r="AP77" i="4"/>
  <c r="M88" i="4"/>
  <c r="M84" i="4"/>
  <c r="AU54" i="2"/>
  <c r="AU36" i="2"/>
  <c r="N41" i="4"/>
  <c r="N77" i="4"/>
  <c r="AT55" i="2"/>
  <c r="AT41" i="2"/>
  <c r="AT42" i="2" s="1"/>
  <c r="BG47" i="4"/>
  <c r="BG88" i="4"/>
  <c r="BG84" i="4"/>
  <c r="BG77" i="4"/>
  <c r="AN87" i="4"/>
  <c r="AN89" i="4"/>
  <c r="AV62" i="4"/>
  <c r="AV61" i="4"/>
  <c r="AV105" i="4"/>
  <c r="T87" i="4"/>
  <c r="T89" i="4"/>
  <c r="BJ72" i="4"/>
  <c r="BJ67" i="4" s="1"/>
  <c r="J54" i="2"/>
  <c r="J56" i="2" s="1"/>
  <c r="J36" i="2"/>
  <c r="J38" i="2" s="1"/>
  <c r="AO60" i="4"/>
  <c r="AO81" i="4"/>
  <c r="AO59" i="4"/>
  <c r="AO53" i="4"/>
  <c r="AO46" i="4"/>
  <c r="AP80" i="4"/>
  <c r="AO76" i="4"/>
  <c r="AB53" i="4"/>
  <c r="AB46" i="4"/>
  <c r="AB60" i="4"/>
  <c r="AB81" i="4"/>
  <c r="AB59" i="4"/>
  <c r="AB76" i="4"/>
  <c r="Y36" i="2"/>
  <c r="Y54" i="2"/>
  <c r="O88" i="4"/>
  <c r="O84" i="4"/>
  <c r="S46" i="4"/>
  <c r="S59" i="4"/>
  <c r="S76" i="4"/>
  <c r="S81" i="4"/>
  <c r="S53" i="4"/>
  <c r="S60" i="4"/>
  <c r="T80" i="4"/>
  <c r="Z89" i="4"/>
  <c r="Z87" i="4"/>
  <c r="BG71" i="4"/>
  <c r="BG73" i="4"/>
  <c r="BG100" i="4" s="1"/>
  <c r="AX36" i="2"/>
  <c r="AX54" i="2"/>
  <c r="AX56" i="2" s="1"/>
  <c r="AX58" i="2" s="1"/>
  <c r="Z96" i="4"/>
  <c r="Z95" i="4" s="1"/>
  <c r="AA99" i="4" s="1"/>
  <c r="Z52" i="4"/>
  <c r="Z92" i="4"/>
  <c r="V87" i="4"/>
  <c r="V89" i="4"/>
  <c r="U53" i="4"/>
  <c r="U59" i="4"/>
  <c r="U46" i="4"/>
  <c r="U81" i="4"/>
  <c r="U60" i="4"/>
  <c r="U76" i="4"/>
  <c r="V80" i="4"/>
  <c r="AO54" i="4"/>
  <c r="AO15" i="4"/>
  <c r="N88" i="4"/>
  <c r="N84" i="4"/>
  <c r="AP73" i="4"/>
  <c r="AP100" i="4" s="1"/>
  <c r="AP71" i="4"/>
  <c r="AS41" i="4"/>
  <c r="AS77" i="4"/>
  <c r="AS88" i="4"/>
  <c r="AS84" i="4"/>
  <c r="T54" i="4"/>
  <c r="T15" i="4"/>
  <c r="Y88" i="4"/>
  <c r="Y84" i="4"/>
  <c r="AW53" i="4"/>
  <c r="AW81" i="4"/>
  <c r="AW60" i="4"/>
  <c r="AW46" i="4"/>
  <c r="AW59" i="4"/>
  <c r="AW76" i="4"/>
  <c r="N37" i="2"/>
  <c r="M105" i="4"/>
  <c r="M62" i="4"/>
  <c r="M61" i="4"/>
  <c r="AB70" i="4"/>
  <c r="BE55" i="2"/>
  <c r="BE56" i="2" s="1"/>
  <c r="BE41" i="2"/>
  <c r="BE42" i="2" s="1"/>
  <c r="Z41" i="4"/>
  <c r="Z77" i="4"/>
  <c r="X62" i="4"/>
  <c r="X61" i="4"/>
  <c r="Y37" i="2"/>
  <c r="X105" i="4"/>
  <c r="BH96" i="4"/>
  <c r="BH95" i="4" s="1"/>
  <c r="BH92" i="4"/>
  <c r="H77" i="1"/>
  <c r="BH52" i="4"/>
  <c r="L61" i="4"/>
  <c r="L105" i="4"/>
  <c r="M37" i="2"/>
  <c r="L62" i="4"/>
  <c r="O89" i="4"/>
  <c r="O87" i="4"/>
  <c r="T81" i="4"/>
  <c r="T46" i="4"/>
  <c r="T60" i="4"/>
  <c r="T59" i="4"/>
  <c r="T76" i="4"/>
  <c r="T53" i="4"/>
  <c r="U80" i="4"/>
  <c r="T71" i="4"/>
  <c r="T73" i="4"/>
  <c r="T100" i="4" s="1"/>
  <c r="AS87" i="4"/>
  <c r="AS89" i="4"/>
  <c r="AU96" i="4"/>
  <c r="AU95" i="4" s="1"/>
  <c r="AV99" i="4" s="1"/>
  <c r="AU52" i="4"/>
  <c r="AU92" i="4"/>
  <c r="Z53" i="4"/>
  <c r="Z46" i="4"/>
  <c r="Z59" i="4"/>
  <c r="Z81" i="4"/>
  <c r="Z60" i="4"/>
  <c r="Z76" i="4"/>
  <c r="AA80" i="4"/>
  <c r="AO87" i="4"/>
  <c r="AO89" i="4"/>
  <c r="W41" i="4"/>
  <c r="W77" i="4"/>
  <c r="N92" i="4"/>
  <c r="N96" i="4"/>
  <c r="N95" i="4" s="1"/>
  <c r="O99" i="4" s="1"/>
  <c r="N52" i="4"/>
  <c r="AW54" i="2"/>
  <c r="AW36" i="2"/>
  <c r="BE53" i="4"/>
  <c r="BE60" i="4"/>
  <c r="BE81" i="4"/>
  <c r="BE59" i="4"/>
  <c r="BE46" i="4"/>
  <c r="BE76" i="4"/>
  <c r="BE80" i="4"/>
  <c r="BF62" i="4"/>
  <c r="BG101" i="4"/>
  <c r="BF105" i="4"/>
  <c r="BF61" i="4"/>
  <c r="M96" i="4"/>
  <c r="M95" i="4" s="1"/>
  <c r="N99" i="4" s="1"/>
  <c r="M52" i="4"/>
  <c r="M92" i="4"/>
  <c r="X87" i="4"/>
  <c r="X89" i="4"/>
  <c r="R36" i="2"/>
  <c r="R54" i="2"/>
  <c r="R56" i="2" s="1"/>
  <c r="R88" i="4"/>
  <c r="R84" i="4"/>
  <c r="I36" i="2"/>
  <c r="I38" i="2" s="1"/>
  <c r="I54" i="2"/>
  <c r="I56" i="2" s="1"/>
  <c r="AY14" i="2"/>
  <c r="AZ34" i="4"/>
  <c r="AE72" i="4"/>
  <c r="Q41" i="4"/>
  <c r="Q77" i="4"/>
  <c r="AV88" i="4"/>
  <c r="AV84" i="4"/>
  <c r="BI15" i="4"/>
  <c r="BI54" i="4"/>
  <c r="AT54" i="2"/>
  <c r="AT36" i="2"/>
  <c r="BF92" i="4"/>
  <c r="BF96" i="4"/>
  <c r="BF95" i="4" s="1"/>
  <c r="BG99" i="4" s="1"/>
  <c r="BF52" i="4"/>
  <c r="AQ52" i="4"/>
  <c r="AQ96" i="4"/>
  <c r="AQ95" i="4" s="1"/>
  <c r="AR99" i="4" s="1"/>
  <c r="AQ92" i="4"/>
  <c r="X15" i="4"/>
  <c r="X54" i="4"/>
  <c r="V61" i="4"/>
  <c r="W37" i="2"/>
  <c r="V105" i="4"/>
  <c r="V62" i="4"/>
  <c r="BH62" i="4"/>
  <c r="BH61" i="4"/>
  <c r="BH105" i="4"/>
  <c r="BI101" i="4"/>
  <c r="Z41" i="2"/>
  <c r="Z42" i="2" s="1"/>
  <c r="Z55" i="2"/>
  <c r="AW41" i="2"/>
  <c r="AW42" i="2" s="1"/>
  <c r="AW55" i="2"/>
  <c r="AA43" i="2"/>
  <c r="O77" i="4"/>
  <c r="O41" i="4"/>
  <c r="Y41" i="2"/>
  <c r="Y42" i="2" s="1"/>
  <c r="Y55" i="2"/>
  <c r="AW70" i="4"/>
  <c r="J12" i="1"/>
  <c r="K12" i="1"/>
  <c r="BI47" i="2"/>
  <c r="BJ47" i="2" s="1"/>
  <c r="BK47" i="2" s="1"/>
  <c r="BL47" i="2" s="1"/>
  <c r="BM47" i="2" s="1"/>
  <c r="BN47" i="2" s="1"/>
  <c r="BO47" i="2" s="1"/>
  <c r="BP47" i="2" s="1"/>
  <c r="BQ47" i="2" s="1"/>
  <c r="BR47" i="2" s="1"/>
  <c r="BS47" i="2" s="1"/>
  <c r="R18" i="1"/>
  <c r="X52" i="4"/>
  <c r="X96" i="4"/>
  <c r="X95" i="4" s="1"/>
  <c r="Y99" i="4" s="1"/>
  <c r="X92" i="4"/>
  <c r="AS71" i="4"/>
  <c r="AS73" i="4"/>
  <c r="AS100" i="4" s="1"/>
  <c r="A42" i="1"/>
  <c r="A11" i="1"/>
  <c r="A7" i="1"/>
  <c r="A22" i="1"/>
  <c r="BI60" i="4"/>
  <c r="BI59" i="4"/>
  <c r="BI81" i="4"/>
  <c r="I83" i="1" s="1"/>
  <c r="BI53" i="4"/>
  <c r="BI76" i="4"/>
  <c r="BI80" i="4"/>
  <c r="AV60" i="4"/>
  <c r="AV81" i="4"/>
  <c r="AV46" i="4"/>
  <c r="AV53" i="4"/>
  <c r="AV59" i="4"/>
  <c r="AW80" i="4"/>
  <c r="AV76" i="4"/>
  <c r="AQ53" i="4"/>
  <c r="AQ59" i="4"/>
  <c r="AQ46" i="4"/>
  <c r="AQ60" i="4"/>
  <c r="AQ81" i="4"/>
  <c r="AQ76" i="4"/>
  <c r="AR80" i="4"/>
  <c r="Z70" i="4"/>
  <c r="AD70" i="4" s="1"/>
  <c r="V36" i="2"/>
  <c r="V54" i="2"/>
  <c r="V56" i="2" s="1"/>
  <c r="AY16" i="4"/>
  <c r="BC8" i="4"/>
  <c r="AL41" i="2" l="1"/>
  <c r="BC41" i="2"/>
  <c r="AK20" i="2"/>
  <c r="AK55" i="2" s="1"/>
  <c r="AK42" i="2"/>
  <c r="BL41" i="2"/>
  <c r="AI30" i="4"/>
  <c r="AJ30" i="4" s="1"/>
  <c r="AK30" i="4" s="1"/>
  <c r="AL30" i="4" s="1"/>
  <c r="BL30" i="4" s="1"/>
  <c r="BM30" i="4" s="1"/>
  <c r="BN30" i="4" s="1"/>
  <c r="BO30" i="4" s="1"/>
  <c r="BP30" i="4" s="1"/>
  <c r="BQ30" i="4" s="1"/>
  <c r="BR30" i="4" s="1"/>
  <c r="BS30" i="4" s="1"/>
  <c r="BK30" i="4"/>
  <c r="H39" i="1"/>
  <c r="H40" i="1" s="1"/>
  <c r="H87" i="1"/>
  <c r="I87" i="1"/>
  <c r="BJ19" i="4"/>
  <c r="AB107" i="4"/>
  <c r="H13" i="1"/>
  <c r="I11" i="1"/>
  <c r="I39" i="1"/>
  <c r="I66" i="1" s="1"/>
  <c r="N107" i="4"/>
  <c r="AU56" i="2"/>
  <c r="AC67" i="4"/>
  <c r="AC27" i="4" s="1"/>
  <c r="I36" i="1"/>
  <c r="I37" i="1" s="1"/>
  <c r="AS82" i="4"/>
  <c r="X82" i="4"/>
  <c r="Q38" i="2"/>
  <c r="BK70" i="4"/>
  <c r="BI102" i="4"/>
  <c r="BG107" i="4"/>
  <c r="AS107" i="4"/>
  <c r="AX107" i="4" s="1"/>
  <c r="AX106" i="4" s="1"/>
  <c r="Y71" i="4"/>
  <c r="AP107" i="4"/>
  <c r="AD41" i="4"/>
  <c r="AE41" i="4" s="1"/>
  <c r="AF41" i="4" s="1"/>
  <c r="AG41" i="4" s="1"/>
  <c r="AH41" i="4" s="1"/>
  <c r="AA82" i="4"/>
  <c r="V82" i="4"/>
  <c r="Y73" i="4"/>
  <c r="Y100" i="4" s="1"/>
  <c r="AT107" i="4"/>
  <c r="AY107" i="4" s="1"/>
  <c r="AP82" i="4"/>
  <c r="Y107" i="4"/>
  <c r="AB38" i="2"/>
  <c r="AW107" i="4"/>
  <c r="BB107" i="4" s="1"/>
  <c r="W107" i="4"/>
  <c r="AV56" i="2"/>
  <c r="AT56" i="2"/>
  <c r="X38" i="2"/>
  <c r="J71" i="1"/>
  <c r="AR56" i="2"/>
  <c r="AT73" i="4"/>
  <c r="AT100" i="4" s="1"/>
  <c r="M38" i="2"/>
  <c r="M82" i="4"/>
  <c r="N38" i="2"/>
  <c r="AW82" i="4"/>
  <c r="BJ49" i="2"/>
  <c r="K82" i="4"/>
  <c r="BI107" i="4"/>
  <c r="BJ107" i="4" s="1"/>
  <c r="BJ106" i="4" s="1"/>
  <c r="AF67" i="4"/>
  <c r="AF27" i="4" s="1"/>
  <c r="S107" i="4"/>
  <c r="M107" i="4"/>
  <c r="AA107" i="4"/>
  <c r="T107" i="4"/>
  <c r="U82" i="4"/>
  <c r="L82" i="4"/>
  <c r="Z107" i="4"/>
  <c r="AU107" i="4"/>
  <c r="AZ107" i="4" s="1"/>
  <c r="AV107" i="4"/>
  <c r="BA107" i="4" s="1"/>
  <c r="AR107" i="4"/>
  <c r="P107" i="4"/>
  <c r="O107" i="4"/>
  <c r="AO56" i="2"/>
  <c r="AX42" i="4"/>
  <c r="AX77" i="4" s="1"/>
  <c r="W38" i="2"/>
  <c r="X56" i="2"/>
  <c r="X107" i="4"/>
  <c r="AV71" i="4"/>
  <c r="Y82" i="4"/>
  <c r="N82" i="4"/>
  <c r="BF82" i="4"/>
  <c r="L107" i="4"/>
  <c r="AQ107" i="4"/>
  <c r="U107" i="4"/>
  <c r="BH107" i="4"/>
  <c r="V107" i="4"/>
  <c r="AY70" i="4"/>
  <c r="AY73" i="4" s="1"/>
  <c r="AY100" i="4" s="1"/>
  <c r="R82" i="4"/>
  <c r="O82" i="4"/>
  <c r="R107" i="4"/>
  <c r="Q82" i="4"/>
  <c r="Q107" i="4"/>
  <c r="W56" i="2"/>
  <c r="Y38" i="2"/>
  <c r="AA38" i="2"/>
  <c r="AO82" i="4"/>
  <c r="L38" i="2"/>
  <c r="T38" i="2"/>
  <c r="AR82" i="4"/>
  <c r="I30" i="1"/>
  <c r="I51" i="1"/>
  <c r="BA34" i="4"/>
  <c r="AZ14" i="2"/>
  <c r="BH102" i="4"/>
  <c r="AZ46" i="2"/>
  <c r="BA47" i="2"/>
  <c r="AU82" i="4"/>
  <c r="AX99" i="4"/>
  <c r="AX98" i="4" s="1"/>
  <c r="AX55" i="4" s="1"/>
  <c r="H51" i="1"/>
  <c r="AY65" i="4"/>
  <c r="AY11" i="4" s="1"/>
  <c r="BA69" i="4"/>
  <c r="AI69" i="4"/>
  <c r="AE65" i="4"/>
  <c r="AE11" i="4" s="1"/>
  <c r="AE71" i="4"/>
  <c r="AE73" i="4"/>
  <c r="AE100" i="4" s="1"/>
  <c r="AG70" i="4"/>
  <c r="AQ56" i="2"/>
  <c r="BK21" i="4"/>
  <c r="BL21" i="4"/>
  <c r="BM21" i="4" s="1"/>
  <c r="BN21" i="4" s="1"/>
  <c r="BO21" i="4" s="1"/>
  <c r="BP21" i="4" s="1"/>
  <c r="BQ21" i="4" s="1"/>
  <c r="BR21" i="4" s="1"/>
  <c r="BS21" i="4" s="1"/>
  <c r="BF107" i="4"/>
  <c r="BE107" i="4"/>
  <c r="AZ16" i="4"/>
  <c r="BI99" i="4"/>
  <c r="BJ99" i="4" s="1"/>
  <c r="BK99" i="4" s="1"/>
  <c r="BL99" i="4" s="1"/>
  <c r="BM99" i="4" s="1"/>
  <c r="BN99" i="4" s="1"/>
  <c r="BO99" i="4" s="1"/>
  <c r="BP99" i="4" s="1"/>
  <c r="BQ99" i="4" s="1"/>
  <c r="BR99" i="4" s="1"/>
  <c r="BS99" i="4" s="1"/>
  <c r="H78" i="1"/>
  <c r="AA44" i="2"/>
  <c r="AC44" i="2" s="1"/>
  <c r="AC43" i="2" s="1"/>
  <c r="BE82" i="4"/>
  <c r="AW56" i="2"/>
  <c r="BK22" i="4"/>
  <c r="BL22" i="4"/>
  <c r="BM22" i="4" s="1"/>
  <c r="BN22" i="4" s="1"/>
  <c r="BO22" i="4" s="1"/>
  <c r="BP22" i="4" s="1"/>
  <c r="BQ22" i="4" s="1"/>
  <c r="BR22" i="4" s="1"/>
  <c r="BS22" i="4" s="1"/>
  <c r="BH99" i="4"/>
  <c r="Z56" i="2"/>
  <c r="S38" i="2"/>
  <c r="AY12" i="2"/>
  <c r="AY17" i="4" s="1"/>
  <c r="AY18" i="4" s="1"/>
  <c r="AY23" i="4" s="1"/>
  <c r="Z71" i="4"/>
  <c r="AW73" i="4"/>
  <c r="AW100" i="4" s="1"/>
  <c r="AA73" i="4"/>
  <c r="AA100" i="4" s="1"/>
  <c r="AQ82" i="4"/>
  <c r="BG82" i="4"/>
  <c r="AP56" i="2"/>
  <c r="P38" i="2"/>
  <c r="O38" i="2"/>
  <c r="BF102" i="4"/>
  <c r="P82" i="4"/>
  <c r="AC11" i="4"/>
  <c r="AG69" i="4"/>
  <c r="AC71" i="4"/>
  <c r="AC73" i="4"/>
  <c r="AC100" i="4" s="1"/>
  <c r="AY67" i="4"/>
  <c r="AY27" i="4" s="1"/>
  <c r="BA72" i="4"/>
  <c r="I78" i="1"/>
  <c r="AB71" i="4"/>
  <c r="AF69" i="4"/>
  <c r="AE16" i="4"/>
  <c r="AF16" i="4" s="1"/>
  <c r="AG16" i="4" s="1"/>
  <c r="AH16" i="4" s="1"/>
  <c r="BJ16" i="4"/>
  <c r="AD65" i="4"/>
  <c r="AD11" i="4" s="1"/>
  <c r="AD71" i="4"/>
  <c r="AH69" i="4"/>
  <c r="AD73" i="4"/>
  <c r="AD100" i="4" s="1"/>
  <c r="AB95" i="4"/>
  <c r="AO38" i="2"/>
  <c r="AP37" i="2" s="1"/>
  <c r="AP38" i="2" s="1"/>
  <c r="AQ37" i="2" s="1"/>
  <c r="AQ38" i="2" s="1"/>
  <c r="AR37" i="2" s="1"/>
  <c r="AR38" i="2" s="1"/>
  <c r="AS37" i="2" s="1"/>
  <c r="AS38" i="2" s="1"/>
  <c r="AT37" i="2" s="1"/>
  <c r="AT38" i="2" s="1"/>
  <c r="AU37" i="2" s="1"/>
  <c r="AU38" i="2" s="1"/>
  <c r="AV37" i="2" s="1"/>
  <c r="AV38" i="2" s="1"/>
  <c r="AW37" i="2" s="1"/>
  <c r="AW38" i="2" s="1"/>
  <c r="AX37" i="2" s="1"/>
  <c r="AX38" i="2" s="1"/>
  <c r="AD14" i="2"/>
  <c r="BJ14" i="2" s="1"/>
  <c r="BJ34" i="4"/>
  <c r="AE34" i="4"/>
  <c r="AA71" i="4"/>
  <c r="AS56" i="2"/>
  <c r="S82" i="4"/>
  <c r="AB73" i="4"/>
  <c r="AB100" i="4" s="1"/>
  <c r="AF70" i="4"/>
  <c r="AZ43" i="2"/>
  <c r="AZ21" i="2" s="1"/>
  <c r="AZ26" i="2" s="1"/>
  <c r="BA44" i="2"/>
  <c r="BK49" i="4"/>
  <c r="BL49" i="4"/>
  <c r="BM49" i="4" s="1"/>
  <c r="BN49" i="4" s="1"/>
  <c r="BO49" i="4" s="1"/>
  <c r="BP49" i="4" s="1"/>
  <c r="BQ49" i="4" s="1"/>
  <c r="BR49" i="4" s="1"/>
  <c r="BS49" i="4" s="1"/>
  <c r="AV82" i="4"/>
  <c r="R38" i="2"/>
  <c r="AO107" i="4"/>
  <c r="AN107" i="4"/>
  <c r="Z73" i="4"/>
  <c r="Z100" i="4" s="1"/>
  <c r="AX65" i="4"/>
  <c r="AX11" i="4" s="1"/>
  <c r="AZ69" i="4"/>
  <c r="AX67" i="4"/>
  <c r="AX27" i="4" s="1"/>
  <c r="AZ72" i="4"/>
  <c r="AT82" i="4"/>
  <c r="AY42" i="4"/>
  <c r="AZ40" i="4"/>
  <c r="AZ42" i="4" s="1"/>
  <c r="Z38" i="2"/>
  <c r="I82" i="1"/>
  <c r="BI82" i="4"/>
  <c r="I80" i="1" s="1"/>
  <c r="AN82" i="4"/>
  <c r="BJ71" i="4"/>
  <c r="J70" i="1"/>
  <c r="BJ65" i="4"/>
  <c r="BJ73" i="4"/>
  <c r="BJ100" i="4" s="1"/>
  <c r="AX70" i="4"/>
  <c r="AX71" i="4" s="1"/>
  <c r="BK72" i="4"/>
  <c r="AF50" i="2"/>
  <c r="AG50" i="2" s="1"/>
  <c r="AH50" i="2" s="1"/>
  <c r="AH70" i="4"/>
  <c r="AD66" i="4"/>
  <c r="AH12" i="4" s="1"/>
  <c r="BK12" i="4" s="1"/>
  <c r="T82" i="4"/>
  <c r="AD67" i="4"/>
  <c r="AD27" i="4" s="1"/>
  <c r="BJ27" i="4" s="1"/>
  <c r="AH72" i="4"/>
  <c r="Z82" i="4"/>
  <c r="U38" i="2"/>
  <c r="W82" i="4"/>
  <c r="AU71" i="4"/>
  <c r="Y56" i="2"/>
  <c r="AG67" i="4"/>
  <c r="AG27" i="4" s="1"/>
  <c r="AK72" i="4"/>
  <c r="AK67" i="4" s="1"/>
  <c r="AK27" i="4" s="1"/>
  <c r="H82" i="1"/>
  <c r="AB82" i="4"/>
  <c r="K71" i="1"/>
  <c r="BK66" i="4"/>
  <c r="AE67" i="4"/>
  <c r="AE27" i="4" s="1"/>
  <c r="AI72" i="4"/>
  <c r="AI67" i="4" s="1"/>
  <c r="AI27" i="4" s="1"/>
  <c r="BG102" i="4"/>
  <c r="AI70" i="4"/>
  <c r="AI66" i="4" s="1"/>
  <c r="AE66" i="4"/>
  <c r="AI12" i="4" s="1"/>
  <c r="AC99" i="4"/>
  <c r="AW71" i="4"/>
  <c r="V38" i="2"/>
  <c r="BK69" i="4"/>
  <c r="BL69" i="4" s="1"/>
  <c r="AE47" i="2"/>
  <c r="H66" i="1" l="1"/>
  <c r="BM41" i="2"/>
  <c r="BL20" i="2"/>
  <c r="BL42" i="2"/>
  <c r="BC20" i="2"/>
  <c r="BC55" i="2" s="1"/>
  <c r="BC42" i="2"/>
  <c r="AL20" i="2"/>
  <c r="AL55" i="2" s="1"/>
  <c r="AL42" i="2"/>
  <c r="BJ41" i="4"/>
  <c r="BK19" i="4"/>
  <c r="L70" i="1"/>
  <c r="AC21" i="2"/>
  <c r="AC26" i="2" s="1"/>
  <c r="AC51" i="2"/>
  <c r="BK67" i="4"/>
  <c r="BM69" i="4"/>
  <c r="BL70" i="4"/>
  <c r="BC107" i="4"/>
  <c r="Q11" i="1"/>
  <c r="I40" i="1"/>
  <c r="AY31" i="3"/>
  <c r="AY81" i="3" s="1"/>
  <c r="BK107" i="4"/>
  <c r="BL107" i="4" s="1"/>
  <c r="BM107" i="4" s="1"/>
  <c r="AY99" i="4"/>
  <c r="AZ99" i="4" s="1"/>
  <c r="BA99" i="4" s="1"/>
  <c r="BB99" i="4" s="1"/>
  <c r="BC99" i="4" s="1"/>
  <c r="AY66" i="4"/>
  <c r="AY71" i="4"/>
  <c r="AC107" i="4"/>
  <c r="AX44" i="4"/>
  <c r="AX84" i="4" s="1"/>
  <c r="AX47" i="4"/>
  <c r="AY11" i="2"/>
  <c r="BA70" i="4"/>
  <c r="BC70" i="4" s="1"/>
  <c r="BC66" i="4" s="1"/>
  <c r="AD99" i="4"/>
  <c r="BJ98" i="4"/>
  <c r="BL72" i="4"/>
  <c r="BL67" i="4" s="1"/>
  <c r="V19" i="4"/>
  <c r="V20" i="4"/>
  <c r="BB44" i="2"/>
  <c r="BA43" i="2"/>
  <c r="BA21" i="2" s="1"/>
  <c r="BA26" i="2" s="1"/>
  <c r="BB72" i="4"/>
  <c r="BB67" i="4" s="1"/>
  <c r="BB27" i="4" s="1"/>
  <c r="AZ67" i="4"/>
  <c r="AZ27" i="4" s="1"/>
  <c r="AF66" i="4"/>
  <c r="AJ12" i="4" s="1"/>
  <c r="AJ70" i="4"/>
  <c r="AJ66" i="4" s="1"/>
  <c r="AH73" i="4"/>
  <c r="AH100" i="4" s="1"/>
  <c r="AH65" i="4"/>
  <c r="AH11" i="4" s="1"/>
  <c r="AL69" i="4"/>
  <c r="AH71" i="4"/>
  <c r="AH67" i="4"/>
  <c r="AH27" i="4" s="1"/>
  <c r="BK27" i="4" s="1"/>
  <c r="AL72" i="4"/>
  <c r="AL67" i="4" s="1"/>
  <c r="AL27" i="4" s="1"/>
  <c r="BL27" i="4" s="1"/>
  <c r="AL70" i="4"/>
  <c r="AL66" i="4" s="1"/>
  <c r="AH66" i="4"/>
  <c r="AL12" i="4" s="1"/>
  <c r="BL12" i="4" s="1"/>
  <c r="BM12" i="4" s="1"/>
  <c r="BN12" i="4" s="1"/>
  <c r="BO12" i="4" s="1"/>
  <c r="BP12" i="4" s="1"/>
  <c r="BQ12" i="4" s="1"/>
  <c r="BR12" i="4" s="1"/>
  <c r="BS12" i="4" s="1"/>
  <c r="BB69" i="4"/>
  <c r="AZ65" i="4"/>
  <c r="AZ11" i="4" s="1"/>
  <c r="AE14" i="2"/>
  <c r="AF34" i="4"/>
  <c r="AK69" i="4"/>
  <c r="AG65" i="4"/>
  <c r="AG11" i="4" s="1"/>
  <c r="AG71" i="4"/>
  <c r="AG73" i="4"/>
  <c r="AG100" i="4" s="1"/>
  <c r="BJ11" i="4"/>
  <c r="AD12" i="2"/>
  <c r="BK65" i="4"/>
  <c r="BK71" i="4"/>
  <c r="K70" i="1"/>
  <c r="BK73" i="4"/>
  <c r="BK100" i="4" s="1"/>
  <c r="AI50" i="2"/>
  <c r="AX73" i="4"/>
  <c r="AX100" i="4" s="1"/>
  <c r="AX102" i="4" s="1"/>
  <c r="AX96" i="4" s="1"/>
  <c r="AZ80" i="4"/>
  <c r="AI65" i="4"/>
  <c r="AI11" i="4" s="1"/>
  <c r="AI71" i="4"/>
  <c r="AI73" i="4"/>
  <c r="AI100" i="4" s="1"/>
  <c r="BB34" i="4"/>
  <c r="BA14" i="2"/>
  <c r="AF47" i="2"/>
  <c r="AC98" i="4"/>
  <c r="AZ47" i="4"/>
  <c r="AZ44" i="4"/>
  <c r="AX10" i="4"/>
  <c r="AY37" i="2"/>
  <c r="BA16" i="4"/>
  <c r="BB16" i="4" s="1"/>
  <c r="AG12" i="4"/>
  <c r="AE12" i="4"/>
  <c r="AD12" i="4"/>
  <c r="BJ12" i="4" s="1"/>
  <c r="AF12" i="4"/>
  <c r="BB47" i="2"/>
  <c r="BA46" i="2"/>
  <c r="AX66" i="4"/>
  <c r="AZ70" i="4"/>
  <c r="AY47" i="4"/>
  <c r="AY44" i="4"/>
  <c r="AY88" i="4" s="1"/>
  <c r="BK16" i="4"/>
  <c r="AI16" i="4"/>
  <c r="AJ16" i="4" s="1"/>
  <c r="AK16" i="4" s="1"/>
  <c r="BA67" i="4"/>
  <c r="BA27" i="4" s="1"/>
  <c r="BC72" i="4"/>
  <c r="BC67" i="4" s="1"/>
  <c r="BC27" i="4" s="1"/>
  <c r="AK70" i="4"/>
  <c r="AK66" i="4" s="1"/>
  <c r="AG66" i="4"/>
  <c r="AK12" i="4" s="1"/>
  <c r="AZ12" i="2"/>
  <c r="AZ17" i="4" s="1"/>
  <c r="AZ18" i="4" s="1"/>
  <c r="BK41" i="4"/>
  <c r="AI41" i="4"/>
  <c r="AJ41" i="4" s="1"/>
  <c r="AK41" i="4" s="1"/>
  <c r="AL41" i="4" s="1"/>
  <c r="BL41" i="4" s="1"/>
  <c r="BM41" i="4" s="1"/>
  <c r="BN41" i="4" s="1"/>
  <c r="BO41" i="4" s="1"/>
  <c r="BP41" i="4" s="1"/>
  <c r="BQ41" i="4" s="1"/>
  <c r="BR41" i="4" s="1"/>
  <c r="BS41" i="4" s="1"/>
  <c r="AJ69" i="4"/>
  <c r="AF65" i="4"/>
  <c r="AF11" i="4" s="1"/>
  <c r="AF71" i="4"/>
  <c r="AF73" i="4"/>
  <c r="AF100" i="4" s="1"/>
  <c r="BA65" i="4"/>
  <c r="BA11" i="4" s="1"/>
  <c r="BC69" i="4"/>
  <c r="V22" i="4"/>
  <c r="L73" i="1" l="1"/>
  <c r="BL55" i="2"/>
  <c r="BN41" i="2"/>
  <c r="BM42" i="2"/>
  <c r="BM20" i="2"/>
  <c r="BM55" i="2" s="1"/>
  <c r="Q10" i="1"/>
  <c r="Q12" i="1"/>
  <c r="BN69" i="4"/>
  <c r="BO69" i="4" s="1"/>
  <c r="BN107" i="4"/>
  <c r="L71" i="1"/>
  <c r="BL66" i="4"/>
  <c r="BM70" i="4"/>
  <c r="BM71" i="4" s="1"/>
  <c r="BM65" i="4"/>
  <c r="BM11" i="4" s="1"/>
  <c r="BM72" i="4"/>
  <c r="AY35" i="3"/>
  <c r="AY85" i="3" s="1"/>
  <c r="AY104" i="3"/>
  <c r="AY131" i="3"/>
  <c r="BA71" i="4"/>
  <c r="BA73" i="4"/>
  <c r="BA100" i="4" s="1"/>
  <c r="AC106" i="4"/>
  <c r="AD107" i="4"/>
  <c r="AZ11" i="2"/>
  <c r="BA66" i="4"/>
  <c r="AE99" i="4"/>
  <c r="AF99" i="4" s="1"/>
  <c r="AG99" i="4" s="1"/>
  <c r="AY81" i="4"/>
  <c r="AY53" i="4"/>
  <c r="U19" i="4"/>
  <c r="U20" i="4"/>
  <c r="AL16" i="4"/>
  <c r="AZ66" i="4"/>
  <c r="BB70" i="4"/>
  <c r="BB66" i="4" s="1"/>
  <c r="BC12" i="4" s="1"/>
  <c r="BB12" i="4"/>
  <c r="AZ12" i="4"/>
  <c r="BA12" i="4"/>
  <c r="AY12" i="4"/>
  <c r="AJ65" i="4"/>
  <c r="AJ11" i="4" s="1"/>
  <c r="AJ71" i="4"/>
  <c r="AJ73" i="4"/>
  <c r="AJ100" i="4" s="1"/>
  <c r="BB46" i="2"/>
  <c r="BC47" i="2"/>
  <c r="BC46" i="2" s="1"/>
  <c r="AZ73" i="4"/>
  <c r="AZ100" i="4" s="1"/>
  <c r="AD44" i="2"/>
  <c r="BC44" i="2"/>
  <c r="BC43" i="2" s="1"/>
  <c r="BC21" i="2" s="1"/>
  <c r="BC26" i="2" s="1"/>
  <c r="BB43" i="2"/>
  <c r="BB21" i="2" s="1"/>
  <c r="BB26" i="2" s="1"/>
  <c r="AX26" i="4"/>
  <c r="AX95" i="4"/>
  <c r="AY98" i="4" s="1"/>
  <c r="AY55" i="4" s="1"/>
  <c r="AX105" i="4"/>
  <c r="AY106" i="4" s="1"/>
  <c r="AX14" i="4"/>
  <c r="AG47" i="2"/>
  <c r="AD17" i="4"/>
  <c r="BJ11" i="2" s="1"/>
  <c r="AE12" i="2"/>
  <c r="BL73" i="4"/>
  <c r="BL100" i="4" s="1"/>
  <c r="BL71" i="4"/>
  <c r="BL65" i="4"/>
  <c r="BB65" i="4"/>
  <c r="BB11" i="4" s="1"/>
  <c r="AJ50" i="2"/>
  <c r="AK65" i="4"/>
  <c r="AK11" i="4" s="1"/>
  <c r="AK71" i="4"/>
  <c r="AK73" i="4"/>
  <c r="AK100" i="4" s="1"/>
  <c r="AZ71" i="4"/>
  <c r="AL65" i="4"/>
  <c r="AL11" i="4" s="1"/>
  <c r="BL11" i="4" s="1"/>
  <c r="AL71" i="4"/>
  <c r="AL73" i="4"/>
  <c r="AL100" i="4" s="1"/>
  <c r="BB14" i="2"/>
  <c r="BC34" i="4"/>
  <c r="BC14" i="2" s="1"/>
  <c r="AF14" i="2"/>
  <c r="AG34" i="4"/>
  <c r="BK11" i="4"/>
  <c r="BC16" i="4"/>
  <c r="BC65" i="4"/>
  <c r="BC11" i="4" s="1"/>
  <c r="BC73" i="4"/>
  <c r="BC100" i="4" s="1"/>
  <c r="BC71" i="4"/>
  <c r="BA12" i="2"/>
  <c r="BA17" i="4" s="1"/>
  <c r="BA11" i="2" s="1"/>
  <c r="U22" i="4"/>
  <c r="BO41" i="2" l="1"/>
  <c r="BN20" i="2"/>
  <c r="BN42" i="2"/>
  <c r="M70" i="1"/>
  <c r="BN65" i="4"/>
  <c r="BN11" i="4" s="1"/>
  <c r="BL19" i="4"/>
  <c r="BM19" i="4" s="1"/>
  <c r="BN19" i="4" s="1"/>
  <c r="BO19" i="4" s="1"/>
  <c r="BP19" i="4" s="1"/>
  <c r="BQ19" i="4" s="1"/>
  <c r="BR19" i="4" s="1"/>
  <c r="BS19" i="4" s="1"/>
  <c r="BO65" i="4"/>
  <c r="BO11" i="4" s="1"/>
  <c r="BP69" i="4"/>
  <c r="BP65" i="4" s="1"/>
  <c r="BP11" i="4" s="1"/>
  <c r="BM73" i="4"/>
  <c r="AY37" i="3"/>
  <c r="AY41" i="3" s="1"/>
  <c r="J29" i="1"/>
  <c r="J74" i="1"/>
  <c r="BO107" i="4"/>
  <c r="BM66" i="4"/>
  <c r="BM67" i="4"/>
  <c r="BN72" i="4"/>
  <c r="BO72" i="4" s="1"/>
  <c r="BO67" i="4" s="1"/>
  <c r="BN70" i="4"/>
  <c r="AY108" i="3"/>
  <c r="AY135" i="3"/>
  <c r="AY67" i="3"/>
  <c r="AE107" i="4"/>
  <c r="AF107" i="4" s="1"/>
  <c r="AH99" i="4"/>
  <c r="AI99" i="4" s="1"/>
  <c r="BA16" i="2"/>
  <c r="BB73" i="4"/>
  <c r="BB100" i="4" s="1"/>
  <c r="T20" i="4"/>
  <c r="T19" i="4"/>
  <c r="BA18" i="4"/>
  <c r="AC20" i="4"/>
  <c r="AF12" i="2"/>
  <c r="BC16" i="2"/>
  <c r="AH47" i="2"/>
  <c r="AX52" i="4"/>
  <c r="AX92" i="4"/>
  <c r="AX31" i="4"/>
  <c r="AC104" i="3"/>
  <c r="AC131" i="3"/>
  <c r="AC81" i="3"/>
  <c r="BB71" i="4"/>
  <c r="BB16" i="2"/>
  <c r="BL16" i="4"/>
  <c r="AY16" i="2"/>
  <c r="AZ16" i="2"/>
  <c r="BJ17" i="4"/>
  <c r="AE17" i="4"/>
  <c r="AX23" i="4"/>
  <c r="AX15" i="4"/>
  <c r="BC12" i="2"/>
  <c r="AZ31" i="3"/>
  <c r="BJ44" i="2"/>
  <c r="AD43" i="2"/>
  <c r="AE44" i="2"/>
  <c r="BB12" i="2"/>
  <c r="BB17" i="4" s="1"/>
  <c r="BB11" i="2" s="1"/>
  <c r="AH34" i="4"/>
  <c r="AG14" i="2"/>
  <c r="AK50" i="2"/>
  <c r="T22" i="4"/>
  <c r="BQ69" i="4" l="1"/>
  <c r="BR69" i="4" s="1"/>
  <c r="BN55" i="2"/>
  <c r="M73" i="1"/>
  <c r="BP41" i="2"/>
  <c r="BO20" i="2"/>
  <c r="BO42" i="2"/>
  <c r="AY56" i="3"/>
  <c r="AY144" i="3" s="1"/>
  <c r="AY90" i="3"/>
  <c r="AY79" i="4" s="1"/>
  <c r="BQ65" i="4"/>
  <c r="BQ11" i="4" s="1"/>
  <c r="AY53" i="3"/>
  <c r="AY143" i="3" s="1"/>
  <c r="AY137" i="3"/>
  <c r="AY141" i="3"/>
  <c r="AY110" i="3"/>
  <c r="AY86" i="3"/>
  <c r="AY76" i="4"/>
  <c r="AY84" i="4"/>
  <c r="AY77" i="4"/>
  <c r="AY114" i="3"/>
  <c r="AY68" i="3"/>
  <c r="AY10" i="2"/>
  <c r="AY17" i="2" s="1"/>
  <c r="M71" i="1"/>
  <c r="BN66" i="4"/>
  <c r="BN71" i="4"/>
  <c r="BN73" i="4"/>
  <c r="BO70" i="4"/>
  <c r="BP70" i="4" s="1"/>
  <c r="BQ70" i="4" s="1"/>
  <c r="BR65" i="4"/>
  <c r="BR11" i="4" s="1"/>
  <c r="BP107" i="4"/>
  <c r="BN67" i="4"/>
  <c r="BP72" i="4"/>
  <c r="BS69" i="4"/>
  <c r="AD49" i="2"/>
  <c r="AD51" i="2" s="1"/>
  <c r="AG107" i="4"/>
  <c r="AH107" i="4" s="1"/>
  <c r="AJ99" i="4"/>
  <c r="AK99" i="4" s="1"/>
  <c r="S20" i="4"/>
  <c r="S19" i="4"/>
  <c r="BC17" i="4"/>
  <c r="BB18" i="4"/>
  <c r="AX54" i="4"/>
  <c r="AX36" i="4"/>
  <c r="AX46" i="4" s="1"/>
  <c r="AX62" i="4"/>
  <c r="AX61" i="4"/>
  <c r="AF44" i="2"/>
  <c r="AE43" i="2"/>
  <c r="AX53" i="4"/>
  <c r="AX81" i="4"/>
  <c r="AX59" i="4"/>
  <c r="AX60" i="4"/>
  <c r="AY80" i="4"/>
  <c r="AX76" i="4"/>
  <c r="AX80" i="4"/>
  <c r="AX88" i="4"/>
  <c r="BJ18" i="4"/>
  <c r="AH12" i="2"/>
  <c r="AI47" i="2"/>
  <c r="AZ131" i="3"/>
  <c r="AZ81" i="3"/>
  <c r="AZ104" i="3"/>
  <c r="AZ35" i="3"/>
  <c r="AF17" i="4"/>
  <c r="AG12" i="2"/>
  <c r="AD21" i="2"/>
  <c r="BJ43" i="2"/>
  <c r="AL50" i="2"/>
  <c r="BK34" i="4"/>
  <c r="AI34" i="4"/>
  <c r="AH14" i="2"/>
  <c r="BK14" i="2" s="1"/>
  <c r="S22" i="4"/>
  <c r="AY117" i="3" l="1"/>
  <c r="BO55" i="2"/>
  <c r="BQ41" i="2"/>
  <c r="BP42" i="2"/>
  <c r="BP20" i="2"/>
  <c r="AY116" i="3"/>
  <c r="AY82" i="4"/>
  <c r="BP66" i="4"/>
  <c r="BP73" i="4"/>
  <c r="BP71" i="4"/>
  <c r="BS65" i="4"/>
  <c r="BS11" i="4" s="1"/>
  <c r="N70" i="1"/>
  <c r="BQ72" i="4"/>
  <c r="BQ73" i="4" s="1"/>
  <c r="BP67" i="4"/>
  <c r="BO66" i="4"/>
  <c r="BO71" i="4"/>
  <c r="BO73" i="4"/>
  <c r="BR70" i="4"/>
  <c r="BQ66" i="4"/>
  <c r="BQ71" i="4"/>
  <c r="BQ107" i="4"/>
  <c r="AD13" i="2"/>
  <c r="BJ13" i="2" s="1"/>
  <c r="BJ12" i="2" s="1"/>
  <c r="BJ46" i="2" s="1"/>
  <c r="AL99" i="4"/>
  <c r="AI107" i="4"/>
  <c r="AJ107" i="4" s="1"/>
  <c r="BC18" i="4"/>
  <c r="BC11" i="2"/>
  <c r="AX82" i="4"/>
  <c r="R20" i="4"/>
  <c r="R19" i="4"/>
  <c r="AD26" i="2"/>
  <c r="BJ26" i="2" s="1"/>
  <c r="BJ21" i="2"/>
  <c r="AX87" i="4"/>
  <c r="AX89" i="4"/>
  <c r="AX45" i="4"/>
  <c r="AZ108" i="3"/>
  <c r="AZ135" i="3"/>
  <c r="AZ67" i="3"/>
  <c r="AZ37" i="3"/>
  <c r="AZ85" i="3"/>
  <c r="BK44" i="2"/>
  <c r="BJ51" i="2"/>
  <c r="AJ47" i="2"/>
  <c r="AG44" i="2"/>
  <c r="AF43" i="2"/>
  <c r="AF21" i="2" s="1"/>
  <c r="AF26" i="2" s="1"/>
  <c r="AY54" i="2"/>
  <c r="AY56" i="2" s="1"/>
  <c r="AY58" i="2" s="1"/>
  <c r="AY101" i="4"/>
  <c r="AY102" i="4" s="1"/>
  <c r="AG17" i="4"/>
  <c r="AD20" i="4"/>
  <c r="AI14" i="2"/>
  <c r="AJ34" i="4"/>
  <c r="AE21" i="2"/>
  <c r="R22" i="4"/>
  <c r="BP55" i="2" l="1"/>
  <c r="BR41" i="2"/>
  <c r="BQ20" i="2"/>
  <c r="BQ42" i="2"/>
  <c r="BR66" i="4"/>
  <c r="BR71" i="4"/>
  <c r="BS70" i="4"/>
  <c r="BR107" i="4"/>
  <c r="BR72" i="4"/>
  <c r="BQ67" i="4"/>
  <c r="AK107" i="4"/>
  <c r="AL107" i="4" s="1"/>
  <c r="Q20" i="4"/>
  <c r="Q19" i="4"/>
  <c r="AE26" i="2"/>
  <c r="AK34" i="4"/>
  <c r="AJ14" i="2"/>
  <c r="AZ41" i="3"/>
  <c r="AZ90" i="3" s="1"/>
  <c r="AZ86" i="3"/>
  <c r="AZ110" i="3"/>
  <c r="AZ137" i="3"/>
  <c r="AY31" i="2"/>
  <c r="AY34" i="2" s="1"/>
  <c r="AY36" i="2" s="1"/>
  <c r="AY38" i="2" s="1"/>
  <c r="AY96" i="4"/>
  <c r="AK47" i="2"/>
  <c r="BJ20" i="4"/>
  <c r="BK49" i="2" s="1"/>
  <c r="AE49" i="2"/>
  <c r="AH17" i="4"/>
  <c r="AI12" i="2"/>
  <c r="AH44" i="2"/>
  <c r="AG43" i="2"/>
  <c r="Q22" i="4"/>
  <c r="BQ55" i="2" l="1"/>
  <c r="BS41" i="2"/>
  <c r="BR20" i="2"/>
  <c r="BR42" i="2"/>
  <c r="BR67" i="4"/>
  <c r="BS72" i="4"/>
  <c r="BS67" i="4" s="1"/>
  <c r="BS107" i="4"/>
  <c r="N71" i="1"/>
  <c r="BS66" i="4"/>
  <c r="BS71" i="4"/>
  <c r="BR73" i="4"/>
  <c r="P20" i="4"/>
  <c r="P19" i="4"/>
  <c r="BK11" i="2"/>
  <c r="AI17" i="4"/>
  <c r="BK17" i="4"/>
  <c r="AZ68" i="3"/>
  <c r="AZ141" i="3"/>
  <c r="AZ10" i="2"/>
  <c r="AZ17" i="2" s="1"/>
  <c r="AZ54" i="2" s="1"/>
  <c r="AZ56" i="2" s="1"/>
  <c r="AZ58" i="2" s="1"/>
  <c r="AZ114" i="3"/>
  <c r="AZ53" i="3"/>
  <c r="AZ56" i="3"/>
  <c r="AZ79" i="4"/>
  <c r="AZ77" i="4"/>
  <c r="AZ84" i="4"/>
  <c r="AE51" i="2"/>
  <c r="AE13" i="2"/>
  <c r="AL34" i="4"/>
  <c r="AK14" i="2"/>
  <c r="AL47" i="2"/>
  <c r="AE20" i="4"/>
  <c r="AY26" i="4"/>
  <c r="AY95" i="4"/>
  <c r="AZ98" i="4" s="1"/>
  <c r="AZ55" i="4" s="1"/>
  <c r="AZ37" i="2"/>
  <c r="AY10" i="4"/>
  <c r="AG21" i="2"/>
  <c r="AH43" i="2"/>
  <c r="AH21" i="2" s="1"/>
  <c r="AH26" i="2" s="1"/>
  <c r="AI44" i="2"/>
  <c r="AJ12" i="2"/>
  <c r="P22" i="4"/>
  <c r="BS73" i="4" l="1"/>
  <c r="BR55" i="2"/>
  <c r="BS42" i="2"/>
  <c r="BS20" i="2"/>
  <c r="K29" i="1"/>
  <c r="K74" i="1"/>
  <c r="AF49" i="2"/>
  <c r="AF20" i="4" s="1"/>
  <c r="O20" i="4"/>
  <c r="O19" i="4"/>
  <c r="AZ117" i="3"/>
  <c r="AZ144" i="3"/>
  <c r="BK18" i="4"/>
  <c r="BK43" i="2"/>
  <c r="AZ143" i="3"/>
  <c r="AZ116" i="3"/>
  <c r="AJ17" i="4"/>
  <c r="AY105" i="4"/>
  <c r="AZ106" i="4" s="1"/>
  <c r="BA31" i="3" s="1"/>
  <c r="AY14" i="4"/>
  <c r="AZ101" i="4"/>
  <c r="AZ102" i="4" s="1"/>
  <c r="AG26" i="2"/>
  <c r="BK26" i="2" s="1"/>
  <c r="BK21" i="2"/>
  <c r="AL14" i="2"/>
  <c r="BL14" i="2" s="1"/>
  <c r="BM14" i="2" s="1"/>
  <c r="BN14" i="2" s="1"/>
  <c r="BO14" i="2" s="1"/>
  <c r="BP14" i="2" s="1"/>
  <c r="BQ14" i="2" s="1"/>
  <c r="BR14" i="2" s="1"/>
  <c r="BS14" i="2" s="1"/>
  <c r="BL34" i="4"/>
  <c r="BM34" i="4" s="1"/>
  <c r="BN34" i="4" s="1"/>
  <c r="BO34" i="4" s="1"/>
  <c r="BP34" i="4" s="1"/>
  <c r="BQ34" i="4" s="1"/>
  <c r="BR34" i="4" s="1"/>
  <c r="BS34" i="4" s="1"/>
  <c r="AL12" i="2"/>
  <c r="AJ44" i="2"/>
  <c r="AI43" i="2"/>
  <c r="AI21" i="2" s="1"/>
  <c r="AY31" i="4"/>
  <c r="AY52" i="4"/>
  <c r="AY92" i="4"/>
  <c r="AK12" i="2"/>
  <c r="O22" i="4"/>
  <c r="N73" i="1" l="1"/>
  <c r="BS55" i="2"/>
  <c r="AF51" i="2"/>
  <c r="AF13" i="2"/>
  <c r="AG49" i="2"/>
  <c r="AG51" i="2" s="1"/>
  <c r="N20" i="4"/>
  <c r="N19" i="4"/>
  <c r="AK17" i="4"/>
  <c r="BA104" i="3"/>
  <c r="BA81" i="3"/>
  <c r="BA131" i="3"/>
  <c r="BA35" i="3"/>
  <c r="AY36" i="4"/>
  <c r="AY59" i="4"/>
  <c r="AY60" i="4"/>
  <c r="AY61" i="4"/>
  <c r="AI26" i="2"/>
  <c r="AZ31" i="2"/>
  <c r="AZ34" i="2" s="1"/>
  <c r="AZ36" i="2" s="1"/>
  <c r="AZ38" i="2" s="1"/>
  <c r="AZ96" i="4"/>
  <c r="BL44" i="2"/>
  <c r="BL43" i="2" s="1"/>
  <c r="BM44" i="2" s="1"/>
  <c r="BM43" i="2" s="1"/>
  <c r="BN44" i="2" s="1"/>
  <c r="BN43" i="2" s="1"/>
  <c r="BO44" i="2" s="1"/>
  <c r="BO43" i="2" s="1"/>
  <c r="BP44" i="2" s="1"/>
  <c r="BP43" i="2" s="1"/>
  <c r="BQ44" i="2" s="1"/>
  <c r="BQ43" i="2" s="1"/>
  <c r="BR44" i="2" s="1"/>
  <c r="BR43" i="2" s="1"/>
  <c r="BK51" i="2"/>
  <c r="AK44" i="2"/>
  <c r="AJ43" i="2"/>
  <c r="AJ21" i="2" s="1"/>
  <c r="AJ26" i="2" s="1"/>
  <c r="AY62" i="4"/>
  <c r="AY54" i="4"/>
  <c r="AY15" i="4"/>
  <c r="N22" i="4"/>
  <c r="AG20" i="4" l="1"/>
  <c r="BS44" i="2"/>
  <c r="BS43" i="2" s="1"/>
  <c r="AG13" i="2"/>
  <c r="AH49" i="2"/>
  <c r="AH13" i="2" s="1"/>
  <c r="M20" i="4"/>
  <c r="M19" i="4"/>
  <c r="BA108" i="3"/>
  <c r="BA37" i="3"/>
  <c r="BA41" i="3" s="1"/>
  <c r="BA90" i="3" s="1"/>
  <c r="BA135" i="3"/>
  <c r="BA67" i="3"/>
  <c r="BA85" i="3"/>
  <c r="AC26" i="4"/>
  <c r="AL17" i="4"/>
  <c r="BL11" i="2" s="1"/>
  <c r="AL44" i="2"/>
  <c r="AL43" i="2" s="1"/>
  <c r="AL21" i="2" s="1"/>
  <c r="AL26" i="2" s="1"/>
  <c r="AK43" i="2"/>
  <c r="AK21" i="2" s="1"/>
  <c r="AK26" i="2" s="1"/>
  <c r="AZ95" i="4"/>
  <c r="BA98" i="4" s="1"/>
  <c r="BA55" i="4" s="1"/>
  <c r="AZ26" i="4"/>
  <c r="AY46" i="4"/>
  <c r="AY87" i="4"/>
  <c r="AY89" i="4"/>
  <c r="AY45" i="4"/>
  <c r="AZ10" i="4"/>
  <c r="BA37" i="2"/>
  <c r="M22" i="4"/>
  <c r="L74" i="1" l="1"/>
  <c r="BM11" i="2"/>
  <c r="L29" i="1"/>
  <c r="L51" i="1" s="1"/>
  <c r="BK13" i="2"/>
  <c r="BK12" i="2" s="1"/>
  <c r="BK46" i="2" s="1"/>
  <c r="AH20" i="4"/>
  <c r="BK20" i="4" s="1"/>
  <c r="BL49" i="2" s="1"/>
  <c r="BL51" i="2" s="1"/>
  <c r="AH51" i="2"/>
  <c r="BL26" i="2"/>
  <c r="L19" i="4"/>
  <c r="K19" i="4"/>
  <c r="L20" i="4"/>
  <c r="K20" i="4"/>
  <c r="BL21" i="2"/>
  <c r="BM21" i="2" s="1"/>
  <c r="BA40" i="4"/>
  <c r="BA141" i="3"/>
  <c r="BA79" i="4"/>
  <c r="BA56" i="3"/>
  <c r="BA68" i="3"/>
  <c r="BA10" i="2"/>
  <c r="BA17" i="2" s="1"/>
  <c r="BA54" i="2" s="1"/>
  <c r="BA56" i="2" s="1"/>
  <c r="BA58" i="2" s="1"/>
  <c r="BA114" i="3"/>
  <c r="BA53" i="3"/>
  <c r="AZ31" i="4"/>
  <c r="AZ36" i="4" s="1"/>
  <c r="AZ92" i="4"/>
  <c r="AZ52" i="4"/>
  <c r="BL17" i="4"/>
  <c r="BN17" i="4" s="1"/>
  <c r="BO17" i="4" s="1"/>
  <c r="BP17" i="4" s="1"/>
  <c r="BQ17" i="4" s="1"/>
  <c r="BR17" i="4" s="1"/>
  <c r="BS17" i="4" s="1"/>
  <c r="AZ105" i="4"/>
  <c r="BA106" i="4" s="1"/>
  <c r="BB31" i="3" s="1"/>
  <c r="AZ14" i="4"/>
  <c r="BA86" i="3"/>
  <c r="BA137" i="3"/>
  <c r="BA110" i="3"/>
  <c r="L22" i="4"/>
  <c r="K22" i="4"/>
  <c r="BN11" i="2" l="1"/>
  <c r="L13" i="1"/>
  <c r="L30" i="1"/>
  <c r="BN21" i="2"/>
  <c r="BM26" i="2"/>
  <c r="AI49" i="2"/>
  <c r="AI20" i="4" s="1"/>
  <c r="AJ49" i="2" s="1"/>
  <c r="AZ61" i="4"/>
  <c r="AZ62" i="4"/>
  <c r="AZ23" i="4"/>
  <c r="AZ87" i="4" s="1"/>
  <c r="AZ15" i="4"/>
  <c r="AZ54" i="4"/>
  <c r="BL18" i="4"/>
  <c r="BM18" i="4" s="1"/>
  <c r="BN18" i="4" s="1"/>
  <c r="BO18" i="4" s="1"/>
  <c r="BP18" i="4" s="1"/>
  <c r="BQ18" i="4" s="1"/>
  <c r="BR18" i="4" s="1"/>
  <c r="BS18" i="4" s="1"/>
  <c r="BB40" i="4"/>
  <c r="BA42" i="4"/>
  <c r="BA143" i="3"/>
  <c r="BA116" i="3"/>
  <c r="AZ89" i="4"/>
  <c r="AZ45" i="4"/>
  <c r="BA144" i="3"/>
  <c r="BA117" i="3"/>
  <c r="BB81" i="3"/>
  <c r="BB131" i="3"/>
  <c r="BB104" i="3"/>
  <c r="BB35" i="3"/>
  <c r="BA101" i="4"/>
  <c r="BA102" i="4" s="1"/>
  <c r="BO21" i="2" l="1"/>
  <c r="BO26" i="2" s="1"/>
  <c r="BN26" i="2"/>
  <c r="BO11" i="2"/>
  <c r="M74" i="1"/>
  <c r="AI13" i="2"/>
  <c r="AI51" i="2"/>
  <c r="AJ20" i="4"/>
  <c r="AK49" i="2" s="1"/>
  <c r="AK20" i="4" s="1"/>
  <c r="AJ13" i="2"/>
  <c r="AJ51" i="2"/>
  <c r="BA31" i="2"/>
  <c r="BA34" i="2" s="1"/>
  <c r="BA36" i="2" s="1"/>
  <c r="BA38" i="2" s="1"/>
  <c r="BA96" i="4"/>
  <c r="BA44" i="4"/>
  <c r="BA47" i="4"/>
  <c r="BA77" i="4"/>
  <c r="BB67" i="3"/>
  <c r="BB85" i="3"/>
  <c r="BB37" i="3"/>
  <c r="BB135" i="3"/>
  <c r="BB108" i="3"/>
  <c r="BC40" i="4"/>
  <c r="BC42" i="4" s="1"/>
  <c r="BB42" i="4"/>
  <c r="AZ53" i="4"/>
  <c r="AZ81" i="4"/>
  <c r="AZ82" i="4" s="1"/>
  <c r="AZ59" i="4"/>
  <c r="AZ60" i="4"/>
  <c r="AZ46" i="4"/>
  <c r="BA80" i="4"/>
  <c r="AZ88" i="4"/>
  <c r="AZ76" i="4"/>
  <c r="BP21" i="2" l="1"/>
  <c r="BP26" i="2" s="1"/>
  <c r="BP11" i="2"/>
  <c r="AK51" i="2"/>
  <c r="AK13" i="2"/>
  <c r="AL49" i="2"/>
  <c r="AL20" i="4" s="1"/>
  <c r="BL20" i="4" s="1"/>
  <c r="BB44" i="4"/>
  <c r="BB47" i="4"/>
  <c r="BA84" i="4"/>
  <c r="BC47" i="4"/>
  <c r="BC44" i="4"/>
  <c r="BA26" i="4"/>
  <c r="BA95" i="4"/>
  <c r="BB98" i="4" s="1"/>
  <c r="BB55" i="4" s="1"/>
  <c r="BB41" i="3"/>
  <c r="BB90" i="3" s="1"/>
  <c r="BB137" i="3"/>
  <c r="BB86" i="3"/>
  <c r="BB110" i="3"/>
  <c r="BA10" i="4"/>
  <c r="BB37" i="2"/>
  <c r="BQ21" i="2" l="1"/>
  <c r="BQ26" i="2" s="1"/>
  <c r="BQ11" i="2"/>
  <c r="BR21" i="2"/>
  <c r="AL51" i="2"/>
  <c r="AL13" i="2"/>
  <c r="BL13" i="2" s="1"/>
  <c r="BA14" i="4"/>
  <c r="BA105" i="4"/>
  <c r="BB106" i="4" s="1"/>
  <c r="BC31" i="3" s="1"/>
  <c r="BB53" i="3"/>
  <c r="BB68" i="3"/>
  <c r="BB114" i="3"/>
  <c r="BB79" i="4"/>
  <c r="BB56" i="3"/>
  <c r="BB10" i="2"/>
  <c r="BB17" i="2" s="1"/>
  <c r="BB54" i="2" s="1"/>
  <c r="BB56" i="2" s="1"/>
  <c r="BB58" i="2" s="1"/>
  <c r="BB141" i="3"/>
  <c r="BB77" i="4"/>
  <c r="BB84" i="4"/>
  <c r="BA92" i="4"/>
  <c r="BA31" i="4"/>
  <c r="BA62" i="4" s="1"/>
  <c r="BA52" i="4"/>
  <c r="BM13" i="2" l="1"/>
  <c r="BM12" i="2" s="1"/>
  <c r="BM46" i="2" s="1"/>
  <c r="BL12" i="2"/>
  <c r="BL46" i="2" s="1"/>
  <c r="BS21" i="2"/>
  <c r="BS26" i="2" s="1"/>
  <c r="BR26" i="2"/>
  <c r="BR11" i="2"/>
  <c r="BM49" i="2"/>
  <c r="BN13" i="2"/>
  <c r="BN12" i="2" s="1"/>
  <c r="BN46" i="2" s="1"/>
  <c r="BB101" i="4"/>
  <c r="BB102" i="4" s="1"/>
  <c r="BB31" i="2" s="1"/>
  <c r="BB34" i="2" s="1"/>
  <c r="BB36" i="2" s="1"/>
  <c r="BB38" i="2" s="1"/>
  <c r="BB117" i="3"/>
  <c r="BB144" i="3"/>
  <c r="BA61" i="4"/>
  <c r="BA36" i="4"/>
  <c r="BB143" i="3"/>
  <c r="BB116" i="3"/>
  <c r="BC81" i="3"/>
  <c r="BC131" i="3"/>
  <c r="BC104" i="3"/>
  <c r="BC35" i="3"/>
  <c r="BA23" i="4"/>
  <c r="BA15" i="4"/>
  <c r="BA54" i="4"/>
  <c r="BS11" i="2" l="1"/>
  <c r="BM20" i="4"/>
  <c r="BN49" i="2" s="1"/>
  <c r="BM51" i="2"/>
  <c r="BO13" i="2"/>
  <c r="BO12" i="2" s="1"/>
  <c r="BO46" i="2" s="1"/>
  <c r="BB96" i="4"/>
  <c r="BB95" i="4" s="1"/>
  <c r="BC98" i="4" s="1"/>
  <c r="BC55" i="4" s="1"/>
  <c r="BA89" i="4"/>
  <c r="BA87" i="4"/>
  <c r="BA45" i="4"/>
  <c r="BB10" i="4"/>
  <c r="BC37" i="2"/>
  <c r="BA53" i="4"/>
  <c r="BA59" i="4"/>
  <c r="BA60" i="4"/>
  <c r="BA81" i="4"/>
  <c r="BA82" i="4" s="1"/>
  <c r="BA46" i="4"/>
  <c r="BA76" i="4"/>
  <c r="BA88" i="4"/>
  <c r="BC85" i="3"/>
  <c r="BC37" i="3"/>
  <c r="BC135" i="3"/>
  <c r="BC108" i="3"/>
  <c r="BC67" i="3"/>
  <c r="BN20" i="4" l="1"/>
  <c r="BO49" i="2" s="1"/>
  <c r="BN51" i="2"/>
  <c r="N74" i="1"/>
  <c r="BP13" i="2"/>
  <c r="BP12" i="2" s="1"/>
  <c r="BP46" i="2" s="1"/>
  <c r="AD96" i="4"/>
  <c r="BB26" i="4"/>
  <c r="BB92" i="4" s="1"/>
  <c r="BC41" i="3"/>
  <c r="BC90" i="3" s="1"/>
  <c r="BC137" i="3"/>
  <c r="BC86" i="3"/>
  <c r="BC110" i="3"/>
  <c r="BB105" i="4"/>
  <c r="BC106" i="4" s="1"/>
  <c r="BB14" i="4"/>
  <c r="AX20" i="4" l="1"/>
  <c r="AY49" i="2" s="1"/>
  <c r="BO51" i="2"/>
  <c r="BO20" i="4"/>
  <c r="BP49" i="2" s="1"/>
  <c r="BQ13" i="2"/>
  <c r="BQ12" i="2" s="1"/>
  <c r="BQ46" i="2" s="1"/>
  <c r="AD26" i="4"/>
  <c r="BJ26" i="4" s="1"/>
  <c r="BJ31" i="2"/>
  <c r="BB31" i="4"/>
  <c r="BB36" i="4" s="1"/>
  <c r="BB52" i="4"/>
  <c r="BC79" i="4"/>
  <c r="BC10" i="2"/>
  <c r="BC17" i="2" s="1"/>
  <c r="BC68" i="3"/>
  <c r="BC53" i="3"/>
  <c r="BC141" i="3"/>
  <c r="BC56" i="3"/>
  <c r="BC114" i="3"/>
  <c r="BC77" i="4"/>
  <c r="BC84" i="4"/>
  <c r="BB23" i="4"/>
  <c r="BB15" i="4"/>
  <c r="AY20" i="4" l="1"/>
  <c r="AZ49" i="2" s="1"/>
  <c r="BP51" i="2"/>
  <c r="BP20" i="4"/>
  <c r="BQ49" i="2" s="1"/>
  <c r="AY51" i="2"/>
  <c r="AY13" i="2"/>
  <c r="BR13" i="2"/>
  <c r="BR12" i="2" s="1"/>
  <c r="BR46" i="2" s="1"/>
  <c r="BB62" i="4"/>
  <c r="BB61" i="4"/>
  <c r="BB54" i="4"/>
  <c r="J77" i="1"/>
  <c r="BC144" i="3"/>
  <c r="BC117" i="3"/>
  <c r="BB80" i="4"/>
  <c r="BB60" i="4"/>
  <c r="BB81" i="4"/>
  <c r="BB53" i="4"/>
  <c r="BB59" i="4"/>
  <c r="BB46" i="4"/>
  <c r="BB88" i="4"/>
  <c r="BB76" i="4"/>
  <c r="BB87" i="4"/>
  <c r="BB89" i="4"/>
  <c r="BB45" i="4"/>
  <c r="BC116" i="3"/>
  <c r="BC143" i="3"/>
  <c r="BC54" i="2"/>
  <c r="BC56" i="2" s="1"/>
  <c r="BC58" i="2" s="1"/>
  <c r="BC101" i="4"/>
  <c r="BC102" i="4" s="1"/>
  <c r="AZ20" i="4" l="1"/>
  <c r="BA49" i="2" s="1"/>
  <c r="BQ51" i="2"/>
  <c r="BQ20" i="4"/>
  <c r="BR49" i="2" s="1"/>
  <c r="BR51" i="2" s="1"/>
  <c r="BA20" i="4"/>
  <c r="AZ13" i="2"/>
  <c r="AZ51" i="2"/>
  <c r="BS13" i="2"/>
  <c r="BS12" i="2" s="1"/>
  <c r="BS46" i="2" s="1"/>
  <c r="BC31" i="2"/>
  <c r="BC34" i="2" s="1"/>
  <c r="BC36" i="2" s="1"/>
  <c r="BC38" i="2" s="1"/>
  <c r="BC10" i="4" s="1"/>
  <c r="BC96" i="4"/>
  <c r="BB82" i="4"/>
  <c r="BR20" i="4" l="1"/>
  <c r="BS49" i="2" s="1"/>
  <c r="BS51" i="2" s="1"/>
  <c r="BA51" i="2"/>
  <c r="BA13" i="2"/>
  <c r="BB20" i="4"/>
  <c r="BB49" i="2"/>
  <c r="BC14" i="4"/>
  <c r="BC105" i="4"/>
  <c r="BC95" i="4"/>
  <c r="BC26" i="4"/>
  <c r="BS20" i="4" l="1"/>
  <c r="BB51" i="2"/>
  <c r="BB13" i="2"/>
  <c r="BC49" i="2"/>
  <c r="BC20" i="4"/>
  <c r="BC52" i="4"/>
  <c r="BC31" i="4"/>
  <c r="BC54" i="4" s="1"/>
  <c r="BC92" i="4"/>
  <c r="BC23" i="4"/>
  <c r="BC15" i="4"/>
  <c r="BC51" i="2" l="1"/>
  <c r="BC13" i="2"/>
  <c r="BC35" i="4"/>
  <c r="BC36" i="4"/>
  <c r="BC46" i="4" s="1"/>
  <c r="BC62" i="4"/>
  <c r="BC61" i="4"/>
  <c r="BC80" i="4"/>
  <c r="BC53" i="4"/>
  <c r="BC81" i="4"/>
  <c r="BC59" i="4"/>
  <c r="BC60" i="4"/>
  <c r="BC88" i="4"/>
  <c r="BC76" i="4"/>
  <c r="BC82" i="4" l="1"/>
  <c r="BC87" i="4"/>
  <c r="BC89" i="4"/>
  <c r="BC45" i="4"/>
  <c r="AE96" i="4" l="1"/>
  <c r="BK31" i="2" l="1"/>
  <c r="AE26" i="4"/>
  <c r="AF96" i="4" l="1"/>
  <c r="AF26" i="4" l="1"/>
  <c r="AG96" i="4" l="1"/>
  <c r="AG26" i="4" l="1"/>
  <c r="AH96" i="4" l="1"/>
  <c r="AH26" i="4" l="1"/>
  <c r="BK26" i="4" l="1"/>
  <c r="K77" i="1" l="1"/>
  <c r="AI96" i="4" l="1"/>
  <c r="AI26" i="4" l="1"/>
  <c r="BL31" i="2"/>
  <c r="BM31" i="2" s="1"/>
  <c r="BN31" i="2" l="1"/>
  <c r="BO31" i="2" s="1"/>
  <c r="BP31" i="2" s="1"/>
  <c r="BQ31" i="2" s="1"/>
  <c r="BR31" i="2" s="1"/>
  <c r="BS31" i="2" s="1"/>
  <c r="AJ96" i="4"/>
  <c r="AJ26" i="4" l="1"/>
  <c r="AK96" i="4" l="1"/>
  <c r="AK26" i="4" l="1"/>
  <c r="AL96" i="4" l="1"/>
  <c r="AL26" i="4" l="1"/>
  <c r="BL26" i="4" l="1"/>
  <c r="BM26" i="4" l="1"/>
  <c r="L77" i="1"/>
  <c r="BN26" i="4" l="1"/>
  <c r="Q6" i="1"/>
  <c r="Q5" i="1"/>
  <c r="Q7" i="1"/>
  <c r="AC19" i="3"/>
  <c r="AC97" i="3" l="1"/>
  <c r="BO26" i="4"/>
  <c r="M77" i="1"/>
  <c r="AC124" i="3"/>
  <c r="AC13" i="4"/>
  <c r="AC38" i="4"/>
  <c r="AC33" i="4"/>
  <c r="AC43" i="4"/>
  <c r="AC39" i="4"/>
  <c r="AC30" i="2" s="1"/>
  <c r="AC34" i="2" s="1"/>
  <c r="AC24" i="3"/>
  <c r="BP26" i="4" l="1"/>
  <c r="AC97" i="4"/>
  <c r="AC95" i="4" s="1"/>
  <c r="AD98" i="4" s="1"/>
  <c r="AC55" i="4"/>
  <c r="AC26" i="3"/>
  <c r="AC35" i="3"/>
  <c r="AC129" i="3"/>
  <c r="AC79" i="3"/>
  <c r="AC66" i="3"/>
  <c r="AC102" i="3"/>
  <c r="BQ26" i="4" l="1"/>
  <c r="AC108" i="3"/>
  <c r="AC135" i="3"/>
  <c r="AC37" i="3"/>
  <c r="AC41" i="3" s="1"/>
  <c r="AC28" i="4" s="1"/>
  <c r="AC85" i="3"/>
  <c r="AC67" i="3"/>
  <c r="AC16" i="2" l="1"/>
  <c r="AC31" i="4"/>
  <c r="AC10" i="2"/>
  <c r="AC17" i="2" s="1"/>
  <c r="AC54" i="2" s="1"/>
  <c r="AC56" i="2" s="1"/>
  <c r="AC58" i="2" s="1"/>
  <c r="AC90" i="3"/>
  <c r="BR26" i="4"/>
  <c r="AC53" i="3"/>
  <c r="AC56" i="3"/>
  <c r="AC40" i="4"/>
  <c r="Z84" i="4"/>
  <c r="AC141" i="3"/>
  <c r="AC68" i="3"/>
  <c r="AC114" i="3"/>
  <c r="AC43" i="3"/>
  <c r="AC79" i="4"/>
  <c r="AC86" i="3"/>
  <c r="AC137" i="3"/>
  <c r="AC110" i="3"/>
  <c r="AC36" i="2" l="1"/>
  <c r="AC38" i="2" s="1"/>
  <c r="BS26" i="4"/>
  <c r="AC42" i="4"/>
  <c r="AC144" i="3"/>
  <c r="AC117" i="3"/>
  <c r="AC143" i="3"/>
  <c r="AC55" i="3"/>
  <c r="AC116" i="3"/>
  <c r="N77" i="1" l="1"/>
  <c r="AC101" i="4"/>
  <c r="AC10" i="4"/>
  <c r="AC47" i="4"/>
  <c r="AC44" i="4"/>
  <c r="AC77" i="4"/>
  <c r="AC105" i="4" l="1"/>
  <c r="AD106" i="4" s="1"/>
  <c r="AC62" i="4"/>
  <c r="AC14" i="4"/>
  <c r="AC61" i="4"/>
  <c r="AD37" i="2"/>
  <c r="AC92" i="4"/>
  <c r="AC52" i="4"/>
  <c r="AC54" i="4" l="1"/>
  <c r="AC15" i="4"/>
  <c r="AC23" i="4"/>
  <c r="AD131" i="3" l="1"/>
  <c r="AD104" i="3"/>
  <c r="BJ31" i="3"/>
  <c r="AD81" i="3"/>
  <c r="AC60" i="4"/>
  <c r="AC59" i="4"/>
  <c r="AC81" i="4"/>
  <c r="AC53" i="4"/>
  <c r="AC80" i="4"/>
  <c r="AC35" i="4"/>
  <c r="AC36" i="4" s="1"/>
  <c r="AC76" i="4"/>
  <c r="AC88" i="4"/>
  <c r="AC82" i="4" l="1"/>
  <c r="AC87" i="4"/>
  <c r="AC89" i="4"/>
  <c r="AC45" i="4"/>
  <c r="BJ81" i="3"/>
  <c r="BJ104" i="3"/>
  <c r="BJ131" i="3"/>
  <c r="AC46" i="4"/>
  <c r="AD19" i="3" l="1"/>
  <c r="AE19" i="3"/>
  <c r="AE124" i="3" s="1"/>
  <c r="AF19" i="3"/>
  <c r="AF124" i="3" s="1"/>
  <c r="AG19" i="3"/>
  <c r="AH19" i="3"/>
  <c r="AI19" i="3"/>
  <c r="AI24" i="3" s="1"/>
  <c r="AJ19" i="3"/>
  <c r="AN124" i="3" s="1"/>
  <c r="AK19" i="3"/>
  <c r="AK24" i="3" s="1"/>
  <c r="AK79" i="3" s="1"/>
  <c r="AL19" i="3"/>
  <c r="AL24" i="3" s="1"/>
  <c r="BJ19" i="3"/>
  <c r="BJ97" i="3" s="1"/>
  <c r="AD97" i="3"/>
  <c r="AD124" i="3" l="1"/>
  <c r="AD24" i="3"/>
  <c r="AD55" i="4" s="1"/>
  <c r="AG97" i="3"/>
  <c r="AE24" i="3"/>
  <c r="AE26" i="3" s="1"/>
  <c r="AO124" i="3"/>
  <c r="AL124" i="3"/>
  <c r="AD66" i="3"/>
  <c r="AK124" i="3"/>
  <c r="AG124" i="3"/>
  <c r="AD102" i="3"/>
  <c r="AD129" i="3"/>
  <c r="AP124" i="3"/>
  <c r="AL97" i="3"/>
  <c r="AI66" i="3"/>
  <c r="AI26" i="3"/>
  <c r="AI79" i="3"/>
  <c r="AL66" i="3"/>
  <c r="AL79" i="3"/>
  <c r="AP129" i="3"/>
  <c r="AL102" i="3"/>
  <c r="AO129" i="3"/>
  <c r="AK66" i="3"/>
  <c r="AH97" i="3"/>
  <c r="BK19" i="3"/>
  <c r="BK97" i="3" s="1"/>
  <c r="AJ124" i="3"/>
  <c r="AJ24" i="3"/>
  <c r="AJ26" i="3" s="1"/>
  <c r="AD79" i="3"/>
  <c r="BJ24" i="3"/>
  <c r="BJ66" i="3" s="1"/>
  <c r="BL19" i="3"/>
  <c r="AI124" i="3"/>
  <c r="AH124" i="3"/>
  <c r="AK97" i="3"/>
  <c r="BJ74" i="3"/>
  <c r="AJ97" i="3"/>
  <c r="AI97" i="3"/>
  <c r="AI129" i="3"/>
  <c r="BJ124" i="3"/>
  <c r="AF97" i="3"/>
  <c r="AL26" i="3"/>
  <c r="AD26" i="3"/>
  <c r="AH24" i="3"/>
  <c r="AD33" i="4"/>
  <c r="AD39" i="4"/>
  <c r="AE39" i="4" s="1"/>
  <c r="AD13" i="4"/>
  <c r="AD38" i="4"/>
  <c r="AE38" i="4" s="1"/>
  <c r="AD43" i="4"/>
  <c r="BJ43" i="4" s="1"/>
  <c r="AE97" i="3"/>
  <c r="AK26" i="3"/>
  <c r="AG24" i="3"/>
  <c r="AD35" i="3"/>
  <c r="AF24" i="3"/>
  <c r="AE66" i="3" l="1"/>
  <c r="AE129" i="3"/>
  <c r="AE79" i="3"/>
  <c r="AE102" i="3"/>
  <c r="BL74" i="3"/>
  <c r="BM124" i="3"/>
  <c r="BM97" i="3"/>
  <c r="BL124" i="3"/>
  <c r="BL97" i="3"/>
  <c r="J51" i="1"/>
  <c r="BJ26" i="3"/>
  <c r="BJ102" i="3"/>
  <c r="BJ129" i="3"/>
  <c r="AE30" i="2"/>
  <c r="AE34" i="2" s="1"/>
  <c r="AF39" i="4"/>
  <c r="AF30" i="2" s="1"/>
  <c r="AF34" i="2" s="1"/>
  <c r="AK102" i="3"/>
  <c r="BK74" i="3"/>
  <c r="BK124" i="3"/>
  <c r="AJ66" i="3"/>
  <c r="AN129" i="3"/>
  <c r="AJ79" i="3"/>
  <c r="BL24" i="3"/>
  <c r="BL66" i="3" s="1"/>
  <c r="AJ102" i="3"/>
  <c r="BJ55" i="4"/>
  <c r="BJ79" i="3"/>
  <c r="AF38" i="4"/>
  <c r="AH102" i="3"/>
  <c r="AH129" i="3"/>
  <c r="AH66" i="3"/>
  <c r="AH79" i="3"/>
  <c r="AL129" i="3"/>
  <c r="AH26" i="3"/>
  <c r="AF79" i="3"/>
  <c r="AF66" i="3"/>
  <c r="AJ129" i="3"/>
  <c r="AF26" i="3"/>
  <c r="AF129" i="3"/>
  <c r="AF102" i="3"/>
  <c r="BJ13" i="4"/>
  <c r="BK24" i="3"/>
  <c r="AG102" i="3"/>
  <c r="AG129" i="3"/>
  <c r="AG79" i="3"/>
  <c r="AG66" i="3"/>
  <c r="AK129" i="3"/>
  <c r="AG26" i="3"/>
  <c r="AE43" i="4"/>
  <c r="AF43" i="4" s="1"/>
  <c r="AG43" i="4" s="1"/>
  <c r="AH43" i="4" s="1"/>
  <c r="AI102" i="3"/>
  <c r="BJ39" i="4"/>
  <c r="AD30" i="2"/>
  <c r="AD34" i="2" s="1"/>
  <c r="AE13" i="4"/>
  <c r="BJ38" i="4"/>
  <c r="AD37" i="3"/>
  <c r="AD41" i="3" s="1"/>
  <c r="BJ35" i="3"/>
  <c r="AD135" i="3"/>
  <c r="AD108" i="3"/>
  <c r="AD67" i="3"/>
  <c r="AD85" i="3"/>
  <c r="BJ33" i="4"/>
  <c r="AD97" i="4"/>
  <c r="AD95" i="4" s="1"/>
  <c r="AE98" i="4" s="1"/>
  <c r="J30" i="1"/>
  <c r="AE33" i="4"/>
  <c r="AD90" i="3" l="1"/>
  <c r="AD28" i="4"/>
  <c r="AG39" i="4"/>
  <c r="BL129" i="3"/>
  <c r="BL79" i="3"/>
  <c r="BL26" i="3"/>
  <c r="J13" i="1"/>
  <c r="J56" i="1"/>
  <c r="AD56" i="3"/>
  <c r="AD53" i="3"/>
  <c r="AF13" i="4"/>
  <c r="BJ34" i="2"/>
  <c r="BJ30" i="2"/>
  <c r="BJ108" i="3"/>
  <c r="BJ67" i="3"/>
  <c r="BJ85" i="3"/>
  <c r="BJ135" i="3"/>
  <c r="AG38" i="4"/>
  <c r="BK43" i="4"/>
  <c r="AI43" i="4"/>
  <c r="AJ43" i="4" s="1"/>
  <c r="AK43" i="4" s="1"/>
  <c r="AL43" i="4" s="1"/>
  <c r="BL43" i="4" s="1"/>
  <c r="BM43" i="4" s="1"/>
  <c r="BN43" i="4" s="1"/>
  <c r="BO43" i="4" s="1"/>
  <c r="BP43" i="4" s="1"/>
  <c r="BQ43" i="4" s="1"/>
  <c r="BR43" i="4" s="1"/>
  <c r="BS43" i="4" s="1"/>
  <c r="BJ97" i="4"/>
  <c r="BJ37" i="3"/>
  <c r="AD86" i="3"/>
  <c r="AD137" i="3"/>
  <c r="BJ36" i="3"/>
  <c r="AD110" i="3"/>
  <c r="BK79" i="3"/>
  <c r="BK66" i="3"/>
  <c r="BK129" i="3"/>
  <c r="BK26" i="3"/>
  <c r="BK102" i="3"/>
  <c r="AA84" i="4"/>
  <c r="AD10" i="2"/>
  <c r="AD40" i="4"/>
  <c r="AD43" i="3"/>
  <c r="AD114" i="3"/>
  <c r="BJ41" i="3"/>
  <c r="AD79" i="4"/>
  <c r="AD68" i="3"/>
  <c r="AD141" i="3"/>
  <c r="AE97" i="4"/>
  <c r="AE95" i="4" s="1"/>
  <c r="AF98" i="4" s="1"/>
  <c r="AF33" i="4"/>
  <c r="BL102" i="3"/>
  <c r="AG30" i="2"/>
  <c r="AG34" i="2" s="1"/>
  <c r="AH39" i="4"/>
  <c r="AE55" i="4"/>
  <c r="AD16" i="2" l="1"/>
  <c r="AD31" i="4"/>
  <c r="BJ31" i="4" s="1"/>
  <c r="BJ40" i="4"/>
  <c r="BJ28" i="4"/>
  <c r="BJ16" i="2" s="1"/>
  <c r="BJ42" i="4"/>
  <c r="BJ56" i="3"/>
  <c r="BJ53" i="3"/>
  <c r="AF97" i="4"/>
  <c r="AF95" i="4" s="1"/>
  <c r="AG98" i="4" s="1"/>
  <c r="AG33" i="4"/>
  <c r="AD117" i="3"/>
  <c r="AD144" i="3"/>
  <c r="AD17" i="2"/>
  <c r="BJ10" i="2"/>
  <c r="AH38" i="4"/>
  <c r="K56" i="1"/>
  <c r="AD55" i="3"/>
  <c r="AD116" i="3"/>
  <c r="AD143" i="3"/>
  <c r="AG13" i="4"/>
  <c r="BJ43" i="3"/>
  <c r="BJ68" i="3"/>
  <c r="BJ114" i="3"/>
  <c r="BJ141" i="3"/>
  <c r="AF55" i="4"/>
  <c r="K13" i="1"/>
  <c r="K51" i="1"/>
  <c r="K30" i="1"/>
  <c r="BJ86" i="3"/>
  <c r="BJ137" i="3"/>
  <c r="BJ110" i="3"/>
  <c r="AE104" i="3"/>
  <c r="AE81" i="3"/>
  <c r="AE131" i="3"/>
  <c r="AE35" i="3"/>
  <c r="AH30" i="2"/>
  <c r="AH34" i="2" s="1"/>
  <c r="BK39" i="4"/>
  <c r="AI39" i="4"/>
  <c r="AD42" i="4"/>
  <c r="BJ17" i="2" l="1"/>
  <c r="BK34" i="2"/>
  <c r="BK30" i="2"/>
  <c r="AD101" i="4"/>
  <c r="AD36" i="2"/>
  <c r="AD38" i="2" s="1"/>
  <c r="AD54" i="2"/>
  <c r="AD56" i="2" s="1"/>
  <c r="AD58" i="2" s="1"/>
  <c r="AF104" i="3"/>
  <c r="AF81" i="3"/>
  <c r="AF131" i="3"/>
  <c r="AF35" i="3"/>
  <c r="BJ55" i="3"/>
  <c r="BJ144" i="3"/>
  <c r="BJ117" i="3"/>
  <c r="AG97" i="4"/>
  <c r="AG95" i="4" s="1"/>
  <c r="AH98" i="4" s="1"/>
  <c r="AH33" i="4"/>
  <c r="AD44" i="4"/>
  <c r="AD47" i="4"/>
  <c r="BJ47" i="4" s="1"/>
  <c r="AD77" i="4"/>
  <c r="AH13" i="4"/>
  <c r="AE37" i="3"/>
  <c r="AE135" i="3"/>
  <c r="AE108" i="3"/>
  <c r="AE67" i="3"/>
  <c r="AE85" i="3"/>
  <c r="BK38" i="4"/>
  <c r="AI38" i="4"/>
  <c r="BJ143" i="3"/>
  <c r="BJ116" i="3"/>
  <c r="AI30" i="2"/>
  <c r="AI34" i="2" s="1"/>
  <c r="AJ39" i="4"/>
  <c r="AG55" i="4"/>
  <c r="AG104" i="3" l="1"/>
  <c r="AG81" i="3"/>
  <c r="AG131" i="3"/>
  <c r="AG35" i="3"/>
  <c r="AE110" i="3"/>
  <c r="AE86" i="3"/>
  <c r="AE137" i="3"/>
  <c r="AH97" i="4"/>
  <c r="AH95" i="4" s="1"/>
  <c r="AI98" i="4" s="1"/>
  <c r="BK33" i="4"/>
  <c r="AI33" i="4"/>
  <c r="BJ44" i="4"/>
  <c r="BJ84" i="4" s="1"/>
  <c r="BK13" i="4"/>
  <c r="AI13" i="4"/>
  <c r="AE37" i="2"/>
  <c r="AD10" i="4"/>
  <c r="AJ30" i="2"/>
  <c r="AJ34" i="2" s="1"/>
  <c r="AK39" i="4"/>
  <c r="AE41" i="3"/>
  <c r="BK31" i="3"/>
  <c r="AH55" i="4"/>
  <c r="BJ54" i="2"/>
  <c r="BJ56" i="2" s="1"/>
  <c r="BJ58" i="2" s="1"/>
  <c r="BJ101" i="4"/>
  <c r="BJ102" i="4" s="1"/>
  <c r="BJ96" i="4" s="1"/>
  <c r="BJ36" i="2"/>
  <c r="BJ38" i="2" s="1"/>
  <c r="AJ38" i="4"/>
  <c r="AF37" i="3"/>
  <c r="AF135" i="3"/>
  <c r="AF108" i="3"/>
  <c r="AF67" i="3"/>
  <c r="AF85" i="3"/>
  <c r="AE90" i="3" l="1"/>
  <c r="AE28" i="4"/>
  <c r="AE56" i="3"/>
  <c r="AE53" i="3"/>
  <c r="BK104" i="3"/>
  <c r="BK81" i="3"/>
  <c r="BK131" i="3"/>
  <c r="AI97" i="4"/>
  <c r="AI95" i="4" s="1"/>
  <c r="AJ98" i="4" s="1"/>
  <c r="AJ33" i="4"/>
  <c r="AE10" i="2"/>
  <c r="AE43" i="3"/>
  <c r="AE68" i="3"/>
  <c r="AE141" i="3"/>
  <c r="AE114" i="3"/>
  <c r="AE79" i="4"/>
  <c r="AB84" i="4"/>
  <c r="AE40" i="4"/>
  <c r="AG85" i="3"/>
  <c r="AG37" i="3"/>
  <c r="AG41" i="3" s="1"/>
  <c r="AG135" i="3"/>
  <c r="AG108" i="3"/>
  <c r="AG67" i="3"/>
  <c r="AK38" i="4"/>
  <c r="AJ13" i="4"/>
  <c r="BK97" i="4"/>
  <c r="AK30" i="2"/>
  <c r="AK34" i="2" s="1"/>
  <c r="AL39" i="4"/>
  <c r="AI55" i="4"/>
  <c r="AF110" i="3"/>
  <c r="AF86" i="3"/>
  <c r="AF137" i="3"/>
  <c r="AH104" i="3"/>
  <c r="AH131" i="3"/>
  <c r="AH81" i="3"/>
  <c r="AH35" i="3"/>
  <c r="AF41" i="3"/>
  <c r="BK37" i="2"/>
  <c r="J76" i="1"/>
  <c r="BJ95" i="4"/>
  <c r="BK98" i="4" s="1"/>
  <c r="AD14" i="4"/>
  <c r="AD61" i="4"/>
  <c r="BJ10" i="4"/>
  <c r="J87" i="1" s="1"/>
  <c r="AD105" i="4"/>
  <c r="AE106" i="4" s="1"/>
  <c r="AD62" i="4"/>
  <c r="AD52" i="4"/>
  <c r="AD92" i="4"/>
  <c r="J38" i="1"/>
  <c r="BJ77" i="4"/>
  <c r="AG90" i="3" l="1"/>
  <c r="AG28" i="4"/>
  <c r="AE16" i="2"/>
  <c r="AE31" i="4"/>
  <c r="AF90" i="3"/>
  <c r="AF28" i="4"/>
  <c r="J11" i="1"/>
  <c r="J39" i="1"/>
  <c r="J40" i="1" s="1"/>
  <c r="AG56" i="3"/>
  <c r="AG53" i="3"/>
  <c r="AF56" i="3"/>
  <c r="AF53" i="3"/>
  <c r="AC84" i="4"/>
  <c r="AJ97" i="4"/>
  <c r="AJ95" i="4" s="1"/>
  <c r="AK98" i="4" s="1"/>
  <c r="AK33" i="4"/>
  <c r="AF10" i="2"/>
  <c r="AF43" i="3"/>
  <c r="AF68" i="3"/>
  <c r="AF141" i="3"/>
  <c r="AF114" i="3"/>
  <c r="AF79" i="4"/>
  <c r="AJ55" i="4"/>
  <c r="AH85" i="3"/>
  <c r="AH37" i="3"/>
  <c r="BK37" i="3" s="1"/>
  <c r="AH135" i="3"/>
  <c r="AH108" i="3"/>
  <c r="AH67" i="3"/>
  <c r="AI131" i="3"/>
  <c r="AI104" i="3"/>
  <c r="AI81" i="3"/>
  <c r="AI35" i="3"/>
  <c r="AK13" i="4"/>
  <c r="BJ61" i="4"/>
  <c r="BJ105" i="4"/>
  <c r="BK106" i="4" s="1"/>
  <c r="BJ62" i="4"/>
  <c r="BJ92" i="4"/>
  <c r="BJ52" i="4"/>
  <c r="AD23" i="4"/>
  <c r="AD54" i="4"/>
  <c r="BJ14" i="4"/>
  <c r="BJ54" i="4" s="1"/>
  <c r="AD15" i="4"/>
  <c r="BJ15" i="4" s="1"/>
  <c r="BK55" i="4"/>
  <c r="J78" i="1"/>
  <c r="BL39" i="4"/>
  <c r="BM39" i="4" s="1"/>
  <c r="BN39" i="4" s="1"/>
  <c r="BO39" i="4" s="1"/>
  <c r="BP39" i="4" s="1"/>
  <c r="BQ39" i="4" s="1"/>
  <c r="BR39" i="4" s="1"/>
  <c r="BS39" i="4" s="1"/>
  <c r="AL30" i="2"/>
  <c r="AL34" i="2" s="1"/>
  <c r="AG86" i="3"/>
  <c r="AG110" i="3"/>
  <c r="AG137" i="3"/>
  <c r="AE117" i="3"/>
  <c r="AE144" i="3"/>
  <c r="AE17" i="2"/>
  <c r="AL38" i="4"/>
  <c r="AE55" i="3"/>
  <c r="AE143" i="3"/>
  <c r="AE116" i="3"/>
  <c r="AG10" i="2"/>
  <c r="AG43" i="3"/>
  <c r="AG68" i="3"/>
  <c r="AG141" i="3"/>
  <c r="AG79" i="4"/>
  <c r="AG114" i="3"/>
  <c r="J66" i="1"/>
  <c r="AF40" i="4"/>
  <c r="AE42" i="4"/>
  <c r="BK35" i="3"/>
  <c r="AD84" i="4"/>
  <c r="AF16" i="2" l="1"/>
  <c r="AF31" i="4"/>
  <c r="AF17" i="2"/>
  <c r="AF36" i="2" s="1"/>
  <c r="AG16" i="2"/>
  <c r="AG17" i="2" s="1"/>
  <c r="AG31" i="4"/>
  <c r="AE54" i="2"/>
  <c r="AE56" i="2" s="1"/>
  <c r="AE58" i="2" s="1"/>
  <c r="AE36" i="2"/>
  <c r="AE38" i="2" s="1"/>
  <c r="AE101" i="4"/>
  <c r="AF117" i="3"/>
  <c r="AF144" i="3"/>
  <c r="AF54" i="2"/>
  <c r="AF56" i="2" s="1"/>
  <c r="AF58" i="2" s="1"/>
  <c r="BK110" i="3"/>
  <c r="BK86" i="3"/>
  <c r="BK137" i="3"/>
  <c r="BK108" i="3"/>
  <c r="BK67" i="3"/>
  <c r="BK85" i="3"/>
  <c r="BK135" i="3"/>
  <c r="BL38" i="4"/>
  <c r="AI67" i="3"/>
  <c r="AI85" i="3"/>
  <c r="AI37" i="3"/>
  <c r="AI41" i="3" s="1"/>
  <c r="AI108" i="3"/>
  <c r="AI135" i="3"/>
  <c r="AH110" i="3"/>
  <c r="AH86" i="3"/>
  <c r="AH137" i="3"/>
  <c r="BK36" i="3"/>
  <c r="AF116" i="3"/>
  <c r="AF143" i="3"/>
  <c r="AF55" i="3"/>
  <c r="AK97" i="4"/>
  <c r="AK95" i="4" s="1"/>
  <c r="AL98" i="4" s="1"/>
  <c r="AL33" i="4"/>
  <c r="AG144" i="3"/>
  <c r="AG117" i="3"/>
  <c r="AG116" i="3"/>
  <c r="AG143" i="3"/>
  <c r="AG55" i="3"/>
  <c r="BL30" i="2"/>
  <c r="BM30" i="2" s="1"/>
  <c r="AH41" i="3"/>
  <c r="AE44" i="4"/>
  <c r="AE47" i="4"/>
  <c r="AE77" i="4"/>
  <c r="BL34" i="2"/>
  <c r="AK55" i="4"/>
  <c r="AL13" i="4"/>
  <c r="BL13" i="4" s="1"/>
  <c r="AG40" i="4"/>
  <c r="AF42" i="4"/>
  <c r="AD59" i="4"/>
  <c r="AD81" i="4"/>
  <c r="BJ23" i="4"/>
  <c r="AD53" i="4"/>
  <c r="AD60" i="4"/>
  <c r="AD80" i="4"/>
  <c r="AD82" i="4" s="1"/>
  <c r="AD35" i="4"/>
  <c r="AD76" i="4"/>
  <c r="AD88" i="4"/>
  <c r="AJ131" i="3"/>
  <c r="AN131" i="3"/>
  <c r="AJ81" i="3"/>
  <c r="AJ104" i="3"/>
  <c r="AJ35" i="3"/>
  <c r="AG36" i="2" l="1"/>
  <c r="AG54" i="2"/>
  <c r="AG56" i="2" s="1"/>
  <c r="AG58" i="2" s="1"/>
  <c r="BM13" i="4"/>
  <c r="BN13" i="4" s="1"/>
  <c r="AH90" i="3"/>
  <c r="AH79" i="4" s="1"/>
  <c r="AH28" i="4"/>
  <c r="AI90" i="3"/>
  <c r="AI28" i="4"/>
  <c r="BM38" i="4"/>
  <c r="BN30" i="2"/>
  <c r="BM34" i="2"/>
  <c r="BN38" i="4"/>
  <c r="AI56" i="3"/>
  <c r="AI53" i="3"/>
  <c r="AH56" i="3"/>
  <c r="AH53" i="3"/>
  <c r="BL33" i="4"/>
  <c r="BM33" i="4" s="1"/>
  <c r="AL97" i="4"/>
  <c r="AL95" i="4" s="1"/>
  <c r="AH10" i="2"/>
  <c r="AH68" i="3"/>
  <c r="AH141" i="3"/>
  <c r="AH43" i="3"/>
  <c r="AH114" i="3"/>
  <c r="AE84" i="4"/>
  <c r="BK41" i="3"/>
  <c r="AI10" i="2"/>
  <c r="AI79" i="4"/>
  <c r="AI43" i="3"/>
  <c r="AI68" i="3"/>
  <c r="AI141" i="3"/>
  <c r="AI114" i="3"/>
  <c r="AJ108" i="3"/>
  <c r="AJ67" i="3"/>
  <c r="AJ85" i="3"/>
  <c r="AN135" i="3"/>
  <c r="AJ135" i="3"/>
  <c r="AJ37" i="3"/>
  <c r="AJ41" i="3" s="1"/>
  <c r="BJ35" i="4"/>
  <c r="AD36" i="4"/>
  <c r="AK81" i="3"/>
  <c r="AK131" i="3"/>
  <c r="AK35" i="3"/>
  <c r="AO131" i="3"/>
  <c r="AK104" i="3"/>
  <c r="AF44" i="4"/>
  <c r="AF47" i="4"/>
  <c r="AF77" i="4"/>
  <c r="AH40" i="4"/>
  <c r="AG42" i="4"/>
  <c r="AF37" i="2"/>
  <c r="AF38" i="2" s="1"/>
  <c r="AE10" i="4"/>
  <c r="AL55" i="4"/>
  <c r="BJ59" i="4"/>
  <c r="BJ81" i="4"/>
  <c r="J83" i="1" s="1"/>
  <c r="BJ53" i="4"/>
  <c r="BJ60" i="4"/>
  <c r="BJ80" i="4"/>
  <c r="BJ76" i="4"/>
  <c r="BJ88" i="4"/>
  <c r="AI110" i="3"/>
  <c r="AI86" i="3"/>
  <c r="AI137" i="3"/>
  <c r="BK40" i="4" l="1"/>
  <c r="BK28" i="4"/>
  <c r="BK16" i="2" s="1"/>
  <c r="AJ90" i="3"/>
  <c r="AJ28" i="4"/>
  <c r="BO13" i="4"/>
  <c r="AH31" i="4"/>
  <c r="BK31" i="4" s="1"/>
  <c r="AH16" i="2"/>
  <c r="AH17" i="2" s="1"/>
  <c r="AI16" i="2"/>
  <c r="AI31" i="4"/>
  <c r="BK42" i="4"/>
  <c r="BN33" i="4"/>
  <c r="BO38" i="4"/>
  <c r="BN34" i="2"/>
  <c r="BO30" i="2"/>
  <c r="BK56" i="3"/>
  <c r="BK53" i="3"/>
  <c r="AJ53" i="3"/>
  <c r="AJ56" i="3"/>
  <c r="AI40" i="4"/>
  <c r="AH42" i="4"/>
  <c r="BK43" i="3"/>
  <c r="BK68" i="3"/>
  <c r="BK114" i="3"/>
  <c r="BK141" i="3"/>
  <c r="BL97" i="4"/>
  <c r="BM97" i="4" s="1"/>
  <c r="BN97" i="4" s="1"/>
  <c r="BO97" i="4" s="1"/>
  <c r="BP97" i="4" s="1"/>
  <c r="BQ97" i="4" s="1"/>
  <c r="BR97" i="4" s="1"/>
  <c r="BS97" i="4" s="1"/>
  <c r="AI116" i="3"/>
  <c r="AI143" i="3"/>
  <c r="AI55" i="3"/>
  <c r="AK135" i="3"/>
  <c r="AO135" i="3"/>
  <c r="AK108" i="3"/>
  <c r="AK67" i="3"/>
  <c r="AK85" i="3"/>
  <c r="AK37" i="3"/>
  <c r="AL81" i="3"/>
  <c r="AL131" i="3"/>
  <c r="AP131" i="3"/>
  <c r="AL104" i="3"/>
  <c r="AL35" i="3"/>
  <c r="BL35" i="3" s="1"/>
  <c r="AI17" i="2"/>
  <c r="AH116" i="3"/>
  <c r="AH143" i="3"/>
  <c r="AH55" i="3"/>
  <c r="J82" i="1"/>
  <c r="BL31" i="3"/>
  <c r="AN137" i="3"/>
  <c r="AJ110" i="3"/>
  <c r="AJ86" i="3"/>
  <c r="AJ137" i="3"/>
  <c r="BK10" i="2"/>
  <c r="BK17" i="2" s="1"/>
  <c r="AI117" i="3"/>
  <c r="AI144" i="3"/>
  <c r="BJ36" i="4"/>
  <c r="AD87" i="4"/>
  <c r="AD89" i="4"/>
  <c r="AD45" i="4"/>
  <c r="AD46" i="4"/>
  <c r="AE14" i="4"/>
  <c r="AE61" i="4"/>
  <c r="AE105" i="4"/>
  <c r="AF106" i="4" s="1"/>
  <c r="AE62" i="4"/>
  <c r="AF101" i="4"/>
  <c r="AE52" i="4"/>
  <c r="AE92" i="4"/>
  <c r="AG37" i="2"/>
  <c r="AG38" i="2" s="1"/>
  <c r="AF10" i="4"/>
  <c r="AJ10" i="2"/>
  <c r="AJ114" i="3"/>
  <c r="AN141" i="3"/>
  <c r="AJ79" i="4"/>
  <c r="AJ43" i="3"/>
  <c r="AJ68" i="3"/>
  <c r="AJ141" i="3"/>
  <c r="AG47" i="4"/>
  <c r="AG44" i="4"/>
  <c r="AG77" i="4"/>
  <c r="AH144" i="3"/>
  <c r="AH117" i="3"/>
  <c r="BP13" i="4" l="1"/>
  <c r="AJ31" i="4"/>
  <c r="AJ16" i="2"/>
  <c r="AJ17" i="2"/>
  <c r="AJ36" i="2" s="1"/>
  <c r="BJ45" i="4"/>
  <c r="BJ46" i="4"/>
  <c r="BP38" i="4"/>
  <c r="BP30" i="2"/>
  <c r="BO34" i="2"/>
  <c r="BO33" i="4"/>
  <c r="BM104" i="3"/>
  <c r="BM131" i="3"/>
  <c r="AJ117" i="3"/>
  <c r="AJ144" i="3"/>
  <c r="AN144" i="3"/>
  <c r="AO137" i="3"/>
  <c r="AK137" i="3"/>
  <c r="AK110" i="3"/>
  <c r="AK86" i="3"/>
  <c r="BL131" i="3"/>
  <c r="BL81" i="3"/>
  <c r="BL104" i="3"/>
  <c r="AI36" i="2"/>
  <c r="AI54" i="2"/>
  <c r="AI56" i="2" s="1"/>
  <c r="AI58" i="2" s="1"/>
  <c r="AH47" i="4"/>
  <c r="BK47" i="4" s="1"/>
  <c r="AH44" i="4"/>
  <c r="AH77" i="4"/>
  <c r="AF14" i="4"/>
  <c r="AF61" i="4"/>
  <c r="AF105" i="4"/>
  <c r="AG106" i="4" s="1"/>
  <c r="AF62" i="4"/>
  <c r="AG101" i="4"/>
  <c r="AF52" i="4"/>
  <c r="AF92" i="4"/>
  <c r="BL108" i="3"/>
  <c r="BL85" i="3"/>
  <c r="BL135" i="3"/>
  <c r="BL67" i="3"/>
  <c r="AJ54" i="2"/>
  <c r="AJ56" i="2" s="1"/>
  <c r="AJ58" i="2" s="1"/>
  <c r="AL67" i="3"/>
  <c r="AL135" i="3"/>
  <c r="AL108" i="3"/>
  <c r="AL85" i="3"/>
  <c r="AP135" i="3"/>
  <c r="AL37" i="3"/>
  <c r="BL36" i="3" s="1"/>
  <c r="AK41" i="3"/>
  <c r="AJ116" i="3"/>
  <c r="AJ143" i="3"/>
  <c r="AJ55" i="3"/>
  <c r="AN143" i="3"/>
  <c r="AH37" i="2"/>
  <c r="AG10" i="4"/>
  <c r="AH36" i="2"/>
  <c r="AH54" i="2"/>
  <c r="AH56" i="2" s="1"/>
  <c r="AH58" i="2" s="1"/>
  <c r="BK36" i="2"/>
  <c r="BK116" i="3"/>
  <c r="BK143" i="3"/>
  <c r="AJ40" i="4"/>
  <c r="AI42" i="4"/>
  <c r="AE23" i="4"/>
  <c r="AE54" i="4"/>
  <c r="AE15" i="4"/>
  <c r="BK55" i="3"/>
  <c r="BK144" i="3"/>
  <c r="BK117" i="3"/>
  <c r="BJ87" i="4"/>
  <c r="BJ89" i="4"/>
  <c r="AK90" i="3" l="1"/>
  <c r="AK28" i="4"/>
  <c r="BQ13" i="4"/>
  <c r="BQ30" i="2"/>
  <c r="BP34" i="2"/>
  <c r="BQ38" i="4"/>
  <c r="BP33" i="4"/>
  <c r="AK53" i="3"/>
  <c r="AK56" i="3"/>
  <c r="BK54" i="2"/>
  <c r="BK56" i="2" s="1"/>
  <c r="BK58" i="2" s="1"/>
  <c r="BK38" i="2"/>
  <c r="BL37" i="2" s="1"/>
  <c r="BK101" i="4"/>
  <c r="BK102" i="4" s="1"/>
  <c r="BK96" i="4" s="1"/>
  <c r="AK10" i="2"/>
  <c r="AK79" i="4"/>
  <c r="AK114" i="3"/>
  <c r="AO141" i="3"/>
  <c r="AK43" i="3"/>
  <c r="AK68" i="3"/>
  <c r="AK141" i="3"/>
  <c r="BL37" i="3"/>
  <c r="AL86" i="3"/>
  <c r="AL137" i="3"/>
  <c r="AP137" i="3"/>
  <c r="AL110" i="3"/>
  <c r="AE59" i="4"/>
  <c r="AE81" i="4"/>
  <c r="AE53" i="4"/>
  <c r="AE60" i="4"/>
  <c r="AE35" i="4"/>
  <c r="AE36" i="4" s="1"/>
  <c r="AE46" i="4" s="1"/>
  <c r="AE76" i="4"/>
  <c r="AE80" i="4"/>
  <c r="AE88" i="4"/>
  <c r="AL41" i="3"/>
  <c r="AF23" i="4"/>
  <c r="AF54" i="4"/>
  <c r="AF15" i="4"/>
  <c r="AG62" i="4"/>
  <c r="AH101" i="4"/>
  <c r="AG14" i="4"/>
  <c r="AG61" i="4"/>
  <c r="AG105" i="4"/>
  <c r="AH106" i="4" s="1"/>
  <c r="AG52" i="4"/>
  <c r="AG92" i="4"/>
  <c r="AH38" i="2"/>
  <c r="AI47" i="4"/>
  <c r="AI44" i="4"/>
  <c r="AI77" i="4"/>
  <c r="AK40" i="4"/>
  <c r="AJ42" i="4"/>
  <c r="BK44" i="4"/>
  <c r="AL90" i="3" l="1"/>
  <c r="AL28" i="4"/>
  <c r="BR13" i="4"/>
  <c r="BS13" i="4" s="1"/>
  <c r="AK16" i="2"/>
  <c r="AK31" i="4"/>
  <c r="BR38" i="4"/>
  <c r="BR30" i="2"/>
  <c r="BQ34" i="2"/>
  <c r="BQ33" i="4"/>
  <c r="BL41" i="3"/>
  <c r="BL28" i="4" s="1"/>
  <c r="BL16" i="2" s="1"/>
  <c r="AL53" i="3"/>
  <c r="AL56" i="3"/>
  <c r="AF59" i="4"/>
  <c r="AF81" i="4"/>
  <c r="AF53" i="4"/>
  <c r="AF60" i="4"/>
  <c r="AF35" i="4"/>
  <c r="AF36" i="4" s="1"/>
  <c r="AF76" i="4"/>
  <c r="AF88" i="4"/>
  <c r="BL110" i="3"/>
  <c r="BL86" i="3"/>
  <c r="BL137" i="3"/>
  <c r="AG84" i="4"/>
  <c r="AK17" i="2"/>
  <c r="AF84" i="4"/>
  <c r="AK117" i="3"/>
  <c r="AK144" i="3"/>
  <c r="AO144" i="3"/>
  <c r="AE82" i="4"/>
  <c r="AH84" i="4"/>
  <c r="AO143" i="3"/>
  <c r="AK116" i="3"/>
  <c r="AK143" i="3"/>
  <c r="AK55" i="3"/>
  <c r="AE87" i="4"/>
  <c r="AE89" i="4"/>
  <c r="AE45" i="4"/>
  <c r="AI84" i="4"/>
  <c r="BK95" i="4"/>
  <c r="BL98" i="4" s="1"/>
  <c r="BL55" i="4" s="1"/>
  <c r="AG15" i="4"/>
  <c r="AG23" i="4"/>
  <c r="AG54" i="4"/>
  <c r="K38" i="1"/>
  <c r="BK84" i="4"/>
  <c r="BK77" i="4"/>
  <c r="AJ47" i="4"/>
  <c r="AJ44" i="4"/>
  <c r="AJ84" i="4" s="1"/>
  <c r="AJ77" i="4"/>
  <c r="AF80" i="4"/>
  <c r="K76" i="1"/>
  <c r="AL10" i="2"/>
  <c r="AL43" i="3"/>
  <c r="AL141" i="3"/>
  <c r="AL114" i="3"/>
  <c r="AP141" i="3"/>
  <c r="AL79" i="4"/>
  <c r="AL68" i="3"/>
  <c r="AI37" i="2"/>
  <c r="AI38" i="2" s="1"/>
  <c r="AH10" i="4"/>
  <c r="AL40" i="4"/>
  <c r="AK42" i="4"/>
  <c r="AL31" i="4" l="1"/>
  <c r="BL31" i="4" s="1"/>
  <c r="AL16" i="2"/>
  <c r="AL17" i="2" s="1"/>
  <c r="BL68" i="3"/>
  <c r="BL40" i="4"/>
  <c r="BL42" i="4" s="1"/>
  <c r="BL43" i="3"/>
  <c r="BS30" i="2"/>
  <c r="BS34" i="2" s="1"/>
  <c r="BR34" i="2"/>
  <c r="K11" i="1"/>
  <c r="K39" i="1"/>
  <c r="K40" i="1" s="1"/>
  <c r="BS38" i="4"/>
  <c r="BL114" i="3"/>
  <c r="BR33" i="4"/>
  <c r="BL53" i="3"/>
  <c r="BL143" i="3" s="1"/>
  <c r="BL56" i="3"/>
  <c r="BL55" i="3" s="1"/>
  <c r="BL141" i="3"/>
  <c r="AF82" i="4"/>
  <c r="BL10" i="2"/>
  <c r="BL17" i="2" s="1"/>
  <c r="BL36" i="2" s="1"/>
  <c r="BL38" i="2" s="1"/>
  <c r="AF87" i="4"/>
  <c r="AF89" i="4"/>
  <c r="AF45" i="4"/>
  <c r="AK36" i="2"/>
  <c r="AK54" i="2"/>
  <c r="AK56" i="2" s="1"/>
  <c r="AK58" i="2" s="1"/>
  <c r="K78" i="1"/>
  <c r="AH62" i="4"/>
  <c r="AI101" i="4"/>
  <c r="BK10" i="4"/>
  <c r="K87" i="1" s="1"/>
  <c r="AH14" i="4"/>
  <c r="AH61" i="4"/>
  <c r="AH105" i="4"/>
  <c r="AI106" i="4" s="1"/>
  <c r="AH52" i="4"/>
  <c r="AH92" i="4"/>
  <c r="AL42" i="4"/>
  <c r="AJ37" i="2"/>
  <c r="AJ38" i="2" s="1"/>
  <c r="AI10" i="4"/>
  <c r="AL55" i="3"/>
  <c r="AP143" i="3"/>
  <c r="AL116" i="3"/>
  <c r="AL143" i="3"/>
  <c r="AF46" i="4"/>
  <c r="AK44" i="4"/>
  <c r="AK47" i="4"/>
  <c r="AK77" i="4"/>
  <c r="AP144" i="3"/>
  <c r="AL117" i="3"/>
  <c r="AL144" i="3"/>
  <c r="AG53" i="4"/>
  <c r="AG60" i="4"/>
  <c r="AG59" i="4"/>
  <c r="AG81" i="4"/>
  <c r="AG35" i="4"/>
  <c r="AG36" i="4" s="1"/>
  <c r="AG46" i="4" s="1"/>
  <c r="AG76" i="4"/>
  <c r="AG88" i="4"/>
  <c r="AG80" i="4"/>
  <c r="AL54" i="2" l="1"/>
  <c r="AL56" i="2" s="1"/>
  <c r="AL58" i="2" s="1"/>
  <c r="AL36" i="2"/>
  <c r="K66" i="1"/>
  <c r="BS33" i="4"/>
  <c r="BM37" i="2"/>
  <c r="L76" i="1"/>
  <c r="BL117" i="3"/>
  <c r="BL144" i="3"/>
  <c r="BL116" i="3"/>
  <c r="AG82" i="4"/>
  <c r="AK84" i="4"/>
  <c r="AI105" i="4"/>
  <c r="AJ106" i="4" s="1"/>
  <c r="AI62" i="4"/>
  <c r="AJ101" i="4"/>
  <c r="AI14" i="4"/>
  <c r="AI61" i="4"/>
  <c r="AI92" i="4"/>
  <c r="AI52" i="4"/>
  <c r="BL54" i="2"/>
  <c r="BL56" i="2" s="1"/>
  <c r="BL58" i="2" s="1"/>
  <c r="AL44" i="4"/>
  <c r="AL47" i="4"/>
  <c r="BL47" i="4" s="1"/>
  <c r="AL77" i="4"/>
  <c r="AH15" i="4"/>
  <c r="BK15" i="4" s="1"/>
  <c r="BK14" i="4"/>
  <c r="BK54" i="4" s="1"/>
  <c r="AH23" i="4"/>
  <c r="AH54" i="4"/>
  <c r="AG87" i="4"/>
  <c r="AG89" i="4"/>
  <c r="AG45" i="4"/>
  <c r="AK37" i="2"/>
  <c r="AK38" i="2" s="1"/>
  <c r="AJ10" i="4"/>
  <c r="BK61" i="4"/>
  <c r="BK105" i="4"/>
  <c r="BL106" i="4" s="1"/>
  <c r="BK62" i="4"/>
  <c r="BL101" i="4"/>
  <c r="BL102" i="4" s="1"/>
  <c r="BL96" i="4" s="1"/>
  <c r="BK52" i="4"/>
  <c r="BK92" i="4"/>
  <c r="BM96" i="4" l="1"/>
  <c r="BL95" i="4"/>
  <c r="AI15" i="4"/>
  <c r="AI23" i="4"/>
  <c r="AI80" i="4" s="1"/>
  <c r="AI54" i="4"/>
  <c r="BL44" i="4"/>
  <c r="AL84" i="4"/>
  <c r="AH53" i="4"/>
  <c r="AH60" i="4"/>
  <c r="BK23" i="4"/>
  <c r="AH59" i="4"/>
  <c r="AH81" i="4"/>
  <c r="AH35" i="4"/>
  <c r="AH76" i="4"/>
  <c r="AH88" i="4"/>
  <c r="AH80" i="4"/>
  <c r="AL37" i="2"/>
  <c r="AL38" i="2" s="1"/>
  <c r="AL10" i="4" s="1"/>
  <c r="AK10" i="4"/>
  <c r="AJ105" i="4"/>
  <c r="AK106" i="4" s="1"/>
  <c r="AJ62" i="4"/>
  <c r="AK101" i="4"/>
  <c r="AJ14" i="4"/>
  <c r="AJ61" i="4"/>
  <c r="AJ92" i="4"/>
  <c r="AJ52" i="4"/>
  <c r="BM98" i="4" l="1"/>
  <c r="L78" i="1"/>
  <c r="AH82" i="4"/>
  <c r="BN96" i="4"/>
  <c r="BM95" i="4"/>
  <c r="BN98" i="4" s="1"/>
  <c r="L38" i="1"/>
  <c r="AJ15" i="4"/>
  <c r="AJ23" i="4"/>
  <c r="AJ80" i="4" s="1"/>
  <c r="AJ54" i="4"/>
  <c r="BL77" i="4"/>
  <c r="BL84" i="4"/>
  <c r="AK14" i="4"/>
  <c r="AK61" i="4"/>
  <c r="AK105" i="4"/>
  <c r="AL106" i="4" s="1"/>
  <c r="AK62" i="4"/>
  <c r="AL101" i="4"/>
  <c r="AK52" i="4"/>
  <c r="AK92" i="4"/>
  <c r="BK35" i="4"/>
  <c r="AH36" i="4"/>
  <c r="AL14" i="4"/>
  <c r="AL61" i="4"/>
  <c r="AL105" i="4"/>
  <c r="BL10" i="4"/>
  <c r="L87" i="1" s="1"/>
  <c r="AL62" i="4"/>
  <c r="AL52" i="4"/>
  <c r="AL92" i="4"/>
  <c r="BK59" i="4"/>
  <c r="BK81" i="4"/>
  <c r="K83" i="1" s="1"/>
  <c r="BK53" i="4"/>
  <c r="BK60" i="4"/>
  <c r="BK80" i="4"/>
  <c r="BK76" i="4"/>
  <c r="BK88" i="4"/>
  <c r="AI53" i="4"/>
  <c r="AI60" i="4"/>
  <c r="AI59" i="4"/>
  <c r="AI81" i="4"/>
  <c r="AI82" i="4" s="1"/>
  <c r="AI35" i="4"/>
  <c r="AI36" i="4" s="1"/>
  <c r="AI76" i="4"/>
  <c r="AI88" i="4"/>
  <c r="L11" i="1" l="1"/>
  <c r="L39" i="1"/>
  <c r="L40" i="1" s="1"/>
  <c r="BL52" i="4"/>
  <c r="BN95" i="4"/>
  <c r="BO96" i="4"/>
  <c r="AK23" i="4"/>
  <c r="AK80" i="4" s="1"/>
  <c r="AK54" i="4"/>
  <c r="AK15" i="4"/>
  <c r="AL23" i="4"/>
  <c r="AL54" i="4"/>
  <c r="BL14" i="4"/>
  <c r="BL54" i="4" s="1"/>
  <c r="AL15" i="4"/>
  <c r="BL15" i="4" s="1"/>
  <c r="BM15" i="4" s="1"/>
  <c r="BN15" i="4" s="1"/>
  <c r="BO15" i="4" s="1"/>
  <c r="BP15" i="4" s="1"/>
  <c r="BK36" i="4"/>
  <c r="AH87" i="4"/>
  <c r="AH89" i="4"/>
  <c r="AH45" i="4"/>
  <c r="AH46" i="4"/>
  <c r="K82" i="1"/>
  <c r="BL62" i="4"/>
  <c r="BL61" i="4"/>
  <c r="BL105" i="4"/>
  <c r="BM106" i="4" s="1"/>
  <c r="BL92" i="4"/>
  <c r="AJ53" i="4"/>
  <c r="AJ60" i="4"/>
  <c r="AJ59" i="4"/>
  <c r="AJ81" i="4"/>
  <c r="AJ82" i="4" s="1"/>
  <c r="AJ35" i="4"/>
  <c r="AJ36" i="4" s="1"/>
  <c r="AJ46" i="4" s="1"/>
  <c r="AJ76" i="4"/>
  <c r="AJ88" i="4"/>
  <c r="AI87" i="4"/>
  <c r="AI89" i="4"/>
  <c r="AI45" i="4"/>
  <c r="AI46" i="4"/>
  <c r="BK45" i="4" l="1"/>
  <c r="BK46" i="4"/>
  <c r="L66" i="1"/>
  <c r="BO98" i="4"/>
  <c r="M78" i="1"/>
  <c r="BO95" i="4"/>
  <c r="BP98" i="4" s="1"/>
  <c r="BP96" i="4"/>
  <c r="AL59" i="4"/>
  <c r="AL81" i="4"/>
  <c r="BL23" i="4"/>
  <c r="BL60" i="4" s="1"/>
  <c r="AL53" i="4"/>
  <c r="AL60" i="4"/>
  <c r="AL35" i="4"/>
  <c r="AL76" i="4"/>
  <c r="AL88" i="4"/>
  <c r="AJ87" i="4"/>
  <c r="AJ89" i="4"/>
  <c r="AJ45" i="4"/>
  <c r="AK59" i="4"/>
  <c r="AK81" i="4"/>
  <c r="AK82" i="4" s="1"/>
  <c r="AK53" i="4"/>
  <c r="AK60" i="4"/>
  <c r="AL80" i="4"/>
  <c r="AK35" i="4"/>
  <c r="AK36" i="4" s="1"/>
  <c r="AK46" i="4" s="1"/>
  <c r="AK76" i="4"/>
  <c r="AK88" i="4"/>
  <c r="BK87" i="4"/>
  <c r="BK89" i="4"/>
  <c r="BL53" i="4" l="1"/>
  <c r="BQ96" i="4"/>
  <c r="BP95" i="4"/>
  <c r="BQ98" i="4" s="1"/>
  <c r="AL82" i="4"/>
  <c r="BL35" i="4"/>
  <c r="AL36" i="4"/>
  <c r="BL80" i="4"/>
  <c r="L82" i="1" s="1"/>
  <c r="BL59" i="4"/>
  <c r="BL81" i="4"/>
  <c r="L83" i="1" s="1"/>
  <c r="BL76" i="4"/>
  <c r="BL88" i="4"/>
  <c r="AK87" i="4"/>
  <c r="AK89" i="4"/>
  <c r="AK45" i="4"/>
  <c r="BR96" i="4" l="1"/>
  <c r="BQ95" i="4"/>
  <c r="BR98" i="4" s="1"/>
  <c r="BL36" i="4"/>
  <c r="AL87" i="4"/>
  <c r="AL89" i="4"/>
  <c r="AL45" i="4"/>
  <c r="AL46" i="4"/>
  <c r="BL45" i="4" l="1"/>
  <c r="BL46" i="4"/>
  <c r="BS96" i="4"/>
  <c r="BS95" i="4" s="1"/>
  <c r="BR95" i="4"/>
  <c r="BS98" i="4" s="1"/>
  <c r="BL87" i="4"/>
  <c r="BL89" i="4"/>
  <c r="AY302" i="14"/>
  <c r="BH44" i="3" l="1"/>
  <c r="BH90" i="3" s="1"/>
  <c r="BH79" i="4" s="1"/>
  <c r="AY303" i="14"/>
  <c r="N78" i="1"/>
  <c r="BH57" i="3"/>
  <c r="H33" i="1"/>
  <c r="H34" i="1" s="1"/>
  <c r="BH60" i="3"/>
  <c r="H35" i="1" s="1"/>
  <c r="H10" i="1" s="1"/>
  <c r="H81" i="1" l="1"/>
  <c r="BH82" i="4"/>
  <c r="H80" i="1" s="1"/>
  <c r="H36" i="1"/>
  <c r="H37" i="1" s="1"/>
  <c r="H61" i="1"/>
  <c r="BA184" i="14" l="1"/>
  <c r="BB184" i="14"/>
  <c r="BC184" i="14"/>
  <c r="BA185" i="14"/>
  <c r="BB185" i="14"/>
  <c r="BC185" i="14"/>
  <c r="BA191" i="14"/>
  <c r="BB191" i="14"/>
  <c r="BC191" i="14"/>
  <c r="BA199" i="14"/>
  <c r="BB199" i="14"/>
  <c r="BB201" i="14" s="1"/>
  <c r="BC199" i="14"/>
  <c r="BC201" i="14" s="1"/>
  <c r="BC205" i="14" l="1"/>
  <c r="BC206" i="14" s="1"/>
  <c r="BB205" i="14"/>
  <c r="BB206" i="14" s="1"/>
  <c r="BB208" i="14" s="1"/>
  <c r="BB200" i="14"/>
  <c r="BC200" i="14"/>
  <c r="BA205" i="14"/>
  <c r="BA206" i="14" s="1"/>
  <c r="BA200" i="14"/>
  <c r="BC208" i="14" l="1"/>
  <c r="BC214" i="14"/>
  <c r="BC211" i="14"/>
  <c r="BA208" i="14"/>
  <c r="BA211" i="14"/>
  <c r="BA207" i="14"/>
  <c r="BA214" i="14"/>
  <c r="BB211" i="14"/>
  <c r="BB207" i="14"/>
  <c r="BC207" i="14"/>
  <c r="BB214" i="14"/>
  <c r="BA192" i="14"/>
  <c r="BB192" i="14"/>
  <c r="BC192" i="14"/>
  <c r="BC193" i="14" s="1"/>
  <c r="BA193" i="14"/>
  <c r="BB193" i="14"/>
  <c r="BA247" i="14"/>
  <c r="BB247" i="14"/>
  <c r="BC247" i="14"/>
  <c r="BA250" i="14"/>
  <c r="BA251" i="14" s="1"/>
  <c r="BB250" i="14"/>
  <c r="BB251" i="14" s="1"/>
  <c r="BA258" i="14"/>
  <c r="BB258" i="14"/>
  <c r="BB259" i="14" s="1"/>
  <c r="BC258" i="14"/>
  <c r="BC259" i="14" s="1"/>
  <c r="BD259" i="14" s="1"/>
  <c r="BA218" i="14" l="1"/>
  <c r="BA219" i="14" s="1"/>
  <c r="BA220" i="14" s="1"/>
  <c r="BA221" i="14" s="1"/>
  <c r="BA259" i="14"/>
  <c r="BE259" i="14"/>
  <c r="BM36" i="3"/>
  <c r="BJ44" i="3"/>
  <c r="BJ90" i="3" s="1"/>
  <c r="BJ79" i="4" s="1"/>
  <c r="BK44" i="3"/>
  <c r="BK90" i="3" s="1"/>
  <c r="BK79" i="4" s="1"/>
  <c r="BB218" i="14"/>
  <c r="BB219" i="14" s="1"/>
  <c r="BB220" i="14" s="1"/>
  <c r="BL44" i="3"/>
  <c r="BL90" i="3" s="1"/>
  <c r="BL79" i="4" s="1"/>
  <c r="BC218" i="14"/>
  <c r="BC219" i="14" s="1"/>
  <c r="BC220" i="14" s="1"/>
  <c r="L81" i="1" l="1"/>
  <c r="BL82" i="4"/>
  <c r="L80" i="1" s="1"/>
  <c r="K81" i="1"/>
  <c r="BK82" i="4"/>
  <c r="K80" i="1" s="1"/>
  <c r="J81" i="1"/>
  <c r="BJ82" i="4"/>
  <c r="J80" i="1" s="1"/>
  <c r="BA223" i="14"/>
  <c r="BN36" i="3"/>
  <c r="BF259" i="14"/>
  <c r="BJ60" i="3"/>
  <c r="BJ57" i="3"/>
  <c r="J33" i="1"/>
  <c r="J34" i="1" s="1"/>
  <c r="BJ46" i="3"/>
  <c r="BC221" i="14"/>
  <c r="BC223" i="14"/>
  <c r="BL46" i="3"/>
  <c r="BL60" i="3"/>
  <c r="BL61" i="3" s="1"/>
  <c r="BL57" i="3"/>
  <c r="L33" i="1"/>
  <c r="L34" i="1" s="1"/>
  <c r="BB221" i="14"/>
  <c r="BK46" i="3"/>
  <c r="BK60" i="3"/>
  <c r="BK61" i="3" s="1"/>
  <c r="BK62" i="3" s="1"/>
  <c r="BK57" i="3"/>
  <c r="K33" i="1"/>
  <c r="K34" i="1" s="1"/>
  <c r="BG259" i="14" l="1"/>
  <c r="BO36" i="3"/>
  <c r="BJ59" i="3"/>
  <c r="J35" i="1"/>
  <c r="BK59" i="3"/>
  <c r="K35" i="1"/>
  <c r="BL59" i="3"/>
  <c r="L35" i="1"/>
  <c r="BH259" i="14" l="1"/>
  <c r="BP36" i="3"/>
  <c r="J10" i="1"/>
  <c r="J61" i="1"/>
  <c r="J36" i="1"/>
  <c r="L61" i="1"/>
  <c r="L10" i="1"/>
  <c r="L36" i="1"/>
  <c r="K36" i="1"/>
  <c r="K61" i="1"/>
  <c r="K10" i="1"/>
  <c r="BI259" i="14" l="1"/>
  <c r="BQ36" i="3"/>
  <c r="J37" i="1"/>
  <c r="R11" i="1"/>
  <c r="T11" i="1"/>
  <c r="L37" i="1"/>
  <c r="S11" i="1"/>
  <c r="K37" i="1"/>
  <c r="S10" i="1" l="1"/>
  <c r="S12" i="1"/>
  <c r="T10" i="1"/>
  <c r="T12" i="1"/>
  <c r="T7" i="1" s="1"/>
  <c r="R10" i="1"/>
  <c r="R5" i="1" s="1"/>
  <c r="X5" i="1" s="1"/>
  <c r="R12" i="1"/>
  <c r="R7" i="1" s="1"/>
  <c r="X7" i="1" s="1"/>
  <c r="BJ259" i="14"/>
  <c r="BS36" i="3" s="1"/>
  <c r="BR36" i="3"/>
  <c r="R6" i="1"/>
  <c r="X6" i="1" s="1"/>
  <c r="S6" i="1"/>
  <c r="S5" i="1"/>
  <c r="S7" i="1"/>
  <c r="T6" i="1"/>
  <c r="T5" i="1"/>
  <c r="BA232" i="14"/>
  <c r="BA233" i="14" s="1"/>
  <c r="BB232" i="14"/>
  <c r="BB233" i="14" s="1"/>
  <c r="BC232" i="14"/>
  <c r="BC233" i="14" s="1"/>
  <c r="BD229" i="14" l="1"/>
  <c r="BD232" i="14" s="1"/>
  <c r="BD246" i="14" s="1"/>
  <c r="BE229" i="14" l="1"/>
  <c r="BE232" i="14" s="1"/>
  <c r="BE246" i="14" s="1"/>
  <c r="BD233" i="14"/>
  <c r="BM72" i="3" s="1"/>
  <c r="BM17" i="3" s="1"/>
  <c r="BD192" i="14" l="1"/>
  <c r="BD258" i="14"/>
  <c r="BD247" i="14"/>
  <c r="BM16" i="3"/>
  <c r="BM24" i="3"/>
  <c r="BM95" i="3"/>
  <c r="BM122" i="3"/>
  <c r="BM65" i="3"/>
  <c r="BF229" i="14"/>
  <c r="BF232" i="14" s="1"/>
  <c r="BF246" i="14" s="1"/>
  <c r="BE233" i="14"/>
  <c r="BN72" i="3" s="1"/>
  <c r="BN17" i="3" s="1"/>
  <c r="BM100" i="4" l="1"/>
  <c r="BM71" i="3"/>
  <c r="BM94" i="3"/>
  <c r="BM121" i="3"/>
  <c r="BM55" i="4"/>
  <c r="BM79" i="3"/>
  <c r="BM102" i="3"/>
  <c r="BM129" i="3"/>
  <c r="BM35" i="3"/>
  <c r="BM66" i="3"/>
  <c r="BE192" i="14"/>
  <c r="BE258" i="14"/>
  <c r="BE247" i="14"/>
  <c r="BG229" i="14"/>
  <c r="BG232" i="14" s="1"/>
  <c r="BD260" i="14"/>
  <c r="BD218" i="14" s="1"/>
  <c r="BD219" i="14" s="1"/>
  <c r="BD220" i="14" s="1"/>
  <c r="BN65" i="3"/>
  <c r="BN16" i="3"/>
  <c r="M27" i="1"/>
  <c r="M28" i="1" s="1"/>
  <c r="BN95" i="3"/>
  <c r="BN122" i="3"/>
  <c r="BN24" i="3"/>
  <c r="BF233" i="14"/>
  <c r="BO72" i="3" s="1"/>
  <c r="BO17" i="3" s="1"/>
  <c r="BD278" i="14" l="1"/>
  <c r="BD292" i="14" s="1"/>
  <c r="BD293" i="14" s="1"/>
  <c r="BH229" i="14"/>
  <c r="BH232" i="14" s="1"/>
  <c r="BD223" i="14"/>
  <c r="BD221" i="14"/>
  <c r="BG246" i="14"/>
  <c r="BG233" i="14"/>
  <c r="BP72" i="3" s="1"/>
  <c r="BP17" i="3" s="1"/>
  <c r="BN121" i="3"/>
  <c r="BN100" i="4"/>
  <c r="BN71" i="3"/>
  <c r="BN94" i="3"/>
  <c r="BO24" i="3"/>
  <c r="BO95" i="3"/>
  <c r="BO122" i="3"/>
  <c r="BO65" i="3"/>
  <c r="BO16" i="3"/>
  <c r="BN55" i="4"/>
  <c r="BN79" i="3"/>
  <c r="BN102" i="3"/>
  <c r="BN129" i="3"/>
  <c r="BN35" i="3"/>
  <c r="BN66" i="3"/>
  <c r="BE260" i="14"/>
  <c r="BE218" i="14" s="1"/>
  <c r="BE219" i="14" s="1"/>
  <c r="BE220" i="14" s="1"/>
  <c r="BF192" i="14"/>
  <c r="BF247" i="14"/>
  <c r="BF258" i="14"/>
  <c r="BD295" i="14"/>
  <c r="BM85" i="3"/>
  <c r="BM108" i="3"/>
  <c r="BM135" i="3"/>
  <c r="BM37" i="3"/>
  <c r="BM67" i="3"/>
  <c r="BD299" i="14" l="1"/>
  <c r="BD296" i="14"/>
  <c r="BE278" i="14"/>
  <c r="BE292" i="14" s="1"/>
  <c r="BE293" i="14" s="1"/>
  <c r="BE295" i="14"/>
  <c r="BP24" i="3"/>
  <c r="BP65" i="3"/>
  <c r="BP16" i="3"/>
  <c r="BP95" i="3"/>
  <c r="BP122" i="3"/>
  <c r="BG258" i="14"/>
  <c r="BG192" i="14"/>
  <c r="BG247" i="14"/>
  <c r="BN85" i="3"/>
  <c r="BN108" i="3"/>
  <c r="BN135" i="3"/>
  <c r="BN67" i="3"/>
  <c r="BN37" i="3"/>
  <c r="BN41" i="3" s="1"/>
  <c r="BM110" i="3"/>
  <c r="BM137" i="3"/>
  <c r="BM86" i="3"/>
  <c r="BO100" i="4"/>
  <c r="BO71" i="3"/>
  <c r="BO94" i="3"/>
  <c r="BO121" i="3"/>
  <c r="BO66" i="3"/>
  <c r="BO55" i="4"/>
  <c r="BO79" i="3"/>
  <c r="BO102" i="3"/>
  <c r="BO129" i="3"/>
  <c r="BO35" i="3"/>
  <c r="BM41" i="3"/>
  <c r="BM28" i="4" s="1"/>
  <c r="BF260" i="14"/>
  <c r="BF218" i="14" s="1"/>
  <c r="BF219" i="14" s="1"/>
  <c r="BF220" i="14" s="1"/>
  <c r="BJ229" i="14"/>
  <c r="BJ232" i="14" s="1"/>
  <c r="BI229" i="14"/>
  <c r="BI232" i="14" s="1"/>
  <c r="BE223" i="14"/>
  <c r="BE221" i="14"/>
  <c r="BH246" i="14"/>
  <c r="BH233" i="14"/>
  <c r="BQ72" i="3" s="1"/>
  <c r="BQ17" i="3" s="1"/>
  <c r="BM16" i="2" l="1"/>
  <c r="BM31" i="4"/>
  <c r="BN10" i="2"/>
  <c r="BN28" i="4"/>
  <c r="BN31" i="4" s="1"/>
  <c r="BM10" i="2"/>
  <c r="BM40" i="4"/>
  <c r="BD302" i="14"/>
  <c r="BD303" i="14" s="1"/>
  <c r="BD300" i="14"/>
  <c r="BE299" i="14"/>
  <c r="BE296" i="14"/>
  <c r="BF278" i="14"/>
  <c r="BF292" i="14" s="1"/>
  <c r="BF293" i="14" s="1"/>
  <c r="BM114" i="3"/>
  <c r="BM141" i="3"/>
  <c r="BM53" i="3"/>
  <c r="BM56" i="3"/>
  <c r="BM68" i="3"/>
  <c r="BH247" i="14"/>
  <c r="BH192" i="14"/>
  <c r="BH258" i="14"/>
  <c r="BO85" i="3"/>
  <c r="BO108" i="3"/>
  <c r="BO135" i="3"/>
  <c r="BO67" i="3"/>
  <c r="BO37" i="3"/>
  <c r="BO41" i="3" s="1"/>
  <c r="BP94" i="3"/>
  <c r="BP121" i="3"/>
  <c r="BP71" i="3"/>
  <c r="BP100" i="4"/>
  <c r="BN114" i="3"/>
  <c r="BN141" i="3"/>
  <c r="BN53" i="3"/>
  <c r="BN56" i="3"/>
  <c r="BN68" i="3"/>
  <c r="BP35" i="3"/>
  <c r="BP66" i="3"/>
  <c r="BP102" i="3"/>
  <c r="BP129" i="3"/>
  <c r="BP55" i="4"/>
  <c r="BP79" i="3"/>
  <c r="BI246" i="14"/>
  <c r="BI233" i="14"/>
  <c r="BR72" i="3" s="1"/>
  <c r="BR17" i="3" s="1"/>
  <c r="BF295" i="14"/>
  <c r="BF223" i="14"/>
  <c r="BF221" i="14"/>
  <c r="BJ246" i="14"/>
  <c r="BJ233" i="14"/>
  <c r="BS72" i="3" s="1"/>
  <c r="BS17" i="3" s="1"/>
  <c r="BQ95" i="3"/>
  <c r="BQ122" i="3"/>
  <c r="BQ24" i="3"/>
  <c r="BQ65" i="3"/>
  <c r="BQ16" i="3"/>
  <c r="BN86" i="3"/>
  <c r="BN110" i="3"/>
  <c r="BN137" i="3"/>
  <c r="BG260" i="14"/>
  <c r="BG218" i="14" s="1"/>
  <c r="BG219" i="14" s="1"/>
  <c r="BG220" i="14" s="1"/>
  <c r="BO10" i="2" l="1"/>
  <c r="BO28" i="4"/>
  <c r="BM44" i="3"/>
  <c r="BM90" i="3" s="1"/>
  <c r="BM79" i="4" s="1"/>
  <c r="BN16" i="2"/>
  <c r="BN17" i="2" s="1"/>
  <c r="BM17" i="2"/>
  <c r="BM54" i="2" s="1"/>
  <c r="BM56" i="2" s="1"/>
  <c r="BE302" i="14"/>
  <c r="BE303" i="14" s="1"/>
  <c r="BE300" i="14"/>
  <c r="BN40" i="4"/>
  <c r="BM42" i="4"/>
  <c r="BM57" i="3"/>
  <c r="BM60" i="3"/>
  <c r="BM61" i="3" s="1"/>
  <c r="BF299" i="14"/>
  <c r="BF296" i="14"/>
  <c r="BG278" i="14"/>
  <c r="BG292" i="14" s="1"/>
  <c r="BG293" i="14" s="1"/>
  <c r="BG223" i="14"/>
  <c r="BG221" i="14"/>
  <c r="BS95" i="3"/>
  <c r="BS122" i="3"/>
  <c r="BS16" i="3"/>
  <c r="BS24" i="3"/>
  <c r="N27" i="1"/>
  <c r="N28" i="1" s="1"/>
  <c r="BS65" i="3"/>
  <c r="BO114" i="3"/>
  <c r="BO141" i="3"/>
  <c r="BO53" i="3"/>
  <c r="BO56" i="3"/>
  <c r="BO68" i="3"/>
  <c r="BM117" i="3"/>
  <c r="BM144" i="3"/>
  <c r="BJ258" i="14"/>
  <c r="BJ192" i="14"/>
  <c r="BJ247" i="14"/>
  <c r="BN117" i="3"/>
  <c r="BN144" i="3"/>
  <c r="BH260" i="14"/>
  <c r="BH218" i="14" s="1"/>
  <c r="BH219" i="14" s="1"/>
  <c r="BH220" i="14" s="1"/>
  <c r="BM116" i="3"/>
  <c r="BM143" i="3"/>
  <c r="BN116" i="3"/>
  <c r="BN143" i="3"/>
  <c r="BP67" i="3"/>
  <c r="BP85" i="3"/>
  <c r="BP108" i="3"/>
  <c r="BP135" i="3"/>
  <c r="BP37" i="3"/>
  <c r="BI258" i="14"/>
  <c r="BI247" i="14"/>
  <c r="BI192" i="14"/>
  <c r="BQ94" i="3"/>
  <c r="BQ121" i="3"/>
  <c r="BQ100" i="4"/>
  <c r="BQ71" i="3"/>
  <c r="BQ35" i="3"/>
  <c r="BQ66" i="3"/>
  <c r="BQ55" i="4"/>
  <c r="BQ79" i="3"/>
  <c r="BQ102" i="3"/>
  <c r="BQ129" i="3"/>
  <c r="BO86" i="3"/>
  <c r="BO110" i="3"/>
  <c r="BO137" i="3"/>
  <c r="BR95" i="3"/>
  <c r="BR122" i="3"/>
  <c r="BR24" i="3"/>
  <c r="BR65" i="3"/>
  <c r="BR16" i="3"/>
  <c r="BG295" i="14"/>
  <c r="BN54" i="2" l="1"/>
  <c r="BN56" i="2" s="1"/>
  <c r="BN36" i="2"/>
  <c r="BN44" i="3"/>
  <c r="BN90" i="3" s="1"/>
  <c r="BN79" i="4" s="1"/>
  <c r="M81" i="1" s="1"/>
  <c r="BO16" i="2"/>
  <c r="BO17" i="2" s="1"/>
  <c r="BO31" i="4"/>
  <c r="BM36" i="2"/>
  <c r="BM38" i="2" s="1"/>
  <c r="BN37" i="2" s="1"/>
  <c r="BN38" i="2" s="1"/>
  <c r="BN10" i="4" s="1"/>
  <c r="BM101" i="4"/>
  <c r="BM102" i="4" s="1"/>
  <c r="BM47" i="4"/>
  <c r="BM44" i="4"/>
  <c r="BF302" i="14"/>
  <c r="BO44" i="3" s="1"/>
  <c r="BO90" i="3" s="1"/>
  <c r="BO79" i="4" s="1"/>
  <c r="BF300" i="14"/>
  <c r="BO40" i="4"/>
  <c r="BN42" i="4"/>
  <c r="BN57" i="3"/>
  <c r="M33" i="1"/>
  <c r="M34" i="1" s="1"/>
  <c r="BN60" i="3"/>
  <c r="BG299" i="14"/>
  <c r="BG296" i="14"/>
  <c r="BH278" i="14"/>
  <c r="BH292" i="14" s="1"/>
  <c r="BH293" i="14" s="1"/>
  <c r="BH295" i="14"/>
  <c r="BQ37" i="3"/>
  <c r="BQ41" i="3" s="1"/>
  <c r="BQ67" i="3"/>
  <c r="BQ108" i="3"/>
  <c r="BQ85" i="3"/>
  <c r="BQ135" i="3"/>
  <c r="BP86" i="3"/>
  <c r="BP110" i="3"/>
  <c r="BP137" i="3"/>
  <c r="BO117" i="3"/>
  <c r="BO144" i="3"/>
  <c r="BJ260" i="14"/>
  <c r="BJ218" i="14" s="1"/>
  <c r="BJ219" i="14" s="1"/>
  <c r="BJ220" i="14" s="1"/>
  <c r="BO116" i="3"/>
  <c r="BO143" i="3"/>
  <c r="BS102" i="3"/>
  <c r="BS129" i="3"/>
  <c r="BS35" i="3"/>
  <c r="BS66" i="3"/>
  <c r="BS55" i="4"/>
  <c r="BS79" i="3"/>
  <c r="BR102" i="3"/>
  <c r="BR129" i="3"/>
  <c r="BR35" i="3"/>
  <c r="BR79" i="3"/>
  <c r="BR66" i="3"/>
  <c r="BR55" i="4"/>
  <c r="BS100" i="4"/>
  <c r="BS71" i="3"/>
  <c r="BS94" i="3"/>
  <c r="BS121" i="3"/>
  <c r="BP41" i="3"/>
  <c r="BH221" i="14"/>
  <c r="BH223" i="14"/>
  <c r="BR100" i="4"/>
  <c r="BR71" i="3"/>
  <c r="BR94" i="3"/>
  <c r="BR121" i="3"/>
  <c r="BI260" i="14"/>
  <c r="BI218" i="14" s="1"/>
  <c r="BI219" i="14" s="1"/>
  <c r="BI220" i="14" s="1"/>
  <c r="BO36" i="2" l="1"/>
  <c r="BO54" i="2"/>
  <c r="BO56" i="2" s="1"/>
  <c r="BO101" i="4"/>
  <c r="BO102" i="4" s="1"/>
  <c r="BQ10" i="2"/>
  <c r="BQ28" i="4"/>
  <c r="M76" i="1"/>
  <c r="BN92" i="4"/>
  <c r="BP10" i="2"/>
  <c r="BP28" i="4"/>
  <c r="BO37" i="2"/>
  <c r="BO38" i="2" s="1"/>
  <c r="BN105" i="4"/>
  <c r="BO106" i="4" s="1"/>
  <c r="M87" i="1"/>
  <c r="BN62" i="4"/>
  <c r="BM10" i="4"/>
  <c r="BM62" i="4" s="1"/>
  <c r="BN61" i="4"/>
  <c r="BN14" i="4"/>
  <c r="BN23" i="4" s="1"/>
  <c r="BM92" i="4"/>
  <c r="BF303" i="14"/>
  <c r="M35" i="1"/>
  <c r="M61" i="1" s="1"/>
  <c r="BN61" i="3"/>
  <c r="BN47" i="4"/>
  <c r="BN44" i="4"/>
  <c r="BP40" i="4"/>
  <c r="BO42" i="4"/>
  <c r="BG302" i="14"/>
  <c r="BP44" i="3" s="1"/>
  <c r="BP90" i="3" s="1"/>
  <c r="BP79" i="4" s="1"/>
  <c r="BG300" i="14"/>
  <c r="BM84" i="4"/>
  <c r="BM77" i="4"/>
  <c r="BP37" i="2"/>
  <c r="BO10" i="4"/>
  <c r="M36" i="1"/>
  <c r="BO60" i="3"/>
  <c r="BO61" i="3" s="1"/>
  <c r="BO57" i="3"/>
  <c r="BH299" i="14"/>
  <c r="BH296" i="14"/>
  <c r="BI278" i="14"/>
  <c r="BI292" i="14" s="1"/>
  <c r="BI293" i="14" s="1"/>
  <c r="BJ278" i="14"/>
  <c r="BJ292" i="14" s="1"/>
  <c r="BJ293" i="14" s="1"/>
  <c r="BJ295" i="14"/>
  <c r="BQ68" i="3"/>
  <c r="BQ114" i="3"/>
  <c r="BQ141" i="3"/>
  <c r="BQ53" i="3"/>
  <c r="BQ56" i="3"/>
  <c r="BJ221" i="14"/>
  <c r="BJ223" i="14"/>
  <c r="BI223" i="14"/>
  <c r="BI221" i="14"/>
  <c r="BS108" i="3"/>
  <c r="BS135" i="3"/>
  <c r="BS37" i="3"/>
  <c r="BS67" i="3"/>
  <c r="BS85" i="3"/>
  <c r="BQ86" i="3"/>
  <c r="BQ110" i="3"/>
  <c r="BQ137" i="3"/>
  <c r="BI295" i="14"/>
  <c r="BP114" i="3"/>
  <c r="BP141" i="3"/>
  <c r="BP53" i="3"/>
  <c r="BP56" i="3"/>
  <c r="BP68" i="3"/>
  <c r="BR37" i="3"/>
  <c r="BR41" i="3" s="1"/>
  <c r="BR67" i="3"/>
  <c r="BR85" i="3"/>
  <c r="BR108" i="3"/>
  <c r="BR135" i="3"/>
  <c r="BM14" i="4" l="1"/>
  <c r="BQ16" i="2"/>
  <c r="BQ31" i="4"/>
  <c r="BM52" i="4"/>
  <c r="BQ17" i="2"/>
  <c r="BN54" i="4"/>
  <c r="BM105" i="4"/>
  <c r="BN106" i="4" s="1"/>
  <c r="BR10" i="2"/>
  <c r="BR28" i="4"/>
  <c r="BM61" i="4"/>
  <c r="M10" i="1"/>
  <c r="BN101" i="4"/>
  <c r="BN102" i="4" s="1"/>
  <c r="BP16" i="2"/>
  <c r="BP17" i="2" s="1"/>
  <c r="BP31" i="4"/>
  <c r="BN35" i="4"/>
  <c r="BN36" i="4" s="1"/>
  <c r="BN87" i="4" s="1"/>
  <c r="BG303" i="14"/>
  <c r="BH302" i="14"/>
  <c r="BQ44" i="3" s="1"/>
  <c r="BQ90" i="3" s="1"/>
  <c r="BQ79" i="4" s="1"/>
  <c r="BH300" i="14"/>
  <c r="BO47" i="4"/>
  <c r="BO44" i="4"/>
  <c r="BO52" i="4" s="1"/>
  <c r="BQ40" i="4"/>
  <c r="BP42" i="4"/>
  <c r="M38" i="1"/>
  <c r="BN84" i="4"/>
  <c r="BN77" i="4"/>
  <c r="BN52" i="4"/>
  <c r="BO62" i="4"/>
  <c r="BO92" i="4"/>
  <c r="BO105" i="4"/>
  <c r="BP106" i="4" s="1"/>
  <c r="BO14" i="4"/>
  <c r="BO61" i="4"/>
  <c r="BN81" i="4"/>
  <c r="M83" i="1" s="1"/>
  <c r="BN60" i="4"/>
  <c r="BN59" i="4"/>
  <c r="BN88" i="4"/>
  <c r="BN53" i="4"/>
  <c r="BN76" i="4"/>
  <c r="BP60" i="3"/>
  <c r="BP61" i="3" s="1"/>
  <c r="BP57" i="3"/>
  <c r="U11" i="1"/>
  <c r="M37" i="1"/>
  <c r="BI299" i="14"/>
  <c r="BI296" i="14"/>
  <c r="BJ299" i="14"/>
  <c r="BJ296" i="14"/>
  <c r="BR68" i="3"/>
  <c r="BR56" i="3"/>
  <c r="BR53" i="3"/>
  <c r="BR114" i="3"/>
  <c r="BR141" i="3"/>
  <c r="BP116" i="3"/>
  <c r="BP143" i="3"/>
  <c r="BQ116" i="3"/>
  <c r="BQ143" i="3"/>
  <c r="BS86" i="3"/>
  <c r="BS110" i="3"/>
  <c r="BS137" i="3"/>
  <c r="BS41" i="3"/>
  <c r="BR137" i="3"/>
  <c r="BR86" i="3"/>
  <c r="BR110" i="3"/>
  <c r="BP117" i="3"/>
  <c r="BP144" i="3"/>
  <c r="BQ117" i="3"/>
  <c r="BQ144" i="3"/>
  <c r="BP54" i="2" l="1"/>
  <c r="BP56" i="2" s="1"/>
  <c r="BP36" i="2"/>
  <c r="BP38" i="2" s="1"/>
  <c r="BQ37" i="2" s="1"/>
  <c r="BP101" i="4"/>
  <c r="BP102" i="4" s="1"/>
  <c r="BQ54" i="2"/>
  <c r="BQ56" i="2" s="1"/>
  <c r="BQ36" i="2"/>
  <c r="BS10" i="2"/>
  <c r="BS28" i="4"/>
  <c r="BR16" i="2"/>
  <c r="BR17" i="2" s="1"/>
  <c r="BR31" i="4"/>
  <c r="BM23" i="4"/>
  <c r="BM54" i="4"/>
  <c r="U12" i="1"/>
  <c r="U10" i="1"/>
  <c r="BH303" i="14"/>
  <c r="BN89" i="4"/>
  <c r="BN46" i="4"/>
  <c r="BN45" i="4"/>
  <c r="BP10" i="4"/>
  <c r="BQ101" i="4" s="1"/>
  <c r="BQ102" i="4" s="1"/>
  <c r="BJ302" i="14"/>
  <c r="BJ303" i="14" s="1"/>
  <c r="BJ300" i="14"/>
  <c r="M39" i="1"/>
  <c r="M11" i="1"/>
  <c r="BI302" i="14"/>
  <c r="BI303" i="14" s="1"/>
  <c r="BI300" i="14"/>
  <c r="BP47" i="4"/>
  <c r="BP44" i="4"/>
  <c r="BR40" i="4"/>
  <c r="BQ42" i="4"/>
  <c r="BO84" i="4"/>
  <c r="BO77" i="4"/>
  <c r="BO23" i="4"/>
  <c r="BO54" i="4"/>
  <c r="U5" i="1"/>
  <c r="U7" i="1"/>
  <c r="U6" i="1"/>
  <c r="BQ57" i="3"/>
  <c r="BQ60" i="3"/>
  <c r="BQ61" i="3" s="1"/>
  <c r="BR116" i="3"/>
  <c r="BR143" i="3"/>
  <c r="BR117" i="3"/>
  <c r="BR144" i="3"/>
  <c r="BS68" i="3"/>
  <c r="BS53" i="3"/>
  <c r="BS56" i="3"/>
  <c r="BS114" i="3"/>
  <c r="BS141" i="3"/>
  <c r="BR54" i="2" l="1"/>
  <c r="BR56" i="2" s="1"/>
  <c r="BR36" i="2"/>
  <c r="BM76" i="4"/>
  <c r="BM88" i="4"/>
  <c r="BM53" i="4"/>
  <c r="BM81" i="4"/>
  <c r="BM35" i="4"/>
  <c r="BM36" i="4" s="1"/>
  <c r="BM59" i="4"/>
  <c r="BM60" i="4"/>
  <c r="BN80" i="4"/>
  <c r="BM80" i="4"/>
  <c r="BM82" i="4" s="1"/>
  <c r="BQ38" i="2"/>
  <c r="BS44" i="3"/>
  <c r="BS90" i="3" s="1"/>
  <c r="BS79" i="4" s="1"/>
  <c r="BR44" i="3"/>
  <c r="BR90" i="3" s="1"/>
  <c r="BR79" i="4" s="1"/>
  <c r="BO35" i="4"/>
  <c r="BO36" i="4" s="1"/>
  <c r="BO45" i="4" s="1"/>
  <c r="BO60" i="4"/>
  <c r="BP62" i="4"/>
  <c r="BP14" i="4"/>
  <c r="BP23" i="4" s="1"/>
  <c r="BP92" i="4"/>
  <c r="BP105" i="4"/>
  <c r="BQ106" i="4" s="1"/>
  <c r="BP61" i="4"/>
  <c r="BP77" i="4"/>
  <c r="BP84" i="4"/>
  <c r="BP52" i="4"/>
  <c r="M66" i="1"/>
  <c r="M40" i="1"/>
  <c r="BQ47" i="4"/>
  <c r="BQ44" i="4"/>
  <c r="BS40" i="4"/>
  <c r="BS42" i="4" s="1"/>
  <c r="BR42" i="4"/>
  <c r="BO81" i="4"/>
  <c r="BO88" i="4"/>
  <c r="BO80" i="4"/>
  <c r="BO59" i="4"/>
  <c r="BO53" i="4"/>
  <c r="BO76" i="4"/>
  <c r="BR57" i="3"/>
  <c r="BR60" i="3"/>
  <c r="BR61" i="3" s="1"/>
  <c r="BS57" i="3"/>
  <c r="BS59" i="3" s="1"/>
  <c r="N33" i="1"/>
  <c r="N34" i="1" s="1"/>
  <c r="BS60" i="3"/>
  <c r="BS117" i="3"/>
  <c r="BS144" i="3"/>
  <c r="BS55" i="3"/>
  <c r="BS116" i="3"/>
  <c r="BS143" i="3"/>
  <c r="N81" i="1"/>
  <c r="BM46" i="4" l="1"/>
  <c r="BM45" i="4"/>
  <c r="BM89" i="4"/>
  <c r="BM87" i="4"/>
  <c r="BQ10" i="4"/>
  <c r="BR37" i="2"/>
  <c r="BR38" i="2" s="1"/>
  <c r="M82" i="1"/>
  <c r="BN82" i="4"/>
  <c r="M80" i="1" s="1"/>
  <c r="BO89" i="4"/>
  <c r="BO87" i="4"/>
  <c r="BP35" i="4"/>
  <c r="BP36" i="4" s="1"/>
  <c r="BP46" i="4" s="1"/>
  <c r="BO46" i="4"/>
  <c r="BP54" i="4"/>
  <c r="N35" i="1"/>
  <c r="N10" i="1" s="1"/>
  <c r="BS61" i="3"/>
  <c r="BS47" i="4"/>
  <c r="BS44" i="4"/>
  <c r="BQ84" i="4"/>
  <c r="BQ77" i="4"/>
  <c r="BR47" i="4"/>
  <c r="BR44" i="4"/>
  <c r="BO82" i="4"/>
  <c r="BP60" i="4"/>
  <c r="BP81" i="4"/>
  <c r="BP59" i="4"/>
  <c r="BP80" i="4"/>
  <c r="BP88" i="4"/>
  <c r="BP53" i="4"/>
  <c r="BP76" i="4"/>
  <c r="BS37" i="2" l="1"/>
  <c r="BR10" i="4"/>
  <c r="BQ92" i="4"/>
  <c r="BQ14" i="4"/>
  <c r="BQ62" i="4"/>
  <c r="BR101" i="4"/>
  <c r="BR102" i="4" s="1"/>
  <c r="BQ105" i="4"/>
  <c r="BR106" i="4" s="1"/>
  <c r="BQ61" i="4"/>
  <c r="BQ52" i="4"/>
  <c r="N36" i="1"/>
  <c r="N61" i="1"/>
  <c r="BP87" i="4"/>
  <c r="BP89" i="4"/>
  <c r="BP45" i="4"/>
  <c r="BR84" i="4"/>
  <c r="BR77" i="4"/>
  <c r="N38" i="1"/>
  <c r="BS84" i="4"/>
  <c r="BS77" i="4"/>
  <c r="BR52" i="4"/>
  <c r="BP82" i="4"/>
  <c r="V11" i="1"/>
  <c r="N37" i="1"/>
  <c r="BQ54" i="4" l="1"/>
  <c r="BQ23" i="4"/>
  <c r="BR62" i="4"/>
  <c r="BR92" i="4"/>
  <c r="BR14" i="4"/>
  <c r="BR61" i="4"/>
  <c r="BR105" i="4"/>
  <c r="BS106" i="4" s="1"/>
  <c r="V12" i="1"/>
  <c r="V7" i="1" s="1"/>
  <c r="V10" i="1"/>
  <c r="V5" i="1" s="1"/>
  <c r="N39" i="1"/>
  <c r="N11" i="1"/>
  <c r="V6" i="1"/>
  <c r="BR23" i="4" l="1"/>
  <c r="BR54" i="4"/>
  <c r="BQ60" i="4"/>
  <c r="BQ81" i="4"/>
  <c r="BQ35" i="4"/>
  <c r="BQ36" i="4" s="1"/>
  <c r="BQ59" i="4"/>
  <c r="BQ88" i="4"/>
  <c r="BQ76" i="4"/>
  <c r="BQ80" i="4"/>
  <c r="BQ82" i="4" s="1"/>
  <c r="BQ53" i="4"/>
  <c r="N66" i="1"/>
  <c r="N40" i="1"/>
  <c r="BQ46" i="4" l="1"/>
  <c r="BQ89" i="4"/>
  <c r="BQ45" i="4"/>
  <c r="BQ87" i="4"/>
  <c r="BR59" i="4"/>
  <c r="BR60" i="4"/>
  <c r="BR88" i="4"/>
  <c r="BR81" i="4"/>
  <c r="BR80" i="4"/>
  <c r="BR76" i="4"/>
  <c r="BR35" i="4"/>
  <c r="BR36" i="4" s="1"/>
  <c r="BR53" i="4"/>
  <c r="AG164" i="14"/>
  <c r="AG159" i="14" s="1"/>
  <c r="AH164" i="14"/>
  <c r="AH159" i="14" s="1"/>
  <c r="AI164" i="14"/>
  <c r="AI159" i="14" s="1"/>
  <c r="AJ164" i="14"/>
  <c r="AJ165" i="14" s="1"/>
  <c r="AK164" i="14"/>
  <c r="AK159" i="14" s="1"/>
  <c r="AL164" i="14"/>
  <c r="AL159" i="14" s="1"/>
  <c r="AM164" i="14"/>
  <c r="AM159" i="14" s="1"/>
  <c r="AN164" i="14"/>
  <c r="AN159" i="14" s="1"/>
  <c r="AO164" i="14"/>
  <c r="AO159" i="14" s="1"/>
  <c r="AP164" i="14"/>
  <c r="AP159" i="14" s="1"/>
  <c r="AG167" i="14"/>
  <c r="AH167" i="14"/>
  <c r="AI167" i="14"/>
  <c r="AJ167" i="14"/>
  <c r="AK167" i="14"/>
  <c r="AL167" i="14"/>
  <c r="AM167" i="14"/>
  <c r="AN167" i="14"/>
  <c r="AO167" i="14"/>
  <c r="AP167" i="14"/>
  <c r="BR46" i="4" l="1"/>
  <c r="BR87" i="4"/>
  <c r="BR45" i="4"/>
  <c r="BR89" i="4"/>
  <c r="BR82" i="4"/>
  <c r="AH165" i="14"/>
  <c r="AO165" i="14"/>
  <c r="AI165" i="14"/>
  <c r="AP165" i="14"/>
  <c r="AJ159" i="14"/>
  <c r="AN165" i="14"/>
  <c r="AL165" i="14"/>
  <c r="AK165" i="14"/>
  <c r="AG165" i="14"/>
  <c r="AM165" i="14"/>
  <c r="BS31" i="4"/>
  <c r="BS16" i="2"/>
  <c r="BS17" i="2" s="1"/>
  <c r="BS54" i="2" l="1"/>
  <c r="BS56" i="2" s="1"/>
  <c r="BS101" i="4"/>
  <c r="BS102" i="4" s="1"/>
  <c r="BS36" i="2"/>
  <c r="BS38" i="2" s="1"/>
  <c r="BS10" i="4" l="1"/>
  <c r="N87" i="1" s="1"/>
  <c r="N76" i="1"/>
  <c r="BS62" i="4" l="1"/>
  <c r="BS92" i="4"/>
  <c r="BS52" i="4"/>
  <c r="BS14" i="4"/>
  <c r="BS105" i="4"/>
  <c r="BS61" i="4"/>
  <c r="BS23" i="4" l="1"/>
  <c r="BS54" i="4"/>
  <c r="BS76" i="4" l="1"/>
  <c r="BS80" i="4"/>
  <c r="BS53" i="4"/>
  <c r="BS81" i="4"/>
  <c r="N83" i="1" s="1"/>
  <c r="BS59" i="4"/>
  <c r="BS35" i="4"/>
  <c r="BS36" i="4" s="1"/>
  <c r="BS60" i="4"/>
  <c r="BS88" i="4"/>
  <c r="BS82" i="4" l="1"/>
  <c r="N80" i="1" s="1"/>
  <c r="N82" i="1"/>
  <c r="BS45" i="4"/>
  <c r="BS89" i="4"/>
  <c r="BS87" i="4"/>
  <c r="BS46" i="4"/>
  <c r="AZ165" i="14" l="1"/>
  <c r="AZ167" i="14"/>
  <c r="AZ166" i="14"/>
  <c r="AZ159" i="14"/>
  <c r="AZ182" i="14"/>
  <c r="BA167" i="14" l="1"/>
  <c r="BA166" i="14"/>
  <c r="BA165" i="14"/>
  <c r="BA182" i="14"/>
  <c r="BB182" i="14"/>
  <c r="BB166" i="14"/>
  <c r="BB165" i="14"/>
  <c r="BB159" i="14"/>
  <c r="BB167" i="14"/>
  <c r="BC182" i="14"/>
  <c r="BC165" i="14"/>
  <c r="BC167" i="14"/>
  <c r="BC159" i="14"/>
  <c r="BC166" i="14"/>
  <c r="BD166" i="14" s="1"/>
  <c r="BD164" i="14" l="1"/>
  <c r="BE166" i="14"/>
  <c r="BE164" i="14" l="1"/>
  <c r="BF166" i="14"/>
  <c r="BD159" i="14"/>
  <c r="BD167" i="14"/>
  <c r="BD183" i="14"/>
  <c r="BD182" i="14"/>
  <c r="BD165" i="14"/>
  <c r="BD191" i="14" l="1"/>
  <c r="BD193" i="14" s="1"/>
  <c r="BD248" i="14"/>
  <c r="BD184" i="14"/>
  <c r="BD199" i="14"/>
  <c r="BD185" i="14"/>
  <c r="BG166" i="14"/>
  <c r="BF164" i="14"/>
  <c r="BE183" i="14"/>
  <c r="BE165" i="14"/>
  <c r="BE167" i="14"/>
  <c r="BE159" i="14"/>
  <c r="BE182" i="14"/>
  <c r="BD200" i="14" l="1"/>
  <c r="BD205" i="14"/>
  <c r="BD206" i="14" s="1"/>
  <c r="BE185" i="14"/>
  <c r="BE248" i="14"/>
  <c r="BE191" i="14"/>
  <c r="BE193" i="14" s="1"/>
  <c r="BE199" i="14"/>
  <c r="BE184" i="14"/>
  <c r="BF165" i="14"/>
  <c r="BF167" i="14"/>
  <c r="BF159" i="14"/>
  <c r="BF182" i="14"/>
  <c r="BF183" i="14"/>
  <c r="BD250" i="14"/>
  <c r="BD251" i="14" s="1"/>
  <c r="BM27" i="3"/>
  <c r="BD249" i="14"/>
  <c r="BH166" i="14"/>
  <c r="BG164" i="14"/>
  <c r="BF185" i="14" l="1"/>
  <c r="BF199" i="14"/>
  <c r="BF191" i="14"/>
  <c r="BF193" i="14" s="1"/>
  <c r="BF184" i="14"/>
  <c r="BF248" i="14"/>
  <c r="BI166" i="14"/>
  <c r="BH164" i="14"/>
  <c r="BD211" i="14"/>
  <c r="BD214" i="14"/>
  <c r="BD207" i="14"/>
  <c r="BD208" i="14"/>
  <c r="BE200" i="14"/>
  <c r="BE205" i="14"/>
  <c r="BE206" i="14" s="1"/>
  <c r="BE250" i="14"/>
  <c r="BE251" i="14" s="1"/>
  <c r="BN27" i="3"/>
  <c r="BE249" i="14"/>
  <c r="BG182" i="14"/>
  <c r="BG183" i="14"/>
  <c r="BG165" i="14"/>
  <c r="BG167" i="14"/>
  <c r="BG159" i="14"/>
  <c r="M31" i="1" l="1"/>
  <c r="M29" i="1"/>
  <c r="BO27" i="3"/>
  <c r="BF250" i="14"/>
  <c r="BF251" i="14" s="1"/>
  <c r="BF249" i="14"/>
  <c r="BI164" i="14"/>
  <c r="BJ166" i="14"/>
  <c r="BJ164" i="14" s="1"/>
  <c r="BH159" i="14"/>
  <c r="BH165" i="14"/>
  <c r="BH167" i="14"/>
  <c r="BH182" i="14"/>
  <c r="BH183" i="14"/>
  <c r="BE207" i="14"/>
  <c r="BE211" i="14"/>
  <c r="BE208" i="14"/>
  <c r="BE214" i="14"/>
  <c r="BG191" i="14"/>
  <c r="BG193" i="14" s="1"/>
  <c r="BG184" i="14"/>
  <c r="BG199" i="14"/>
  <c r="BG248" i="14"/>
  <c r="BG185" i="14"/>
  <c r="BF200" i="14"/>
  <c r="BF205" i="14"/>
  <c r="BF206" i="14" s="1"/>
  <c r="BF211" i="14" l="1"/>
  <c r="BF214" i="14"/>
  <c r="BF208" i="14"/>
  <c r="BF207" i="14"/>
  <c r="BH199" i="14"/>
  <c r="BH185" i="14"/>
  <c r="BH191" i="14"/>
  <c r="BH193" i="14" s="1"/>
  <c r="BH184" i="14"/>
  <c r="BH248" i="14"/>
  <c r="BG205" i="14"/>
  <c r="BG206" i="14" s="1"/>
  <c r="BG200" i="14"/>
  <c r="M51" i="1"/>
  <c r="M30" i="1"/>
  <c r="M13" i="1"/>
  <c r="BJ165" i="14"/>
  <c r="BJ167" i="14"/>
  <c r="BJ183" i="14"/>
  <c r="BJ159" i="14"/>
  <c r="BJ182" i="14"/>
  <c r="BI167" i="14"/>
  <c r="BI183" i="14"/>
  <c r="BI159" i="14"/>
  <c r="BI165" i="14"/>
  <c r="BI182" i="14"/>
  <c r="BG250" i="14"/>
  <c r="BG251" i="14" s="1"/>
  <c r="BG249" i="14"/>
  <c r="BP27" i="3"/>
  <c r="M56" i="1"/>
  <c r="M32" i="1"/>
  <c r="BH200" i="14" l="1"/>
  <c r="BH205" i="14"/>
  <c r="BH206" i="14" s="1"/>
  <c r="BG208" i="14"/>
  <c r="BG211" i="14"/>
  <c r="BG207" i="14"/>
  <c r="BG214" i="14"/>
  <c r="BI184" i="14"/>
  <c r="BI248" i="14"/>
  <c r="BI199" i="14"/>
  <c r="BI185" i="14"/>
  <c r="BI191" i="14"/>
  <c r="BI193" i="14" s="1"/>
  <c r="BJ191" i="14"/>
  <c r="BJ193" i="14" s="1"/>
  <c r="BJ185" i="14"/>
  <c r="BJ199" i="14"/>
  <c r="BJ248" i="14"/>
  <c r="BJ184" i="14"/>
  <c r="BH249" i="14"/>
  <c r="BQ27" i="3"/>
  <c r="BH250" i="14"/>
  <c r="BH251" i="14" s="1"/>
  <c r="BJ205" i="14" l="1"/>
  <c r="BJ206" i="14" s="1"/>
  <c r="BJ200" i="14"/>
  <c r="BR27" i="3"/>
  <c r="BI249" i="14"/>
  <c r="BI250" i="14"/>
  <c r="BI251" i="14" s="1"/>
  <c r="BH207" i="14"/>
  <c r="BH211" i="14"/>
  <c r="BH214" i="14"/>
  <c r="BH208" i="14"/>
  <c r="BJ250" i="14"/>
  <c r="BJ251" i="14" s="1"/>
  <c r="BS27" i="3"/>
  <c r="BJ249" i="14"/>
  <c r="BI205" i="14"/>
  <c r="BI206" i="14" s="1"/>
  <c r="BI200" i="14"/>
  <c r="N29" i="1" l="1"/>
  <c r="N31" i="1"/>
  <c r="BI211" i="14"/>
  <c r="BI208" i="14"/>
  <c r="BI214" i="14"/>
  <c r="BI207" i="14"/>
  <c r="BJ207" i="14"/>
  <c r="BJ214" i="14"/>
  <c r="BJ211" i="14"/>
  <c r="BJ208" i="14"/>
  <c r="N32" i="1" l="1"/>
  <c r="N56" i="1"/>
  <c r="N51" i="1"/>
  <c r="N13" i="1"/>
  <c r="N30" i="1"/>
  <c r="AY271" i="14" l="1"/>
  <c r="Z271" i="14"/>
  <c r="AY193" i="14"/>
  <c r="AY191" i="14"/>
  <c r="Z270" i="14"/>
  <c r="AY270" i="14"/>
  <c r="AY293" i="14"/>
  <c r="AY292" i="14"/>
  <c r="AY269" i="14"/>
  <c r="Z269" i="14"/>
  <c r="AD207" i="14"/>
  <c r="Z205" i="14"/>
  <c r="Z206" i="14"/>
  <c r="Z207" i="14"/>
  <c r="AY280" i="14"/>
  <c r="Z193" i="14"/>
  <c r="Z191" i="14"/>
  <c r="AY266" i="14"/>
  <c r="AY267" i="14"/>
  <c r="AY282" i="14"/>
  <c r="AY201" i="14"/>
  <c r="AZ200" i="14"/>
  <c r="AY207" i="14"/>
  <c r="AY214" i="14"/>
  <c r="AZ207" i="14"/>
  <c r="Z282" i="14"/>
  <c r="Z280" i="14"/>
  <c r="Z292" i="14"/>
  <c r="Z199" i="14"/>
  <c r="AY199" i="14"/>
  <c r="AY205" i="14"/>
  <c r="AY206" i="14"/>
  <c r="AY211" i="14"/>
  <c r="AY268" i="14"/>
  <c r="Z268" i="14"/>
  <c r="Z266" i="14"/>
  <c r="Z267"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2" authorId="0" shapeId="0" xr:uid="{00000000-0006-0000-0000-000001000000}">
      <text>
        <r>
          <rPr>
            <b/>
            <sz val="9"/>
            <color indexed="81"/>
            <rFont val="宋体"/>
            <family val="3"/>
            <charset val="134"/>
          </rPr>
          <t>作者:</t>
        </r>
        <r>
          <rPr>
            <sz val="9"/>
            <color indexed="81"/>
            <rFont val="宋体"/>
            <family val="3"/>
            <charset val="134"/>
          </rPr>
          <t xml:space="preserve">
TRADING CURRENCY</t>
        </r>
      </text>
    </comment>
    <comment ref="D3" authorId="0" shapeId="0" xr:uid="{00000000-0006-0000-0000-000002000000}">
      <text>
        <r>
          <rPr>
            <b/>
            <sz val="9"/>
            <color indexed="81"/>
            <rFont val="宋体"/>
            <family val="3"/>
            <charset val="134"/>
          </rPr>
          <t>作者:</t>
        </r>
        <r>
          <rPr>
            <sz val="9"/>
            <color indexed="81"/>
            <rFont val="宋体"/>
            <family val="3"/>
            <charset val="134"/>
          </rPr>
          <t xml:space="preserve">
FINANCIAL REPORTING CURRENCY</t>
        </r>
      </text>
    </comment>
    <comment ref="P33" authorId="0" shapeId="0" xr:uid="{00000000-0006-0000-0000-000003000000}">
      <text>
        <r>
          <rPr>
            <b/>
            <sz val="9"/>
            <color indexed="81"/>
            <rFont val="宋体"/>
            <family val="3"/>
            <charset val="134"/>
          </rPr>
          <t>作者:</t>
        </r>
        <r>
          <rPr>
            <sz val="9"/>
            <color indexed="81"/>
            <rFont val="宋体"/>
            <family val="3"/>
            <charset val="134"/>
          </rPr>
          <t xml:space="preserve">
機構投資人持有股份百分比
</t>
        </r>
      </text>
    </comment>
    <comment ref="P34" authorId="0" shapeId="0" xr:uid="{00000000-0006-0000-0000-000004000000}">
      <text>
        <r>
          <rPr>
            <b/>
            <sz val="9"/>
            <color indexed="81"/>
            <rFont val="宋体"/>
            <family val="3"/>
            <charset val="134"/>
          </rPr>
          <t>作者:</t>
        </r>
        <r>
          <rPr>
            <sz val="9"/>
            <color indexed="81"/>
            <rFont val="宋体"/>
            <family val="3"/>
            <charset val="134"/>
          </rPr>
          <t xml:space="preserve">
公司內部人持有百分比
</t>
        </r>
      </text>
    </comment>
    <comment ref="P35" authorId="0" shapeId="0" xr:uid="{00000000-0006-0000-0000-000005000000}">
      <text>
        <r>
          <rPr>
            <b/>
            <sz val="9"/>
            <color indexed="81"/>
            <rFont val="宋体"/>
            <family val="3"/>
            <charset val="134"/>
          </rPr>
          <t>作者:</t>
        </r>
        <r>
          <rPr>
            <sz val="9"/>
            <color indexed="81"/>
            <rFont val="宋体"/>
            <family val="3"/>
            <charset val="134"/>
          </rPr>
          <t xml:space="preserve">
非機構(即散戶)持有百分比
</t>
        </r>
      </text>
    </comment>
    <comment ref="P36" authorId="0" shapeId="0" xr:uid="{00000000-0006-0000-0000-000006000000}">
      <text>
        <r>
          <rPr>
            <b/>
            <sz val="9"/>
            <color indexed="81"/>
            <rFont val="宋体"/>
            <family val="3"/>
            <charset val="134"/>
          </rPr>
          <t>作者:</t>
        </r>
        <r>
          <rPr>
            <sz val="9"/>
            <color indexed="81"/>
            <rFont val="宋体"/>
            <family val="3"/>
            <charset val="134"/>
          </rPr>
          <t xml:space="preserve">
公司管理階層之外人士所持有的百分比</t>
        </r>
      </text>
    </comment>
    <comment ref="P38" authorId="0" shapeId="0" xr:uid="{00000000-0006-0000-0000-000007000000}">
      <text>
        <r>
          <rPr>
            <b/>
            <sz val="9"/>
            <color indexed="81"/>
            <rFont val="宋体"/>
            <family val="3"/>
            <charset val="134"/>
          </rPr>
          <t>作者:</t>
        </r>
        <r>
          <rPr>
            <sz val="9"/>
            <color indexed="81"/>
            <rFont val="宋体"/>
            <family val="3"/>
            <charset val="134"/>
          </rPr>
          <t xml:space="preserve">
空這支股票的UNITS
</t>
        </r>
      </text>
    </comment>
    <comment ref="P39" authorId="0" shapeId="0" xr:uid="{00000000-0006-0000-0000-000008000000}">
      <text>
        <r>
          <rPr>
            <b/>
            <sz val="9"/>
            <color indexed="81"/>
            <rFont val="宋体"/>
            <family val="3"/>
            <charset val="134"/>
          </rPr>
          <t>作者:</t>
        </r>
        <r>
          <rPr>
            <sz val="9"/>
            <color indexed="81"/>
            <rFont val="宋体"/>
            <family val="3"/>
            <charset val="134"/>
          </rPr>
          <t xml:space="preserve">
空這支股票的數量佔所有OUTSTANDING的股票的百分比</t>
        </r>
      </text>
    </comment>
    <comment ref="R50" authorId="0" shapeId="0" xr:uid="{00000000-0006-0000-0000-000009000000}">
      <text>
        <r>
          <rPr>
            <b/>
            <sz val="9"/>
            <color indexed="81"/>
            <rFont val="宋体"/>
            <family val="3"/>
            <charset val="134"/>
          </rPr>
          <t>作者:</t>
        </r>
        <r>
          <rPr>
            <sz val="9"/>
            <color indexed="81"/>
            <rFont val="宋体"/>
            <family val="3"/>
            <charset val="134"/>
          </rPr>
          <t xml:space="preserve">
持有股票數量</t>
        </r>
      </text>
    </comment>
    <comment ref="M85" authorId="0" shapeId="0" xr:uid="{00000000-0006-0000-0000-00000A000000}">
      <text>
        <r>
          <rPr>
            <b/>
            <sz val="9"/>
            <color indexed="81"/>
            <rFont val="宋体"/>
            <family val="3"/>
            <charset val="134"/>
          </rPr>
          <t>作者:</t>
        </r>
        <r>
          <rPr>
            <sz val="9"/>
            <color indexed="81"/>
            <rFont val="宋体"/>
            <family val="3"/>
            <charset val="134"/>
          </rPr>
          <t xml:space="preserve">
涉及到RAW里的数据，无数据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B24" authorId="0" shapeId="0" xr:uid="{00000000-0006-0000-0100-000001000000}">
      <text>
        <r>
          <rPr>
            <b/>
            <sz val="9"/>
            <color indexed="81"/>
            <rFont val="宋体"/>
            <family val="3"/>
            <charset val="134"/>
          </rPr>
          <t>作者:</t>
        </r>
        <r>
          <rPr>
            <sz val="9"/>
            <color indexed="81"/>
            <rFont val="宋体"/>
            <family val="3"/>
            <charset val="134"/>
          </rPr>
          <t xml:space="preserve">
Need to check if its calculated by deducting SG&amp;A only.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W3" authorId="0" shapeId="0" xr:uid="{00000000-0006-0000-0200-000001000000}">
      <text>
        <r>
          <rPr>
            <b/>
            <sz val="9"/>
            <rFont val="宋体"/>
            <family val="3"/>
            <charset val="134"/>
          </rPr>
          <t>作者:</t>
        </r>
        <r>
          <rPr>
            <sz val="9"/>
            <rFont val="宋体"/>
            <family val="3"/>
            <charset val="134"/>
          </rPr>
          <t xml:space="preserve">
6.61</t>
        </r>
      </text>
    </comment>
    <comment ref="X3" authorId="0" shapeId="0" xr:uid="{00000000-0006-0000-0200-000002000000}">
      <text>
        <r>
          <rPr>
            <b/>
            <sz val="9"/>
            <rFont val="宋体"/>
            <family val="3"/>
            <charset val="134"/>
          </rPr>
          <t>作者:</t>
        </r>
        <r>
          <rPr>
            <sz val="9"/>
            <rFont val="宋体"/>
            <family val="3"/>
            <charset val="134"/>
          </rPr>
          <t xml:space="preserve">
6.85</t>
        </r>
      </text>
    </comment>
    <comment ref="AA3" authorId="0" shapeId="0" xr:uid="{00000000-0006-0000-0200-000003000000}">
      <text>
        <r>
          <rPr>
            <b/>
            <sz val="9"/>
            <rFont val="宋体"/>
            <family val="3"/>
            <charset val="134"/>
          </rPr>
          <t>作者:</t>
        </r>
        <r>
          <rPr>
            <sz val="9"/>
            <rFont val="宋体"/>
            <family val="3"/>
            <charset val="134"/>
          </rPr>
          <t xml:space="preserve">
6.88</t>
        </r>
      </text>
    </comment>
    <comment ref="Y5" authorId="0" shapeId="0" xr:uid="{00000000-0006-0000-0200-000004000000}">
      <text>
        <r>
          <rPr>
            <b/>
            <sz val="9"/>
            <rFont val="宋体"/>
            <family val="3"/>
            <charset val="134"/>
          </rPr>
          <t>作者:</t>
        </r>
        <r>
          <rPr>
            <sz val="9"/>
            <rFont val="宋体"/>
            <family val="3"/>
            <charset val="134"/>
          </rPr>
          <t xml:space="preserve">
116601
</t>
        </r>
      </text>
    </comment>
    <comment ref="W6" authorId="0" shapeId="0" xr:uid="{00000000-0006-0000-0200-000005000000}">
      <text>
        <r>
          <rPr>
            <b/>
            <sz val="9"/>
            <rFont val="宋体"/>
            <family val="3"/>
            <charset val="134"/>
          </rPr>
          <t>作者:</t>
        </r>
        <r>
          <rPr>
            <sz val="9"/>
            <rFont val="宋体"/>
            <family val="3"/>
            <charset val="134"/>
          </rPr>
          <t xml:space="preserve">
58%</t>
        </r>
      </text>
    </comment>
    <comment ref="X6" authorId="0" shapeId="0" xr:uid="{00000000-0006-0000-0200-000006000000}">
      <text>
        <r>
          <rPr>
            <b/>
            <sz val="9"/>
            <rFont val="宋体"/>
            <family val="3"/>
            <charset val="134"/>
          </rPr>
          <t>作者:</t>
        </r>
        <r>
          <rPr>
            <sz val="9"/>
            <rFont val="宋体"/>
            <family val="3"/>
            <charset val="134"/>
          </rPr>
          <t xml:space="preserve">
59%</t>
        </r>
      </text>
    </comment>
    <comment ref="Y6" authorId="0" shapeId="0" xr:uid="{00000000-0006-0000-0200-000007000000}">
      <text>
        <r>
          <rPr>
            <b/>
            <sz val="9"/>
            <rFont val="宋体"/>
            <family val="3"/>
            <charset val="134"/>
          </rPr>
          <t>作者:</t>
        </r>
        <r>
          <rPr>
            <sz val="9"/>
            <rFont val="宋体"/>
            <family val="3"/>
            <charset val="134"/>
          </rPr>
          <t xml:space="preserve">
40%
</t>
        </r>
      </text>
    </comment>
    <comment ref="AA6" authorId="0" shapeId="0" xr:uid="{00000000-0006-0000-0200-000008000000}">
      <text>
        <r>
          <rPr>
            <b/>
            <sz val="9"/>
            <rFont val="宋体"/>
            <family val="3"/>
            <charset val="134"/>
          </rPr>
          <t>作者:</t>
        </r>
        <r>
          <rPr>
            <sz val="9"/>
            <rFont val="宋体"/>
            <family val="3"/>
            <charset val="134"/>
          </rPr>
          <t xml:space="preserve">
40.4%</t>
        </r>
      </text>
    </comment>
    <comment ref="BA7" authorId="0" shapeId="0" xr:uid="{00000000-0006-0000-0200-000009000000}">
      <text>
        <r>
          <rPr>
            <b/>
            <sz val="9"/>
            <rFont val="宋体"/>
            <family val="3"/>
            <charset val="134"/>
          </rPr>
          <t>作者:</t>
        </r>
        <r>
          <rPr>
            <sz val="9"/>
            <rFont val="宋体"/>
            <family val="3"/>
            <charset val="134"/>
          </rPr>
          <t xml:space="preserve">
655.9</t>
        </r>
      </text>
    </comment>
    <comment ref="W15" authorId="0" shapeId="0" xr:uid="{00000000-0006-0000-0200-00000A000000}">
      <text>
        <r>
          <rPr>
            <b/>
            <sz val="9"/>
            <rFont val="宋体"/>
            <family val="3"/>
            <charset val="134"/>
          </rPr>
          <t>作者:</t>
        </r>
        <r>
          <rPr>
            <sz val="9"/>
            <rFont val="宋体"/>
            <family val="3"/>
            <charset val="134"/>
          </rPr>
          <t xml:space="preserve">
28%</t>
        </r>
      </text>
    </comment>
    <comment ref="X15" authorId="0" shapeId="0" xr:uid="{00000000-0006-0000-0200-00000B000000}">
      <text>
        <r>
          <rPr>
            <b/>
            <sz val="9"/>
            <rFont val="宋体"/>
            <family val="3"/>
            <charset val="134"/>
          </rPr>
          <t>作者:</t>
        </r>
        <r>
          <rPr>
            <sz val="9"/>
            <rFont val="宋体"/>
            <family val="3"/>
            <charset val="134"/>
          </rPr>
          <t xml:space="preserve">
24%</t>
        </r>
      </text>
    </comment>
    <comment ref="Y15" authorId="0" shapeId="0" xr:uid="{00000000-0006-0000-0200-00000C000000}">
      <text>
        <r>
          <rPr>
            <b/>
            <sz val="9"/>
            <rFont val="宋体"/>
            <family val="3"/>
            <charset val="134"/>
          </rPr>
          <t>作者:</t>
        </r>
        <r>
          <rPr>
            <sz val="9"/>
            <rFont val="宋体"/>
            <family val="3"/>
            <charset val="134"/>
          </rPr>
          <t xml:space="preserve">
25%
</t>
        </r>
      </text>
    </comment>
    <comment ref="AA15" authorId="0" shapeId="0" xr:uid="{00000000-0006-0000-0200-00000D000000}">
      <text>
        <r>
          <rPr>
            <b/>
            <sz val="9"/>
            <rFont val="宋体"/>
            <family val="3"/>
            <charset val="134"/>
          </rPr>
          <t>作者:30%</t>
        </r>
      </text>
    </comment>
    <comment ref="W22" authorId="0" shapeId="0" xr:uid="{00000000-0006-0000-0200-00000E000000}">
      <text>
        <r>
          <rPr>
            <b/>
            <sz val="9"/>
            <rFont val="宋体"/>
            <family val="3"/>
            <charset val="134"/>
          </rPr>
          <t>作者:</t>
        </r>
        <r>
          <rPr>
            <sz val="9"/>
            <rFont val="宋体"/>
            <family val="3"/>
            <charset val="134"/>
          </rPr>
          <t xml:space="preserve">
32%</t>
        </r>
      </text>
    </comment>
    <comment ref="X22" authorId="0" shapeId="0" xr:uid="{00000000-0006-0000-0200-00000F000000}">
      <text>
        <r>
          <rPr>
            <b/>
            <sz val="9"/>
            <rFont val="宋体"/>
            <family val="3"/>
            <charset val="134"/>
          </rPr>
          <t>作者:</t>
        </r>
        <r>
          <rPr>
            <sz val="9"/>
            <rFont val="宋体"/>
            <family val="3"/>
            <charset val="134"/>
          </rPr>
          <t xml:space="preserve">
33%
TH 39%</t>
        </r>
      </text>
    </comment>
    <comment ref="Y22" authorId="0" shapeId="0" xr:uid="{00000000-0006-0000-0200-000010000000}">
      <text>
        <r>
          <rPr>
            <b/>
            <sz val="9"/>
            <rFont val="宋体"/>
            <family val="3"/>
            <charset val="134"/>
          </rPr>
          <t>作者:</t>
        </r>
        <r>
          <rPr>
            <sz val="9"/>
            <rFont val="宋体"/>
            <family val="3"/>
            <charset val="134"/>
          </rPr>
          <t xml:space="preserve">
30%
</t>
        </r>
      </text>
    </comment>
    <comment ref="AA22" authorId="0" shapeId="0" xr:uid="{00000000-0006-0000-0200-000011000000}">
      <text>
        <r>
          <rPr>
            <b/>
            <sz val="9"/>
            <rFont val="宋体"/>
            <family val="3"/>
            <charset val="134"/>
          </rPr>
          <t>作者:</t>
        </r>
        <r>
          <rPr>
            <sz val="9"/>
            <rFont val="宋体"/>
            <family val="3"/>
            <charset val="134"/>
          </rPr>
          <t xml:space="preserve">
33%</t>
        </r>
      </text>
    </comment>
    <comment ref="AC22" authorId="0" shapeId="0" xr:uid="{00000000-0006-0000-0200-000012000000}">
      <text>
        <r>
          <rPr>
            <sz val="10"/>
            <rFont val="宋体"/>
            <family val="3"/>
            <charset val="134"/>
          </rPr>
          <t>[线程批注]
你的Excel版本可读取此线程批注; 但如果在更新版本的Excel中打开文件，则对批注所作的任何改动都将被删除。了解详细信息: https://go.microsoft.com/fwlink/?linkid=870924
注释:
    23%</t>
        </r>
      </text>
    </comment>
    <comment ref="X32" authorId="0" shapeId="0" xr:uid="{00000000-0006-0000-0200-000013000000}">
      <text>
        <r>
          <rPr>
            <b/>
            <sz val="9"/>
            <rFont val="宋体"/>
            <family val="3"/>
            <charset val="134"/>
          </rPr>
          <t>作者:</t>
        </r>
        <r>
          <rPr>
            <sz val="9"/>
            <rFont val="宋体"/>
            <family val="3"/>
            <charset val="134"/>
          </rPr>
          <t xml:space="preserve">
26%</t>
        </r>
      </text>
    </comment>
    <comment ref="Y32" authorId="0" shapeId="0" xr:uid="{00000000-0006-0000-0200-000014000000}">
      <text>
        <r>
          <rPr>
            <b/>
            <sz val="9"/>
            <rFont val="宋体"/>
            <family val="3"/>
            <charset val="134"/>
          </rPr>
          <t>作者:</t>
        </r>
        <r>
          <rPr>
            <sz val="9"/>
            <rFont val="宋体"/>
            <family val="3"/>
            <charset val="134"/>
          </rPr>
          <t xml:space="preserve">
26.5%
</t>
        </r>
      </text>
    </comment>
    <comment ref="W34" authorId="0" shapeId="0" xr:uid="{00000000-0006-0000-0200-000015000000}">
      <text>
        <r>
          <rPr>
            <b/>
            <sz val="9"/>
            <rFont val="宋体"/>
            <family val="3"/>
            <charset val="134"/>
          </rPr>
          <t>作者:</t>
        </r>
        <r>
          <rPr>
            <sz val="9"/>
            <rFont val="宋体"/>
            <family val="3"/>
            <charset val="134"/>
          </rPr>
          <t xml:space="preserve">
all others</t>
        </r>
      </text>
    </comment>
    <comment ref="X34" authorId="0" shapeId="0" xr:uid="{00000000-0006-0000-0200-000016000000}">
      <text>
        <r>
          <rPr>
            <b/>
            <sz val="9"/>
            <rFont val="宋体"/>
            <family val="3"/>
            <charset val="134"/>
          </rPr>
          <t>作者:</t>
        </r>
        <r>
          <rPr>
            <sz val="9"/>
            <rFont val="宋体"/>
            <family val="3"/>
            <charset val="134"/>
          </rPr>
          <t xml:space="preserve">
8776</t>
        </r>
      </text>
    </comment>
    <comment ref="AA34" authorId="0" shapeId="0" xr:uid="{00000000-0006-0000-0200-000017000000}">
      <text>
        <r>
          <rPr>
            <b/>
            <sz val="9"/>
            <rFont val="宋体"/>
            <family val="3"/>
            <charset val="134"/>
          </rPr>
          <t>作者:</t>
        </r>
        <r>
          <rPr>
            <sz val="9"/>
            <rFont val="宋体"/>
            <family val="3"/>
            <charset val="134"/>
          </rPr>
          <t xml:space="preserve">
15129</t>
        </r>
      </text>
    </comment>
    <comment ref="X35" authorId="0" shapeId="0" xr:uid="{00000000-0006-0000-0200-000018000000}">
      <text>
        <r>
          <rPr>
            <b/>
            <sz val="9"/>
            <rFont val="宋体"/>
            <family val="3"/>
            <charset val="134"/>
          </rPr>
          <t>作者:</t>
        </r>
        <r>
          <rPr>
            <sz val="9"/>
            <rFont val="宋体"/>
            <family val="3"/>
            <charset val="134"/>
          </rPr>
          <t xml:space="preserve">
26%</t>
        </r>
      </text>
    </comment>
    <comment ref="X37" authorId="0" shapeId="0" xr:uid="{00000000-0006-0000-0200-000019000000}">
      <text>
        <r>
          <rPr>
            <b/>
            <sz val="9"/>
            <rFont val="宋体"/>
            <family val="3"/>
            <charset val="134"/>
          </rPr>
          <t>作者:</t>
        </r>
        <r>
          <rPr>
            <sz val="9"/>
            <rFont val="宋体"/>
            <family val="3"/>
            <charset val="134"/>
          </rPr>
          <t xml:space="preserve">
1778</t>
        </r>
      </text>
    </comment>
    <comment ref="Y37" authorId="0" shapeId="0" xr:uid="{00000000-0006-0000-0200-00001A000000}">
      <text>
        <r>
          <rPr>
            <b/>
            <sz val="9"/>
            <rFont val="宋体"/>
            <family val="3"/>
            <charset val="134"/>
          </rPr>
          <t>作者:</t>
        </r>
        <r>
          <rPr>
            <sz val="9"/>
            <rFont val="宋体"/>
            <family val="3"/>
            <charset val="134"/>
          </rPr>
          <t xml:space="preserve">
1600</t>
        </r>
      </text>
    </comment>
    <comment ref="X39" authorId="0" shapeId="0" xr:uid="{00000000-0006-0000-0200-00001B000000}">
      <text>
        <r>
          <rPr>
            <b/>
            <sz val="9"/>
            <rFont val="宋体"/>
            <family val="3"/>
            <charset val="134"/>
          </rPr>
          <t>作者:</t>
        </r>
        <r>
          <rPr>
            <sz val="9"/>
            <rFont val="宋体"/>
            <family val="3"/>
            <charset val="134"/>
          </rPr>
          <t xml:space="preserve">
3600</t>
        </r>
      </text>
    </comment>
    <comment ref="Y39" authorId="0" shapeId="0" xr:uid="{00000000-0006-0000-0200-00001C000000}">
      <text>
        <r>
          <rPr>
            <b/>
            <sz val="9"/>
            <rFont val="宋体"/>
            <family val="3"/>
            <charset val="134"/>
          </rPr>
          <t>作者:</t>
        </r>
        <r>
          <rPr>
            <sz val="9"/>
            <rFont val="宋体"/>
            <family val="3"/>
            <charset val="134"/>
          </rPr>
          <t xml:space="preserve">
3200</t>
        </r>
      </text>
    </comment>
    <comment ref="AY39" authorId="0" shapeId="0" xr:uid="{00000000-0006-0000-0200-00001D000000}">
      <text>
        <r>
          <rPr>
            <b/>
            <sz val="9"/>
            <rFont val="宋体"/>
            <family val="3"/>
            <charset val="134"/>
          </rPr>
          <t>作者:</t>
        </r>
        <r>
          <rPr>
            <sz val="9"/>
            <rFont val="宋体"/>
            <family val="3"/>
            <charset val="134"/>
          </rPr>
          <t xml:space="preserve">
130 stores</t>
        </r>
      </text>
    </comment>
    <comment ref="X41" authorId="0" shapeId="0" xr:uid="{00000000-0006-0000-0200-00001E000000}">
      <text>
        <r>
          <rPr>
            <b/>
            <sz val="9"/>
            <rFont val="宋体"/>
            <family val="3"/>
            <charset val="134"/>
          </rPr>
          <t>作者:</t>
        </r>
        <r>
          <rPr>
            <sz val="9"/>
            <rFont val="宋体"/>
            <family val="3"/>
            <charset val="134"/>
          </rPr>
          <t xml:space="preserve">
3398</t>
        </r>
      </text>
    </comment>
    <comment ref="Y41" authorId="0" shapeId="0" xr:uid="{00000000-0006-0000-0200-00001F000000}">
      <text>
        <r>
          <rPr>
            <b/>
            <sz val="9"/>
            <rFont val="宋体"/>
            <family val="3"/>
            <charset val="134"/>
          </rPr>
          <t>作者:</t>
        </r>
        <r>
          <rPr>
            <sz val="9"/>
            <rFont val="宋体"/>
            <family val="3"/>
            <charset val="134"/>
          </rPr>
          <t xml:space="preserve">
2000
</t>
        </r>
      </text>
    </comment>
    <comment ref="W50" authorId="0" shapeId="0" xr:uid="{00000000-0006-0000-0200-000020000000}">
      <text>
        <r>
          <rPr>
            <b/>
            <sz val="9"/>
            <rFont val="宋体"/>
            <family val="3"/>
            <charset val="134"/>
          </rPr>
          <t>作者:</t>
        </r>
        <r>
          <rPr>
            <sz val="9"/>
            <rFont val="宋体"/>
            <family val="3"/>
            <charset val="134"/>
          </rPr>
          <t xml:space="preserve">
53%</t>
        </r>
      </text>
    </comment>
    <comment ref="X50" authorId="0" shapeId="0" xr:uid="{00000000-0006-0000-0200-000021000000}">
      <text>
        <r>
          <rPr>
            <b/>
            <sz val="9"/>
            <rFont val="宋体"/>
            <family val="3"/>
            <charset val="134"/>
          </rPr>
          <t>作者:</t>
        </r>
        <r>
          <rPr>
            <sz val="9"/>
            <rFont val="宋体"/>
            <family val="3"/>
            <charset val="134"/>
          </rPr>
          <t xml:space="preserve">
54%</t>
        </r>
      </text>
    </comment>
    <comment ref="Y50" authorId="0" shapeId="0" xr:uid="{00000000-0006-0000-0200-000022000000}">
      <text>
        <r>
          <rPr>
            <b/>
            <sz val="9"/>
            <rFont val="宋体"/>
            <family val="3"/>
            <charset val="134"/>
          </rPr>
          <t>作者:</t>
        </r>
        <r>
          <rPr>
            <sz val="9"/>
            <rFont val="宋体"/>
            <family val="3"/>
            <charset val="134"/>
          </rPr>
          <t xml:space="preserve">
33%
</t>
        </r>
      </text>
    </comment>
    <comment ref="AA50" authorId="0" shapeId="0" xr:uid="{00000000-0006-0000-0200-000023000000}">
      <text>
        <r>
          <rPr>
            <b/>
            <sz val="9"/>
            <rFont val="宋体"/>
            <family val="3"/>
            <charset val="134"/>
          </rPr>
          <t>作者:</t>
        </r>
        <r>
          <rPr>
            <sz val="9"/>
            <rFont val="宋体"/>
            <family val="3"/>
            <charset val="134"/>
          </rPr>
          <t xml:space="preserve">
42%</t>
        </r>
      </text>
    </comment>
    <comment ref="AD53" authorId="0" shapeId="0" xr:uid="{00000000-0006-0000-0200-000024000000}">
      <text>
        <r>
          <rPr>
            <b/>
            <sz val="9"/>
            <rFont val="宋体"/>
            <family val="3"/>
            <charset val="134"/>
          </rPr>
          <t>作者:</t>
        </r>
        <r>
          <rPr>
            <sz val="9"/>
            <rFont val="宋体"/>
            <family val="3"/>
            <charset val="134"/>
          </rPr>
          <t xml:space="preserve">
2547</t>
        </r>
      </text>
    </comment>
    <comment ref="W54" authorId="0" shapeId="0" xr:uid="{00000000-0006-0000-0200-000025000000}">
      <text>
        <r>
          <rPr>
            <b/>
            <sz val="9"/>
            <rFont val="宋体"/>
            <family val="3"/>
            <charset val="134"/>
          </rPr>
          <t>作者:</t>
        </r>
        <r>
          <rPr>
            <sz val="9"/>
            <rFont val="宋体"/>
            <family val="3"/>
            <charset val="134"/>
          </rPr>
          <t xml:space="preserve">
25%</t>
        </r>
      </text>
    </comment>
    <comment ref="X54" authorId="0" shapeId="0" xr:uid="{00000000-0006-0000-0200-000026000000}">
      <text>
        <r>
          <rPr>
            <b/>
            <sz val="9"/>
            <rFont val="宋体"/>
            <family val="3"/>
            <charset val="134"/>
          </rPr>
          <t>作者:</t>
        </r>
        <r>
          <rPr>
            <sz val="9"/>
            <rFont val="宋体"/>
            <family val="3"/>
            <charset val="134"/>
          </rPr>
          <t xml:space="preserve">
27%</t>
        </r>
      </text>
    </comment>
    <comment ref="Y54" authorId="0" shapeId="0" xr:uid="{00000000-0006-0000-0200-000027000000}">
      <text>
        <r>
          <rPr>
            <b/>
            <sz val="9"/>
            <rFont val="宋体"/>
            <family val="3"/>
            <charset val="134"/>
          </rPr>
          <t>作者:</t>
        </r>
        <r>
          <rPr>
            <sz val="9"/>
            <rFont val="宋体"/>
            <family val="3"/>
            <charset val="134"/>
          </rPr>
          <t xml:space="preserve">
21%
</t>
        </r>
      </text>
    </comment>
    <comment ref="AA54" authorId="0" shapeId="0" xr:uid="{00000000-0006-0000-0200-000028000000}">
      <text>
        <r>
          <rPr>
            <b/>
            <sz val="9"/>
            <rFont val="宋体"/>
            <family val="3"/>
            <charset val="134"/>
          </rPr>
          <t>作者:</t>
        </r>
        <r>
          <rPr>
            <sz val="9"/>
            <rFont val="宋体"/>
            <family val="3"/>
            <charset val="134"/>
          </rPr>
          <t xml:space="preserve">
35%</t>
        </r>
      </text>
    </comment>
    <comment ref="AD56" authorId="0" shapeId="0" xr:uid="{00000000-0006-0000-0200-000029000000}">
      <text>
        <r>
          <rPr>
            <b/>
            <sz val="9"/>
            <rFont val="宋体"/>
            <family val="3"/>
            <charset val="134"/>
          </rPr>
          <t>作者:</t>
        </r>
        <r>
          <rPr>
            <sz val="9"/>
            <rFont val="宋体"/>
            <family val="3"/>
            <charset val="134"/>
          </rPr>
          <t xml:space="preserve">
7992</t>
        </r>
      </text>
    </comment>
    <comment ref="X59" authorId="0" shapeId="0" xr:uid="{00000000-0006-0000-0200-00002A000000}">
      <text>
        <r>
          <rPr>
            <b/>
            <sz val="9"/>
            <rFont val="宋体"/>
            <family val="3"/>
            <charset val="134"/>
          </rPr>
          <t>作者:</t>
        </r>
        <r>
          <rPr>
            <sz val="9"/>
            <rFont val="宋体"/>
            <family val="3"/>
            <charset val="134"/>
          </rPr>
          <t xml:space="preserve">
15%</t>
        </r>
      </text>
    </comment>
    <comment ref="Y59" authorId="0" shapeId="0" xr:uid="{00000000-0006-0000-0200-00002B000000}">
      <text>
        <r>
          <rPr>
            <b/>
            <sz val="9"/>
            <rFont val="宋体"/>
            <family val="3"/>
            <charset val="134"/>
          </rPr>
          <t>作者:</t>
        </r>
        <r>
          <rPr>
            <sz val="9"/>
            <rFont val="宋体"/>
            <family val="3"/>
            <charset val="134"/>
          </rPr>
          <t xml:space="preserve">
21%
</t>
        </r>
      </text>
    </comment>
    <comment ref="AD61" authorId="0" shapeId="0" xr:uid="{00000000-0006-0000-0200-00002C000000}">
      <text>
        <r>
          <rPr>
            <b/>
            <sz val="9"/>
            <rFont val="宋体"/>
            <family val="3"/>
            <charset val="134"/>
          </rPr>
          <t>作者:</t>
        </r>
        <r>
          <rPr>
            <sz val="9"/>
            <rFont val="宋体"/>
            <family val="3"/>
            <charset val="134"/>
          </rPr>
          <t xml:space="preserve">
5859</t>
        </r>
      </text>
    </comment>
    <comment ref="W62" authorId="0" shapeId="0" xr:uid="{00000000-0006-0000-0200-00002D000000}">
      <text>
        <r>
          <rPr>
            <b/>
            <sz val="9"/>
            <rFont val="宋体"/>
            <family val="3"/>
            <charset val="134"/>
          </rPr>
          <t>作者:</t>
        </r>
        <r>
          <rPr>
            <sz val="9"/>
            <rFont val="宋体"/>
            <family val="3"/>
            <charset val="134"/>
          </rPr>
          <t xml:space="preserve">
67%</t>
        </r>
      </text>
    </comment>
    <comment ref="X62" authorId="0" shapeId="0" xr:uid="{00000000-0006-0000-0200-00002E000000}">
      <text>
        <r>
          <rPr>
            <b/>
            <sz val="9"/>
            <rFont val="宋体"/>
            <family val="3"/>
            <charset val="134"/>
          </rPr>
          <t>作者:</t>
        </r>
        <r>
          <rPr>
            <sz val="9"/>
            <rFont val="宋体"/>
            <family val="3"/>
            <charset val="134"/>
          </rPr>
          <t xml:space="preserve">
66%</t>
        </r>
      </text>
    </comment>
    <comment ref="Y62" authorId="0" shapeId="0" xr:uid="{00000000-0006-0000-0200-00002F000000}">
      <text>
        <r>
          <rPr>
            <b/>
            <sz val="9"/>
            <rFont val="宋体"/>
            <family val="3"/>
            <charset val="134"/>
          </rPr>
          <t>作者:</t>
        </r>
        <r>
          <rPr>
            <sz val="9"/>
            <rFont val="宋体"/>
            <family val="3"/>
            <charset val="134"/>
          </rPr>
          <t xml:space="preserve">
55%
</t>
        </r>
      </text>
    </comment>
    <comment ref="AA62" authorId="0" shapeId="0" xr:uid="{00000000-0006-0000-0200-000030000000}">
      <text>
        <r>
          <rPr>
            <b/>
            <sz val="9"/>
            <rFont val="宋体"/>
            <family val="3"/>
            <charset val="134"/>
          </rPr>
          <t>作者:</t>
        </r>
        <r>
          <rPr>
            <sz val="9"/>
            <rFont val="宋体"/>
            <family val="3"/>
            <charset val="134"/>
          </rPr>
          <t xml:space="preserve">
37%</t>
        </r>
      </text>
    </comment>
    <comment ref="W65" authorId="0" shapeId="0" xr:uid="{00000000-0006-0000-0200-000031000000}">
      <text>
        <r>
          <rPr>
            <b/>
            <sz val="9"/>
            <rFont val="宋体"/>
            <family val="3"/>
            <charset val="134"/>
          </rPr>
          <t>作者:</t>
        </r>
        <r>
          <rPr>
            <sz val="9"/>
            <rFont val="宋体"/>
            <family val="3"/>
            <charset val="134"/>
          </rPr>
          <t xml:space="preserve">
67%</t>
        </r>
      </text>
    </comment>
    <comment ref="X65" authorId="0" shapeId="0" xr:uid="{00000000-0006-0000-0200-000032000000}">
      <text>
        <r>
          <rPr>
            <b/>
            <sz val="9"/>
            <rFont val="宋体"/>
            <family val="3"/>
            <charset val="134"/>
          </rPr>
          <t>作者:</t>
        </r>
        <r>
          <rPr>
            <sz val="9"/>
            <rFont val="宋体"/>
            <family val="3"/>
            <charset val="134"/>
          </rPr>
          <t xml:space="preserve">
66%</t>
        </r>
      </text>
    </comment>
    <comment ref="Y65" authorId="0" shapeId="0" xr:uid="{00000000-0006-0000-0200-000033000000}">
      <text>
        <r>
          <rPr>
            <b/>
            <sz val="9"/>
            <rFont val="宋体"/>
            <family val="3"/>
            <charset val="134"/>
          </rPr>
          <t>作者:</t>
        </r>
        <r>
          <rPr>
            <sz val="9"/>
            <rFont val="宋体"/>
            <family val="3"/>
            <charset val="134"/>
          </rPr>
          <t xml:space="preserve">
55%
</t>
        </r>
      </text>
    </comment>
    <comment ref="AA65" authorId="0" shapeId="0" xr:uid="{00000000-0006-0000-0200-000034000000}">
      <text>
        <r>
          <rPr>
            <b/>
            <sz val="9"/>
            <rFont val="宋体"/>
            <family val="3"/>
            <charset val="134"/>
          </rPr>
          <t>作者:</t>
        </r>
        <r>
          <rPr>
            <sz val="9"/>
            <rFont val="宋体"/>
            <family val="3"/>
            <charset val="134"/>
          </rPr>
          <t xml:space="preserve">
40%</t>
        </r>
      </text>
    </comment>
    <comment ref="X69" authorId="0" shapeId="0" xr:uid="{00000000-0006-0000-0200-000035000000}">
      <text>
        <r>
          <rPr>
            <b/>
            <sz val="9"/>
            <rFont val="宋体"/>
            <family val="3"/>
            <charset val="134"/>
          </rPr>
          <t>作者:</t>
        </r>
        <r>
          <rPr>
            <sz val="9"/>
            <rFont val="宋体"/>
            <family val="3"/>
            <charset val="134"/>
          </rPr>
          <t xml:space="preserve">
993</t>
        </r>
      </text>
    </comment>
    <comment ref="Y69" authorId="0" shapeId="0" xr:uid="{00000000-0006-0000-0200-000036000000}">
      <text>
        <r>
          <rPr>
            <b/>
            <sz val="9"/>
            <rFont val="宋体"/>
            <family val="3"/>
            <charset val="134"/>
          </rPr>
          <t>作者:</t>
        </r>
        <r>
          <rPr>
            <sz val="9"/>
            <rFont val="宋体"/>
            <family val="3"/>
            <charset val="134"/>
          </rPr>
          <t xml:space="preserve">
1361
</t>
        </r>
      </text>
    </comment>
    <comment ref="AD69" authorId="0" shapeId="0" xr:uid="{00000000-0006-0000-0200-000037000000}">
      <text>
        <r>
          <rPr>
            <b/>
            <sz val="9"/>
            <rFont val="宋体"/>
            <family val="3"/>
            <charset val="134"/>
          </rPr>
          <t>作者:</t>
        </r>
        <r>
          <rPr>
            <sz val="9"/>
            <rFont val="宋体"/>
            <family val="3"/>
            <charset val="134"/>
          </rPr>
          <t xml:space="preserve">
2979
</t>
        </r>
      </text>
    </comment>
    <comment ref="X70" authorId="0" shapeId="0" xr:uid="{00000000-0006-0000-0200-000038000000}">
      <text>
        <r>
          <rPr>
            <b/>
            <sz val="9"/>
            <rFont val="宋体"/>
            <family val="3"/>
            <charset val="134"/>
          </rPr>
          <t>作者:</t>
        </r>
        <r>
          <rPr>
            <sz val="9"/>
            <rFont val="宋体"/>
            <family val="3"/>
            <charset val="134"/>
          </rPr>
          <t xml:space="preserve">
15%</t>
        </r>
      </text>
    </comment>
    <comment ref="Y70" authorId="0" shapeId="0" xr:uid="{00000000-0006-0000-0200-000039000000}">
      <text>
        <r>
          <rPr>
            <b/>
            <sz val="9"/>
            <rFont val="宋体"/>
            <family val="3"/>
            <charset val="134"/>
          </rPr>
          <t>作者:</t>
        </r>
        <r>
          <rPr>
            <sz val="9"/>
            <rFont val="宋体"/>
            <family val="3"/>
            <charset val="134"/>
          </rPr>
          <t xml:space="preserve">
21%
</t>
        </r>
      </text>
    </comment>
    <comment ref="AD73" authorId="0" shapeId="0" xr:uid="{00000000-0006-0000-0200-00003A000000}">
      <text>
        <r>
          <rPr>
            <b/>
            <sz val="9"/>
            <rFont val="宋体"/>
            <family val="3"/>
            <charset val="134"/>
          </rPr>
          <t>作者:</t>
        </r>
        <r>
          <rPr>
            <sz val="9"/>
            <rFont val="宋体"/>
            <family val="3"/>
            <charset val="134"/>
          </rPr>
          <t xml:space="preserve">
13518</t>
        </r>
      </text>
    </comment>
    <comment ref="X74" authorId="0" shapeId="0" xr:uid="{00000000-0006-0000-0200-00003B000000}">
      <text>
        <r>
          <rPr>
            <b/>
            <sz val="9"/>
            <rFont val="宋体"/>
            <family val="3"/>
            <charset val="134"/>
          </rPr>
          <t>作者:</t>
        </r>
        <r>
          <rPr>
            <sz val="9"/>
            <rFont val="宋体"/>
            <family val="3"/>
            <charset val="134"/>
          </rPr>
          <t xml:space="preserve">
42%</t>
        </r>
      </text>
    </comment>
    <comment ref="W77" authorId="0" shapeId="0" xr:uid="{00000000-0006-0000-0200-00003C000000}">
      <text>
        <r>
          <rPr>
            <b/>
            <sz val="9"/>
            <rFont val="宋体"/>
            <family val="3"/>
            <charset val="134"/>
          </rPr>
          <t>作者:</t>
        </r>
        <r>
          <rPr>
            <sz val="9"/>
            <rFont val="宋体"/>
            <family val="3"/>
            <charset val="134"/>
          </rPr>
          <t xml:space="preserve">
4200</t>
        </r>
      </text>
    </comment>
    <comment ref="X77" authorId="0" shapeId="0" xr:uid="{00000000-0006-0000-0200-00003D000000}">
      <text>
        <r>
          <rPr>
            <b/>
            <sz val="9"/>
            <rFont val="宋体"/>
            <family val="3"/>
            <charset val="134"/>
          </rPr>
          <t>作者:</t>
        </r>
        <r>
          <rPr>
            <sz val="9"/>
            <rFont val="宋体"/>
            <family val="3"/>
            <charset val="134"/>
          </rPr>
          <t xml:space="preserve">
4000</t>
        </r>
      </text>
    </comment>
    <comment ref="AA77" authorId="0" shapeId="0" xr:uid="{00000000-0006-0000-0200-00003E000000}">
      <text>
        <r>
          <rPr>
            <b/>
            <sz val="9"/>
            <rFont val="宋体"/>
            <family val="3"/>
            <charset val="134"/>
          </rPr>
          <t>作者:</t>
        </r>
        <r>
          <rPr>
            <sz val="9"/>
            <rFont val="宋体"/>
            <family val="3"/>
            <charset val="134"/>
          </rPr>
          <t xml:space="preserve">
4491</t>
        </r>
      </text>
    </comment>
    <comment ref="AD77" authorId="0" shapeId="0" xr:uid="{00000000-0006-0000-0200-00003F000000}">
      <text>
        <r>
          <rPr>
            <b/>
            <sz val="9"/>
            <rFont val="宋体"/>
            <family val="3"/>
            <charset val="134"/>
          </rPr>
          <t>作者:</t>
        </r>
        <r>
          <rPr>
            <sz val="9"/>
            <rFont val="宋体"/>
            <family val="3"/>
            <charset val="134"/>
          </rPr>
          <t xml:space="preserve">
4440
</t>
        </r>
      </text>
    </comment>
    <comment ref="Y78" authorId="0" shapeId="0" xr:uid="{00000000-0006-0000-0200-000040000000}">
      <text>
        <r>
          <rPr>
            <b/>
            <sz val="9"/>
            <rFont val="宋体"/>
            <family val="3"/>
            <charset val="134"/>
          </rPr>
          <t>作者:</t>
        </r>
        <r>
          <rPr>
            <sz val="9"/>
            <rFont val="宋体"/>
            <family val="3"/>
            <charset val="134"/>
          </rPr>
          <t xml:space="preserve">
10%
</t>
        </r>
      </text>
    </comment>
    <comment ref="Y80" authorId="0" shapeId="0" xr:uid="{00000000-0006-0000-0200-000041000000}">
      <text>
        <r>
          <rPr>
            <b/>
            <sz val="9"/>
            <rFont val="宋体"/>
            <family val="3"/>
            <charset val="134"/>
          </rPr>
          <t>作者:</t>
        </r>
        <r>
          <rPr>
            <sz val="9"/>
            <rFont val="宋体"/>
            <family val="3"/>
            <charset val="134"/>
          </rPr>
          <t xml:space="preserve">
5021
</t>
        </r>
      </text>
    </comment>
    <comment ref="AD80" authorId="0" shapeId="0" xr:uid="{00000000-0006-0000-0200-000042000000}">
      <text>
        <r>
          <rPr>
            <b/>
            <sz val="9"/>
            <rFont val="宋体"/>
            <family val="3"/>
            <charset val="134"/>
          </rPr>
          <t>作者:</t>
        </r>
        <r>
          <rPr>
            <sz val="9"/>
            <rFont val="宋体"/>
            <family val="3"/>
            <charset val="134"/>
          </rPr>
          <t xml:space="preserve">
3686
</t>
        </r>
      </text>
    </comment>
    <comment ref="Y81" authorId="0" shapeId="0" xr:uid="{00000000-0006-0000-0200-000043000000}">
      <text>
        <r>
          <rPr>
            <b/>
            <sz val="9"/>
            <rFont val="宋体"/>
            <family val="3"/>
            <charset val="134"/>
          </rPr>
          <t>作者:</t>
        </r>
        <r>
          <rPr>
            <sz val="9"/>
            <rFont val="宋体"/>
            <family val="3"/>
            <charset val="134"/>
          </rPr>
          <t xml:space="preserve">
10%
</t>
        </r>
      </text>
    </comment>
    <comment ref="AD84" authorId="0" shapeId="0" xr:uid="{00000000-0006-0000-0200-000044000000}">
      <text>
        <r>
          <rPr>
            <b/>
            <sz val="9"/>
            <rFont val="宋体"/>
            <family val="3"/>
            <charset val="134"/>
          </rPr>
          <t>作者:</t>
        </r>
        <r>
          <rPr>
            <sz val="9"/>
            <rFont val="宋体"/>
            <family val="3"/>
            <charset val="134"/>
          </rPr>
          <t xml:space="preserve">
92549</t>
        </r>
      </text>
    </comment>
    <comment ref="AD93" authorId="0" shapeId="0" xr:uid="{00000000-0006-0000-0200-000045000000}">
      <text>
        <r>
          <rPr>
            <b/>
            <sz val="9"/>
            <rFont val="宋体"/>
            <family val="3"/>
            <charset val="134"/>
          </rPr>
          <t>作者:</t>
        </r>
        <r>
          <rPr>
            <sz val="9"/>
            <rFont val="宋体"/>
            <family val="3"/>
            <charset val="134"/>
          </rPr>
          <t xml:space="preserve">
12362</t>
        </r>
      </text>
    </comment>
    <comment ref="W94" authorId="0" shapeId="0" xr:uid="{00000000-0006-0000-0200-000046000000}">
      <text>
        <r>
          <rPr>
            <b/>
            <sz val="9"/>
            <rFont val="宋体"/>
            <family val="3"/>
            <charset val="134"/>
          </rPr>
          <t>作者:</t>
        </r>
        <r>
          <rPr>
            <sz val="9"/>
            <rFont val="宋体"/>
            <family val="3"/>
            <charset val="134"/>
          </rPr>
          <t xml:space="preserve">
95%</t>
        </r>
      </text>
    </comment>
    <comment ref="X94" authorId="0" shapeId="0" xr:uid="{00000000-0006-0000-0200-000047000000}">
      <text>
        <r>
          <rPr>
            <b/>
            <sz val="9"/>
            <rFont val="宋体"/>
            <family val="3"/>
            <charset val="134"/>
          </rPr>
          <t>作者:</t>
        </r>
        <r>
          <rPr>
            <sz val="9"/>
            <rFont val="宋体"/>
            <family val="3"/>
            <charset val="134"/>
          </rPr>
          <t xml:space="preserve">
89%</t>
        </r>
      </text>
    </comment>
    <comment ref="Y94" authorId="0" shapeId="0" xr:uid="{00000000-0006-0000-0200-000048000000}">
      <text>
        <r>
          <rPr>
            <b/>
            <sz val="9"/>
            <rFont val="宋体"/>
            <family val="3"/>
            <charset val="134"/>
          </rPr>
          <t>作者:</t>
        </r>
        <r>
          <rPr>
            <sz val="9"/>
            <rFont val="宋体"/>
            <family val="3"/>
            <charset val="134"/>
          </rPr>
          <t xml:space="preserve">
87%
</t>
        </r>
      </text>
    </comment>
    <comment ref="AA94" authorId="0" shapeId="0" xr:uid="{00000000-0006-0000-0200-000049000000}">
      <text>
        <r>
          <rPr>
            <b/>
            <sz val="9"/>
            <rFont val="宋体"/>
            <family val="3"/>
            <charset val="134"/>
          </rPr>
          <t>作者:</t>
        </r>
        <r>
          <rPr>
            <sz val="9"/>
            <rFont val="宋体"/>
            <family val="3"/>
            <charset val="134"/>
          </rPr>
          <t xml:space="preserve">
70%</t>
        </r>
      </text>
    </comment>
    <comment ref="AD100" authorId="0" shapeId="0" xr:uid="{00000000-0006-0000-0200-00004A000000}">
      <text>
        <r>
          <rPr>
            <b/>
            <sz val="9"/>
            <rFont val="宋体"/>
            <family val="3"/>
            <charset val="134"/>
          </rPr>
          <t>作者:</t>
        </r>
        <r>
          <rPr>
            <sz val="9"/>
            <rFont val="宋体"/>
            <family val="3"/>
            <charset val="134"/>
          </rPr>
          <t xml:space="preserve">
6238
</t>
        </r>
      </text>
    </comment>
    <comment ref="W101" authorId="0" shapeId="0" xr:uid="{00000000-0006-0000-0200-00004B000000}">
      <text>
        <r>
          <rPr>
            <b/>
            <sz val="9"/>
            <rFont val="宋体"/>
            <family val="3"/>
            <charset val="134"/>
          </rPr>
          <t>作者:</t>
        </r>
        <r>
          <rPr>
            <sz val="9"/>
            <rFont val="宋体"/>
            <family val="3"/>
            <charset val="134"/>
          </rPr>
          <t xml:space="preserve">
49%</t>
        </r>
      </text>
    </comment>
    <comment ref="X101" authorId="0" shapeId="0" xr:uid="{00000000-0006-0000-0200-00004C000000}">
      <text>
        <r>
          <rPr>
            <b/>
            <sz val="9"/>
            <rFont val="宋体"/>
            <family val="3"/>
            <charset val="134"/>
          </rPr>
          <t>作者:</t>
        </r>
        <r>
          <rPr>
            <sz val="9"/>
            <rFont val="宋体"/>
            <family val="3"/>
            <charset val="134"/>
          </rPr>
          <t xml:space="preserve">
33%</t>
        </r>
      </text>
    </comment>
    <comment ref="Y101" authorId="0" shapeId="0" xr:uid="{00000000-0006-0000-0200-00004D000000}">
      <text>
        <r>
          <rPr>
            <b/>
            <sz val="9"/>
            <rFont val="宋体"/>
            <family val="3"/>
            <charset val="134"/>
          </rPr>
          <t>作者:</t>
        </r>
        <r>
          <rPr>
            <sz val="9"/>
            <rFont val="宋体"/>
            <family val="3"/>
            <charset val="134"/>
          </rPr>
          <t xml:space="preserve">
24%
</t>
        </r>
      </text>
    </comment>
    <comment ref="AA101" authorId="0" shapeId="0" xr:uid="{00000000-0006-0000-0200-00004E000000}">
      <text>
        <r>
          <rPr>
            <b/>
            <sz val="9"/>
            <rFont val="宋体"/>
            <family val="3"/>
            <charset val="134"/>
          </rPr>
          <t>作者:</t>
        </r>
        <r>
          <rPr>
            <sz val="9"/>
            <rFont val="宋体"/>
            <family val="3"/>
            <charset val="134"/>
          </rPr>
          <t xml:space="preserve">
-15%</t>
        </r>
      </text>
    </comment>
    <comment ref="AD103" authorId="0" shapeId="0" xr:uid="{00000000-0006-0000-0200-00004F000000}">
      <text>
        <r>
          <rPr>
            <b/>
            <sz val="9"/>
            <rFont val="宋体"/>
            <family val="3"/>
            <charset val="134"/>
          </rPr>
          <t>作者:</t>
        </r>
        <r>
          <rPr>
            <sz val="9"/>
            <rFont val="宋体"/>
            <family val="3"/>
            <charset val="134"/>
          </rPr>
          <t xml:space="preserve">
1388
</t>
        </r>
      </text>
    </comment>
    <comment ref="W104" authorId="0" shapeId="0" xr:uid="{00000000-0006-0000-0200-000050000000}">
      <text>
        <r>
          <rPr>
            <b/>
            <sz val="9"/>
            <rFont val="宋体"/>
            <family val="3"/>
            <charset val="134"/>
          </rPr>
          <t>作者:</t>
        </r>
        <r>
          <rPr>
            <sz val="9"/>
            <rFont val="宋体"/>
            <family val="3"/>
            <charset val="134"/>
          </rPr>
          <t xml:space="preserve">
20%</t>
        </r>
      </text>
    </comment>
    <comment ref="X104" authorId="0" shapeId="0" xr:uid="{00000000-0006-0000-0200-000051000000}">
      <text>
        <r>
          <rPr>
            <b/>
            <sz val="9"/>
            <rFont val="宋体"/>
            <family val="3"/>
            <charset val="134"/>
          </rPr>
          <t>作者:</t>
        </r>
        <r>
          <rPr>
            <sz val="9"/>
            <rFont val="宋体"/>
            <family val="3"/>
            <charset val="134"/>
          </rPr>
          <t xml:space="preserve">
20%</t>
        </r>
      </text>
    </comment>
    <comment ref="Y104" authorId="0" shapeId="0" xr:uid="{00000000-0006-0000-0200-000052000000}">
      <text>
        <r>
          <rPr>
            <b/>
            <sz val="9"/>
            <rFont val="宋体"/>
            <family val="3"/>
            <charset val="134"/>
          </rPr>
          <t>作者:</t>
        </r>
        <r>
          <rPr>
            <sz val="9"/>
            <rFont val="宋体"/>
            <family val="3"/>
            <charset val="134"/>
          </rPr>
          <t xml:space="preserve">
20%</t>
        </r>
      </text>
    </comment>
    <comment ref="AA104" authorId="0" shapeId="0" xr:uid="{00000000-0006-0000-0200-000053000000}">
      <text>
        <r>
          <rPr>
            <b/>
            <sz val="9"/>
            <rFont val="宋体"/>
            <family val="3"/>
            <charset val="134"/>
          </rPr>
          <t>作者:</t>
        </r>
        <r>
          <rPr>
            <sz val="9"/>
            <rFont val="宋体"/>
            <family val="3"/>
            <charset val="134"/>
          </rPr>
          <t xml:space="preserve">
30%</t>
        </r>
      </text>
    </comment>
    <comment ref="W111" authorId="0" shapeId="0" xr:uid="{00000000-0006-0000-0200-000054000000}">
      <text>
        <r>
          <rPr>
            <b/>
            <sz val="9"/>
            <rFont val="宋体"/>
            <family val="3"/>
            <charset val="134"/>
          </rPr>
          <t>作者:</t>
        </r>
        <r>
          <rPr>
            <sz val="9"/>
            <rFont val="宋体"/>
            <family val="3"/>
            <charset val="134"/>
          </rPr>
          <t xml:space="preserve">
58%</t>
        </r>
      </text>
    </comment>
    <comment ref="X111" authorId="0" shapeId="0" xr:uid="{00000000-0006-0000-0200-000055000000}">
      <text>
        <r>
          <rPr>
            <b/>
            <sz val="9"/>
            <rFont val="宋体"/>
            <family val="3"/>
            <charset val="134"/>
          </rPr>
          <t>作者:</t>
        </r>
        <r>
          <rPr>
            <sz val="9"/>
            <rFont val="宋体"/>
            <family val="3"/>
            <charset val="134"/>
          </rPr>
          <t xml:space="preserve">
59%</t>
        </r>
      </text>
    </comment>
    <comment ref="AA111" authorId="0" shapeId="0" xr:uid="{00000000-0006-0000-0200-000056000000}">
      <text>
        <r>
          <rPr>
            <b/>
            <sz val="9"/>
            <rFont val="宋体"/>
            <family val="3"/>
            <charset val="134"/>
          </rPr>
          <t>作者:</t>
        </r>
        <r>
          <rPr>
            <sz val="9"/>
            <rFont val="宋体"/>
            <family val="3"/>
            <charset val="134"/>
          </rPr>
          <t xml:space="preserve">
40%</t>
        </r>
      </text>
    </comment>
    <comment ref="W119" authorId="0" shapeId="0" xr:uid="{00000000-0006-0000-0200-000057000000}">
      <text>
        <r>
          <rPr>
            <b/>
            <sz val="9"/>
            <rFont val="宋体"/>
            <family val="3"/>
            <charset val="134"/>
          </rPr>
          <t>作者:</t>
        </r>
        <r>
          <rPr>
            <sz val="9"/>
            <rFont val="宋体"/>
            <family val="3"/>
            <charset val="134"/>
          </rPr>
          <t xml:space="preserve">
58%</t>
        </r>
      </text>
    </comment>
    <comment ref="X119" authorId="0" shapeId="0" xr:uid="{00000000-0006-0000-0200-000058000000}">
      <text>
        <r>
          <rPr>
            <b/>
            <sz val="9"/>
            <rFont val="宋体"/>
            <family val="3"/>
            <charset val="134"/>
          </rPr>
          <t>作者:</t>
        </r>
        <r>
          <rPr>
            <sz val="9"/>
            <rFont val="宋体"/>
            <family val="3"/>
            <charset val="134"/>
          </rPr>
          <t xml:space="preserve">
59%</t>
        </r>
      </text>
    </comment>
    <comment ref="AA119" authorId="0" shapeId="0" xr:uid="{00000000-0006-0000-0200-000059000000}">
      <text>
        <r>
          <rPr>
            <b/>
            <sz val="9"/>
            <rFont val="宋体"/>
            <family val="3"/>
            <charset val="134"/>
          </rPr>
          <t>作者:</t>
        </r>
        <r>
          <rPr>
            <sz val="9"/>
            <rFont val="宋体"/>
            <family val="3"/>
            <charset val="134"/>
          </rPr>
          <t xml:space="preserve">
40%</t>
        </r>
      </text>
    </comment>
    <comment ref="B123" authorId="0" shapeId="0" xr:uid="{00000000-0006-0000-0200-00005A000000}">
      <text>
        <r>
          <rPr>
            <b/>
            <sz val="9"/>
            <rFont val="宋体"/>
            <family val="3"/>
            <charset val="134"/>
          </rPr>
          <t>作者:</t>
        </r>
        <r>
          <rPr>
            <sz val="9"/>
            <rFont val="宋体"/>
            <family val="3"/>
            <charset val="134"/>
          </rPr>
          <t xml:space="preserve">
Marketplace-based core commerce adjusted EBITA represents adjusted EBITA for core commerce
excluding the effects of (i) local consumer services, (ii) Lazada, (iii) New Retail and direct import and (iv)
Cainiao Network. </t>
        </r>
      </text>
    </comment>
    <comment ref="AD127" authorId="0" shapeId="0" xr:uid="{00000000-0006-0000-0200-00005B000000}">
      <text>
        <r>
          <rPr>
            <b/>
            <sz val="9"/>
            <rFont val="宋体"/>
            <family val="3"/>
            <charset val="134"/>
          </rPr>
          <t>作者:</t>
        </r>
        <r>
          <rPr>
            <sz val="9"/>
            <rFont val="宋体"/>
            <family val="3"/>
            <charset val="134"/>
          </rPr>
          <t xml:space="preserve">
42875</t>
        </r>
      </text>
    </comment>
    <comment ref="AE127" authorId="0" shapeId="0" xr:uid="{00000000-0006-0000-0200-00005C000000}">
      <text>
        <r>
          <rPr>
            <b/>
            <sz val="9"/>
            <rFont val="宋体"/>
            <family val="3"/>
            <charset val="134"/>
          </rPr>
          <t>作者:</t>
        </r>
        <r>
          <rPr>
            <sz val="9"/>
            <rFont val="宋体"/>
            <family val="3"/>
            <charset val="134"/>
          </rPr>
          <t xml:space="preserve">
42875</t>
        </r>
      </text>
    </comment>
    <comment ref="AF127" authorId="0" shapeId="0" xr:uid="{00000000-0006-0000-0200-00005D000000}">
      <text>
        <r>
          <rPr>
            <b/>
            <sz val="9"/>
            <rFont val="宋体"/>
            <family val="3"/>
            <charset val="134"/>
          </rPr>
          <t>作者:</t>
        </r>
        <r>
          <rPr>
            <sz val="9"/>
            <rFont val="宋体"/>
            <family val="3"/>
            <charset val="134"/>
          </rPr>
          <t xml:space="preserve">
42875</t>
        </r>
      </text>
    </comment>
    <comment ref="AG127" authorId="0" shapeId="0" xr:uid="{00000000-0006-0000-0200-00005E000000}">
      <text>
        <r>
          <rPr>
            <b/>
            <sz val="9"/>
            <rFont val="宋体"/>
            <family val="3"/>
            <charset val="134"/>
          </rPr>
          <t>作者:</t>
        </r>
        <r>
          <rPr>
            <sz val="9"/>
            <rFont val="宋体"/>
            <family val="3"/>
            <charset val="134"/>
          </rPr>
          <t xml:space="preserve">
42875</t>
        </r>
      </text>
    </comment>
    <comment ref="AH127" authorId="0" shapeId="0" xr:uid="{00000000-0006-0000-0200-00005F000000}">
      <text>
        <r>
          <rPr>
            <b/>
            <sz val="9"/>
            <rFont val="宋体"/>
            <family val="3"/>
            <charset val="134"/>
          </rPr>
          <t>作者:</t>
        </r>
        <r>
          <rPr>
            <sz val="9"/>
            <rFont val="宋体"/>
            <family val="3"/>
            <charset val="134"/>
          </rPr>
          <t xml:space="preserve">
42875</t>
        </r>
      </text>
    </comment>
    <comment ref="BO127" authorId="0" shapeId="0" xr:uid="{00000000-0006-0000-0200-000060000000}">
      <text>
        <r>
          <rPr>
            <b/>
            <sz val="9"/>
            <rFont val="宋体"/>
            <family val="3"/>
            <charset val="134"/>
          </rPr>
          <t>作者:</t>
        </r>
        <r>
          <rPr>
            <sz val="9"/>
            <rFont val="宋体"/>
            <family val="3"/>
            <charset val="134"/>
          </rPr>
          <t xml:space="preserve">
42875</t>
        </r>
      </text>
    </comment>
    <comment ref="S128" authorId="0" shapeId="0" xr:uid="{00000000-0006-0000-0200-000061000000}">
      <text>
        <r>
          <rPr>
            <b/>
            <sz val="9"/>
            <rFont val="宋体"/>
            <family val="3"/>
            <charset val="134"/>
          </rPr>
          <t>作者:</t>
        </r>
        <r>
          <rPr>
            <sz val="9"/>
            <rFont val="宋体"/>
            <family val="3"/>
            <charset val="134"/>
          </rPr>
          <t xml:space="preserve">
given in 1Q19 ER</t>
        </r>
      </text>
    </comment>
    <comment ref="T128" authorId="0" shapeId="0" xr:uid="{00000000-0006-0000-0200-000062000000}">
      <text>
        <r>
          <rPr>
            <b/>
            <sz val="9"/>
            <rFont val="宋体"/>
            <family val="3"/>
            <charset val="134"/>
          </rPr>
          <t>作者:</t>
        </r>
        <r>
          <rPr>
            <sz val="9"/>
            <rFont val="宋体"/>
            <family val="3"/>
            <charset val="134"/>
          </rPr>
          <t xml:space="preserve">
62%</t>
        </r>
      </text>
    </comment>
    <comment ref="U128" authorId="0" shapeId="0" xr:uid="{00000000-0006-0000-0200-000063000000}">
      <text>
        <r>
          <rPr>
            <b/>
            <sz val="9"/>
            <rFont val="宋体"/>
            <family val="3"/>
            <charset val="134"/>
          </rPr>
          <t>作者:</t>
        </r>
        <r>
          <rPr>
            <sz val="9"/>
            <rFont val="宋体"/>
            <family val="3"/>
            <charset val="134"/>
          </rPr>
          <t xml:space="preserve">
62%</t>
        </r>
      </text>
    </comment>
    <comment ref="V128" authorId="0" shapeId="0" xr:uid="{00000000-0006-0000-0200-000064000000}">
      <text>
        <r>
          <rPr>
            <b/>
            <sz val="9"/>
            <rFont val="宋体"/>
            <family val="3"/>
            <charset val="134"/>
          </rPr>
          <t>作者:</t>
        </r>
        <r>
          <rPr>
            <sz val="9"/>
            <rFont val="宋体"/>
            <family val="3"/>
            <charset val="134"/>
          </rPr>
          <t xml:space="preserve">
FY18=62%,given in 1Q19</t>
        </r>
      </text>
    </comment>
    <comment ref="W128" authorId="0" shapeId="0" xr:uid="{00000000-0006-0000-0200-000065000000}">
      <text>
        <r>
          <rPr>
            <b/>
            <sz val="9"/>
            <rFont val="宋体"/>
            <family val="3"/>
            <charset val="134"/>
          </rPr>
          <t>作者:</t>
        </r>
        <r>
          <rPr>
            <sz val="9"/>
            <rFont val="宋体"/>
            <family val="3"/>
            <charset val="134"/>
          </rPr>
          <t xml:space="preserve">
70%
</t>
        </r>
      </text>
    </comment>
    <comment ref="X128" authorId="0" shapeId="0" xr:uid="{00000000-0006-0000-0200-000066000000}">
      <text>
        <r>
          <rPr>
            <b/>
            <sz val="9"/>
            <rFont val="宋体"/>
            <family val="3"/>
            <charset val="134"/>
          </rPr>
          <t>作者:</t>
        </r>
        <r>
          <rPr>
            <sz val="9"/>
            <rFont val="宋体"/>
            <family val="3"/>
            <charset val="134"/>
          </rPr>
          <t xml:space="preserve">
62%</t>
        </r>
      </text>
    </comment>
    <comment ref="AA128" authorId="0" shapeId="0" xr:uid="{00000000-0006-0000-0200-000067000000}">
      <text>
        <r>
          <rPr>
            <b/>
            <sz val="9"/>
            <rFont val="宋体"/>
            <family val="3"/>
            <charset val="134"/>
          </rPr>
          <t>作者:</t>
        </r>
        <r>
          <rPr>
            <sz val="9"/>
            <rFont val="宋体"/>
            <family val="3"/>
            <charset val="134"/>
          </rPr>
          <t xml:space="preserve">
62%</t>
        </r>
      </text>
    </comment>
    <comment ref="AX128" authorId="0" shapeId="0" xr:uid="{00000000-0006-0000-0200-000068000000}">
      <text>
        <r>
          <rPr>
            <b/>
            <sz val="9"/>
            <rFont val="宋体"/>
            <family val="3"/>
            <charset val="134"/>
          </rPr>
          <t>作者:</t>
        </r>
        <r>
          <rPr>
            <sz val="9"/>
            <rFont val="宋体"/>
            <family val="3"/>
            <charset val="134"/>
          </rPr>
          <t xml:space="preserve">
62%</t>
        </r>
      </text>
    </comment>
    <comment ref="AY128" authorId="0" shapeId="0" xr:uid="{00000000-0006-0000-0200-000069000000}">
      <text>
        <r>
          <rPr>
            <b/>
            <sz val="9"/>
            <rFont val="宋体"/>
            <family val="3"/>
            <charset val="134"/>
          </rPr>
          <t>作者:</t>
        </r>
        <r>
          <rPr>
            <sz val="9"/>
            <rFont val="宋体"/>
            <family val="3"/>
            <charset val="134"/>
          </rPr>
          <t xml:space="preserve">
62%</t>
        </r>
      </text>
    </comment>
    <comment ref="AD135" authorId="0" shapeId="0" xr:uid="{00000000-0006-0000-0200-00006A000000}">
      <text>
        <r>
          <rPr>
            <b/>
            <sz val="9"/>
            <rFont val="宋体"/>
            <family val="3"/>
            <charset val="134"/>
          </rPr>
          <t>作者:</t>
        </r>
        <r>
          <rPr>
            <sz val="9"/>
            <rFont val="宋体"/>
            <family val="3"/>
            <charset val="134"/>
          </rPr>
          <t xml:space="preserve">
49
</t>
        </r>
      </text>
    </comment>
    <comment ref="X136" authorId="0" shapeId="0" xr:uid="{00000000-0006-0000-0200-00006B000000}">
      <text>
        <r>
          <rPr>
            <b/>
            <sz val="9"/>
            <rFont val="宋体"/>
            <family val="3"/>
            <charset val="134"/>
          </rPr>
          <t>作者:</t>
        </r>
        <r>
          <rPr>
            <sz val="9"/>
            <rFont val="宋体"/>
            <family val="3"/>
            <charset val="134"/>
          </rPr>
          <t xml:space="preserve">
5%</t>
        </r>
      </text>
    </comment>
    <comment ref="AD138" authorId="0" shapeId="0" xr:uid="{00000000-0006-0000-0200-00006C000000}">
      <text>
        <r>
          <rPr>
            <b/>
            <sz val="9"/>
            <rFont val="宋体"/>
            <family val="3"/>
            <charset val="134"/>
          </rPr>
          <t>作者:</t>
        </r>
        <r>
          <rPr>
            <sz val="9"/>
            <rFont val="宋体"/>
            <family val="3"/>
            <charset val="134"/>
          </rPr>
          <t xml:space="preserve">
-5328</t>
        </r>
      </text>
    </comment>
    <comment ref="X139" authorId="0" shapeId="0" xr:uid="{00000000-0006-0000-0200-00006D000000}">
      <text>
        <r>
          <rPr>
            <b/>
            <sz val="9"/>
            <rFont val="宋体"/>
            <family val="3"/>
            <charset val="134"/>
          </rPr>
          <t>作者:</t>
        </r>
        <r>
          <rPr>
            <sz val="9"/>
            <rFont val="宋体"/>
            <family val="3"/>
            <charset val="134"/>
          </rPr>
          <t xml:space="preserve">
-25%</t>
        </r>
      </text>
    </comment>
    <comment ref="AD147" authorId="0" shapeId="0" xr:uid="{00000000-0006-0000-0200-00006E000000}">
      <text>
        <r>
          <rPr>
            <b/>
            <sz val="9"/>
            <rFont val="宋体"/>
            <family val="3"/>
            <charset val="134"/>
          </rPr>
          <t>作者:</t>
        </r>
        <r>
          <rPr>
            <sz val="9"/>
            <rFont val="宋体"/>
            <family val="3"/>
            <charset val="134"/>
          </rPr>
          <t xml:space="preserve">
-7878</t>
        </r>
      </text>
    </comment>
    <comment ref="S148" authorId="0" shapeId="0" xr:uid="{00000000-0006-0000-0200-00006F000000}">
      <text>
        <r>
          <rPr>
            <b/>
            <sz val="9"/>
            <rFont val="宋体"/>
            <family val="3"/>
            <charset val="134"/>
          </rPr>
          <t>作者:</t>
        </r>
        <r>
          <rPr>
            <sz val="9"/>
            <rFont val="宋体"/>
            <family val="3"/>
            <charset val="134"/>
          </rPr>
          <t xml:space="preserve">
BABA given in 1Q19 that FY18: -10%
CA used to estimate:-24%</t>
        </r>
      </text>
    </comment>
    <comment ref="T148" authorId="0" shapeId="0" xr:uid="{00000000-0006-0000-0200-000070000000}">
      <text>
        <r>
          <rPr>
            <b/>
            <sz val="9"/>
            <rFont val="宋体"/>
            <family val="3"/>
            <charset val="134"/>
          </rPr>
          <t>作者:</t>
        </r>
        <r>
          <rPr>
            <sz val="9"/>
            <rFont val="宋体"/>
            <family val="3"/>
            <charset val="134"/>
          </rPr>
          <t xml:space="preserve">
BABA given in 1Q19 that FY18: -10%
CA used to estimate:-21%</t>
        </r>
      </text>
    </comment>
    <comment ref="U148" authorId="0" shapeId="0" xr:uid="{00000000-0006-0000-0200-000071000000}">
      <text>
        <r>
          <rPr>
            <b/>
            <sz val="9"/>
            <rFont val="宋体"/>
            <family val="3"/>
            <charset val="134"/>
          </rPr>
          <t>作者:</t>
        </r>
        <r>
          <rPr>
            <sz val="9"/>
            <rFont val="宋体"/>
            <family val="3"/>
            <charset val="134"/>
          </rPr>
          <t xml:space="preserve">
BABA given in 1Q19 that FY18: -10%
CA used to estimate:-39%</t>
        </r>
      </text>
    </comment>
    <comment ref="V148" authorId="0" shapeId="0" xr:uid="{00000000-0006-0000-0200-000072000000}">
      <text>
        <r>
          <rPr>
            <b/>
            <sz val="9"/>
            <rFont val="宋体"/>
            <family val="3"/>
            <charset val="134"/>
          </rPr>
          <t>作者:</t>
        </r>
        <r>
          <rPr>
            <sz val="9"/>
            <rFont val="宋体"/>
            <family val="3"/>
            <charset val="134"/>
          </rPr>
          <t xml:space="preserve">
BABA given in 1Q19 that FY18: -10%
CA used to estimate:-40%</t>
        </r>
      </text>
    </comment>
    <comment ref="W148" authorId="0" shapeId="0" xr:uid="{00000000-0006-0000-0200-000073000000}">
      <text>
        <r>
          <rPr>
            <b/>
            <sz val="9"/>
            <rFont val="宋体"/>
            <family val="3"/>
            <charset val="134"/>
          </rPr>
          <t>作者:</t>
        </r>
        <r>
          <rPr>
            <sz val="9"/>
            <rFont val="宋体"/>
            <family val="3"/>
            <charset val="134"/>
          </rPr>
          <t xml:space="preserve">
BABA given -15%
CA used to estimate -37%</t>
        </r>
      </text>
    </comment>
    <comment ref="AA148" authorId="0" shapeId="0" xr:uid="{00000000-0006-0000-0200-000074000000}">
      <text>
        <r>
          <rPr>
            <b/>
            <sz val="9"/>
            <rFont val="宋体"/>
            <family val="3"/>
            <charset val="134"/>
          </rPr>
          <t>作者:</t>
        </r>
        <r>
          <rPr>
            <sz val="9"/>
            <rFont val="宋体"/>
            <family val="3"/>
            <charset val="134"/>
          </rPr>
          <t xml:space="preserve">
-27%</t>
        </r>
      </text>
    </comment>
    <comment ref="AD151" authorId="0" shapeId="0" xr:uid="{00000000-0006-0000-0200-000075000000}">
      <text>
        <r>
          <rPr>
            <b/>
            <sz val="9"/>
            <rFont val="宋体"/>
            <family val="3"/>
            <charset val="134"/>
          </rPr>
          <t>作者:</t>
        </r>
        <r>
          <rPr>
            <sz val="9"/>
            <rFont val="宋体"/>
            <family val="3"/>
            <charset val="134"/>
          </rPr>
          <t xml:space="preserve">
-2476</t>
        </r>
      </text>
    </comment>
    <comment ref="X152" authorId="0" shapeId="0" xr:uid="{00000000-0006-0000-0200-000076000000}">
      <text>
        <r>
          <rPr>
            <b/>
            <sz val="9"/>
            <rFont val="宋体"/>
            <family val="3"/>
            <charset val="134"/>
          </rPr>
          <t>作者:</t>
        </r>
        <r>
          <rPr>
            <sz val="9"/>
            <rFont val="宋体"/>
            <family val="3"/>
            <charset val="134"/>
          </rPr>
          <t xml:space="preserve">
-40%</t>
        </r>
      </text>
    </comment>
    <comment ref="AD154" authorId="0" shapeId="0" xr:uid="{00000000-0006-0000-0200-000077000000}">
      <text>
        <r>
          <rPr>
            <b/>
            <sz val="9"/>
            <rFont val="宋体"/>
            <family val="3"/>
            <charset val="134"/>
          </rPr>
          <t>作者:</t>
        </r>
        <r>
          <rPr>
            <sz val="9"/>
            <rFont val="宋体"/>
            <family val="3"/>
            <charset val="134"/>
          </rPr>
          <t xml:space="preserve">
-3200</t>
        </r>
      </text>
    </comment>
    <comment ref="X155" authorId="0" shapeId="0" xr:uid="{00000000-0006-0000-0200-000078000000}">
      <text>
        <r>
          <rPr>
            <b/>
            <sz val="9"/>
            <rFont val="宋体"/>
            <family val="3"/>
            <charset val="134"/>
          </rPr>
          <t>作者:</t>
        </r>
        <r>
          <rPr>
            <sz val="9"/>
            <rFont val="宋体"/>
            <family val="3"/>
            <charset val="134"/>
          </rPr>
          <t xml:space="preserve">
-70%</t>
        </r>
      </text>
    </comment>
    <comment ref="AD157" authorId="0" shapeId="0" xr:uid="{00000000-0006-0000-0200-000079000000}">
      <text>
        <r>
          <rPr>
            <b/>
            <sz val="9"/>
            <rFont val="宋体"/>
            <family val="3"/>
            <charset val="134"/>
          </rPr>
          <t>作者:</t>
        </r>
        <r>
          <rPr>
            <sz val="9"/>
            <rFont val="宋体"/>
            <family val="3"/>
            <charset val="134"/>
          </rPr>
          <t xml:space="preserve">
-2409</t>
        </r>
      </text>
    </comment>
    <comment ref="X158" authorId="0" shapeId="0" xr:uid="{00000000-0006-0000-0200-00007A000000}">
      <text>
        <r>
          <rPr>
            <b/>
            <sz val="9"/>
            <rFont val="宋体"/>
            <family val="3"/>
            <charset val="134"/>
          </rPr>
          <t>作者:</t>
        </r>
        <r>
          <rPr>
            <sz val="9"/>
            <rFont val="宋体"/>
            <family val="3"/>
            <charset val="134"/>
          </rPr>
          <t xml:space="preserve">
-35%</t>
        </r>
      </text>
    </comment>
    <comment ref="W162" authorId="0" shapeId="0" xr:uid="{00000000-0006-0000-0200-00007B000000}">
      <text>
        <r>
          <rPr>
            <b/>
            <sz val="9"/>
            <rFont val="宋体"/>
            <family val="3"/>
            <charset val="134"/>
          </rPr>
          <t>作者:</t>
        </r>
        <r>
          <rPr>
            <sz val="9"/>
            <rFont val="宋体"/>
            <family val="3"/>
            <charset val="134"/>
          </rPr>
          <t xml:space="preserve">
given 47%</t>
        </r>
      </text>
    </comment>
    <comment ref="X162" authorId="0" shapeId="0" xr:uid="{00000000-0006-0000-0200-00007C000000}">
      <text>
        <r>
          <rPr>
            <b/>
            <sz val="9"/>
            <rFont val="宋体"/>
            <family val="3"/>
            <charset val="134"/>
          </rPr>
          <t>作者:</t>
        </r>
        <r>
          <rPr>
            <sz val="9"/>
            <rFont val="宋体"/>
            <family val="3"/>
            <charset val="134"/>
          </rPr>
          <t xml:space="preserve">
36%</t>
        </r>
      </text>
    </comment>
    <comment ref="AA162" authorId="0" shapeId="0" xr:uid="{00000000-0006-0000-0200-00007D000000}">
      <text>
        <r>
          <rPr>
            <b/>
            <sz val="9"/>
            <rFont val="宋体"/>
            <family val="3"/>
            <charset val="134"/>
          </rPr>
          <t>作者:</t>
        </r>
        <r>
          <rPr>
            <sz val="9"/>
            <rFont val="宋体"/>
            <family val="3"/>
            <charset val="134"/>
          </rPr>
          <t xml:space="preserve">
43%</t>
        </r>
      </text>
    </comment>
    <comment ref="W166" authorId="0" shapeId="0" xr:uid="{00000000-0006-0000-0200-00007E000000}">
      <text>
        <r>
          <rPr>
            <b/>
            <sz val="9"/>
            <rFont val="宋体"/>
            <family val="3"/>
            <charset val="134"/>
          </rPr>
          <t>作者:</t>
        </r>
        <r>
          <rPr>
            <sz val="9"/>
            <rFont val="宋体"/>
            <family val="3"/>
            <charset val="134"/>
          </rPr>
          <t xml:space="preserve">
given 47%</t>
        </r>
      </text>
    </comment>
    <comment ref="X166" authorId="0" shapeId="0" xr:uid="{00000000-0006-0000-0200-00007F000000}">
      <text>
        <r>
          <rPr>
            <b/>
            <sz val="9"/>
            <rFont val="宋体"/>
            <family val="3"/>
            <charset val="134"/>
          </rPr>
          <t>作者:</t>
        </r>
        <r>
          <rPr>
            <sz val="9"/>
            <rFont val="宋体"/>
            <family val="3"/>
            <charset val="134"/>
          </rPr>
          <t xml:space="preserve">
36%</t>
        </r>
      </text>
    </comment>
    <comment ref="AA166" authorId="0" shapeId="0" xr:uid="{00000000-0006-0000-0200-000080000000}">
      <text>
        <r>
          <rPr>
            <b/>
            <sz val="9"/>
            <rFont val="宋体"/>
            <family val="3"/>
            <charset val="134"/>
          </rPr>
          <t>作者:</t>
        </r>
        <r>
          <rPr>
            <sz val="9"/>
            <rFont val="宋体"/>
            <family val="3"/>
            <charset val="134"/>
          </rPr>
          <t xml:space="preserve">
40.6%</t>
        </r>
      </text>
    </comment>
    <comment ref="AD171" authorId="0" shapeId="0" xr:uid="{00000000-0006-0000-0200-000081000000}">
      <text>
        <r>
          <rPr>
            <b/>
            <sz val="9"/>
            <rFont val="宋体"/>
            <family val="3"/>
            <charset val="134"/>
          </rPr>
          <t>作者:</t>
        </r>
        <r>
          <rPr>
            <sz val="9"/>
            <rFont val="宋体"/>
            <family val="3"/>
            <charset val="134"/>
          </rPr>
          <t xml:space="preserve">
-611</t>
        </r>
      </text>
    </comment>
    <comment ref="W172" authorId="0" shapeId="0" xr:uid="{00000000-0006-0000-0200-000082000000}">
      <text>
        <r>
          <rPr>
            <b/>
            <sz val="9"/>
            <rFont val="宋体"/>
            <family val="3"/>
            <charset val="134"/>
          </rPr>
          <t>作者:</t>
        </r>
        <r>
          <rPr>
            <sz val="9"/>
            <rFont val="宋体"/>
            <family val="3"/>
            <charset val="134"/>
          </rPr>
          <t xml:space="preserve">
-8%</t>
        </r>
      </text>
    </comment>
    <comment ref="X172" authorId="0" shapeId="0" xr:uid="{00000000-0006-0000-0200-000083000000}">
      <text>
        <r>
          <rPr>
            <b/>
            <sz val="9"/>
            <rFont val="宋体"/>
            <family val="3"/>
            <charset val="134"/>
          </rPr>
          <t>作者:</t>
        </r>
        <r>
          <rPr>
            <sz val="9"/>
            <rFont val="宋体"/>
            <family val="3"/>
            <charset val="134"/>
          </rPr>
          <t xml:space="preserve">
-10%</t>
        </r>
      </text>
    </comment>
    <comment ref="Y172" authorId="0" shapeId="0" xr:uid="{00000000-0006-0000-0200-000084000000}">
      <text>
        <r>
          <rPr>
            <b/>
            <sz val="9"/>
            <rFont val="宋体"/>
            <family val="3"/>
            <charset val="134"/>
          </rPr>
          <t>作者:</t>
        </r>
        <r>
          <rPr>
            <sz val="9"/>
            <rFont val="宋体"/>
            <family val="3"/>
            <charset val="134"/>
          </rPr>
          <t xml:space="preserve">
-3%
</t>
        </r>
      </text>
    </comment>
    <comment ref="AA172" authorId="0" shapeId="0" xr:uid="{00000000-0006-0000-0200-000085000000}">
      <text>
        <r>
          <rPr>
            <b/>
            <sz val="9"/>
            <rFont val="宋体"/>
            <family val="3"/>
            <charset val="134"/>
          </rPr>
          <t>作者:</t>
        </r>
        <r>
          <rPr>
            <sz val="9"/>
            <rFont val="宋体"/>
            <family val="3"/>
            <charset val="134"/>
          </rPr>
          <t xml:space="preserve">
-3%</t>
        </r>
      </text>
    </comment>
    <comment ref="Y174" authorId="0" shapeId="0" xr:uid="{00000000-0006-0000-0200-000086000000}">
      <text>
        <r>
          <rPr>
            <b/>
            <sz val="9"/>
            <rFont val="宋体"/>
            <family val="3"/>
            <charset val="134"/>
          </rPr>
          <t>作者:</t>
        </r>
        <r>
          <rPr>
            <sz val="9"/>
            <rFont val="宋体"/>
            <family val="3"/>
            <charset val="134"/>
          </rPr>
          <t xml:space="preserve">
-4564
</t>
        </r>
      </text>
    </comment>
    <comment ref="AD174" authorId="0" shapeId="0" xr:uid="{00000000-0006-0000-0200-000087000000}">
      <text>
        <r>
          <rPr>
            <b/>
            <sz val="9"/>
            <rFont val="宋体"/>
            <family val="3"/>
            <charset val="134"/>
          </rPr>
          <t>作者:</t>
        </r>
        <r>
          <rPr>
            <sz val="9"/>
            <rFont val="宋体"/>
            <family val="3"/>
            <charset val="134"/>
          </rPr>
          <t xml:space="preserve">
-2259</t>
        </r>
      </text>
    </comment>
    <comment ref="W175" authorId="0" shapeId="0" xr:uid="{00000000-0006-0000-0200-000088000000}">
      <text>
        <r>
          <rPr>
            <b/>
            <sz val="9"/>
            <rFont val="宋体"/>
            <family val="3"/>
            <charset val="134"/>
          </rPr>
          <t>作者:</t>
        </r>
        <r>
          <rPr>
            <sz val="9"/>
            <rFont val="宋体"/>
            <family val="3"/>
            <charset val="134"/>
          </rPr>
          <t xml:space="preserve">
-51%
</t>
        </r>
      </text>
    </comment>
    <comment ref="X175" authorId="0" shapeId="0" xr:uid="{00000000-0006-0000-0200-000089000000}">
      <text>
        <r>
          <rPr>
            <b/>
            <sz val="9"/>
            <rFont val="宋体"/>
            <family val="3"/>
            <charset val="134"/>
          </rPr>
          <t>作者:</t>
        </r>
        <r>
          <rPr>
            <sz val="9"/>
            <rFont val="宋体"/>
            <family val="3"/>
            <charset val="134"/>
          </rPr>
          <t xml:space="preserve">
-48%</t>
        </r>
      </text>
    </comment>
    <comment ref="Y175" authorId="0" shapeId="0" xr:uid="{00000000-0006-0000-0200-00008A000000}">
      <text>
        <r>
          <rPr>
            <b/>
            <sz val="9"/>
            <rFont val="宋体"/>
            <family val="3"/>
            <charset val="134"/>
          </rPr>
          <t>作者:</t>
        </r>
        <r>
          <rPr>
            <sz val="9"/>
            <rFont val="宋体"/>
            <family val="3"/>
            <charset val="134"/>
          </rPr>
          <t xml:space="preserve">
-93%</t>
        </r>
      </text>
    </comment>
    <comment ref="AA175" authorId="0" shapeId="0" xr:uid="{00000000-0006-0000-0200-00008B000000}">
      <text>
        <r>
          <rPr>
            <b/>
            <sz val="9"/>
            <rFont val="宋体"/>
            <family val="3"/>
            <charset val="134"/>
          </rPr>
          <t>作者:</t>
        </r>
        <r>
          <rPr>
            <sz val="9"/>
            <rFont val="宋体"/>
            <family val="3"/>
            <charset val="134"/>
          </rPr>
          <t xml:space="preserve">
-45%</t>
        </r>
      </text>
    </comment>
    <comment ref="AD177" authorId="0" shapeId="0" xr:uid="{00000000-0006-0000-0200-00008C000000}">
      <text>
        <r>
          <rPr>
            <b/>
            <sz val="9"/>
            <rFont val="宋体"/>
            <family val="3"/>
            <charset val="134"/>
          </rPr>
          <t>作者:</t>
        </r>
        <r>
          <rPr>
            <sz val="9"/>
            <rFont val="宋体"/>
            <family val="3"/>
            <charset val="134"/>
          </rPr>
          <t xml:space="preserve">
-3203</t>
        </r>
      </text>
    </comment>
    <comment ref="W178" authorId="0" shapeId="0" xr:uid="{00000000-0006-0000-0200-00008D000000}">
      <text>
        <r>
          <rPr>
            <b/>
            <sz val="9"/>
            <rFont val="宋体"/>
            <family val="3"/>
            <charset val="134"/>
          </rPr>
          <t>作者:</t>
        </r>
        <r>
          <rPr>
            <sz val="9"/>
            <rFont val="宋体"/>
            <family val="3"/>
            <charset val="134"/>
          </rPr>
          <t xml:space="preserve">
-90%</t>
        </r>
      </text>
    </comment>
    <comment ref="X178" authorId="0" shapeId="0" xr:uid="{00000000-0006-0000-0200-00008E000000}">
      <text>
        <r>
          <rPr>
            <b/>
            <sz val="9"/>
            <rFont val="宋体"/>
            <family val="3"/>
            <charset val="134"/>
          </rPr>
          <t>作者:</t>
        </r>
        <r>
          <rPr>
            <sz val="9"/>
            <rFont val="宋体"/>
            <family val="3"/>
            <charset val="134"/>
          </rPr>
          <t xml:space="preserve">
-90%</t>
        </r>
      </text>
    </comment>
    <comment ref="Y178" authorId="0" shapeId="0" xr:uid="{00000000-0006-0000-0200-00008F000000}">
      <text>
        <r>
          <rPr>
            <b/>
            <sz val="9"/>
            <rFont val="宋体"/>
            <family val="3"/>
            <charset val="134"/>
          </rPr>
          <t>作者:</t>
        </r>
        <r>
          <rPr>
            <sz val="9"/>
            <rFont val="宋体"/>
            <family val="3"/>
            <charset val="134"/>
          </rPr>
          <t xml:space="preserve">
-110%
</t>
        </r>
      </text>
    </comment>
    <comment ref="AA178" authorId="0" shapeId="0" xr:uid="{00000000-0006-0000-0200-000090000000}">
      <text>
        <r>
          <rPr>
            <b/>
            <sz val="9"/>
            <rFont val="宋体"/>
            <family val="3"/>
            <charset val="134"/>
          </rPr>
          <t>作者:</t>
        </r>
        <r>
          <rPr>
            <sz val="9"/>
            <rFont val="宋体"/>
            <family val="3"/>
            <charset val="134"/>
          </rPr>
          <t xml:space="preserve">
-120%
</t>
        </r>
      </text>
    </comment>
    <comment ref="X180" authorId="0" shapeId="0" xr:uid="{00000000-0006-0000-0200-000091000000}">
      <text>
        <r>
          <rPr>
            <b/>
            <sz val="9"/>
            <rFont val="宋体"/>
            <family val="3"/>
            <charset val="134"/>
          </rPr>
          <t>作者:</t>
        </r>
        <r>
          <rPr>
            <sz val="9"/>
            <rFont val="宋体"/>
            <family val="3"/>
            <charset val="134"/>
          </rPr>
          <t xml:space="preserve">
-1500</t>
        </r>
      </text>
    </comment>
    <comment ref="Y180" authorId="0" shapeId="0" xr:uid="{00000000-0006-0000-0200-000092000000}">
      <text>
        <r>
          <rPr>
            <b/>
            <sz val="9"/>
            <rFont val="宋体"/>
            <family val="3"/>
            <charset val="134"/>
          </rPr>
          <t>作者:</t>
        </r>
        <r>
          <rPr>
            <sz val="9"/>
            <rFont val="宋体"/>
            <family val="3"/>
            <charset val="134"/>
          </rPr>
          <t xml:space="preserve">
-1650
</t>
        </r>
      </text>
    </comment>
    <comment ref="AD180" authorId="0" shapeId="0" xr:uid="{00000000-0006-0000-0200-000093000000}">
      <text>
        <r>
          <rPr>
            <b/>
            <sz val="9"/>
            <rFont val="宋体"/>
            <family val="3"/>
            <charset val="134"/>
          </rPr>
          <t>作者:</t>
        </r>
        <r>
          <rPr>
            <sz val="9"/>
            <rFont val="宋体"/>
            <family val="3"/>
            <charset val="134"/>
          </rPr>
          <t xml:space="preserve">
-1803</t>
        </r>
      </text>
    </comment>
    <comment ref="Y183" authorId="0" shapeId="0" xr:uid="{00000000-0006-0000-0200-000094000000}">
      <text>
        <r>
          <rPr>
            <b/>
            <sz val="9"/>
            <rFont val="宋体"/>
            <family val="3"/>
            <charset val="134"/>
          </rPr>
          <t>作者:</t>
        </r>
        <r>
          <rPr>
            <sz val="9"/>
            <rFont val="宋体"/>
            <family val="3"/>
            <charset val="134"/>
          </rPr>
          <t xml:space="preserve">
35401</t>
        </r>
      </text>
    </comment>
    <comment ref="AD183" authorId="0" shapeId="0" xr:uid="{00000000-0006-0000-0200-000095000000}">
      <text>
        <r>
          <rPr>
            <b/>
            <sz val="9"/>
            <rFont val="宋体"/>
            <family val="3"/>
            <charset val="134"/>
          </rPr>
          <t>作者:</t>
        </r>
        <r>
          <rPr>
            <sz val="9"/>
            <rFont val="宋体"/>
            <family val="3"/>
            <charset val="134"/>
          </rPr>
          <t xml:space="preserve">
27721
</t>
        </r>
      </text>
    </comment>
    <comment ref="W184" authorId="0" shapeId="0" xr:uid="{00000000-0006-0000-0200-000096000000}">
      <text>
        <r>
          <rPr>
            <b/>
            <sz val="9"/>
            <rFont val="宋体"/>
            <family val="3"/>
            <charset val="134"/>
          </rPr>
          <t>作者:</t>
        </r>
        <r>
          <rPr>
            <sz val="9"/>
            <rFont val="宋体"/>
            <family val="3"/>
            <charset val="134"/>
          </rPr>
          <t xml:space="preserve">
33%</t>
        </r>
      </text>
    </comment>
    <comment ref="X184" authorId="0" shapeId="0" xr:uid="{00000000-0006-0000-0200-000097000000}">
      <text>
        <r>
          <rPr>
            <b/>
            <sz val="9"/>
            <rFont val="宋体"/>
            <family val="3"/>
            <charset val="134"/>
          </rPr>
          <t>作者:</t>
        </r>
        <r>
          <rPr>
            <sz val="9"/>
            <rFont val="宋体"/>
            <family val="3"/>
            <charset val="134"/>
          </rPr>
          <t xml:space="preserve">
24%</t>
        </r>
      </text>
    </comment>
    <comment ref="AA184" authorId="0" shapeId="0" xr:uid="{00000000-0006-0000-0200-000098000000}">
      <text>
        <r>
          <rPr>
            <b/>
            <sz val="9"/>
            <rFont val="宋体"/>
            <family val="3"/>
            <charset val="134"/>
          </rPr>
          <t>作者:</t>
        </r>
        <r>
          <rPr>
            <sz val="9"/>
            <rFont val="宋体"/>
            <family val="3"/>
            <charset val="134"/>
          </rPr>
          <t xml:space="preserve">
30.2%</t>
        </r>
      </text>
    </comment>
    <comment ref="W185" authorId="0" shapeId="0" xr:uid="{00000000-0006-0000-0200-000099000000}">
      <text>
        <r>
          <rPr>
            <b/>
            <sz val="9"/>
            <rFont val="宋体"/>
            <family val="3"/>
            <charset val="134"/>
          </rPr>
          <t>作者:</t>
        </r>
        <r>
          <rPr>
            <sz val="9"/>
            <rFont val="宋体"/>
            <family val="3"/>
            <charset val="134"/>
          </rPr>
          <t xml:space="preserve">
-90%</t>
        </r>
      </text>
    </comment>
    <comment ref="AA185" authorId="0" shapeId="0" xr:uid="{00000000-0006-0000-0200-00009A000000}">
      <text>
        <r>
          <rPr>
            <b/>
            <sz val="9"/>
            <rFont val="宋体"/>
            <family val="3"/>
            <charset val="134"/>
          </rPr>
          <t>作者:</t>
        </r>
        <r>
          <rPr>
            <sz val="9"/>
            <rFont val="宋体"/>
            <family val="3"/>
            <charset val="134"/>
          </rPr>
          <t xml:space="preserve">
29%</t>
        </r>
      </text>
    </comment>
    <comment ref="W191" authorId="0" shapeId="0" xr:uid="{00000000-0006-0000-0200-00009B000000}">
      <text>
        <r>
          <rPr>
            <b/>
            <sz val="9"/>
            <rFont val="宋体"/>
            <family val="3"/>
            <charset val="134"/>
          </rPr>
          <t>作者:</t>
        </r>
        <r>
          <rPr>
            <sz val="9"/>
            <rFont val="宋体"/>
            <family val="3"/>
            <charset val="134"/>
          </rPr>
          <t xml:space="preserve">
19527</t>
        </r>
      </text>
    </comment>
    <comment ref="X191" authorId="0" shapeId="0" xr:uid="{00000000-0006-0000-0200-00009C000000}">
      <text>
        <r>
          <rPr>
            <b/>
            <sz val="9"/>
            <rFont val="宋体"/>
            <family val="3"/>
            <charset val="134"/>
          </rPr>
          <t>作者:</t>
        </r>
        <r>
          <rPr>
            <sz val="9"/>
            <rFont val="宋体"/>
            <family val="3"/>
            <charset val="134"/>
          </rPr>
          <t xml:space="preserve">
13414</t>
        </r>
      </text>
    </comment>
    <comment ref="AA191" authorId="0" shapeId="0" xr:uid="{00000000-0006-0000-0200-00009D000000}">
      <text>
        <r>
          <rPr>
            <b/>
            <sz val="9"/>
            <rFont val="宋体"/>
            <family val="3"/>
            <charset val="134"/>
          </rPr>
          <t>作者:</t>
        </r>
        <r>
          <rPr>
            <sz val="9"/>
            <rFont val="宋体"/>
            <family val="3"/>
            <charset val="134"/>
          </rPr>
          <t xml:space="preserve">
23726</t>
        </r>
      </text>
    </comment>
    <comment ref="W192" authorId="0" shapeId="0" xr:uid="{00000000-0006-0000-0200-00009E000000}">
      <text>
        <r>
          <rPr>
            <b/>
            <sz val="9"/>
            <rFont val="宋体"/>
            <family val="3"/>
            <charset val="134"/>
          </rPr>
          <t>作者:</t>
        </r>
        <r>
          <rPr>
            <sz val="9"/>
            <rFont val="宋体"/>
            <family val="3"/>
            <charset val="134"/>
          </rPr>
          <t xml:space="preserve">
24696</t>
        </r>
      </text>
    </comment>
    <comment ref="X192" authorId="0" shapeId="0" xr:uid="{00000000-0006-0000-0200-00009F000000}">
      <text>
        <r>
          <rPr>
            <b/>
            <sz val="9"/>
            <rFont val="宋体"/>
            <family val="3"/>
            <charset val="134"/>
          </rPr>
          <t>作者:</t>
        </r>
        <r>
          <rPr>
            <sz val="9"/>
            <rFont val="宋体"/>
            <family val="3"/>
            <charset val="134"/>
          </rPr>
          <t xml:space="preserve">
20126</t>
        </r>
      </text>
    </comment>
    <comment ref="AA192" authorId="0" shapeId="0" xr:uid="{00000000-0006-0000-0200-0000A0000000}">
      <text>
        <r>
          <rPr>
            <b/>
            <sz val="9"/>
            <rFont val="宋体"/>
            <family val="3"/>
            <charset val="134"/>
          </rPr>
          <t>作者:</t>
        </r>
        <r>
          <rPr>
            <sz val="9"/>
            <rFont val="宋体"/>
            <family val="3"/>
            <charset val="134"/>
          </rPr>
          <t xml:space="preserve">
20347</t>
        </r>
      </text>
    </comment>
    <comment ref="W199" authorId="0" shapeId="0" xr:uid="{00000000-0006-0000-0200-0000A1000000}">
      <text>
        <r>
          <rPr>
            <b/>
            <sz val="9"/>
            <rFont val="宋体"/>
            <family val="3"/>
            <charset val="134"/>
          </rPr>
          <t>作者:</t>
        </r>
        <r>
          <rPr>
            <sz val="9"/>
            <rFont val="宋体"/>
            <family val="3"/>
            <charset val="134"/>
          </rPr>
          <t xml:space="preserve">
20762</t>
        </r>
      </text>
    </comment>
    <comment ref="X199" authorId="0" shapeId="0" xr:uid="{00000000-0006-0000-0200-0000A2000000}">
      <text>
        <r>
          <rPr>
            <b/>
            <sz val="9"/>
            <rFont val="宋体"/>
            <family val="3"/>
            <charset val="134"/>
          </rPr>
          <t>作者:</t>
        </r>
        <r>
          <rPr>
            <sz val="9"/>
            <rFont val="宋体"/>
            <family val="3"/>
            <charset val="134"/>
          </rPr>
          <t xml:space="preserve">
19071</t>
        </r>
      </text>
    </comment>
    <comment ref="Y199" authorId="0" shapeId="0" xr:uid="{00000000-0006-0000-0200-0000A3000000}">
      <text>
        <r>
          <rPr>
            <b/>
            <sz val="9"/>
            <rFont val="宋体"/>
            <family val="3"/>
            <charset val="134"/>
          </rPr>
          <t>作者:</t>
        </r>
        <r>
          <rPr>
            <sz val="9"/>
            <rFont val="宋体"/>
            <family val="3"/>
            <charset val="134"/>
          </rPr>
          <t xml:space="preserve">
32149
</t>
        </r>
      </text>
    </comment>
    <comment ref="AA199" authorId="0" shapeId="0" xr:uid="{00000000-0006-0000-0200-0000A4000000}">
      <text>
        <r>
          <rPr>
            <b/>
            <sz val="9"/>
            <rFont val="宋体"/>
            <family val="3"/>
            <charset val="134"/>
          </rPr>
          <t>作者:
35698</t>
        </r>
      </text>
    </comment>
    <comment ref="BA202" authorId="0" shapeId="0" xr:uid="{00000000-0006-0000-0200-0000A5000000}">
      <text>
        <r>
          <rPr>
            <b/>
            <sz val="9"/>
            <rFont val="宋体"/>
            <family val="3"/>
            <charset val="134"/>
          </rPr>
          <t>作者:</t>
        </r>
        <r>
          <rPr>
            <sz val="9"/>
            <rFont val="宋体"/>
            <family val="3"/>
            <charset val="134"/>
          </rPr>
          <t xml:space="preserve">
58.8</t>
        </r>
      </text>
    </comment>
    <comment ref="BB202" authorId="0" shapeId="0" xr:uid="{00000000-0006-0000-0200-0000A6000000}">
      <text>
        <r>
          <rPr>
            <b/>
            <sz val="9"/>
            <rFont val="宋体"/>
            <family val="3"/>
            <charset val="134"/>
          </rPr>
          <t>作者:</t>
        </r>
        <r>
          <rPr>
            <sz val="9"/>
            <rFont val="宋体"/>
            <family val="3"/>
            <charset val="134"/>
          </rPr>
          <t xml:space="preserve">
74.8</t>
        </r>
      </text>
    </comment>
    <comment ref="W205" authorId="0" shapeId="0" xr:uid="{00000000-0006-0000-0200-0000A7000000}">
      <text>
        <r>
          <rPr>
            <b/>
            <sz val="9"/>
            <rFont val="宋体"/>
            <family val="3"/>
            <charset val="134"/>
          </rPr>
          <t>作者:</t>
        </r>
        <r>
          <rPr>
            <sz val="9"/>
            <rFont val="宋体"/>
            <family val="3"/>
            <charset val="134"/>
          </rPr>
          <t xml:space="preserve">
7.9</t>
        </r>
      </text>
    </comment>
    <comment ref="X205" authorId="0" shapeId="0" xr:uid="{00000000-0006-0000-0200-0000A8000000}">
      <text>
        <r>
          <rPr>
            <b/>
            <sz val="9"/>
            <rFont val="宋体"/>
            <family val="3"/>
            <charset val="134"/>
          </rPr>
          <t>作者:</t>
        </r>
        <r>
          <rPr>
            <sz val="9"/>
            <rFont val="宋体"/>
            <family val="3"/>
            <charset val="134"/>
          </rPr>
          <t xml:space="preserve">
7.23</t>
        </r>
      </text>
    </comment>
    <comment ref="AA205" authorId="0" shapeId="0" xr:uid="{00000000-0006-0000-0200-0000A9000000}">
      <text>
        <r>
          <rPr>
            <b/>
            <sz val="9"/>
            <rFont val="宋体"/>
            <family val="3"/>
            <charset val="134"/>
          </rPr>
          <t>作者:</t>
        </r>
        <r>
          <rPr>
            <sz val="9"/>
            <rFont val="宋体"/>
            <family val="3"/>
            <charset val="134"/>
          </rPr>
          <t xml:space="preserve">
13.5</t>
        </r>
      </text>
    </comment>
    <comment ref="W206" authorId="0" shapeId="0" xr:uid="{00000000-0006-0000-0200-0000AA000000}">
      <text>
        <r>
          <rPr>
            <b/>
            <sz val="9"/>
            <rFont val="宋体"/>
            <family val="3"/>
            <charset val="134"/>
          </rPr>
          <t>作者:</t>
        </r>
        <r>
          <rPr>
            <sz val="9"/>
            <rFont val="宋体"/>
            <family val="3"/>
            <charset val="134"/>
          </rPr>
          <t xml:space="preserve">
1.19</t>
        </r>
      </text>
    </comment>
    <comment ref="X206" authorId="0" shapeId="0" xr:uid="{00000000-0006-0000-0200-0000AB000000}">
      <text>
        <r>
          <rPr>
            <b/>
            <sz val="9"/>
            <rFont val="宋体"/>
            <family val="3"/>
            <charset val="134"/>
          </rPr>
          <t>作者:</t>
        </r>
        <r>
          <rPr>
            <sz val="9"/>
            <rFont val="宋体"/>
            <family val="3"/>
            <charset val="134"/>
          </rPr>
          <t xml:space="preserve">
1.06</t>
        </r>
      </text>
    </comment>
    <comment ref="AA206" authorId="0" shapeId="0" xr:uid="{00000000-0006-0000-0200-0000AC000000}">
      <text>
        <r>
          <rPr>
            <b/>
            <sz val="9"/>
            <rFont val="宋体"/>
            <family val="3"/>
            <charset val="134"/>
          </rPr>
          <t>作者:</t>
        </r>
        <r>
          <rPr>
            <sz val="9"/>
            <rFont val="宋体"/>
            <family val="3"/>
            <charset val="134"/>
          </rPr>
          <t xml:space="preserve">
1.97</t>
        </r>
      </text>
    </comment>
    <comment ref="W218" authorId="0" shapeId="0" xr:uid="{00000000-0006-0000-0200-0000AD000000}">
      <text>
        <r>
          <rPr>
            <b/>
            <sz val="9"/>
            <rFont val="宋体"/>
            <family val="3"/>
            <charset val="134"/>
          </rPr>
          <t>作者:</t>
        </r>
        <r>
          <rPr>
            <sz val="9"/>
            <rFont val="宋体"/>
            <family val="3"/>
            <charset val="134"/>
          </rPr>
          <t xml:space="preserve">
32366</t>
        </r>
      </text>
    </comment>
    <comment ref="X218" authorId="0" shapeId="0" xr:uid="{00000000-0006-0000-0200-0000AE000000}">
      <text>
        <r>
          <rPr>
            <b/>
            <sz val="9"/>
            <rFont val="宋体"/>
            <family val="3"/>
            <charset val="134"/>
          </rPr>
          <t>作者:</t>
        </r>
        <r>
          <rPr>
            <sz val="9"/>
            <rFont val="宋体"/>
            <family val="3"/>
            <charset val="134"/>
          </rPr>
          <t xml:space="preserve">
32936</t>
        </r>
      </text>
    </comment>
    <comment ref="AA218" authorId="0" shapeId="0" xr:uid="{00000000-0006-0000-0200-0000AF000000}">
      <text>
        <r>
          <rPr>
            <b/>
            <sz val="9"/>
            <rFont val="宋体"/>
            <family val="3"/>
            <charset val="134"/>
          </rPr>
          <t>作者:</t>
        </r>
        <r>
          <rPr>
            <sz val="9"/>
            <rFont val="宋体"/>
            <family val="3"/>
            <charset val="134"/>
          </rPr>
          <t xml:space="preserve">
40147</t>
        </r>
      </text>
    </comment>
    <comment ref="W219" authorId="0" shapeId="0" xr:uid="{00000000-0006-0000-0200-0000B0000000}">
      <text>
        <r>
          <rPr>
            <b/>
            <sz val="9"/>
            <rFont val="宋体"/>
            <family val="3"/>
            <charset val="134"/>
          </rPr>
          <t>作者:</t>
        </r>
        <r>
          <rPr>
            <sz val="9"/>
            <rFont val="宋体"/>
            <family val="3"/>
            <charset val="134"/>
          </rPr>
          <t xml:space="preserve">
12.31</t>
        </r>
      </text>
    </comment>
    <comment ref="X219" authorId="0" shapeId="0" xr:uid="{00000000-0006-0000-0200-0000B1000000}">
      <text>
        <r>
          <rPr>
            <b/>
            <sz val="9"/>
            <rFont val="宋体"/>
            <family val="3"/>
            <charset val="134"/>
          </rPr>
          <t>作者:</t>
        </r>
        <r>
          <rPr>
            <sz val="9"/>
            <rFont val="宋体"/>
            <family val="3"/>
            <charset val="134"/>
          </rPr>
          <t xml:space="preserve">
12.49</t>
        </r>
      </text>
    </comment>
    <comment ref="W220" authorId="0" shapeId="0" xr:uid="{00000000-0006-0000-0200-0000B2000000}">
      <text>
        <r>
          <rPr>
            <b/>
            <sz val="9"/>
            <rFont val="宋体"/>
            <family val="3"/>
            <charset val="134"/>
          </rPr>
          <t>作者:</t>
        </r>
        <r>
          <rPr>
            <sz val="9"/>
            <rFont val="宋体"/>
            <family val="3"/>
            <charset val="134"/>
          </rPr>
          <t xml:space="preserve">
1.86</t>
        </r>
      </text>
    </comment>
    <comment ref="X220" authorId="0" shapeId="0" xr:uid="{00000000-0006-0000-0200-0000B3000000}">
      <text>
        <r>
          <rPr>
            <b/>
            <sz val="9"/>
            <rFont val="宋体"/>
            <family val="3"/>
            <charset val="134"/>
          </rPr>
          <t>作者:</t>
        </r>
        <r>
          <rPr>
            <sz val="9"/>
            <rFont val="宋体"/>
            <family val="3"/>
            <charset val="134"/>
          </rPr>
          <t xml:space="preserve">
1.82</t>
        </r>
      </text>
    </comment>
    <comment ref="AA220" authorId="0" shapeId="0" xr:uid="{00000000-0006-0000-0200-0000B4000000}">
      <text>
        <r>
          <rPr>
            <b/>
            <sz val="9"/>
            <rFont val="宋体"/>
            <family val="3"/>
            <charset val="134"/>
          </rPr>
          <t>作者:</t>
        </r>
        <r>
          <rPr>
            <sz val="9"/>
            <rFont val="宋体"/>
            <family val="3"/>
            <charset val="134"/>
          </rPr>
          <t xml:space="preserve">
2.46</t>
        </r>
      </text>
    </comment>
    <comment ref="W221" authorId="0" shapeId="0" xr:uid="{00000000-0006-0000-0200-0000B5000000}">
      <text>
        <r>
          <rPr>
            <b/>
            <sz val="9"/>
            <rFont val="宋体"/>
            <family val="3"/>
            <charset val="134"/>
          </rPr>
          <t>作者:</t>
        </r>
        <r>
          <rPr>
            <sz val="9"/>
            <rFont val="宋体"/>
            <family val="3"/>
            <charset val="134"/>
          </rPr>
          <t xml:space="preserve">
32%</t>
        </r>
      </text>
    </comment>
    <comment ref="X221" authorId="0" shapeId="0" xr:uid="{00000000-0006-0000-0200-0000B6000000}">
      <text>
        <r>
          <rPr>
            <b/>
            <sz val="9"/>
            <rFont val="宋体"/>
            <family val="3"/>
            <charset val="134"/>
          </rPr>
          <t>作者:</t>
        </r>
        <r>
          <rPr>
            <sz val="9"/>
            <rFont val="宋体"/>
            <family val="3"/>
            <charset val="134"/>
          </rPr>
          <t xml:space="preserve">
19%</t>
        </r>
      </text>
    </comment>
    <comment ref="AA221" authorId="0" shapeId="0" xr:uid="{00000000-0006-0000-0200-0000B7000000}">
      <text>
        <r>
          <rPr>
            <b/>
            <sz val="9"/>
            <rFont val="宋体"/>
            <family val="3"/>
            <charset val="134"/>
          </rPr>
          <t>作者:</t>
        </r>
        <r>
          <rPr>
            <sz val="9"/>
            <rFont val="宋体"/>
            <family val="3"/>
            <charset val="134"/>
          </rPr>
          <t xml:space="preserve">
45%</t>
        </r>
      </text>
    </comment>
    <comment ref="W229" authorId="0" shapeId="0" xr:uid="{00000000-0006-0000-0200-0000B8000000}">
      <text>
        <r>
          <rPr>
            <b/>
            <sz val="9"/>
            <rFont val="宋体"/>
            <family val="3"/>
            <charset val="134"/>
          </rPr>
          <t>作者:</t>
        </r>
        <r>
          <rPr>
            <sz val="9"/>
            <rFont val="宋体"/>
            <family val="3"/>
            <charset val="134"/>
          </rPr>
          <t xml:space="preserve">
30346</t>
        </r>
      </text>
    </comment>
    <comment ref="AA229" authorId="0" shapeId="0" xr:uid="{00000000-0006-0000-0200-0000B9000000}">
      <text>
        <r>
          <rPr>
            <b/>
            <sz val="9"/>
            <rFont val="宋体"/>
            <family val="3"/>
            <charset val="134"/>
          </rPr>
          <t>作者:</t>
        </r>
        <r>
          <rPr>
            <sz val="9"/>
            <rFont val="宋体"/>
            <family val="3"/>
            <charset val="134"/>
          </rPr>
          <t xml:space="preserve">
64602</t>
        </r>
      </text>
    </comment>
    <comment ref="W230" authorId="0" shapeId="0" xr:uid="{00000000-0006-0000-0200-0000BA000000}">
      <text>
        <r>
          <rPr>
            <b/>
            <sz val="9"/>
            <rFont val="宋体"/>
            <family val="3"/>
            <charset val="134"/>
          </rPr>
          <t>作者:</t>
        </r>
        <r>
          <rPr>
            <sz val="9"/>
            <rFont val="宋体"/>
            <family val="3"/>
            <charset val="134"/>
          </rPr>
          <t xml:space="preserve">
38%</t>
        </r>
      </text>
    </comment>
    <comment ref="X230" authorId="0" shapeId="0" xr:uid="{00000000-0006-0000-0200-0000BB000000}">
      <text>
        <r>
          <rPr>
            <b/>
            <sz val="9"/>
            <rFont val="宋体"/>
            <family val="3"/>
            <charset val="134"/>
          </rPr>
          <t>作者:</t>
        </r>
        <r>
          <rPr>
            <sz val="9"/>
            <rFont val="宋体"/>
            <family val="3"/>
            <charset val="134"/>
          </rPr>
          <t xml:space="preserve">
45%</t>
        </r>
      </text>
    </comment>
    <comment ref="Y230" authorId="0" shapeId="0" xr:uid="{00000000-0006-0000-0200-0000BC000000}">
      <text>
        <r>
          <rPr>
            <b/>
            <sz val="9"/>
            <rFont val="宋体"/>
            <family val="3"/>
            <charset val="134"/>
          </rPr>
          <t>作者:</t>
        </r>
        <r>
          <rPr>
            <sz val="9"/>
            <rFont val="宋体"/>
            <family val="3"/>
            <charset val="134"/>
          </rPr>
          <t xml:space="preserve">
45%
</t>
        </r>
      </text>
    </comment>
    <comment ref="AA230" authorId="0" shapeId="0" xr:uid="{00000000-0006-0000-0200-0000BD000000}">
      <text>
        <r>
          <rPr>
            <b/>
            <sz val="9"/>
            <rFont val="宋体"/>
            <family val="3"/>
            <charset val="134"/>
          </rPr>
          <t>作者:</t>
        </r>
        <r>
          <rPr>
            <sz val="9"/>
            <rFont val="宋体"/>
            <family val="3"/>
            <charset val="134"/>
          </rPr>
          <t xml:space="preserve">
57%</t>
        </r>
      </text>
    </comment>
    <comment ref="W233" authorId="0" shapeId="0" xr:uid="{00000000-0006-0000-0200-0000BE000000}">
      <text>
        <r>
          <rPr>
            <b/>
            <sz val="9"/>
            <rFont val="宋体"/>
            <family val="3"/>
            <charset val="134"/>
          </rPr>
          <t>作者:</t>
        </r>
        <r>
          <rPr>
            <sz val="9"/>
            <rFont val="宋体"/>
            <family val="3"/>
            <charset val="134"/>
          </rPr>
          <t xml:space="preserve">
62%</t>
        </r>
      </text>
    </comment>
    <comment ref="X233" authorId="0" shapeId="0" xr:uid="{00000000-0006-0000-0200-0000BF000000}">
      <text>
        <r>
          <rPr>
            <b/>
            <sz val="9"/>
            <rFont val="宋体"/>
            <family val="3"/>
            <charset val="134"/>
          </rPr>
          <t>作者:</t>
        </r>
        <r>
          <rPr>
            <sz val="9"/>
            <rFont val="宋体"/>
            <family val="3"/>
            <charset val="134"/>
          </rPr>
          <t xml:space="preserve">
55%</t>
        </r>
      </text>
    </comment>
    <comment ref="Y233" authorId="0" shapeId="0" xr:uid="{00000000-0006-0000-0200-0000C0000000}">
      <text>
        <r>
          <rPr>
            <b/>
            <sz val="9"/>
            <rFont val="宋体"/>
            <family val="3"/>
            <charset val="134"/>
          </rPr>
          <t>作者:</t>
        </r>
        <r>
          <rPr>
            <sz val="9"/>
            <rFont val="宋体"/>
            <family val="3"/>
            <charset val="134"/>
          </rPr>
          <t xml:space="preserve">
55%
</t>
        </r>
      </text>
    </comment>
    <comment ref="AA233" authorId="0" shapeId="0" xr:uid="{00000000-0006-0000-0200-0000C1000000}">
      <text>
        <r>
          <rPr>
            <b/>
            <sz val="9"/>
            <rFont val="宋体"/>
            <family val="3"/>
            <charset val="134"/>
          </rPr>
          <t>作者:</t>
        </r>
        <r>
          <rPr>
            <sz val="9"/>
            <rFont val="宋体"/>
            <family val="3"/>
            <charset val="134"/>
          </rPr>
          <t xml:space="preserve">
43%</t>
        </r>
      </text>
    </comment>
    <comment ref="W236" authorId="0" shapeId="0" xr:uid="{00000000-0006-0000-0200-0000C2000000}">
      <text>
        <r>
          <rPr>
            <b/>
            <sz val="9"/>
            <rFont val="宋体"/>
            <family val="3"/>
            <charset val="134"/>
          </rPr>
          <t>作者:</t>
        </r>
        <r>
          <rPr>
            <sz val="9"/>
            <rFont val="宋体"/>
            <family val="3"/>
            <charset val="134"/>
          </rPr>
          <t xml:space="preserve">
31%</t>
        </r>
      </text>
    </comment>
    <comment ref="X236" authorId="0" shapeId="0" xr:uid="{00000000-0006-0000-0200-0000C3000000}">
      <text>
        <r>
          <rPr>
            <b/>
            <sz val="9"/>
            <rFont val="宋体"/>
            <family val="3"/>
            <charset val="134"/>
          </rPr>
          <t>作者:</t>
        </r>
        <r>
          <rPr>
            <sz val="9"/>
            <rFont val="宋体"/>
            <family val="3"/>
            <charset val="134"/>
          </rPr>
          <t xml:space="preserve">
32%</t>
        </r>
      </text>
    </comment>
    <comment ref="Y236" authorId="0" shapeId="0" xr:uid="{00000000-0006-0000-0200-0000C4000000}">
      <text>
        <r>
          <rPr>
            <b/>
            <sz val="9"/>
            <rFont val="宋体"/>
            <family val="3"/>
            <charset val="134"/>
          </rPr>
          <t>作者:</t>
        </r>
        <r>
          <rPr>
            <sz val="9"/>
            <rFont val="宋体"/>
            <family val="3"/>
            <charset val="134"/>
          </rPr>
          <t xml:space="preserve">
29%
</t>
        </r>
      </text>
    </comment>
    <comment ref="AA236" authorId="0" shapeId="0" xr:uid="{00000000-0006-0000-0200-0000C5000000}">
      <text>
        <r>
          <rPr>
            <b/>
            <sz val="9"/>
            <rFont val="宋体"/>
            <family val="3"/>
            <charset val="134"/>
          </rPr>
          <t>作者:</t>
        </r>
        <r>
          <rPr>
            <sz val="9"/>
            <rFont val="宋体"/>
            <family val="3"/>
            <charset val="134"/>
          </rPr>
          <t xml:space="preserve">
25%</t>
        </r>
      </text>
    </comment>
    <comment ref="X238" authorId="0" shapeId="0" xr:uid="{00000000-0006-0000-0200-0000C6000000}">
      <text>
        <r>
          <rPr>
            <b/>
            <sz val="9"/>
            <rFont val="宋体"/>
            <family val="3"/>
            <charset val="134"/>
          </rPr>
          <t>作者:</t>
        </r>
        <r>
          <rPr>
            <sz val="9"/>
            <rFont val="宋体"/>
            <family val="3"/>
            <charset val="134"/>
          </rPr>
          <t xml:space="preserve">
14%</t>
        </r>
      </text>
    </comment>
    <comment ref="Y238" authorId="0" shapeId="0" xr:uid="{00000000-0006-0000-0200-0000C7000000}">
      <text>
        <r>
          <rPr>
            <b/>
            <sz val="9"/>
            <rFont val="宋体"/>
            <family val="3"/>
            <charset val="134"/>
          </rPr>
          <t>作者:</t>
        </r>
        <r>
          <rPr>
            <sz val="9"/>
            <rFont val="宋体"/>
            <family val="3"/>
            <charset val="134"/>
          </rPr>
          <t xml:space="preserve">
13.5%
</t>
        </r>
      </text>
    </comment>
    <comment ref="W241" authorId="0" shapeId="0" xr:uid="{00000000-0006-0000-0200-0000C8000000}">
      <text>
        <r>
          <rPr>
            <b/>
            <sz val="9"/>
            <rFont val="宋体"/>
            <family val="3"/>
            <charset val="134"/>
          </rPr>
          <t>作者:</t>
        </r>
        <r>
          <rPr>
            <sz val="9"/>
            <rFont val="宋体"/>
            <family val="3"/>
            <charset val="134"/>
          </rPr>
          <t xml:space="preserve">
7%</t>
        </r>
      </text>
    </comment>
    <comment ref="X241" authorId="0" shapeId="0" xr:uid="{00000000-0006-0000-0200-0000C9000000}">
      <text>
        <r>
          <rPr>
            <b/>
            <sz val="9"/>
            <rFont val="宋体"/>
            <family val="3"/>
            <charset val="134"/>
          </rPr>
          <t>作者:</t>
        </r>
        <r>
          <rPr>
            <sz val="9"/>
            <rFont val="宋体"/>
            <family val="3"/>
            <charset val="134"/>
          </rPr>
          <t xml:space="preserve">
6%</t>
        </r>
      </text>
    </comment>
    <comment ref="Y241" authorId="0" shapeId="0" xr:uid="{00000000-0006-0000-0200-0000CA000000}">
      <text>
        <r>
          <rPr>
            <b/>
            <sz val="9"/>
            <rFont val="宋体"/>
            <family val="3"/>
            <charset val="134"/>
          </rPr>
          <t>作者:
5.5%</t>
        </r>
      </text>
    </comment>
    <comment ref="AA241" authorId="0" shapeId="0" xr:uid="{00000000-0006-0000-0200-0000CB000000}">
      <text>
        <r>
          <rPr>
            <b/>
            <sz val="9"/>
            <rFont val="宋体"/>
            <family val="3"/>
            <charset val="134"/>
          </rPr>
          <t>作者:</t>
        </r>
        <r>
          <rPr>
            <sz val="9"/>
            <rFont val="宋体"/>
            <family val="3"/>
            <charset val="134"/>
          </rPr>
          <t xml:space="preserve">
5.5%</t>
        </r>
      </text>
    </comment>
    <comment ref="W243" authorId="0" shapeId="0" xr:uid="{00000000-0006-0000-0200-0000CC000000}">
      <text>
        <r>
          <rPr>
            <b/>
            <sz val="9"/>
            <rFont val="宋体"/>
            <family val="3"/>
            <charset val="134"/>
          </rPr>
          <t>作者:</t>
        </r>
        <r>
          <rPr>
            <sz val="9"/>
            <rFont val="宋体"/>
            <family val="3"/>
            <charset val="134"/>
          </rPr>
          <t xml:space="preserve">
10%</t>
        </r>
      </text>
    </comment>
    <comment ref="X243" authorId="0" shapeId="0" xr:uid="{00000000-0006-0000-0200-0000CD000000}">
      <text>
        <r>
          <rPr>
            <b/>
            <sz val="9"/>
            <rFont val="宋体"/>
            <family val="3"/>
            <charset val="134"/>
          </rPr>
          <t>作者:</t>
        </r>
        <r>
          <rPr>
            <sz val="9"/>
            <rFont val="宋体"/>
            <family val="3"/>
            <charset val="134"/>
          </rPr>
          <t xml:space="preserve">
10%</t>
        </r>
      </text>
    </comment>
    <comment ref="Y243" authorId="0" shapeId="0" xr:uid="{00000000-0006-0000-0200-0000CE000000}">
      <text>
        <r>
          <rPr>
            <b/>
            <sz val="9"/>
            <rFont val="宋体"/>
            <family val="3"/>
            <charset val="134"/>
          </rPr>
          <t>作者:</t>
        </r>
        <r>
          <rPr>
            <sz val="9"/>
            <rFont val="宋体"/>
            <family val="3"/>
            <charset val="134"/>
          </rPr>
          <t xml:space="preserve">
8.1%
</t>
        </r>
      </text>
    </comment>
    <comment ref="AA243" authorId="0" shapeId="0" xr:uid="{00000000-0006-0000-0200-0000CF000000}">
      <text>
        <r>
          <rPr>
            <b/>
            <sz val="9"/>
            <rFont val="宋体"/>
            <family val="3"/>
            <charset val="134"/>
          </rPr>
          <t>作者:</t>
        </r>
        <r>
          <rPr>
            <sz val="9"/>
            <rFont val="宋体"/>
            <family val="3"/>
            <charset val="134"/>
          </rPr>
          <t xml:space="preserve">
9%</t>
        </r>
      </text>
    </comment>
    <comment ref="W244" authorId="0" shapeId="0" xr:uid="{00000000-0006-0000-0200-0000D0000000}">
      <text>
        <r>
          <rPr>
            <b/>
            <sz val="9"/>
            <rFont val="宋体"/>
            <family val="3"/>
            <charset val="134"/>
          </rPr>
          <t>作者:</t>
        </r>
        <r>
          <rPr>
            <sz val="9"/>
            <rFont val="宋体"/>
            <family val="3"/>
            <charset val="134"/>
          </rPr>
          <t xml:space="preserve">
1500</t>
        </r>
      </text>
    </comment>
    <comment ref="X244" authorId="0" shapeId="0" xr:uid="{00000000-0006-0000-0200-0000D1000000}">
      <text>
        <r>
          <rPr>
            <b/>
            <sz val="9"/>
            <rFont val="宋体"/>
            <family val="3"/>
            <charset val="134"/>
          </rPr>
          <t>作者:</t>
        </r>
        <r>
          <rPr>
            <sz val="9"/>
            <rFont val="宋体"/>
            <family val="3"/>
            <charset val="134"/>
          </rPr>
          <t xml:space="preserve">
2100</t>
        </r>
      </text>
    </comment>
    <comment ref="AA244" authorId="0" shapeId="0" xr:uid="{00000000-0006-0000-0200-0000D2000000}">
      <text>
        <r>
          <rPr>
            <b/>
            <sz val="9"/>
            <rFont val="宋体"/>
            <family val="3"/>
            <charset val="134"/>
          </rPr>
          <t>作者:</t>
        </r>
        <r>
          <rPr>
            <sz val="9"/>
            <rFont val="宋体"/>
            <family val="3"/>
            <charset val="134"/>
          </rPr>
          <t xml:space="preserve">
3748</t>
        </r>
      </text>
    </comment>
    <comment ref="AC244" authorId="0" shapeId="0" xr:uid="{00000000-0006-0000-0200-0000D3000000}">
      <text>
        <r>
          <rPr>
            <b/>
            <sz val="9"/>
            <rFont val="宋体"/>
            <family val="3"/>
            <charset val="134"/>
          </rPr>
          <t>作者:</t>
        </r>
        <r>
          <rPr>
            <sz val="9"/>
            <rFont val="宋体"/>
            <family val="3"/>
            <charset val="134"/>
          </rPr>
          <t xml:space="preserve">
Amortization of intangible assets </t>
        </r>
      </text>
    </comment>
    <comment ref="W246" authorId="0" shapeId="0" xr:uid="{00000000-0006-0000-0200-0000D4000000}">
      <text>
        <r>
          <rPr>
            <b/>
            <sz val="9"/>
            <rFont val="宋体"/>
            <family val="3"/>
            <charset val="134"/>
          </rPr>
          <t>作者:</t>
        </r>
        <r>
          <rPr>
            <sz val="9"/>
            <rFont val="宋体"/>
            <family val="3"/>
            <charset val="134"/>
          </rPr>
          <t xml:space="preserve">
24696</t>
        </r>
      </text>
    </comment>
    <comment ref="X246" authorId="0" shapeId="0" xr:uid="{00000000-0006-0000-0200-0000D5000000}">
      <text>
        <r>
          <rPr>
            <b/>
            <sz val="9"/>
            <rFont val="宋体"/>
            <family val="3"/>
            <charset val="134"/>
          </rPr>
          <t>作者:</t>
        </r>
        <r>
          <rPr>
            <sz val="9"/>
            <rFont val="宋体"/>
            <family val="3"/>
            <charset val="134"/>
          </rPr>
          <t xml:space="preserve">
20126</t>
        </r>
      </text>
    </comment>
    <comment ref="AA246" authorId="0" shapeId="0" xr:uid="{00000000-0006-0000-0200-0000D6000000}">
      <text>
        <r>
          <rPr>
            <b/>
            <sz val="9"/>
            <rFont val="宋体"/>
            <family val="3"/>
            <charset val="134"/>
          </rPr>
          <t>作者:</t>
        </r>
        <r>
          <rPr>
            <sz val="9"/>
            <rFont val="宋体"/>
            <family val="3"/>
            <charset val="134"/>
          </rPr>
          <t xml:space="preserve">
20347</t>
        </r>
      </text>
    </comment>
    <comment ref="W256" authorId="0" shapeId="0" xr:uid="{00000000-0006-0000-0200-0000D7000000}">
      <text>
        <r>
          <rPr>
            <b/>
            <sz val="9"/>
            <rFont val="宋体"/>
            <family val="3"/>
            <charset val="134"/>
          </rPr>
          <t>作者:</t>
        </r>
        <r>
          <rPr>
            <sz val="9"/>
            <rFont val="宋体"/>
            <family val="3"/>
            <charset val="134"/>
          </rPr>
          <t xml:space="preserve">
1000</t>
        </r>
      </text>
    </comment>
    <comment ref="X256" authorId="0" shapeId="0" xr:uid="{00000000-0006-0000-0200-0000D8000000}">
      <text>
        <r>
          <rPr>
            <b/>
            <sz val="9"/>
            <rFont val="宋体"/>
            <family val="3"/>
            <charset val="134"/>
          </rPr>
          <t>作者:</t>
        </r>
        <r>
          <rPr>
            <sz val="9"/>
            <rFont val="宋体"/>
            <family val="3"/>
            <charset val="134"/>
          </rPr>
          <t xml:space="preserve">
1000</t>
        </r>
      </text>
    </comment>
    <comment ref="AA256" authorId="0" shapeId="0" xr:uid="{00000000-0006-0000-0200-0000D9000000}">
      <text>
        <r>
          <rPr>
            <b/>
            <sz val="9"/>
            <rFont val="宋体"/>
            <family val="3"/>
            <charset val="134"/>
          </rPr>
          <t>作者:</t>
        </r>
        <r>
          <rPr>
            <sz val="9"/>
            <rFont val="宋体"/>
            <family val="3"/>
            <charset val="134"/>
          </rPr>
          <t xml:space="preserve">
1341
</t>
        </r>
      </text>
    </comment>
    <comment ref="W257" authorId="0" shapeId="0" xr:uid="{00000000-0006-0000-0200-0000DA000000}">
      <text>
        <r>
          <rPr>
            <b/>
            <sz val="9"/>
            <rFont val="宋体"/>
            <family val="3"/>
            <charset val="134"/>
          </rPr>
          <t>作者:</t>
        </r>
        <r>
          <rPr>
            <sz val="9"/>
            <rFont val="宋体"/>
            <family val="3"/>
            <charset val="134"/>
          </rPr>
          <t xml:space="preserve">
-3000</t>
        </r>
      </text>
    </comment>
    <comment ref="X257" authorId="0" shapeId="0" xr:uid="{00000000-0006-0000-0200-0000DB000000}">
      <text>
        <r>
          <rPr>
            <b/>
            <sz val="9"/>
            <rFont val="宋体"/>
            <family val="3"/>
            <charset val="134"/>
          </rPr>
          <t>作者:</t>
        </r>
        <r>
          <rPr>
            <sz val="9"/>
            <rFont val="宋体"/>
            <family val="3"/>
            <charset val="134"/>
          </rPr>
          <t xml:space="preserve">
-3000</t>
        </r>
      </text>
    </comment>
    <comment ref="AA257" authorId="0" shapeId="0" xr:uid="{00000000-0006-0000-0200-0000DC000000}">
      <text>
        <r>
          <rPr>
            <b/>
            <sz val="9"/>
            <rFont val="宋体"/>
            <family val="3"/>
            <charset val="134"/>
          </rPr>
          <t>作者:</t>
        </r>
        <r>
          <rPr>
            <sz val="9"/>
            <rFont val="宋体"/>
            <family val="3"/>
            <charset val="134"/>
          </rPr>
          <t xml:space="preserve">
-2638</t>
        </r>
      </text>
    </comment>
    <comment ref="AA258" authorId="0" shapeId="0" xr:uid="{00000000-0006-0000-0200-0000DD000000}">
      <text>
        <r>
          <rPr>
            <b/>
            <sz val="9"/>
            <rFont val="宋体"/>
            <family val="3"/>
            <charset val="134"/>
          </rPr>
          <t>作者:</t>
        </r>
        <r>
          <rPr>
            <sz val="9"/>
            <rFont val="宋体"/>
            <family val="3"/>
            <charset val="134"/>
          </rPr>
          <t xml:space="preserve">
21643</t>
        </r>
      </text>
    </comment>
    <comment ref="W259" authorId="0" shapeId="0" xr:uid="{00000000-0006-0000-0200-0000DE000000}">
      <text>
        <r>
          <rPr>
            <b/>
            <sz val="9"/>
            <rFont val="宋体"/>
            <family val="3"/>
            <charset val="134"/>
          </rPr>
          <t>作者:</t>
        </r>
        <r>
          <rPr>
            <sz val="9"/>
            <rFont val="宋体"/>
            <family val="3"/>
            <charset val="134"/>
          </rPr>
          <t xml:space="preserve">
23%</t>
        </r>
      </text>
    </comment>
    <comment ref="X259" authorId="0" shapeId="0" xr:uid="{00000000-0006-0000-0200-0000DF000000}">
      <text>
        <r>
          <rPr>
            <b/>
            <sz val="9"/>
            <rFont val="宋体"/>
            <family val="3"/>
            <charset val="134"/>
          </rPr>
          <t>作者:</t>
        </r>
        <r>
          <rPr>
            <sz val="9"/>
            <rFont val="宋体"/>
            <family val="3"/>
            <charset val="134"/>
          </rPr>
          <t xml:space="preserve">
13%</t>
        </r>
      </text>
    </comment>
    <comment ref="AA259" authorId="0" shapeId="0" xr:uid="{00000000-0006-0000-0200-0000E0000000}">
      <text>
        <r>
          <rPr>
            <b/>
            <sz val="9"/>
            <rFont val="宋体"/>
            <family val="3"/>
            <charset val="134"/>
          </rPr>
          <t>作者:</t>
        </r>
        <r>
          <rPr>
            <sz val="9"/>
            <rFont val="宋体"/>
            <family val="3"/>
            <charset val="134"/>
          </rPr>
          <t xml:space="preserve">
24.9%</t>
        </r>
      </text>
    </comment>
    <comment ref="W261" authorId="0" shapeId="0" xr:uid="{00000000-0006-0000-0200-0000E1000000}">
      <text>
        <r>
          <rPr>
            <b/>
            <sz val="9"/>
            <rFont val="宋体"/>
            <family val="3"/>
            <charset val="134"/>
          </rPr>
          <t>作者:</t>
        </r>
        <r>
          <rPr>
            <sz val="9"/>
            <rFont val="宋体"/>
            <family val="3"/>
            <charset val="134"/>
          </rPr>
          <t xml:space="preserve">
-700</t>
        </r>
      </text>
    </comment>
    <comment ref="X261" authorId="0" shapeId="0" xr:uid="{00000000-0006-0000-0200-0000E2000000}">
      <text>
        <r>
          <rPr>
            <b/>
            <sz val="9"/>
            <rFont val="宋体"/>
            <family val="3"/>
            <charset val="134"/>
          </rPr>
          <t>作者:</t>
        </r>
        <r>
          <rPr>
            <sz val="9"/>
            <rFont val="宋体"/>
            <family val="3"/>
            <charset val="134"/>
          </rPr>
          <t xml:space="preserve">
-700</t>
        </r>
      </text>
    </comment>
    <comment ref="AA261" authorId="0" shapeId="0" xr:uid="{00000000-0006-0000-0200-0000E3000000}">
      <text>
        <r>
          <rPr>
            <b/>
            <sz val="9"/>
            <rFont val="宋体"/>
            <family val="3"/>
            <charset val="134"/>
          </rPr>
          <t>作者:</t>
        </r>
        <r>
          <rPr>
            <sz val="9"/>
            <rFont val="宋体"/>
            <family val="3"/>
            <charset val="134"/>
          </rPr>
          <t xml:space="preserve">
-1573</t>
        </r>
      </text>
    </comment>
    <comment ref="W262" authorId="0" shapeId="0" xr:uid="{00000000-0006-0000-0200-0000E4000000}">
      <text>
        <r>
          <rPr>
            <b/>
            <sz val="9"/>
            <rFont val="宋体"/>
            <family val="3"/>
            <charset val="134"/>
          </rPr>
          <t>作者:</t>
        </r>
        <r>
          <rPr>
            <sz val="9"/>
            <rFont val="宋体"/>
            <family val="3"/>
            <charset val="134"/>
          </rPr>
          <t xml:space="preserve">
1500</t>
        </r>
      </text>
    </comment>
    <comment ref="X262" authorId="0" shapeId="0" xr:uid="{00000000-0006-0000-0200-0000E5000000}">
      <text>
        <r>
          <rPr>
            <b/>
            <sz val="9"/>
            <rFont val="宋体"/>
            <family val="3"/>
            <charset val="134"/>
          </rPr>
          <t>作者:</t>
        </r>
        <r>
          <rPr>
            <sz val="9"/>
            <rFont val="宋体"/>
            <family val="3"/>
            <charset val="134"/>
          </rPr>
          <t xml:space="preserve">
1500</t>
        </r>
      </text>
    </comment>
    <comment ref="AA262" authorId="0" shapeId="0" xr:uid="{00000000-0006-0000-0200-0000E6000000}">
      <text>
        <r>
          <rPr>
            <b/>
            <sz val="9"/>
            <rFont val="宋体"/>
            <family val="3"/>
            <charset val="134"/>
          </rPr>
          <t>作者:</t>
        </r>
        <r>
          <rPr>
            <sz val="9"/>
            <rFont val="宋体"/>
            <family val="3"/>
            <charset val="134"/>
          </rPr>
          <t xml:space="preserve">
-150</t>
        </r>
      </text>
    </comment>
    <comment ref="W264" authorId="0" shapeId="0" xr:uid="{00000000-0006-0000-0200-0000E7000000}">
      <text>
        <r>
          <rPr>
            <b/>
            <sz val="9"/>
            <rFont val="宋体"/>
            <family val="3"/>
            <charset val="134"/>
          </rPr>
          <t>作者:</t>
        </r>
        <r>
          <rPr>
            <sz val="9"/>
            <rFont val="宋体"/>
            <family val="3"/>
            <charset val="134"/>
          </rPr>
          <t xml:space="preserve">
-38</t>
        </r>
      </text>
    </comment>
    <comment ref="AA264" authorId="0" shapeId="0" xr:uid="{00000000-0006-0000-0200-0000E8000000}">
      <text>
        <r>
          <rPr>
            <b/>
            <sz val="9"/>
            <rFont val="宋体"/>
            <family val="3"/>
            <charset val="134"/>
          </rPr>
          <t>作者:</t>
        </r>
        <r>
          <rPr>
            <sz val="9"/>
            <rFont val="宋体"/>
            <family val="3"/>
            <charset val="134"/>
          </rPr>
          <t xml:space="preserve">
-1250</t>
        </r>
      </text>
    </comment>
    <comment ref="W267" authorId="0" shapeId="0" xr:uid="{00000000-0006-0000-0200-0000E9000000}">
      <text>
        <r>
          <rPr>
            <b/>
            <sz val="9"/>
            <rFont val="宋体"/>
            <family val="3"/>
            <charset val="134"/>
          </rPr>
          <t>作者:</t>
        </r>
        <r>
          <rPr>
            <sz val="9"/>
            <rFont val="宋体"/>
            <family val="3"/>
            <charset val="134"/>
          </rPr>
          <t xml:space="preserve">
6%</t>
        </r>
      </text>
    </comment>
    <comment ref="X267" authorId="0" shapeId="0" xr:uid="{00000000-0006-0000-0200-0000EA000000}">
      <text>
        <r>
          <rPr>
            <b/>
            <sz val="9"/>
            <rFont val="宋体"/>
            <family val="3"/>
            <charset val="134"/>
          </rPr>
          <t>作者:</t>
        </r>
        <r>
          <rPr>
            <sz val="9"/>
            <rFont val="宋体"/>
            <family val="3"/>
            <charset val="134"/>
          </rPr>
          <t xml:space="preserve">
6%</t>
        </r>
      </text>
    </comment>
    <comment ref="Y267" authorId="0" shapeId="0" xr:uid="{00000000-0006-0000-0200-0000EB000000}">
      <text>
        <r>
          <rPr>
            <b/>
            <sz val="9"/>
            <rFont val="宋体"/>
            <family val="3"/>
            <charset val="134"/>
          </rPr>
          <t>作者:</t>
        </r>
        <r>
          <rPr>
            <sz val="9"/>
            <rFont val="宋体"/>
            <family val="3"/>
            <charset val="134"/>
          </rPr>
          <t xml:space="preserve">
5.7%
</t>
        </r>
      </text>
    </comment>
    <comment ref="AA267" authorId="0" shapeId="0" xr:uid="{00000000-0006-0000-0200-0000EC000000}">
      <text>
        <r>
          <rPr>
            <b/>
            <sz val="9"/>
            <rFont val="宋体"/>
            <family val="3"/>
            <charset val="134"/>
          </rPr>
          <t>作者:</t>
        </r>
        <r>
          <rPr>
            <sz val="9"/>
            <rFont val="宋体"/>
            <family val="3"/>
            <charset val="134"/>
          </rPr>
          <t xml:space="preserve">
6.0%</t>
        </r>
      </text>
    </comment>
    <comment ref="W275" authorId="0" shapeId="0" xr:uid="{00000000-0006-0000-0200-0000ED000000}">
      <text>
        <r>
          <rPr>
            <b/>
            <sz val="9"/>
            <rFont val="宋体"/>
            <family val="3"/>
            <charset val="134"/>
          </rPr>
          <t>作者:</t>
        </r>
        <r>
          <rPr>
            <sz val="9"/>
            <rFont val="宋体"/>
            <family val="3"/>
            <charset val="134"/>
          </rPr>
          <t xml:space="preserve">
1606</t>
        </r>
      </text>
    </comment>
    <comment ref="X275" authorId="0" shapeId="0" xr:uid="{00000000-0006-0000-0200-0000EE000000}">
      <text>
        <r>
          <rPr>
            <b/>
            <sz val="9"/>
            <rFont val="宋体"/>
            <family val="3"/>
            <charset val="134"/>
          </rPr>
          <t>作者:</t>
        </r>
        <r>
          <rPr>
            <sz val="9"/>
            <rFont val="宋体"/>
            <family val="3"/>
            <charset val="134"/>
          </rPr>
          <t xml:space="preserve">
2013</t>
        </r>
      </text>
    </comment>
    <comment ref="AA275" authorId="0" shapeId="0" xr:uid="{00000000-0006-0000-0200-0000EF000000}">
      <text>
        <r>
          <rPr>
            <b/>
            <sz val="9"/>
            <rFont val="宋体"/>
            <family val="3"/>
            <charset val="134"/>
          </rPr>
          <t>作者:</t>
        </r>
        <r>
          <rPr>
            <sz val="9"/>
            <rFont val="宋体"/>
            <family val="3"/>
            <charset val="134"/>
          </rPr>
          <t xml:space="preserve">
4850</t>
        </r>
      </text>
    </comment>
    <comment ref="W278" authorId="0" shapeId="0" xr:uid="{00000000-0006-0000-0200-0000F0000000}">
      <text>
        <r>
          <rPr>
            <b/>
            <sz val="9"/>
            <rFont val="宋体"/>
            <family val="3"/>
            <charset val="134"/>
          </rPr>
          <t>作者:</t>
        </r>
        <r>
          <rPr>
            <sz val="9"/>
            <rFont val="宋体"/>
            <family val="3"/>
            <charset val="134"/>
          </rPr>
          <t xml:space="preserve">
19007</t>
        </r>
      </text>
    </comment>
    <comment ref="X278" authorId="0" shapeId="0" xr:uid="{00000000-0006-0000-0200-0000F1000000}">
      <text>
        <r>
          <rPr>
            <b/>
            <sz val="9"/>
            <rFont val="宋体"/>
            <family val="3"/>
            <charset val="134"/>
          </rPr>
          <t>作者:</t>
        </r>
        <r>
          <rPr>
            <sz val="9"/>
            <rFont val="宋体"/>
            <family val="3"/>
            <charset val="134"/>
          </rPr>
          <t xml:space="preserve">
17762</t>
        </r>
      </text>
    </comment>
    <comment ref="AA278" authorId="0" shapeId="0" xr:uid="{00000000-0006-0000-0200-0000F2000000}">
      <text>
        <r>
          <rPr>
            <b/>
            <sz val="9"/>
            <rFont val="宋体"/>
            <family val="3"/>
            <charset val="134"/>
          </rPr>
          <t>作者:</t>
        </r>
        <r>
          <rPr>
            <sz val="9"/>
            <rFont val="宋体"/>
            <family val="3"/>
            <charset val="134"/>
          </rPr>
          <t xml:space="preserve">
16400</t>
        </r>
      </text>
    </comment>
    <comment ref="W280" authorId="0" shapeId="0" xr:uid="{00000000-0006-0000-0200-0000F3000000}">
      <text>
        <r>
          <rPr>
            <b/>
            <sz val="9"/>
            <rFont val="宋体"/>
            <family val="3"/>
            <charset val="134"/>
          </rPr>
          <t>作者:</t>
        </r>
        <r>
          <rPr>
            <sz val="9"/>
            <rFont val="宋体"/>
            <family val="3"/>
            <charset val="134"/>
          </rPr>
          <t xml:space="preserve">
6229</t>
        </r>
      </text>
    </comment>
    <comment ref="X280" authorId="0" shapeId="0" xr:uid="{00000000-0006-0000-0200-0000F4000000}">
      <text>
        <r>
          <rPr>
            <b/>
            <sz val="9"/>
            <rFont val="宋体"/>
            <family val="3"/>
            <charset val="134"/>
          </rPr>
          <t>作者:</t>
        </r>
        <r>
          <rPr>
            <sz val="9"/>
            <rFont val="宋体"/>
            <family val="3"/>
            <charset val="134"/>
          </rPr>
          <t xml:space="preserve">
7326</t>
        </r>
      </text>
    </comment>
    <comment ref="W283" authorId="0" shapeId="0" xr:uid="{00000000-0006-0000-0200-0000F5000000}">
      <text>
        <r>
          <rPr>
            <b/>
            <sz val="9"/>
            <rFont val="宋体"/>
            <family val="3"/>
            <charset val="134"/>
          </rPr>
          <t>作者:</t>
        </r>
        <r>
          <rPr>
            <sz val="9"/>
            <rFont val="宋体"/>
            <family val="3"/>
            <charset val="134"/>
          </rPr>
          <t xml:space="preserve">
1500</t>
        </r>
      </text>
    </comment>
    <comment ref="X283" authorId="0" shapeId="0" xr:uid="{00000000-0006-0000-0200-0000F6000000}">
      <text>
        <r>
          <rPr>
            <b/>
            <sz val="9"/>
            <rFont val="宋体"/>
            <family val="3"/>
            <charset val="134"/>
          </rPr>
          <t>作者:</t>
        </r>
        <r>
          <rPr>
            <sz val="9"/>
            <rFont val="宋体"/>
            <family val="3"/>
            <charset val="134"/>
          </rPr>
          <t xml:space="preserve">
2100</t>
        </r>
      </text>
    </comment>
    <comment ref="AA283" authorId="0" shapeId="0" xr:uid="{00000000-0006-0000-0200-0000F7000000}">
      <text>
        <r>
          <rPr>
            <b/>
            <sz val="9"/>
            <rFont val="宋体"/>
            <family val="3"/>
            <charset val="134"/>
          </rPr>
          <t>作者:</t>
        </r>
        <r>
          <rPr>
            <sz val="9"/>
            <rFont val="宋体"/>
            <family val="3"/>
            <charset val="134"/>
          </rPr>
          <t xml:space="preserve">
3748</t>
        </r>
      </text>
    </comment>
    <comment ref="W284" authorId="0" shapeId="0" xr:uid="{00000000-0006-0000-0200-0000F8000000}">
      <text>
        <r>
          <rPr>
            <b/>
            <sz val="9"/>
            <rFont val="宋体"/>
            <family val="3"/>
            <charset val="134"/>
          </rPr>
          <t>作者:</t>
        </r>
        <r>
          <rPr>
            <sz val="9"/>
            <rFont val="宋体"/>
            <family val="3"/>
            <charset val="134"/>
          </rPr>
          <t xml:space="preserve">
1000</t>
        </r>
      </text>
    </comment>
    <comment ref="X284" authorId="0" shapeId="0" xr:uid="{00000000-0006-0000-0200-0000F9000000}">
      <text>
        <r>
          <rPr>
            <b/>
            <sz val="9"/>
            <rFont val="宋体"/>
            <family val="3"/>
            <charset val="134"/>
          </rPr>
          <t>作者:</t>
        </r>
        <r>
          <rPr>
            <sz val="9"/>
            <rFont val="宋体"/>
            <family val="3"/>
            <charset val="134"/>
          </rPr>
          <t xml:space="preserve">
1000</t>
        </r>
      </text>
    </comment>
    <comment ref="W286" authorId="0" shapeId="0" xr:uid="{00000000-0006-0000-0200-0000FA000000}">
      <text>
        <r>
          <rPr>
            <b/>
            <sz val="9"/>
            <rFont val="宋体"/>
            <family val="3"/>
            <charset val="134"/>
          </rPr>
          <t>作者:</t>
        </r>
        <r>
          <rPr>
            <sz val="9"/>
            <rFont val="宋体"/>
            <family val="3"/>
            <charset val="134"/>
          </rPr>
          <t xml:space="preserve">
-1000</t>
        </r>
      </text>
    </comment>
    <comment ref="X286" authorId="0" shapeId="0" xr:uid="{00000000-0006-0000-0200-0000FB000000}">
      <text>
        <r>
          <rPr>
            <b/>
            <sz val="9"/>
            <rFont val="宋体"/>
            <family val="3"/>
            <charset val="134"/>
          </rPr>
          <t>作者:</t>
        </r>
        <r>
          <rPr>
            <sz val="9"/>
            <rFont val="宋体"/>
            <family val="3"/>
            <charset val="134"/>
          </rPr>
          <t xml:space="preserve">
-1000</t>
        </r>
      </text>
    </comment>
    <comment ref="W287" authorId="0" shapeId="0" xr:uid="{00000000-0006-0000-0200-0000FC000000}">
      <text>
        <r>
          <rPr>
            <b/>
            <sz val="9"/>
            <rFont val="宋体"/>
            <family val="3"/>
            <charset val="134"/>
          </rPr>
          <t>作者:</t>
        </r>
        <r>
          <rPr>
            <sz val="9"/>
            <rFont val="宋体"/>
            <family val="3"/>
            <charset val="134"/>
          </rPr>
          <t xml:space="preserve">
67</t>
        </r>
      </text>
    </comment>
    <comment ref="X287" authorId="0" shapeId="0" xr:uid="{00000000-0006-0000-0200-0000FD000000}">
      <text>
        <r>
          <rPr>
            <b/>
            <sz val="9"/>
            <rFont val="宋体"/>
            <family val="3"/>
            <charset val="134"/>
          </rPr>
          <t>作者:</t>
        </r>
        <r>
          <rPr>
            <sz val="9"/>
            <rFont val="宋体"/>
            <family val="3"/>
            <charset val="134"/>
          </rPr>
          <t xml:space="preserve">
66</t>
        </r>
      </text>
    </comment>
    <comment ref="W289" authorId="0" shapeId="0" xr:uid="{00000000-0006-0000-0200-0000FE000000}">
      <text>
        <r>
          <rPr>
            <b/>
            <sz val="9"/>
            <rFont val="宋体"/>
            <family val="3"/>
            <charset val="134"/>
          </rPr>
          <t>作者:</t>
        </r>
        <r>
          <rPr>
            <sz val="9"/>
            <rFont val="宋体"/>
            <family val="3"/>
            <charset val="134"/>
          </rPr>
          <t xml:space="preserve">
-100</t>
        </r>
      </text>
    </comment>
    <comment ref="X289" authorId="0" shapeId="0" xr:uid="{00000000-0006-0000-0200-0000FF000000}">
      <text>
        <r>
          <rPr>
            <b/>
            <sz val="9"/>
            <rFont val="宋体"/>
            <family val="3"/>
            <charset val="134"/>
          </rPr>
          <t>作者:</t>
        </r>
        <r>
          <rPr>
            <sz val="9"/>
            <rFont val="宋体"/>
            <family val="3"/>
            <charset val="134"/>
          </rPr>
          <t xml:space="preserve">
-100</t>
        </r>
      </text>
    </comment>
    <comment ref="W292" authorId="0" shapeId="0" xr:uid="{00000000-0006-0000-0200-000000010000}">
      <text>
        <r>
          <rPr>
            <b/>
            <sz val="9"/>
            <rFont val="宋体"/>
            <family val="3"/>
            <charset val="134"/>
          </rPr>
          <t>作者:</t>
        </r>
        <r>
          <rPr>
            <sz val="9"/>
            <rFont val="宋体"/>
            <family val="3"/>
            <charset val="134"/>
          </rPr>
          <t xml:space="preserve">
25236</t>
        </r>
      </text>
    </comment>
    <comment ref="X292" authorId="0" shapeId="0" xr:uid="{00000000-0006-0000-0200-000001010000}">
      <text>
        <r>
          <rPr>
            <b/>
            <sz val="9"/>
            <rFont val="宋体"/>
            <family val="3"/>
            <charset val="134"/>
          </rPr>
          <t>作者:</t>
        </r>
        <r>
          <rPr>
            <sz val="9"/>
            <rFont val="宋体"/>
            <family val="3"/>
            <charset val="134"/>
          </rPr>
          <t xml:space="preserve">
25089</t>
        </r>
      </text>
    </comment>
    <comment ref="AA292" authorId="0" shapeId="0" xr:uid="{00000000-0006-0000-0200-000002010000}">
      <text>
        <r>
          <rPr>
            <b/>
            <sz val="9"/>
            <rFont val="宋体"/>
            <family val="3"/>
            <charset val="134"/>
          </rPr>
          <t>作者:</t>
        </r>
        <r>
          <rPr>
            <sz val="9"/>
            <rFont val="宋体"/>
            <family val="3"/>
            <charset val="134"/>
          </rPr>
          <t xml:space="preserve">
25694</t>
        </r>
      </text>
    </comment>
    <comment ref="W295" authorId="0" shapeId="0" xr:uid="{00000000-0006-0000-0200-000003010000}">
      <text>
        <r>
          <rPr>
            <b/>
            <sz val="9"/>
            <rFont val="宋体"/>
            <family val="3"/>
            <charset val="134"/>
          </rPr>
          <t>作者:</t>
        </r>
        <r>
          <rPr>
            <sz val="9"/>
            <rFont val="宋体"/>
            <family val="3"/>
            <charset val="134"/>
          </rPr>
          <t xml:space="preserve">
19707</t>
        </r>
      </text>
    </comment>
    <comment ref="X295" authorId="0" shapeId="0" xr:uid="{00000000-0006-0000-0200-000004010000}">
      <text>
        <r>
          <rPr>
            <b/>
            <sz val="9"/>
            <rFont val="宋体"/>
            <family val="3"/>
            <charset val="134"/>
          </rPr>
          <t>作者:</t>
        </r>
        <r>
          <rPr>
            <sz val="9"/>
            <rFont val="宋体"/>
            <family val="3"/>
            <charset val="134"/>
          </rPr>
          <t xml:space="preserve">
18462</t>
        </r>
      </text>
    </comment>
    <comment ref="AA295" authorId="0" shapeId="0" xr:uid="{00000000-0006-0000-0200-000005010000}">
      <text>
        <r>
          <rPr>
            <b/>
            <sz val="9"/>
            <rFont val="宋体"/>
            <family val="3"/>
            <charset val="134"/>
          </rPr>
          <t>作者:</t>
        </r>
        <r>
          <rPr>
            <sz val="9"/>
            <rFont val="宋体"/>
            <family val="3"/>
            <charset val="134"/>
          </rPr>
          <t xml:space="preserve">
17973</t>
        </r>
      </text>
    </comment>
    <comment ref="W299" authorId="0" shapeId="0" xr:uid="{00000000-0006-0000-0200-000006010000}">
      <text>
        <r>
          <rPr>
            <b/>
            <sz val="9"/>
            <rFont val="宋体"/>
            <family val="3"/>
            <charset val="134"/>
          </rPr>
          <t>作者:</t>
        </r>
        <r>
          <rPr>
            <sz val="9"/>
            <rFont val="宋体"/>
            <family val="3"/>
            <charset val="134"/>
          </rPr>
          <t xml:space="preserve">
19707</t>
        </r>
      </text>
    </comment>
    <comment ref="X299" authorId="0" shapeId="0" xr:uid="{00000000-0006-0000-0200-000007010000}">
      <text>
        <r>
          <rPr>
            <b/>
            <sz val="9"/>
            <rFont val="宋体"/>
            <family val="3"/>
            <charset val="134"/>
          </rPr>
          <t>作者:</t>
        </r>
        <r>
          <rPr>
            <sz val="9"/>
            <rFont val="宋体"/>
            <family val="3"/>
            <charset val="134"/>
          </rPr>
          <t xml:space="preserve">
18462</t>
        </r>
      </text>
    </comment>
    <comment ref="AA299" authorId="0" shapeId="0" xr:uid="{00000000-0006-0000-0200-000008010000}">
      <text>
        <r>
          <rPr>
            <b/>
            <sz val="9"/>
            <rFont val="宋体"/>
            <family val="3"/>
            <charset val="134"/>
          </rPr>
          <t>作者:</t>
        </r>
        <r>
          <rPr>
            <sz val="9"/>
            <rFont val="宋体"/>
            <family val="3"/>
            <charset val="134"/>
          </rPr>
          <t xml:space="preserve">
17973</t>
        </r>
      </text>
    </comment>
    <comment ref="W301" authorId="0" shapeId="0" xr:uid="{00000000-0006-0000-0200-000009010000}">
      <text>
        <r>
          <rPr>
            <b/>
            <sz val="9"/>
            <rFont val="宋体"/>
            <family val="3"/>
            <charset val="134"/>
          </rPr>
          <t>作者:</t>
        </r>
        <r>
          <rPr>
            <sz val="9"/>
            <rFont val="宋体"/>
            <family val="3"/>
            <charset val="134"/>
          </rPr>
          <t xml:space="preserve">
-5</t>
        </r>
      </text>
    </comment>
    <comment ref="X301" authorId="0" shapeId="0" xr:uid="{00000000-0006-0000-0200-00000A010000}">
      <text>
        <r>
          <rPr>
            <b/>
            <sz val="9"/>
            <rFont val="宋体"/>
            <family val="3"/>
            <charset val="134"/>
          </rPr>
          <t>作者:</t>
        </r>
        <r>
          <rPr>
            <sz val="9"/>
            <rFont val="宋体"/>
            <family val="3"/>
            <charset val="134"/>
          </rPr>
          <t xml:space="preserve">
-5</t>
        </r>
      </text>
    </comment>
    <comment ref="AA301" authorId="0" shapeId="0" xr:uid="{00000000-0006-0000-0200-00000B010000}">
      <text>
        <r>
          <rPr>
            <b/>
            <sz val="9"/>
            <rFont val="宋体"/>
            <family val="3"/>
            <charset val="134"/>
          </rPr>
          <t>作者:</t>
        </r>
        <r>
          <rPr>
            <sz val="9"/>
            <rFont val="宋体"/>
            <family val="3"/>
            <charset val="134"/>
          </rPr>
          <t xml:space="preserve">
0</t>
        </r>
      </text>
    </comment>
    <comment ref="W302" authorId="0" shapeId="0" xr:uid="{00000000-0006-0000-0200-00000C010000}">
      <text>
        <r>
          <rPr>
            <b/>
            <sz val="9"/>
            <rFont val="宋体"/>
            <family val="3"/>
            <charset val="134"/>
          </rPr>
          <t>作者:</t>
        </r>
        <r>
          <rPr>
            <sz val="9"/>
            <rFont val="宋体"/>
            <family val="3"/>
            <charset val="134"/>
          </rPr>
          <t xml:space="preserve">
25931</t>
        </r>
      </text>
    </comment>
    <comment ref="X302" authorId="0" shapeId="0" xr:uid="{00000000-0006-0000-0200-00000D010000}">
      <text>
        <r>
          <rPr>
            <b/>
            <sz val="9"/>
            <rFont val="宋体"/>
            <family val="3"/>
            <charset val="134"/>
          </rPr>
          <t>作者:</t>
        </r>
        <r>
          <rPr>
            <sz val="9"/>
            <rFont val="宋体"/>
            <family val="3"/>
            <charset val="134"/>
          </rPr>
          <t xml:space="preserve">
25783</t>
        </r>
      </text>
    </comment>
    <comment ref="AA302" authorId="0" shapeId="0" xr:uid="{00000000-0006-0000-0200-00000E010000}">
      <text>
        <r>
          <rPr>
            <b/>
            <sz val="9"/>
            <rFont val="宋体"/>
            <family val="3"/>
            <charset val="134"/>
          </rPr>
          <t>作者:</t>
        </r>
        <r>
          <rPr>
            <sz val="9"/>
            <rFont val="宋体"/>
            <family val="3"/>
            <charset val="134"/>
          </rPr>
          <t xml:space="preserve">
25727</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C22" authorId="0" shapeId="0" xr:uid="{00000000-0006-0000-0300-000001000000}">
      <text>
        <r>
          <rPr>
            <b/>
            <sz val="9"/>
            <color indexed="81"/>
            <rFont val="宋体"/>
            <family val="3"/>
            <charset val="134"/>
          </rPr>
          <t>作者:</t>
        </r>
        <r>
          <rPr>
            <sz val="9"/>
            <color indexed="81"/>
            <rFont val="宋体"/>
            <family val="3"/>
            <charset val="134"/>
          </rPr>
          <t xml:space="preserve">
Other investing activity
</t>
        </r>
      </text>
    </comment>
    <comment ref="AC35" authorId="0" shapeId="0" xr:uid="{00000000-0006-0000-0300-000002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D35" authorId="0" shapeId="0" xr:uid="{00000000-0006-0000-0300-000003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E35" authorId="0" shapeId="0" xr:uid="{00000000-0006-0000-0300-000004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F35" authorId="0" shapeId="0" xr:uid="{00000000-0006-0000-0300-000005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G35" authorId="0" shapeId="0" xr:uid="{00000000-0006-0000-0300-000006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H35" authorId="0" shapeId="0" xr:uid="{00000000-0006-0000-0300-000007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I35" authorId="0" shapeId="0" xr:uid="{00000000-0006-0000-0300-000008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J35" authorId="0" shapeId="0" xr:uid="{00000000-0006-0000-0300-000009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K35" authorId="0" shapeId="0" xr:uid="{00000000-0006-0000-0300-00000A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L35" authorId="0" shapeId="0" xr:uid="{00000000-0006-0000-0300-00000B000000}">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AX35" authorId="0" shapeId="0" xr:uid="{00000000-0006-0000-0300-00000C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AY35" authorId="0" shapeId="0" xr:uid="{00000000-0006-0000-0300-00000D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AZ35" authorId="0" shapeId="0" xr:uid="{00000000-0006-0000-0300-00000E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BA35" authorId="0" shapeId="0" xr:uid="{00000000-0006-0000-0300-00000F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BB35" authorId="0" shapeId="0" xr:uid="{00000000-0006-0000-0300-000010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BC35" authorId="0" shapeId="0" xr:uid="{00000000-0006-0000-0300-000011000000}">
      <text>
        <r>
          <rPr>
            <b/>
            <sz val="9"/>
            <color indexed="81"/>
            <rFont val="宋体"/>
            <family val="3"/>
            <charset val="134"/>
          </rPr>
          <t>作者:</t>
        </r>
        <r>
          <rPr>
            <sz val="9"/>
            <color indexed="81"/>
            <rFont val="宋体"/>
            <family val="3"/>
            <charset val="134"/>
          </rPr>
          <t xml:space="preserve">
Please Check Financial Report if this figure gets unusually high/low.
IF THE MODEL CRASH, PLEASE GO TO NOTE AND SWITCH THE CIRCUIT BREAKER TO YES AND BACK TO NO.</t>
        </r>
      </text>
    </comment>
    <comment ref="BM35" authorId="0" shapeId="0" xr:uid="{BEB2E042-92F1-49B6-AC29-9DA5A1748711}">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N35" authorId="0" shapeId="0" xr:uid="{4C8B3BAB-BFCF-4E55-99F9-A5B018BFC09D}">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O35" authorId="0" shapeId="0" xr:uid="{D8F3FA92-246C-4A5E-BC28-486703BB4906}">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P35" authorId="0" shapeId="0" xr:uid="{2C27651E-330A-4640-8718-557F6BB41A33}">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Q35" authorId="0" shapeId="0" xr:uid="{FE1BFEAF-22C4-4FE1-80DB-68DB1E040A3B}">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R35" authorId="0" shapeId="0" xr:uid="{4341668F-3292-42EF-8052-E18D030029B2}">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BS35" authorId="0" shapeId="0" xr:uid="{55E5991B-758F-41C2-8CC1-AFEE1F0810AC}">
      <text>
        <r>
          <rPr>
            <b/>
            <sz val="9"/>
            <color indexed="81"/>
            <rFont val="宋体"/>
            <family val="3"/>
            <charset val="134"/>
          </rPr>
          <t>作者:</t>
        </r>
        <r>
          <rPr>
            <sz val="9"/>
            <color indexed="81"/>
            <rFont val="宋体"/>
            <family val="3"/>
            <charset val="134"/>
          </rPr>
          <t xml:space="preserve">
Please Check Financial Report if this figure gets unusually high/low.
</t>
        </r>
      </text>
    </comment>
    <comment ref="C53" authorId="0" shapeId="0" xr:uid="{00000000-0006-0000-0300-000012000000}">
      <text>
        <r>
          <rPr>
            <b/>
            <sz val="8"/>
            <color indexed="81"/>
            <rFont val="Tahoma"/>
            <family val="2"/>
          </rPr>
          <t>作者:</t>
        </r>
        <r>
          <rPr>
            <sz val="8"/>
            <color indexed="81"/>
            <rFont val="Tahoma"/>
            <family val="2"/>
          </rPr>
          <t xml:space="preserve">
Avg Asset / Avg Equity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C23" authorId="0" shapeId="0" xr:uid="{00000000-0006-0000-0400-000001000000}">
      <text>
        <r>
          <rPr>
            <b/>
            <sz val="9"/>
            <color indexed="81"/>
            <rFont val="宋体"/>
            <family val="3"/>
            <charset val="134"/>
          </rPr>
          <t>作者:</t>
        </r>
        <r>
          <rPr>
            <sz val="9"/>
            <color indexed="81"/>
            <rFont val="宋体"/>
            <family val="3"/>
            <charset val="134"/>
          </rPr>
          <t xml:space="preserve">
No thesis on this line item. Straight line it</t>
        </r>
      </text>
    </comment>
    <comment ref="C25" authorId="0" shapeId="0" xr:uid="{00000000-0006-0000-0400-000002000000}">
      <text>
        <r>
          <rPr>
            <b/>
            <sz val="9"/>
            <color indexed="81"/>
            <rFont val="宋体"/>
            <family val="3"/>
            <charset val="134"/>
          </rPr>
          <t>作者:</t>
        </r>
        <r>
          <rPr>
            <sz val="9"/>
            <color indexed="81"/>
            <rFont val="宋体"/>
            <family val="3"/>
            <charset val="134"/>
          </rPr>
          <t xml:space="preserve">
Other Assets
</t>
        </r>
      </text>
    </comment>
    <comment ref="C32" authorId="0" shapeId="0" xr:uid="{00000000-0006-0000-0400-000003000000}">
      <text>
        <r>
          <rPr>
            <b/>
            <sz val="9"/>
            <color indexed="81"/>
            <rFont val="宋体"/>
            <family val="3"/>
            <charset val="134"/>
          </rPr>
          <t>作者:</t>
        </r>
        <r>
          <rPr>
            <sz val="9"/>
            <color indexed="81"/>
            <rFont val="宋体"/>
            <family val="3"/>
            <charset val="134"/>
          </rPr>
          <t xml:space="preserve">
Using other liability as proxy
</t>
        </r>
      </text>
    </comment>
    <comment ref="C33" authorId="0" shapeId="0" xr:uid="{00000000-0006-0000-0400-000004000000}">
      <text>
        <r>
          <rPr>
            <b/>
            <sz val="9"/>
            <color indexed="81"/>
            <rFont val="宋体"/>
            <family val="3"/>
            <charset val="134"/>
          </rPr>
          <t>作者:</t>
        </r>
        <r>
          <rPr>
            <sz val="9"/>
            <color indexed="81"/>
            <rFont val="宋体"/>
            <family val="3"/>
            <charset val="134"/>
          </rPr>
          <t xml:space="preserve">
No such line item on BS, so manually input zero. FX impact has already been factored in Retained Earnings through Net Income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W15" authorId="0" shapeId="0" xr:uid="{00000000-0006-0000-0800-000001000000}">
      <text>
        <r>
          <rPr>
            <b/>
            <sz val="9"/>
            <color indexed="81"/>
            <rFont val="宋体"/>
            <family val="3"/>
            <charset val="134"/>
          </rPr>
          <t>作者:</t>
        </r>
        <r>
          <rPr>
            <sz val="9"/>
            <color indexed="81"/>
            <rFont val="宋体"/>
            <family val="3"/>
            <charset val="134"/>
          </rPr>
          <t xml:space="preserve">
4820</t>
        </r>
      </text>
    </comment>
    <comment ref="AW23" authorId="0" shapeId="0" xr:uid="{00000000-0006-0000-0800-000002000000}">
      <text>
        <r>
          <rPr>
            <b/>
            <sz val="9"/>
            <color indexed="81"/>
            <rFont val="宋体"/>
            <family val="3"/>
            <charset val="134"/>
          </rPr>
          <t>作者:</t>
        </r>
        <r>
          <rPr>
            <sz val="9"/>
            <color indexed="81"/>
            <rFont val="宋体"/>
            <family val="3"/>
            <charset val="134"/>
          </rPr>
          <t xml:space="preserve">
2689</t>
        </r>
      </text>
    </comment>
    <comment ref="AX23" authorId="0" shapeId="0" xr:uid="{00000000-0006-0000-0800-000003000000}">
      <text>
        <r>
          <rPr>
            <b/>
            <sz val="9"/>
            <color indexed="81"/>
            <rFont val="宋体"/>
            <family val="3"/>
            <charset val="134"/>
          </rPr>
          <t>作者:</t>
        </r>
        <r>
          <rPr>
            <sz val="9"/>
            <color indexed="81"/>
            <rFont val="宋体"/>
            <family val="3"/>
            <charset val="134"/>
          </rPr>
          <t xml:space="preserve">
3115</t>
        </r>
      </text>
    </comment>
    <comment ref="AW30" authorId="0" shapeId="0" xr:uid="{00000000-0006-0000-0800-000004000000}">
      <text>
        <r>
          <rPr>
            <b/>
            <sz val="9"/>
            <color indexed="81"/>
            <rFont val="宋体"/>
            <family val="3"/>
            <charset val="134"/>
          </rPr>
          <t>作者:</t>
        </r>
        <r>
          <rPr>
            <sz val="9"/>
            <color indexed="81"/>
            <rFont val="宋体"/>
            <family val="3"/>
            <charset val="134"/>
          </rPr>
          <t xml:space="preserve">
2131</t>
        </r>
      </text>
    </comment>
    <comment ref="AX30" authorId="0" shapeId="0" xr:uid="{00000000-0006-0000-0800-000005000000}">
      <text>
        <r>
          <rPr>
            <b/>
            <sz val="9"/>
            <color indexed="81"/>
            <rFont val="宋体"/>
            <family val="3"/>
            <charset val="134"/>
          </rPr>
          <t>作者:</t>
        </r>
        <r>
          <rPr>
            <sz val="9"/>
            <color indexed="81"/>
            <rFont val="宋体"/>
            <family val="3"/>
            <charset val="134"/>
          </rPr>
          <t xml:space="preserve">
2612</t>
        </r>
      </text>
    </comment>
    <comment ref="AZ30" authorId="0" shapeId="0" xr:uid="{00000000-0006-0000-0800-000006000000}">
      <text>
        <r>
          <rPr>
            <b/>
            <sz val="9"/>
            <color indexed="81"/>
            <rFont val="宋体"/>
            <family val="3"/>
            <charset val="134"/>
          </rPr>
          <t>作者:</t>
        </r>
        <r>
          <rPr>
            <sz val="9"/>
            <color indexed="81"/>
            <rFont val="宋体"/>
            <family val="3"/>
            <charset val="134"/>
          </rPr>
          <t xml:space="preserve">
Target to double from FY18</t>
        </r>
      </text>
    </comment>
    <comment ref="AW32" authorId="0" shapeId="0" xr:uid="{00000000-0006-0000-0800-000007000000}">
      <text>
        <r>
          <rPr>
            <b/>
            <sz val="9"/>
            <color indexed="81"/>
            <rFont val="宋体"/>
            <family val="3"/>
            <charset val="134"/>
          </rPr>
          <t>作者:</t>
        </r>
        <r>
          <rPr>
            <sz val="9"/>
            <color indexed="81"/>
            <rFont val="宋体"/>
            <family val="3"/>
            <charset val="134"/>
          </rPr>
          <t xml:space="preserve">
36% full year
45% physical goods</t>
        </r>
      </text>
    </comment>
    <comment ref="AA33" authorId="0" shapeId="0" xr:uid="{00000000-0006-0000-0800-000008000000}">
      <text>
        <r>
          <rPr>
            <b/>
            <sz val="9"/>
            <color indexed="81"/>
            <rFont val="宋体"/>
            <family val="3"/>
            <charset val="134"/>
          </rPr>
          <t>作者:</t>
        </r>
        <r>
          <rPr>
            <sz val="9"/>
            <color indexed="81"/>
            <rFont val="宋体"/>
            <family val="3"/>
            <charset val="134"/>
          </rPr>
          <t xml:space="preserve">
excluding unpaid orders</t>
        </r>
      </text>
    </comment>
    <comment ref="K81" authorId="0" shapeId="0" xr:uid="{00000000-0006-0000-0800-000009000000}">
      <text>
        <r>
          <rPr>
            <b/>
            <sz val="9"/>
            <color indexed="81"/>
            <rFont val="宋体"/>
            <family val="3"/>
            <charset val="134"/>
          </rPr>
          <t>作者:</t>
        </r>
        <r>
          <rPr>
            <sz val="9"/>
            <color indexed="81"/>
            <rFont val="宋体"/>
            <family val="3"/>
            <charset val="134"/>
          </rPr>
          <t xml:space="preserve">
Taobao 8.4 mln</t>
        </r>
      </text>
    </comment>
    <comment ref="S108" authorId="0" shapeId="0" xr:uid="{00000000-0006-0000-0800-00000A000000}">
      <text>
        <r>
          <rPr>
            <b/>
            <sz val="9"/>
            <color indexed="81"/>
            <rFont val="宋体"/>
            <family val="3"/>
            <charset val="134"/>
          </rPr>
          <t>作者:</t>
        </r>
        <r>
          <rPr>
            <sz val="9"/>
            <color indexed="81"/>
            <rFont val="宋体"/>
            <family val="3"/>
            <charset val="134"/>
          </rPr>
          <t xml:space="preserve">
consolidate Lazada in mid-April
</t>
        </r>
      </text>
    </comment>
    <comment ref="AH111" authorId="0" shapeId="0" xr:uid="{00000000-0006-0000-0800-00000B000000}">
      <text>
        <r>
          <rPr>
            <b/>
            <sz val="9"/>
            <color indexed="81"/>
            <rFont val="宋体"/>
            <family val="3"/>
            <charset val="134"/>
          </rPr>
          <t>作者:</t>
        </r>
        <r>
          <rPr>
            <sz val="9"/>
            <color indexed="81"/>
            <rFont val="宋体"/>
            <family val="3"/>
            <charset val="134"/>
          </rPr>
          <t xml:space="preserve">
negative since Feb</t>
        </r>
      </text>
    </comment>
    <comment ref="B114" authorId="0" shapeId="0" xr:uid="{00000000-0006-0000-0800-00000C000000}">
      <text>
        <r>
          <rPr>
            <b/>
            <sz val="8"/>
            <color indexed="81"/>
            <rFont val="Arial Narrow"/>
            <family val="2"/>
          </rPr>
          <t>作者:</t>
        </r>
        <r>
          <rPr>
            <sz val="8"/>
            <color indexed="81"/>
            <rFont val="Arial Narrow"/>
            <family val="2"/>
          </rPr>
          <t xml:space="preserve">
Merchants pay a commission based on a percentage of the transaction value they generate, mainly on AliExpress. The commissions on AliExpress are typically 5% to 8% of the transaction value.</t>
        </r>
      </text>
    </comment>
    <comment ref="AV141" authorId="0" shapeId="0" xr:uid="{00000000-0006-0000-0800-00000D000000}">
      <text>
        <r>
          <rPr>
            <b/>
            <sz val="9"/>
            <color indexed="81"/>
            <rFont val="宋体"/>
            <family val="3"/>
            <charset val="134"/>
          </rPr>
          <t>作者:</t>
        </r>
        <r>
          <rPr>
            <sz val="9"/>
            <color indexed="81"/>
            <rFont val="宋体"/>
            <family val="3"/>
            <charset val="134"/>
          </rPr>
          <t xml:space="preserve">
1500 counties &amp; districts</t>
        </r>
      </text>
    </comment>
    <comment ref="AX152" authorId="0" shapeId="0" xr:uid="{00000000-0006-0000-0800-00000E000000}">
      <text>
        <r>
          <rPr>
            <b/>
            <sz val="9"/>
            <color indexed="81"/>
            <rFont val="宋体"/>
            <family val="3"/>
            <charset val="134"/>
          </rPr>
          <t>作者:</t>
        </r>
        <r>
          <rPr>
            <sz val="9"/>
            <color indexed="81"/>
            <rFont val="宋体"/>
            <family val="3"/>
            <charset val="134"/>
          </rPr>
          <t xml:space="preserve">
over 1 bln</t>
        </r>
      </text>
    </comment>
    <comment ref="S168" authorId="0" shapeId="0" xr:uid="{00000000-0006-0000-0800-00000F000000}">
      <text>
        <r>
          <rPr>
            <b/>
            <sz val="9"/>
            <color indexed="81"/>
            <rFont val="宋体"/>
            <family val="3"/>
            <charset val="134"/>
          </rPr>
          <t>作者:</t>
        </r>
        <r>
          <rPr>
            <sz val="9"/>
            <color indexed="81"/>
            <rFont val="宋体"/>
            <family val="3"/>
            <charset val="134"/>
          </rPr>
          <t xml:space="preserve">
73% of total revenue, +49% yoy; primarily due to 54% yoy growth of online marketing service revenue</t>
        </r>
      </text>
    </comment>
    <comment ref="S169" authorId="0" shapeId="0" xr:uid="{00000000-0006-0000-0800-000010000000}">
      <text>
        <r>
          <rPr>
            <b/>
            <sz val="9"/>
            <color indexed="81"/>
            <rFont val="宋体"/>
            <family val="3"/>
            <charset val="134"/>
          </rPr>
          <t>作者:</t>
        </r>
        <r>
          <rPr>
            <sz val="9"/>
            <color indexed="81"/>
            <rFont val="宋体"/>
            <family val="3"/>
            <charset val="134"/>
          </rPr>
          <t xml:space="preserve">
5</t>
        </r>
        <r>
          <rPr>
            <sz val="9"/>
            <color indexed="81"/>
            <rFont val="Arial Narrow"/>
            <family val="2"/>
          </rPr>
          <t>4% yoy; an increase in the average spending by, and the number of, brands and merchants; the full effect of online marketing inventory added in May and September 2015</t>
        </r>
      </text>
    </comment>
    <comment ref="T169" authorId="0" shapeId="0" xr:uid="{00000000-0006-0000-0800-000011000000}">
      <text>
        <r>
          <rPr>
            <b/>
            <sz val="9"/>
            <color indexed="81"/>
            <rFont val="宋体"/>
            <family val="3"/>
            <charset val="134"/>
          </rPr>
          <t>作者:</t>
        </r>
        <r>
          <rPr>
            <sz val="9"/>
            <color indexed="81"/>
            <rFont val="宋体"/>
            <family val="3"/>
            <charset val="134"/>
          </rPr>
          <t xml:space="preserve">
grew 47% yoy
</t>
        </r>
      </text>
    </comment>
    <comment ref="S170" authorId="0" shapeId="0" xr:uid="{00000000-0006-0000-0800-000012000000}">
      <text>
        <r>
          <rPr>
            <b/>
            <sz val="9"/>
            <color indexed="81"/>
            <rFont val="宋体"/>
            <family val="3"/>
            <charset val="134"/>
          </rPr>
          <t>作者:</t>
        </r>
        <r>
          <rPr>
            <sz val="9"/>
            <color indexed="81"/>
            <rFont val="宋体"/>
            <family val="3"/>
            <charset val="134"/>
          </rPr>
          <t xml:space="preserve">
30% of china retail, grew 37% yoy</t>
        </r>
      </text>
    </comment>
    <comment ref="T170" authorId="0" shapeId="0" xr:uid="{00000000-0006-0000-0800-000013000000}">
      <text>
        <r>
          <rPr>
            <b/>
            <sz val="9"/>
            <color indexed="81"/>
            <rFont val="宋体"/>
            <family val="3"/>
            <charset val="134"/>
          </rPr>
          <t>作者:</t>
        </r>
        <r>
          <rPr>
            <sz val="9"/>
            <color indexed="81"/>
            <rFont val="宋体"/>
            <family val="3"/>
            <charset val="134"/>
          </rPr>
          <t xml:space="preserve">
28% of total, grew 25% yoy
</t>
        </r>
      </text>
    </comment>
    <comment ref="AG174" authorId="0" shapeId="0" xr:uid="{00000000-0006-0000-0800-000014000000}">
      <text>
        <r>
          <rPr>
            <b/>
            <sz val="9"/>
            <color indexed="81"/>
            <rFont val="宋体"/>
            <family val="3"/>
            <charset val="134"/>
          </rPr>
          <t>作者:</t>
        </r>
        <r>
          <rPr>
            <sz val="9"/>
            <color indexed="81"/>
            <rFont val="宋体"/>
            <family val="3"/>
            <charset val="134"/>
          </rPr>
          <t xml:space="preserve">
33% total rev growth excl. Kaola</t>
        </r>
      </text>
    </comment>
    <comment ref="W176" authorId="0" shapeId="0" xr:uid="{00000000-0006-0000-0800-000015000000}">
      <text>
        <r>
          <rPr>
            <b/>
            <sz val="9"/>
            <color indexed="81"/>
            <rFont val="宋体"/>
            <family val="3"/>
            <charset val="134"/>
          </rPr>
          <t>作者:</t>
        </r>
        <r>
          <rPr>
            <sz val="9"/>
            <color indexed="81"/>
            <rFont val="宋体"/>
            <family val="3"/>
            <charset val="134"/>
          </rPr>
          <t xml:space="preserve">
Privatization in 5/19/2017，half Q impact for June Quarter</t>
        </r>
      </text>
    </comment>
    <comment ref="AI178" authorId="0" shapeId="0" xr:uid="{00000000-0006-0000-0800-000016000000}">
      <text>
        <r>
          <rPr>
            <b/>
            <sz val="9"/>
            <color indexed="81"/>
            <rFont val="宋体"/>
            <family val="3"/>
            <charset val="134"/>
          </rPr>
          <t>作者:</t>
        </r>
        <r>
          <rPr>
            <sz val="9"/>
            <color indexed="81"/>
            <rFont val="宋体"/>
            <family val="3"/>
            <charset val="134"/>
          </rPr>
          <t xml:space="preserve">
double digit same-store growth</t>
        </r>
      </text>
    </comment>
    <comment ref="B185" authorId="0" shapeId="0" xr:uid="{00000000-0006-0000-0800-000017000000}">
      <text>
        <r>
          <rPr>
            <b/>
            <sz val="9"/>
            <color indexed="81"/>
            <rFont val="宋体"/>
            <family val="3"/>
            <charset val="134"/>
          </rPr>
          <t>作者:</t>
        </r>
        <r>
          <rPr>
            <sz val="9"/>
            <color indexed="81"/>
            <rFont val="宋体"/>
            <family val="3"/>
            <charset val="134"/>
          </rPr>
          <t xml:space="preserve">
aliexpress + lazada</t>
        </r>
      </text>
    </comment>
    <comment ref="T185" authorId="0" shapeId="0" xr:uid="{00000000-0006-0000-0800-000018000000}">
      <text>
        <r>
          <rPr>
            <b/>
            <sz val="9"/>
            <color indexed="81"/>
            <rFont val="宋体"/>
            <family val="3"/>
            <charset val="134"/>
          </rPr>
          <t>作者:</t>
        </r>
        <r>
          <rPr>
            <sz val="9"/>
            <color indexed="81"/>
            <rFont val="宋体"/>
            <family val="3"/>
            <charset val="134"/>
          </rPr>
          <t xml:space="preserve">
lazada</t>
        </r>
      </text>
    </comment>
    <comment ref="B186" authorId="0" shapeId="0" xr:uid="{00000000-0006-0000-0800-000019000000}">
      <text>
        <r>
          <rPr>
            <b/>
            <sz val="9"/>
            <color indexed="81"/>
            <rFont val="宋体"/>
            <family val="3"/>
            <charset val="134"/>
          </rPr>
          <t>作者:</t>
        </r>
        <r>
          <rPr>
            <sz val="9"/>
            <color indexed="81"/>
            <rFont val="宋体"/>
            <family val="3"/>
            <charset val="134"/>
          </rPr>
          <t xml:space="preserve">
 consolidation of Lazada starting from mid-April 2016</t>
        </r>
      </text>
    </comment>
    <comment ref="AH189" authorId="0" shapeId="0" xr:uid="{00000000-0006-0000-0800-00001A000000}">
      <text>
        <r>
          <rPr>
            <b/>
            <sz val="9"/>
            <color indexed="81"/>
            <rFont val="宋体"/>
            <family val="3"/>
            <charset val="134"/>
          </rPr>
          <t>作者:</t>
        </r>
        <r>
          <rPr>
            <sz val="9"/>
            <color indexed="81"/>
            <rFont val="宋体"/>
            <family val="3"/>
            <charset val="134"/>
          </rPr>
          <t xml:space="preserve">
Russia deconsolidated</t>
        </r>
      </text>
    </comment>
    <comment ref="AC203" authorId="0" shapeId="0" xr:uid="{00000000-0006-0000-0800-00001B000000}">
      <text>
        <r>
          <rPr>
            <b/>
            <sz val="9"/>
            <color indexed="81"/>
            <rFont val="宋体"/>
            <family val="3"/>
            <charset val="134"/>
          </rPr>
          <t>作者:</t>
        </r>
        <r>
          <rPr>
            <sz val="9"/>
            <color indexed="81"/>
            <rFont val="宋体"/>
            <family val="3"/>
            <charset val="134"/>
          </rPr>
          <t xml:space="preserve">
1B Nov-11 red packets</t>
        </r>
      </text>
    </comment>
    <comment ref="AF203" authorId="0" shapeId="0" xr:uid="{00000000-0006-0000-0800-00001C000000}">
      <text>
        <r>
          <rPr>
            <b/>
            <sz val="9"/>
            <color indexed="81"/>
            <rFont val="宋体"/>
            <family val="3"/>
            <charset val="134"/>
          </rPr>
          <t>作者:</t>
        </r>
        <r>
          <rPr>
            <sz val="9"/>
            <color indexed="81"/>
            <rFont val="宋体"/>
            <family val="3"/>
            <charset val="134"/>
          </rPr>
          <t xml:space="preserve">
RMB500 mln red packets 99 Festival</t>
        </r>
      </text>
    </comment>
    <comment ref="AG203" authorId="0" shapeId="0" xr:uid="{00000000-0006-0000-0800-00001D000000}">
      <text>
        <r>
          <rPr>
            <b/>
            <sz val="9"/>
            <color indexed="81"/>
            <rFont val="宋体"/>
            <family val="3"/>
            <charset val="134"/>
          </rPr>
          <t>作者:</t>
        </r>
        <r>
          <rPr>
            <sz val="9"/>
            <color indexed="81"/>
            <rFont val="宋体"/>
            <family val="3"/>
            <charset val="134"/>
          </rPr>
          <t xml:space="preserve">
red packets: RMB2 B Nov-11, RMB500 mln Dec 12</t>
        </r>
      </text>
    </comment>
    <comment ref="AH203" authorId="0" shapeId="0" xr:uid="{00000000-0006-0000-0800-00001E000000}">
      <text>
        <r>
          <rPr>
            <b/>
            <sz val="9"/>
            <color indexed="81"/>
            <rFont val="宋体"/>
            <family val="3"/>
            <charset val="134"/>
          </rPr>
          <t>作者:</t>
        </r>
        <r>
          <rPr>
            <sz val="9"/>
            <color indexed="81"/>
            <rFont val="宋体"/>
            <family val="3"/>
            <charset val="134"/>
          </rPr>
          <t xml:space="preserve">
RMB2B CNY Subsidies RMB100 mln Pre-CNY sale red packets</t>
        </r>
      </text>
    </comment>
    <comment ref="AW221" authorId="0" shapeId="0" xr:uid="{00000000-0006-0000-0800-00001F000000}">
      <text>
        <r>
          <rPr>
            <b/>
            <sz val="9"/>
            <color indexed="81"/>
            <rFont val="宋体"/>
            <family val="3"/>
            <charset val="134"/>
          </rPr>
          <t>作者:</t>
        </r>
        <r>
          <rPr>
            <sz val="9"/>
            <color indexed="81"/>
            <rFont val="宋体"/>
            <family val="3"/>
            <charset val="134"/>
          </rPr>
          <t xml:space="preserve">
2HF18</t>
        </r>
      </text>
    </comment>
    <comment ref="AI272" authorId="0" shapeId="0" xr:uid="{00000000-0006-0000-0800-000020000000}">
      <text>
        <r>
          <rPr>
            <b/>
            <sz val="9"/>
            <color indexed="81"/>
            <rFont val="宋体"/>
            <family val="3"/>
            <charset val="134"/>
          </rPr>
          <t>作者:</t>
        </r>
        <r>
          <rPr>
            <sz val="9"/>
            <color indexed="81"/>
            <rFont val="宋体"/>
            <family val="3"/>
            <charset val="134"/>
          </rPr>
          <t xml:space="preserve">
total ad revenue down Y/Y</t>
        </r>
      </text>
    </comment>
    <comment ref="B278" authorId="0" shapeId="0" xr:uid="{00000000-0006-0000-0800-000021000000}">
      <text>
        <r>
          <rPr>
            <b/>
            <sz val="9"/>
            <color indexed="81"/>
            <rFont val="宋体"/>
            <family val="3"/>
            <charset val="134"/>
          </rPr>
          <t>作者:</t>
        </r>
        <r>
          <rPr>
            <sz val="9"/>
            <color indexed="81"/>
            <rFont val="宋体"/>
            <family val="3"/>
            <charset val="134"/>
          </rPr>
          <t xml:space="preserve">
consolidated from Dec 18</t>
        </r>
      </text>
    </comment>
    <comment ref="AD278" authorId="0" shapeId="0" xr:uid="{00000000-0006-0000-0800-000022000000}">
      <text>
        <r>
          <rPr>
            <b/>
            <sz val="9"/>
            <color indexed="81"/>
            <rFont val="宋体"/>
            <family val="3"/>
            <charset val="134"/>
          </rPr>
          <t>作者:</t>
        </r>
        <r>
          <rPr>
            <sz val="9"/>
            <color indexed="81"/>
            <rFont val="宋体"/>
            <family val="3"/>
            <charset val="134"/>
          </rPr>
          <t xml:space="preserve">
1-month impact, to be consolidated no later than Mar 5</t>
        </r>
      </text>
    </comment>
    <comment ref="AA284" authorId="0" shapeId="0" xr:uid="{00000000-0006-0000-0800-000023000000}">
      <text>
        <r>
          <rPr>
            <b/>
            <sz val="9"/>
            <color indexed="81"/>
            <rFont val="宋体"/>
            <family val="3"/>
            <charset val="134"/>
          </rPr>
          <t>作者:</t>
        </r>
        <r>
          <rPr>
            <sz val="9"/>
            <color indexed="81"/>
            <rFont val="宋体"/>
            <family val="3"/>
            <charset val="134"/>
          </rPr>
          <t xml:space="preserve">
World Cup</t>
        </r>
      </text>
    </comment>
    <comment ref="AB284" authorId="0" shapeId="0" xr:uid="{00000000-0006-0000-0800-000024000000}">
      <text>
        <r>
          <rPr>
            <b/>
            <sz val="9"/>
            <color indexed="81"/>
            <rFont val="宋体"/>
            <family val="3"/>
            <charset val="134"/>
          </rPr>
          <t>作者:</t>
        </r>
        <r>
          <rPr>
            <sz val="9"/>
            <color indexed="81"/>
            <rFont val="宋体"/>
            <family val="3"/>
            <charset val="134"/>
          </rPr>
          <t xml:space="preserve">
World Cup</t>
        </r>
      </text>
    </comment>
    <comment ref="AC289" authorId="0" shapeId="0" xr:uid="{00000000-0006-0000-0800-000025000000}">
      <text>
        <r>
          <rPr>
            <b/>
            <sz val="9"/>
            <color indexed="81"/>
            <rFont val="宋体"/>
            <family val="3"/>
            <charset val="134"/>
          </rPr>
          <t>作者:</t>
        </r>
        <r>
          <rPr>
            <sz val="9"/>
            <color indexed="81"/>
            <rFont val="宋体"/>
            <family val="3"/>
            <charset val="134"/>
          </rPr>
          <t xml:space="preserve">
include 2.8B impairment</t>
        </r>
      </text>
    </comment>
    <comment ref="W306" authorId="0" shapeId="0" xr:uid="{00000000-0006-0000-0800-000026000000}">
      <text>
        <r>
          <rPr>
            <b/>
            <sz val="9"/>
            <color indexed="81"/>
            <rFont val="宋体"/>
            <family val="3"/>
            <charset val="134"/>
          </rPr>
          <t>作者:</t>
        </r>
        <r>
          <rPr>
            <sz val="9"/>
            <color indexed="81"/>
            <rFont val="宋体"/>
            <family val="3"/>
            <charset val="134"/>
          </rPr>
          <t xml:space="preserve">
reclassified Hema to other of China retail marketplace</t>
        </r>
      </text>
    </comment>
    <comment ref="B336" authorId="0" shapeId="0" xr:uid="{00000000-0006-0000-0800-000027000000}">
      <text>
        <r>
          <rPr>
            <b/>
            <sz val="9"/>
            <color indexed="81"/>
            <rFont val="宋体"/>
            <family val="3"/>
            <charset val="134"/>
          </rPr>
          <t>作者:</t>
        </r>
        <r>
          <rPr>
            <sz val="9"/>
            <color indexed="81"/>
            <rFont val="宋体"/>
            <family val="3"/>
            <charset val="134"/>
          </rPr>
          <t xml:space="preserve">
Youku content cost,Lazada inventory cost, logistics cost paid to Cainiao related to Tmall Supermarket</t>
        </r>
      </text>
    </comment>
    <comment ref="AF346" authorId="0" shapeId="0" xr:uid="{00000000-0006-0000-0800-000028000000}">
      <text>
        <r>
          <rPr>
            <b/>
            <sz val="9"/>
            <color indexed="81"/>
            <rFont val="宋体"/>
            <family val="3"/>
            <charset val="134"/>
          </rPr>
          <t>作者:</t>
        </r>
        <r>
          <rPr>
            <sz val="9"/>
            <color indexed="81"/>
            <rFont val="宋体"/>
            <family val="3"/>
            <charset val="134"/>
          </rPr>
          <t xml:space="preserve">
primarily due to a one-time gain of RMB69.2 billion (US$9.7 billion) recognized upon the receipt of the
33% equity interest in Ant Financial, which was partly offset by impairment charges of RMB7,689 million
(US$1,076 million) in relation to certain investments</t>
        </r>
      </text>
    </comment>
    <comment ref="AG346" authorId="0" shapeId="0" xr:uid="{00000000-0006-0000-0800-000029000000}">
      <text>
        <r>
          <rPr>
            <b/>
            <sz val="9"/>
            <color indexed="81"/>
            <rFont val="宋体"/>
            <family val="3"/>
            <charset val="134"/>
          </rPr>
          <t>作者:</t>
        </r>
        <r>
          <rPr>
            <sz val="9"/>
            <color indexed="81"/>
            <rFont val="宋体"/>
            <family val="3"/>
            <charset val="134"/>
          </rPr>
          <t xml:space="preserve">
one-time gain of RMB10.3 billion (US$1.5 billion) in relation to our contribution of the AliExpress Russia businesses into a joint venture</t>
        </r>
      </text>
    </comment>
    <comment ref="B348" authorId="0" shapeId="0" xr:uid="{00000000-0006-0000-0800-00002A000000}">
      <text>
        <r>
          <rPr>
            <b/>
            <sz val="9"/>
            <color indexed="81"/>
            <rFont val="宋体"/>
            <family val="3"/>
            <charset val="134"/>
          </rPr>
          <t>作者:</t>
        </r>
        <r>
          <rPr>
            <sz val="9"/>
            <color indexed="81"/>
            <rFont val="宋体"/>
            <family val="3"/>
            <charset val="134"/>
          </rPr>
          <t xml:space="preserve">
mainly Ant, Gov't subsidy and exch gain/loss </t>
        </r>
      </text>
    </comment>
    <comment ref="R348" authorId="0" shapeId="0" xr:uid="{00000000-0006-0000-0800-00002B000000}">
      <text>
        <r>
          <rPr>
            <b/>
            <sz val="9"/>
            <color indexed="81"/>
            <rFont val="宋体"/>
            <family val="3"/>
            <charset val="134"/>
          </rPr>
          <t>作者:</t>
        </r>
        <r>
          <rPr>
            <sz val="9"/>
            <color indexed="81"/>
            <rFont val="宋体"/>
            <family val="3"/>
            <charset val="134"/>
          </rPr>
          <t xml:space="preserve">
adding -800mln: 1) Ant promotion -500, 2) Koubei -300 =(37.5%x1.75x50%)</t>
        </r>
      </text>
    </comment>
    <comment ref="AB350" authorId="0" shapeId="0" xr:uid="{00000000-0006-0000-0800-00002C000000}">
      <text>
        <r>
          <rPr>
            <b/>
            <sz val="9"/>
            <color indexed="81"/>
            <rFont val="宋体"/>
            <family val="3"/>
            <charset val="134"/>
          </rPr>
          <t>作者:</t>
        </r>
        <r>
          <rPr>
            <sz val="9"/>
            <color indexed="81"/>
            <rFont val="宋体"/>
            <family val="3"/>
            <charset val="134"/>
          </rPr>
          <t xml:space="preserve">
include exchange loss of RMB907 mln</t>
        </r>
      </text>
    </comment>
    <comment ref="Q353" authorId="0" shapeId="0" xr:uid="{00000000-0006-0000-0800-00002D000000}">
      <text>
        <r>
          <rPr>
            <b/>
            <sz val="9"/>
            <color indexed="81"/>
            <rFont val="宋体"/>
            <family val="3"/>
            <charset val="134"/>
          </rPr>
          <t>作者:</t>
        </r>
        <r>
          <rPr>
            <sz val="9"/>
            <color indexed="81"/>
            <rFont val="宋体"/>
            <family val="3"/>
            <charset val="134"/>
          </rPr>
          <t xml:space="preserve">
Koubei Dec-Q 5 mln daily orders -&gt; Mar-Q </t>
        </r>
      </text>
    </comment>
    <comment ref="R353" authorId="0" shapeId="0" xr:uid="{00000000-0006-0000-0800-00002E000000}">
      <text>
        <r>
          <rPr>
            <b/>
            <sz val="9"/>
            <color indexed="81"/>
            <rFont val="宋体"/>
            <family val="3"/>
            <charset val="134"/>
          </rPr>
          <t>作者:</t>
        </r>
        <r>
          <rPr>
            <sz val="9"/>
            <color indexed="81"/>
            <rFont val="宋体"/>
            <family val="3"/>
            <charset val="134"/>
          </rPr>
          <t xml:space="preserve">
picking up 50% Koubei RMB1.75 bln subsidy </t>
        </r>
      </text>
    </comment>
    <comment ref="Z355" authorId="0" shapeId="0" xr:uid="{00000000-0006-0000-0800-00002F000000}">
      <text>
        <r>
          <rPr>
            <b/>
            <sz val="9"/>
            <color indexed="81"/>
            <rFont val="宋体"/>
            <family val="3"/>
            <charset val="134"/>
          </rPr>
          <t>作者:</t>
        </r>
        <r>
          <rPr>
            <sz val="9"/>
            <color indexed="81"/>
            <rFont val="宋体"/>
            <family val="3"/>
            <charset val="134"/>
          </rPr>
          <t xml:space="preserve">
Our cumulative share of Koubei’s losses had brought down the carrying value of our investment in Koubei to zero. As a result,
we have ceased to recognize further losses for this investment.</t>
        </r>
      </text>
    </comment>
    <comment ref="Y357" authorId="0" shapeId="0" xr:uid="{00000000-0006-0000-0800-000030000000}">
      <text>
        <r>
          <rPr>
            <b/>
            <sz val="9"/>
            <color indexed="81"/>
            <rFont val="宋体"/>
            <family val="3"/>
            <charset val="134"/>
          </rPr>
          <t>作者:</t>
        </r>
        <r>
          <rPr>
            <sz val="9"/>
            <color indexed="81"/>
            <rFont val="宋体"/>
            <family val="3"/>
            <charset val="134"/>
          </rPr>
          <t xml:space="preserve">
We started to consolidate Cainiao Network in mid-October 2017</t>
        </r>
      </text>
    </comment>
    <comment ref="AW359" authorId="0" shapeId="0" xr:uid="{00000000-0006-0000-0800-000031000000}">
      <text>
        <r>
          <rPr>
            <b/>
            <sz val="9"/>
            <color indexed="81"/>
            <rFont val="宋体"/>
            <family val="3"/>
            <charset val="134"/>
          </rPr>
          <t>作者:</t>
        </r>
        <r>
          <rPr>
            <sz val="9"/>
            <color indexed="81"/>
            <rFont val="宋体"/>
            <family val="3"/>
            <charset val="134"/>
          </rPr>
          <t xml:space="preserve">
RMB18,116M in connection with investment in Alibaba Pictures</t>
        </r>
      </text>
    </comment>
    <comment ref="AG392" authorId="0" shapeId="0" xr:uid="{00000000-0006-0000-0800-000032000000}">
      <text>
        <r>
          <rPr>
            <b/>
            <sz val="9"/>
            <color indexed="81"/>
            <rFont val="宋体"/>
            <family val="3"/>
            <charset val="134"/>
          </rPr>
          <t>作者:</t>
        </r>
        <r>
          <rPr>
            <sz val="9"/>
            <color indexed="81"/>
            <rFont val="宋体"/>
            <family val="3"/>
            <charset val="134"/>
          </rPr>
          <t xml:space="preserve">
In relation to the 33% equity interest in Ant Financial that we received in September 2019, we recognized in this quarter an upward adjustment of RMB2.3 billion (US$330 million) to the amount of the one-time gain we recognized in the previous quarter. This amount primarily represents adjustment of the fair value of our share of Ant Financial's net assets as of the completion date of the transaction.</t>
        </r>
      </text>
    </comment>
    <comment ref="U456" authorId="0" shapeId="0" xr:uid="{00000000-0006-0000-0800-000033000000}">
      <text>
        <r>
          <rPr>
            <b/>
            <sz val="9"/>
            <color indexed="81"/>
            <rFont val="宋体"/>
            <family val="3"/>
            <charset val="134"/>
          </rPr>
          <t>作者:</t>
        </r>
        <r>
          <rPr>
            <sz val="9"/>
            <color indexed="81"/>
            <rFont val="宋体"/>
            <family val="3"/>
            <charset val="134"/>
          </rPr>
          <t xml:space="preserve">
47%</t>
        </r>
      </text>
    </comment>
    <comment ref="U457" authorId="0" shapeId="0" xr:uid="{00000000-0006-0000-0800-000034000000}">
      <text>
        <r>
          <rPr>
            <b/>
            <sz val="9"/>
            <color indexed="81"/>
            <rFont val="宋体"/>
            <family val="3"/>
            <charset val="134"/>
          </rPr>
          <t>作者:</t>
        </r>
        <r>
          <rPr>
            <sz val="9"/>
            <color indexed="81"/>
            <rFont val="宋体"/>
            <family val="3"/>
            <charset val="134"/>
          </rPr>
          <t xml:space="preserve">
32%</t>
        </r>
      </text>
    </comment>
    <comment ref="AA526" authorId="0" shapeId="0" xr:uid="{00000000-0006-0000-0800-000035000000}">
      <text>
        <r>
          <rPr>
            <b/>
            <sz val="9"/>
            <color indexed="81"/>
            <rFont val="宋体"/>
            <family val="3"/>
            <charset val="134"/>
          </rPr>
          <t>作者:</t>
        </r>
        <r>
          <rPr>
            <sz val="9"/>
            <color indexed="81"/>
            <rFont val="宋体"/>
            <family val="3"/>
            <charset val="134"/>
          </rPr>
          <t xml:space="preserve">
include land use rights</t>
        </r>
      </text>
    </comment>
    <comment ref="AA528" authorId="0" shapeId="0" xr:uid="{00000000-0006-0000-0800-000036000000}">
      <text>
        <r>
          <rPr>
            <b/>
            <sz val="9"/>
            <color indexed="81"/>
            <rFont val="宋体"/>
            <family val="3"/>
            <charset val="134"/>
          </rPr>
          <t>作者:</t>
        </r>
        <r>
          <rPr>
            <sz val="9"/>
            <color indexed="81"/>
            <rFont val="宋体"/>
            <family val="3"/>
            <charset val="134"/>
          </rPr>
          <t xml:space="preserve">
included in prepayments, receivables and other assets</t>
        </r>
      </text>
    </comment>
    <comment ref="W610" authorId="0" shapeId="0" xr:uid="{00000000-0006-0000-0800-000037000000}">
      <text>
        <r>
          <rPr>
            <b/>
            <sz val="9"/>
            <color indexed="81"/>
            <rFont val="宋体"/>
            <family val="3"/>
            <charset val="134"/>
          </rPr>
          <t>作者:</t>
        </r>
        <r>
          <rPr>
            <sz val="9"/>
            <color indexed="81"/>
            <rFont val="宋体"/>
            <family val="3"/>
            <charset val="134"/>
          </rPr>
          <t xml:space="preserve">
 consolidated statements of cash flows were
retrospectively adjusted to include restricted cash and escrow receivables in cash and cash equivalents</t>
        </r>
      </text>
    </comment>
    <comment ref="X610" authorId="0" shapeId="0" xr:uid="{00000000-0006-0000-0800-000038000000}">
      <text>
        <r>
          <rPr>
            <b/>
            <sz val="9"/>
            <color indexed="81"/>
            <rFont val="宋体"/>
            <family val="3"/>
            <charset val="134"/>
          </rPr>
          <t>作者:</t>
        </r>
        <r>
          <rPr>
            <sz val="9"/>
            <color indexed="81"/>
            <rFont val="宋体"/>
            <family val="3"/>
            <charset val="134"/>
          </rPr>
          <t xml:space="preserve">
30507 in old definition</t>
        </r>
      </text>
    </comment>
    <comment ref="Y610" authorId="0" shapeId="0" xr:uid="{00000000-0006-0000-0800-000039000000}">
      <text>
        <r>
          <rPr>
            <b/>
            <sz val="9"/>
            <color indexed="81"/>
            <rFont val="宋体"/>
            <family val="3"/>
            <charset val="134"/>
          </rPr>
          <t>作者:</t>
        </r>
        <r>
          <rPr>
            <sz val="9"/>
            <color indexed="81"/>
            <rFont val="宋体"/>
            <family val="3"/>
            <charset val="134"/>
          </rPr>
          <t xml:space="preserve">
55173 initially</t>
        </r>
      </text>
    </comment>
    <comment ref="AB622" authorId="0" shapeId="0" xr:uid="{00000000-0006-0000-0800-00003A000000}">
      <text>
        <r>
          <rPr>
            <b/>
            <sz val="9"/>
            <color indexed="81"/>
            <rFont val="宋体"/>
            <family val="3"/>
            <charset val="134"/>
          </rPr>
          <t>作者:</t>
        </r>
        <r>
          <rPr>
            <sz val="9"/>
            <color indexed="81"/>
            <rFont val="宋体"/>
            <family val="3"/>
            <charset val="134"/>
          </rPr>
          <t xml:space="preserve">
relating to office campus</t>
        </r>
      </text>
    </comment>
    <comment ref="X633" authorId="0" shapeId="0" xr:uid="{00000000-0006-0000-0800-00003B000000}">
      <text>
        <r>
          <rPr>
            <b/>
            <sz val="9"/>
            <color indexed="81"/>
            <rFont val="宋体"/>
            <family val="3"/>
            <charset val="134"/>
          </rPr>
          <t>作者:</t>
        </r>
        <r>
          <rPr>
            <sz val="9"/>
            <color indexed="81"/>
            <rFont val="宋体"/>
            <family val="3"/>
            <charset val="134"/>
          </rPr>
          <t xml:space="preserve">
-25683 in old definition</t>
        </r>
      </text>
    </comment>
    <comment ref="Y633" authorId="0" shapeId="0" xr:uid="{00000000-0006-0000-0800-00003C000000}">
      <text>
        <r>
          <rPr>
            <b/>
            <sz val="9"/>
            <color indexed="81"/>
            <rFont val="宋体"/>
            <family val="3"/>
            <charset val="134"/>
          </rPr>
          <t>作者:</t>
        </r>
        <r>
          <rPr>
            <sz val="9"/>
            <color indexed="81"/>
            <rFont val="宋体"/>
            <family val="3"/>
            <charset val="134"/>
          </rPr>
          <t xml:space="preserve">
-24479 initially</t>
        </r>
      </text>
    </comment>
  </commentList>
</comments>
</file>

<file path=xl/sharedStrings.xml><?xml version="1.0" encoding="utf-8"?>
<sst xmlns="http://schemas.openxmlformats.org/spreadsheetml/2006/main" count="1984" uniqueCount="1350">
  <si>
    <t>Ticker</t>
  </si>
  <si>
    <t>Price</t>
  </si>
  <si>
    <t>Update Date</t>
    <phoneticPr fontId="16" type="noConversion"/>
  </si>
  <si>
    <t>Bull</t>
    <phoneticPr fontId="14" type="noConversion"/>
  </si>
  <si>
    <t>Base</t>
    <phoneticPr fontId="14" type="noConversion"/>
  </si>
  <si>
    <t>Bear</t>
    <phoneticPr fontId="14" type="noConversion"/>
  </si>
  <si>
    <t>Price (Local)</t>
    <phoneticPr fontId="14" type="noConversion"/>
  </si>
  <si>
    <t>PE</t>
    <phoneticPr fontId="14" type="noConversion"/>
  </si>
  <si>
    <t>PB</t>
    <phoneticPr fontId="14" type="noConversion"/>
  </si>
  <si>
    <t>EV/EBITDA</t>
    <phoneticPr fontId="14" type="noConversion"/>
  </si>
  <si>
    <t>Valuation-Street</t>
    <phoneticPr fontId="14" type="noConversion"/>
  </si>
  <si>
    <t>52 Wk H/L (Local)</t>
    <phoneticPr fontId="14" type="noConversion"/>
  </si>
  <si>
    <t>Millions</t>
  </si>
  <si>
    <t>Latest Dividend</t>
  </si>
  <si>
    <t>Dividend Yield</t>
  </si>
  <si>
    <t>Dividend Payout</t>
  </si>
  <si>
    <t>Revenue</t>
  </si>
  <si>
    <t>Gross Income</t>
  </si>
  <si>
    <t>Date</t>
    <phoneticPr fontId="14" type="noConversion"/>
  </si>
  <si>
    <t>%</t>
    <phoneticPr fontId="14" type="noConversion"/>
  </si>
  <si>
    <t>Price</t>
    <phoneticPr fontId="14" type="noConversion"/>
  </si>
  <si>
    <t>%</t>
    <phoneticPr fontId="14" type="noConversion"/>
  </si>
  <si>
    <t>Ownership Statistics</t>
    <phoneticPr fontId="14" type="noConversion"/>
  </si>
  <si>
    <t>Net Income</t>
  </si>
  <si>
    <t>Institutional Holders</t>
  </si>
  <si>
    <t>Insider/"Stake" Holders</t>
  </si>
  <si>
    <t>Implied Retail Float</t>
  </si>
  <si>
    <t>Float (Institutional+Retail)</t>
    <phoneticPr fontId="14" type="noConversion"/>
  </si>
  <si>
    <t>Short Interest % of Shares O/S</t>
  </si>
  <si>
    <t>Revenue</t>
    <phoneticPr fontId="14" type="noConversion"/>
  </si>
  <si>
    <t>Mean</t>
    <phoneticPr fontId="14" type="noConversion"/>
  </si>
  <si>
    <t>Management</t>
    <phoneticPr fontId="14" type="noConversion"/>
  </si>
  <si>
    <t>Title</t>
    <phoneticPr fontId="14" type="noConversion"/>
  </si>
  <si>
    <t>High</t>
    <phoneticPr fontId="14" type="noConversion"/>
  </si>
  <si>
    <t>Low</t>
    <phoneticPr fontId="14" type="noConversion"/>
  </si>
  <si>
    <t>Surprise%</t>
    <phoneticPr fontId="14" type="noConversion"/>
  </si>
  <si>
    <t>Insider Shareholder</t>
  </si>
  <si>
    <t>EBIT</t>
    <phoneticPr fontId="14" type="noConversion"/>
  </si>
  <si>
    <t>Other Key Matrix</t>
    <phoneticPr fontId="14" type="noConversion"/>
  </si>
  <si>
    <t>DSO</t>
    <phoneticPr fontId="14" type="noConversion"/>
  </si>
  <si>
    <t>DIO</t>
    <phoneticPr fontId="14" type="noConversion"/>
  </si>
  <si>
    <t>Capex</t>
    <phoneticPr fontId="14" type="noConversion"/>
  </si>
  <si>
    <t>Cash Balance</t>
    <phoneticPr fontId="14" type="noConversion"/>
  </si>
  <si>
    <t>Debt Due</t>
    <phoneticPr fontId="14" type="noConversion"/>
  </si>
  <si>
    <t>Financing Need</t>
    <phoneticPr fontId="14" type="noConversion"/>
  </si>
  <si>
    <t>ROE</t>
    <phoneticPr fontId="14" type="noConversion"/>
  </si>
  <si>
    <t>Net Margin</t>
    <phoneticPr fontId="14" type="noConversion"/>
  </si>
  <si>
    <t>Asset Turn</t>
    <phoneticPr fontId="14" type="noConversion"/>
  </si>
  <si>
    <t>Leverage</t>
    <phoneticPr fontId="14" type="noConversion"/>
  </si>
  <si>
    <t>Q1</t>
    <phoneticPr fontId="16" type="noConversion"/>
  </si>
  <si>
    <t>Q2</t>
    <phoneticPr fontId="16" type="noConversion"/>
  </si>
  <si>
    <t>Q3</t>
    <phoneticPr fontId="16" type="noConversion"/>
  </si>
  <si>
    <t>Q4</t>
    <phoneticPr fontId="16" type="noConversion"/>
  </si>
  <si>
    <t>Cash Flow Statement</t>
  </si>
  <si>
    <t>Operating Activities</t>
  </si>
  <si>
    <t>CF_NET_INC</t>
  </si>
  <si>
    <t>Net Income before Extraordinaries</t>
  </si>
  <si>
    <t>CF_DEPR_AMORT</t>
  </si>
  <si>
    <t>ARDR_DEPRECIATION_EXP</t>
  </si>
  <si>
    <t>Depreciation</t>
    <phoneticPr fontId="16" type="noConversion"/>
  </si>
  <si>
    <t>ARDR AMORT EXP</t>
    <phoneticPr fontId="16" type="noConversion"/>
  </si>
  <si>
    <t>Amortization</t>
    <phoneticPr fontId="16" type="noConversion"/>
  </si>
  <si>
    <t>ARD_DEFERRED_INCOME_TAXES_CF</t>
  </si>
  <si>
    <t>Deferred Taxes</t>
  </si>
  <si>
    <t>CF_OTHER_NON_CASH_ADJUST</t>
  </si>
  <si>
    <t>Non-Cash Items</t>
  </si>
  <si>
    <t>CF_CHNG_NON_CASH_WORK_CAP</t>
  </si>
  <si>
    <t>Changes in Working Capital</t>
  </si>
  <si>
    <t>CF_CASH_FROM_OPER</t>
  </si>
  <si>
    <t>Net Operating Cash Flow</t>
  </si>
  <si>
    <t>Investing Activites</t>
  </si>
  <si>
    <t>CF_CAP_EXPEND_PRPTY_ADD</t>
  </si>
  <si>
    <t>Capital Expenditures</t>
  </si>
  <si>
    <t>Acquisition of Intangible Assets</t>
    <phoneticPr fontId="16" type="noConversion"/>
  </si>
  <si>
    <t>ARD_ACQUISITION_OF_BUSINESS</t>
  </si>
  <si>
    <t>Acquisition/Sale of Business</t>
  </si>
  <si>
    <t>CF_DISP_FIX_ASSET</t>
  </si>
  <si>
    <t>Sale of Fixed Assets</t>
  </si>
  <si>
    <t>CF_INCR_INVEST</t>
  </si>
  <si>
    <t>Purchase/Sale of Investments</t>
  </si>
  <si>
    <t>CF_OTHER_INV_ACT</t>
  </si>
  <si>
    <t>Other Investing Activities</t>
  </si>
  <si>
    <t>CF_CASH_FROM_INV_ACT</t>
  </si>
  <si>
    <t>Net Investing Cash Flow</t>
  </si>
  <si>
    <t>Financing Activities</t>
  </si>
  <si>
    <t>CF_DVD_PAID</t>
  </si>
  <si>
    <t>Cash Dividends Paid</t>
  </si>
  <si>
    <t>NET_CAP_STOCK</t>
  </si>
  <si>
    <t>Sale/Repurchase of Stock, Net</t>
  </si>
  <si>
    <t>CF_INCR_ST_BORROW</t>
  </si>
  <si>
    <t>Issuance/Reduction of Debt, Net</t>
  </si>
  <si>
    <t>CF_OTHER_FNC_ACT</t>
  </si>
  <si>
    <t>Other Financing Activities, Net</t>
  </si>
  <si>
    <t>ARD_EFF_OF_EXCH_RATES_ON_CASH</t>
  </si>
  <si>
    <t>Foreign Exchange Effects</t>
  </si>
  <si>
    <t>CF_CASH_FROM_FNC_ACT</t>
  </si>
  <si>
    <t>Net Financing Cash Flow</t>
  </si>
  <si>
    <t>CF_NET_CHNG_CASH</t>
  </si>
  <si>
    <t>Net Change in Cash</t>
  </si>
  <si>
    <t>ARD_CASH_CASH_EQUIV_BEG_OF_PER</t>
  </si>
  <si>
    <t>Cash - Beginning Balance</t>
  </si>
  <si>
    <t>ARD_CASH_CASH_EQUIV_END_OF_PER</t>
  </si>
  <si>
    <t>Cash - Ending Balance</t>
  </si>
  <si>
    <t>Depreciation Schedule</t>
    <phoneticPr fontId="16" type="noConversion"/>
  </si>
  <si>
    <t>Capex</t>
    <phoneticPr fontId="16" type="noConversion"/>
  </si>
  <si>
    <t>Capex as % of Revenue</t>
    <phoneticPr fontId="16" type="noConversion"/>
  </si>
  <si>
    <t xml:space="preserve">Acquisition of Intangible </t>
    <phoneticPr fontId="16" type="noConversion"/>
  </si>
  <si>
    <t>Acquisition of Intangible as % of Revenue</t>
    <phoneticPr fontId="16" type="noConversion"/>
  </si>
  <si>
    <t>Depreciation from existing PP&amp;E</t>
    <phoneticPr fontId="16" type="noConversion"/>
  </si>
  <si>
    <t>Implied % of total gross pp&amp;e</t>
    <phoneticPr fontId="16" type="noConversion"/>
  </si>
  <si>
    <t xml:space="preserve">Amortization from existing Intangible </t>
    <phoneticPr fontId="16" type="noConversion"/>
  </si>
  <si>
    <t>Implied % of total net intangible</t>
    <phoneticPr fontId="16" type="noConversion"/>
  </si>
  <si>
    <t>If Amortization exceed Acquisition of Intangible?</t>
    <phoneticPr fontId="16" type="noConversion"/>
  </si>
  <si>
    <t>1FY</t>
  </si>
  <si>
    <t>2FY</t>
  </si>
  <si>
    <t>3FY</t>
  </si>
  <si>
    <t>Income Statement</t>
  </si>
  <si>
    <t>LATEST_PERIOD_END_CSR</t>
  </si>
  <si>
    <t>SALES_REV_TURN</t>
  </si>
  <si>
    <t>Sales/Revenue</t>
  </si>
  <si>
    <t>IS_COGS_TO_FE_AND_PP_AND_G</t>
  </si>
  <si>
    <t>Cost of Goods Sold</t>
  </si>
  <si>
    <t>GROSS_PROFIT</t>
  </si>
  <si>
    <t>ARD_OTHER_OPERATING_EXPENSES</t>
  </si>
  <si>
    <t>IS_OPERATING_EXPN</t>
  </si>
  <si>
    <t>SG&amp;A Expense</t>
  </si>
  <si>
    <t>IS_selling_EXPENSES</t>
    <phoneticPr fontId="16" type="noConversion"/>
  </si>
  <si>
    <t>Marketing / Advertising Expense</t>
    <phoneticPr fontId="16" type="noConversion"/>
  </si>
  <si>
    <t>is_general_and_administrative</t>
    <phoneticPr fontId="16" type="noConversion"/>
  </si>
  <si>
    <t>General &amp; Administrative</t>
    <phoneticPr fontId="16" type="noConversion"/>
  </si>
  <si>
    <t>is_opex_r&amp;d</t>
    <phoneticPr fontId="16" type="noConversion"/>
  </si>
  <si>
    <t>Research &amp; Development</t>
  </si>
  <si>
    <t>Other Operating Expenses - bbg</t>
    <phoneticPr fontId="16" type="noConversion"/>
  </si>
  <si>
    <t>EBIT</t>
  </si>
  <si>
    <t>IS_net_interest_EXPENSE</t>
    <phoneticPr fontId="16" type="noConversion"/>
  </si>
  <si>
    <t>Net Interest Expense (Income)</t>
    <phoneticPr fontId="16" type="noConversion"/>
  </si>
  <si>
    <t>IS_FOREIGN_EXCH_LOSS</t>
  </si>
  <si>
    <t>Foreign Exchange Losses (Income)</t>
    <phoneticPr fontId="16" type="noConversion"/>
  </si>
  <si>
    <t>income_loss_from_affiliates</t>
    <phoneticPr fontId="16" type="noConversion"/>
  </si>
  <si>
    <t>Loss (Income) from Affiliates</t>
    <phoneticPr fontId="16" type="noConversion"/>
  </si>
  <si>
    <t>IS_NET_NON_OPER_LOSS</t>
  </si>
  <si>
    <t>Net Non-Operating Losses (Income)</t>
    <phoneticPr fontId="16" type="noConversion"/>
  </si>
  <si>
    <t>PRETAX_INC</t>
  </si>
  <si>
    <t>Pretax Income</t>
  </si>
  <si>
    <t>% Tax rate</t>
    <phoneticPr fontId="16" type="noConversion"/>
  </si>
  <si>
    <t>IS_INC_TAX_EXP</t>
  </si>
  <si>
    <t>Income Taxes</t>
  </si>
  <si>
    <t>MIN_NONCONTROL_INTEREST_CREDITS</t>
  </si>
  <si>
    <t>Minority Interest</t>
  </si>
  <si>
    <t>ARD_EQY_EARN_LOSS_FROM_AFFILIATE</t>
  </si>
  <si>
    <t>Equity In Affiliates</t>
  </si>
  <si>
    <t xml:space="preserve">Others </t>
    <phoneticPr fontId="16" type="noConversion"/>
  </si>
  <si>
    <t>NET_INCOME</t>
  </si>
  <si>
    <t>IS_AVG_NUM_SH_FOR_EPS</t>
  </si>
  <si>
    <t>Basic Shares Outstanding (Average)</t>
  </si>
  <si>
    <t>IS_SH_FOR_DILUTED_EPS</t>
  </si>
  <si>
    <t>Diluted Shares Outstanding (Average)</t>
  </si>
  <si>
    <t>EQY_DPS</t>
  </si>
  <si>
    <t>Dividend per share</t>
  </si>
  <si>
    <t>IS_EPS</t>
  </si>
  <si>
    <t>IS_DILUTED_EPS</t>
  </si>
  <si>
    <t>Financial Analysis</t>
  </si>
  <si>
    <t>Ratios</t>
  </si>
  <si>
    <t>GROSS_MARGIN</t>
  </si>
  <si>
    <t>GPM</t>
  </si>
  <si>
    <t>OPER_MARGIN</t>
  </si>
  <si>
    <t>OPM</t>
  </si>
  <si>
    <t>PRETAX_MARGIN</t>
  </si>
  <si>
    <t>Pretax Margin</t>
  </si>
  <si>
    <t>PROF_MARGIN</t>
  </si>
  <si>
    <t>NPM</t>
  </si>
  <si>
    <t>Margin Analysis</t>
    <phoneticPr fontId="14" type="noConversion"/>
  </si>
  <si>
    <t>Cost of Revenue</t>
  </si>
  <si>
    <t>Selling, General &amp; Admin Exp</t>
  </si>
  <si>
    <t>Marketing / Advertising Expense</t>
  </si>
  <si>
    <t>General &amp; Administrative</t>
  </si>
  <si>
    <t>Other Operating Expenses - bbg</t>
  </si>
  <si>
    <t>EBIT (Operating Income)</t>
    <phoneticPr fontId="14" type="noConversion"/>
  </si>
  <si>
    <t>Interest Expense</t>
  </si>
  <si>
    <t>Foreign Exchange Losses</t>
  </si>
  <si>
    <t>Income (loss) from Affiliates</t>
    <phoneticPr fontId="16" type="noConversion"/>
  </si>
  <si>
    <t>Net Non-Operating Income/Losses</t>
    <phoneticPr fontId="16" type="noConversion"/>
  </si>
  <si>
    <t>Pretax Income</t>
    <phoneticPr fontId="14" type="noConversion"/>
  </si>
  <si>
    <t>Income Taxes</t>
    <phoneticPr fontId="16" type="noConversion"/>
  </si>
  <si>
    <t xml:space="preserve">Others </t>
    <phoneticPr fontId="16" type="noConversion"/>
  </si>
  <si>
    <t>Sequential Growth%</t>
    <phoneticPr fontId="14" type="noConversion"/>
  </si>
  <si>
    <t>EBIT (Operating Income)</t>
    <phoneticPr fontId="14" type="noConversion"/>
  </si>
  <si>
    <t>-</t>
    <phoneticPr fontId="16" type="noConversion"/>
  </si>
  <si>
    <t>Income (loss) from Affiliates</t>
    <phoneticPr fontId="16" type="noConversion"/>
  </si>
  <si>
    <t>-</t>
    <phoneticPr fontId="16" type="noConversion"/>
  </si>
  <si>
    <t xml:space="preserve"> </t>
    <phoneticPr fontId="14" type="noConversion"/>
  </si>
  <si>
    <t>Pretax Income</t>
    <phoneticPr fontId="14" type="noConversion"/>
  </si>
  <si>
    <t>Basic EPS</t>
  </si>
  <si>
    <t>Diluted EPS</t>
  </si>
  <si>
    <t>Annual Growth%</t>
    <phoneticPr fontId="14" type="noConversion"/>
  </si>
  <si>
    <t>EBIT (Operating Income)</t>
    <phoneticPr fontId="14" type="noConversion"/>
  </si>
  <si>
    <t>Income (loss) from Affiliates</t>
    <phoneticPr fontId="16" type="noConversion"/>
  </si>
  <si>
    <t>Net Non-Operating Income/Losses</t>
    <phoneticPr fontId="16" type="noConversion"/>
  </si>
  <si>
    <t>Pretax Income</t>
    <phoneticPr fontId="14" type="noConversion"/>
  </si>
  <si>
    <t xml:space="preserve">Others </t>
    <phoneticPr fontId="16" type="noConversion"/>
  </si>
  <si>
    <t>Balance Sheet</t>
  </si>
  <si>
    <t>BS_CASH_NEAR_CASH_ITEM</t>
  </si>
  <si>
    <t>Assets</t>
  </si>
  <si>
    <t>BS_CUR_ASSET_REPORT</t>
  </si>
  <si>
    <t>Cash &amp; Short Term Investments</t>
  </si>
  <si>
    <t>Total Accounts Receivable</t>
  </si>
  <si>
    <t>BS_GROSS_FIX_ASSET</t>
  </si>
  <si>
    <t>Inventories</t>
  </si>
  <si>
    <t>BS_ACCUM_DEPR</t>
  </si>
  <si>
    <t>Other Current Assets</t>
  </si>
  <si>
    <t>BS_NET_FIX_ASSET</t>
  </si>
  <si>
    <t>Total Current Assets</t>
  </si>
  <si>
    <t>BS_GOODWILL</t>
  </si>
  <si>
    <t xml:space="preserve">Check </t>
    <phoneticPr fontId="16" type="noConversion"/>
  </si>
  <si>
    <t>ARD_OTHER_INTANGIBLE_ASSET</t>
  </si>
  <si>
    <t>Property, Plant &amp; Equipment - Gross</t>
  </si>
  <si>
    <t>BS_LT_INVEST</t>
  </si>
  <si>
    <t>Accumulated Depreciation</t>
  </si>
  <si>
    <t>BS_OTHER_ASSETS_DEF_CHRG_OTHER</t>
  </si>
  <si>
    <t>Property, Plant &amp; Equipment - Net</t>
  </si>
  <si>
    <t>BS_TOT_ASSET</t>
  </si>
  <si>
    <t>Net Goodwill</t>
  </si>
  <si>
    <t>Net Intangibles</t>
  </si>
  <si>
    <t>Long Term Investments</t>
  </si>
  <si>
    <t>BS_ST_BORROW</t>
  </si>
  <si>
    <t>Other Assets</t>
  </si>
  <si>
    <t>BS_ACCT_PAYABLE</t>
  </si>
  <si>
    <t>Total Assets</t>
  </si>
  <si>
    <t>ARD_INCOME_TAX_ACCRUED_PAYABLE</t>
  </si>
  <si>
    <t>ST_Deferred_Revenue</t>
    <phoneticPr fontId="16" type="noConversion"/>
  </si>
  <si>
    <t>Liabilities &amp; Shareholder's Equity</t>
  </si>
  <si>
    <t>BS_OTHER_ST_LIAB</t>
  </si>
  <si>
    <t>Total Short Term Debt</t>
  </si>
  <si>
    <t>BS_CUR_LIAB</t>
  </si>
  <si>
    <t>Accounts Payable</t>
  </si>
  <si>
    <t>Income Tax Payable</t>
  </si>
  <si>
    <t>BS_LT_BORROW</t>
  </si>
  <si>
    <t>ST Deferred Revenue</t>
    <phoneticPr fontId="16" type="noConversion"/>
  </si>
  <si>
    <t>ARD_DEFERRED_INCOME_TAXES_LIAB</t>
  </si>
  <si>
    <t>Other Current Liabilities</t>
  </si>
  <si>
    <t>BS_OTHER_LT_LIABILITIES</t>
  </si>
  <si>
    <t>Total Current Liabilities</t>
  </si>
  <si>
    <t>BS_TOT_LIAB2</t>
  </si>
  <si>
    <t>Total Long Term Debt</t>
  </si>
  <si>
    <t>BS_PFD_EQY</t>
  </si>
  <si>
    <t>Deferred Income Tax</t>
  </si>
  <si>
    <t>BS_SH_CAP_AND_APIC</t>
    <phoneticPr fontId="16" type="noConversion"/>
  </si>
  <si>
    <t>Other Liabilities</t>
  </si>
  <si>
    <t>BS_PURE_Retained_Earnings</t>
    <phoneticPr fontId="16" type="noConversion"/>
  </si>
  <si>
    <t>Total Liabilities</t>
  </si>
  <si>
    <t>TOT_COMMON_EQY</t>
  </si>
  <si>
    <t>Preferred Stock</t>
  </si>
  <si>
    <t>MINORITY_NONCONTROLLING_INTEREST</t>
  </si>
  <si>
    <t>Share Capital &amp; APIC</t>
    <phoneticPr fontId="16" type="noConversion"/>
  </si>
  <si>
    <t>TOTAL_EQUITY</t>
  </si>
  <si>
    <t>Retained Earning</t>
    <phoneticPr fontId="16" type="noConversion"/>
  </si>
  <si>
    <t>a</t>
    <phoneticPr fontId="16" type="noConversion"/>
  </si>
  <si>
    <t>Others</t>
    <phoneticPr fontId="16" type="noConversion"/>
  </si>
  <si>
    <t>Total Shareholders' Equity</t>
  </si>
  <si>
    <t>BOOK_VAL_PER_SH</t>
  </si>
  <si>
    <t>Accumulated Minority Interest</t>
  </si>
  <si>
    <t>CASH_FLOW_PER_SH</t>
  </si>
  <si>
    <t>Total Equity</t>
  </si>
  <si>
    <t>Total Liabilities &amp; Shareholders' Equity</t>
  </si>
  <si>
    <t>Book Value Per Share</t>
  </si>
  <si>
    <t>NET_DEBT_TO_SHRHLDR_EQTY</t>
  </si>
  <si>
    <t>CFPS</t>
  </si>
  <si>
    <t>FNCL_LVRG</t>
  </si>
  <si>
    <t>CUR_RATIO</t>
  </si>
  <si>
    <t>INTEREST_COVERAGE_RATIO</t>
  </si>
  <si>
    <t>Capitalization</t>
  </si>
  <si>
    <t>Net Debt / Equity</t>
  </si>
  <si>
    <t>Asset / Equity</t>
  </si>
  <si>
    <t>Current Ratio</t>
  </si>
  <si>
    <t>Interest Coverage</t>
  </si>
  <si>
    <t>Ratio Analysis</t>
    <phoneticPr fontId="14" type="noConversion"/>
  </si>
  <si>
    <t>Liquidity</t>
  </si>
  <si>
    <t>Working Capital</t>
  </si>
  <si>
    <t>Quick Ratio</t>
  </si>
  <si>
    <t>Cash Ratio</t>
  </si>
  <si>
    <t>Turnover</t>
  </si>
  <si>
    <t>Recievable Turnover</t>
  </si>
  <si>
    <t>Inventory Turnover</t>
  </si>
  <si>
    <t>Payable Turnover</t>
  </si>
  <si>
    <t>Turnover Days</t>
    <phoneticPr fontId="14" type="noConversion"/>
  </si>
  <si>
    <t>Receivable Days</t>
  </si>
  <si>
    <t>Inventory Days</t>
  </si>
  <si>
    <t>Operating Cycle</t>
    <phoneticPr fontId="14" type="noConversion"/>
  </si>
  <si>
    <t>Payable Days</t>
  </si>
  <si>
    <t>Cash Cycle</t>
    <phoneticPr fontId="14" type="noConversion"/>
  </si>
  <si>
    <t>Profitability</t>
    <phoneticPr fontId="14" type="noConversion"/>
  </si>
  <si>
    <t>Return on Assets</t>
  </si>
  <si>
    <t>Return on Equity</t>
  </si>
  <si>
    <t>Dupont System</t>
  </si>
  <si>
    <t>Profit Margin</t>
  </si>
  <si>
    <t>Asset Turnover</t>
  </si>
  <si>
    <t>Financial Leverage</t>
  </si>
  <si>
    <t>ROE</t>
  </si>
  <si>
    <t>Forward ROE</t>
    <phoneticPr fontId="14" type="noConversion"/>
  </si>
  <si>
    <t>Solvency</t>
  </si>
  <si>
    <t>Debt Ratio</t>
  </si>
  <si>
    <t>Equity Ratio</t>
  </si>
  <si>
    <t>Gearing Ratio</t>
  </si>
  <si>
    <t>Interest Bearing Liability</t>
    <phoneticPr fontId="14" type="noConversion"/>
  </si>
  <si>
    <t>Short Term Debt</t>
  </si>
  <si>
    <t>Long Term Debt</t>
  </si>
  <si>
    <t>Interest Expense</t>
    <phoneticPr fontId="14" type="noConversion"/>
  </si>
  <si>
    <t>Implied Interest Rate</t>
    <phoneticPr fontId="14" type="noConversion"/>
  </si>
  <si>
    <t>Minimum Working Capital Required</t>
    <phoneticPr fontId="16" type="noConversion"/>
  </si>
  <si>
    <t>CASH AVAILABLE</t>
    <phoneticPr fontId="16" type="noConversion"/>
  </si>
  <si>
    <t>REQUIRED TO BORROW</t>
    <phoneticPr fontId="16" type="noConversion"/>
  </si>
  <si>
    <t>Cash &amp; ST Investment</t>
    <phoneticPr fontId="14" type="noConversion"/>
  </si>
  <si>
    <t>Interest Income</t>
    <phoneticPr fontId="14" type="noConversion"/>
  </si>
  <si>
    <t>Implied Interest Rate Earned</t>
    <phoneticPr fontId="14" type="noConversion"/>
  </si>
  <si>
    <t>Circuit Breaker</t>
    <phoneticPr fontId="16" type="noConversion"/>
  </si>
  <si>
    <t>No</t>
  </si>
  <si>
    <t>Scenario</t>
    <phoneticPr fontId="14" type="noConversion"/>
  </si>
  <si>
    <t>TP</t>
    <phoneticPr fontId="14" type="noConversion"/>
  </si>
  <si>
    <t>Ordinary Shares / DR</t>
    <phoneticPr fontId="14" type="noConversion"/>
  </si>
  <si>
    <t>Base</t>
    <phoneticPr fontId="14" type="noConversion"/>
  </si>
  <si>
    <t>Market Info</t>
    <phoneticPr fontId="14" type="noConversion"/>
  </si>
  <si>
    <t>Valuation-CA</t>
    <phoneticPr fontId="14" type="noConversion"/>
  </si>
  <si>
    <t>Bull</t>
    <phoneticPr fontId="14" type="noConversion"/>
  </si>
  <si>
    <t>PB</t>
    <phoneticPr fontId="14" type="noConversion"/>
  </si>
  <si>
    <t>Shares O/S (mn)</t>
    <phoneticPr fontId="14" type="noConversion"/>
  </si>
  <si>
    <t>PS</t>
    <phoneticPr fontId="14" type="noConversion"/>
  </si>
  <si>
    <t>Mkt Cap (Local)</t>
    <phoneticPr fontId="14" type="noConversion"/>
  </si>
  <si>
    <t>PE</t>
    <phoneticPr fontId="14" type="noConversion"/>
  </si>
  <si>
    <t>Average Daily Volume (k)</t>
    <phoneticPr fontId="14" type="noConversion"/>
  </si>
  <si>
    <t>Bull</t>
    <phoneticPr fontId="14" type="noConversion"/>
  </si>
  <si>
    <t>Bear</t>
    <phoneticPr fontId="14" type="noConversion"/>
  </si>
  <si>
    <t>Financial Highlight</t>
    <phoneticPr fontId="14" type="noConversion"/>
  </si>
  <si>
    <t>Dividend Info</t>
    <phoneticPr fontId="14" type="noConversion"/>
  </si>
  <si>
    <t>Major Holders</t>
    <phoneticPr fontId="14" type="noConversion"/>
  </si>
  <si>
    <t>IPO Info</t>
    <phoneticPr fontId="14" type="noConversion"/>
  </si>
  <si>
    <t>Lead</t>
    <phoneticPr fontId="14" type="noConversion"/>
  </si>
  <si>
    <t>Lockup</t>
    <phoneticPr fontId="14" type="noConversion"/>
  </si>
  <si>
    <t>mn</t>
    <phoneticPr fontId="14" type="noConversion"/>
  </si>
  <si>
    <t>PBR(x)</t>
    <phoneticPr fontId="14" type="noConversion"/>
  </si>
  <si>
    <t>Short Interest Shares (mn)</t>
    <phoneticPr fontId="14" type="noConversion"/>
  </si>
  <si>
    <t>High</t>
    <phoneticPr fontId="14" type="noConversion"/>
  </si>
  <si>
    <t>Surprise%</t>
    <phoneticPr fontId="14" type="noConversion"/>
  </si>
  <si>
    <t>EBITDA</t>
    <phoneticPr fontId="14" type="noConversion"/>
  </si>
  <si>
    <t>Mean</t>
    <phoneticPr fontId="14" type="noConversion"/>
  </si>
  <si>
    <t>Holding</t>
    <phoneticPr fontId="16" type="noConversion"/>
  </si>
  <si>
    <t>Mean</t>
    <phoneticPr fontId="14" type="noConversion"/>
  </si>
  <si>
    <t>Clean BPS</t>
    <phoneticPr fontId="14" type="noConversion"/>
  </si>
  <si>
    <t>Q4</t>
    <phoneticPr fontId="16" type="noConversion"/>
  </si>
  <si>
    <t>Q3</t>
    <phoneticPr fontId="16" type="noConversion"/>
  </si>
  <si>
    <t>Q4</t>
    <phoneticPr fontId="16" type="noConversion"/>
  </si>
  <si>
    <t>PER(x)</t>
    <phoneticPr fontId="4" type="noConversion"/>
  </si>
  <si>
    <t>When linking your standard model to raw data, please make sure you open both files at the same time</t>
    <phoneticPr fontId="16" type="noConversion"/>
  </si>
  <si>
    <t>Notes</t>
    <phoneticPr fontId="16" type="noConversion"/>
  </si>
  <si>
    <t>When this happens, please go to the corresponding cells and override them with hard-coded number</t>
    <phoneticPr fontId="16" type="noConversion"/>
  </si>
  <si>
    <t>There are two place where it is easily showing N/A</t>
    <phoneticPr fontId="16" type="noConversion"/>
  </si>
  <si>
    <t>D&amp;A</t>
    <phoneticPr fontId="16" type="noConversion"/>
  </si>
  <si>
    <t>Interest Expense</t>
    <phoneticPr fontId="16" type="noConversion"/>
  </si>
  <si>
    <t>Where the problems could be</t>
    <phoneticPr fontId="16" type="noConversion"/>
  </si>
  <si>
    <t>If it is a company with fiscal year end date in non-December, it is advised to check if our formula calcualtes numbers in the right period and if there is a blank column.</t>
    <phoneticPr fontId="16" type="noConversion"/>
  </si>
  <si>
    <t>If not, please copy the formula from any of the future periods and paste it to the period where blank column exists</t>
    <phoneticPr fontId="16" type="noConversion"/>
  </si>
  <si>
    <t xml:space="preserve">BPS </t>
    <phoneticPr fontId="4" type="noConversion"/>
  </si>
  <si>
    <t>Upside%</t>
    <phoneticPr fontId="16" type="noConversion"/>
  </si>
  <si>
    <t>Model update time</t>
    <phoneticPr fontId="16" type="noConversion"/>
  </si>
  <si>
    <t>Finished by</t>
    <phoneticPr fontId="16" type="noConversion"/>
  </si>
  <si>
    <t xml:space="preserve">Checked by </t>
    <phoneticPr fontId="16" type="noConversion"/>
  </si>
  <si>
    <t>YoY</t>
    <phoneticPr fontId="14" type="noConversion"/>
  </si>
  <si>
    <t>Depreciation &amp; Amortization</t>
    <phoneticPr fontId="4" type="noConversion"/>
  </si>
  <si>
    <t>Depreciation &amp; Amortization</t>
    <phoneticPr fontId="14" type="noConversion"/>
  </si>
  <si>
    <t>Average Daily Value (USD mn)</t>
    <phoneticPr fontId="14" type="noConversion"/>
  </si>
  <si>
    <t>%</t>
    <phoneticPr fontId="14" type="noConversion"/>
  </si>
  <si>
    <t>Before using the model</t>
    <phoneticPr fontId="16" type="noConversion"/>
  </si>
  <si>
    <t>a</t>
    <phoneticPr fontId="16" type="noConversion"/>
  </si>
  <si>
    <t>b</t>
    <phoneticPr fontId="16" type="noConversion"/>
  </si>
  <si>
    <r>
      <t xml:space="preserve">In Raw data PnL tab, </t>
    </r>
    <r>
      <rPr>
        <b/>
        <sz val="9"/>
        <color theme="1"/>
        <rFont val="Arial"/>
        <family val="2"/>
      </rPr>
      <t>Make sure Cell "AB 5" is in the correct reporting date</t>
    </r>
    <r>
      <rPr>
        <sz val="9"/>
        <color theme="1"/>
        <rFont val="Arial"/>
        <family val="2"/>
      </rPr>
      <t xml:space="preserve"> by adding and deducting the year/month figure in the function</t>
    </r>
    <phoneticPr fontId="16" type="noConversion"/>
  </si>
  <si>
    <t>Using the raw data model to update earnings</t>
    <phoneticPr fontId="16" type="noConversion"/>
  </si>
  <si>
    <r>
      <t xml:space="preserve">When downloading the official financial data, please use </t>
    </r>
    <r>
      <rPr>
        <b/>
        <sz val="9"/>
        <color theme="1"/>
        <rFont val="Arial"/>
        <family val="2"/>
      </rPr>
      <t>RAW DATA STANDARD</t>
    </r>
    <r>
      <rPr>
        <sz val="9"/>
        <color theme="1"/>
        <rFont val="Arial"/>
        <family val="2"/>
      </rPr>
      <t xml:space="preserve"> file and follow the steps below</t>
    </r>
    <phoneticPr fontId="16" type="noConversion"/>
  </si>
  <si>
    <r>
      <t xml:space="preserve">Copy the </t>
    </r>
    <r>
      <rPr>
        <b/>
        <sz val="9"/>
        <color theme="1"/>
        <rFont val="Arial"/>
        <family val="2"/>
      </rPr>
      <t xml:space="preserve">Bloomberg formula </t>
    </r>
    <r>
      <rPr>
        <sz val="9"/>
        <color theme="1"/>
        <rFont val="Arial"/>
        <family val="2"/>
      </rPr>
      <t>in last reporting period (e.g. 4Q 17)</t>
    </r>
    <phoneticPr fontId="16" type="noConversion"/>
  </si>
  <si>
    <t>Paste the formula over the next period (e.g. 1Q18)</t>
    <phoneticPr fontId="16" type="noConversion"/>
  </si>
  <si>
    <t>If cells don't respond, please click the Bloomberg tag on the toolbar above and hit refresh</t>
    <phoneticPr fontId="16" type="noConversion"/>
  </si>
  <si>
    <t>Color meaning</t>
    <phoneticPr fontId="16" type="noConversion"/>
  </si>
  <si>
    <t>When comparing numbers with those on Financial Reports, please be noted that all data come from Bloomberg, and it classified or grouped a few line items together. (e.g. Other liability under non-current liability)</t>
    <phoneticPr fontId="16" type="noConversion"/>
  </si>
  <si>
    <r>
      <t xml:space="preserve">Cells with </t>
    </r>
    <r>
      <rPr>
        <b/>
        <sz val="9"/>
        <color theme="1"/>
        <rFont val="Arial"/>
        <family val="2"/>
      </rPr>
      <t>light yellow-coded</t>
    </r>
    <r>
      <rPr>
        <sz val="9"/>
        <color theme="1"/>
        <rFont val="Arial"/>
        <family val="2"/>
      </rPr>
      <t xml:space="preserve"> is the </t>
    </r>
    <r>
      <rPr>
        <b/>
        <sz val="9"/>
        <color theme="1"/>
        <rFont val="Arial"/>
        <family val="2"/>
      </rPr>
      <t>input area</t>
    </r>
    <r>
      <rPr>
        <sz val="9"/>
        <color theme="1"/>
        <rFont val="Arial"/>
        <family val="2"/>
      </rPr>
      <t xml:space="preserve">, where user should manually input the figure; </t>
    </r>
    <r>
      <rPr>
        <b/>
        <sz val="9"/>
        <color theme="1"/>
        <rFont val="Arial"/>
        <family val="2"/>
      </rPr>
      <t>Orange-coded cells</t>
    </r>
    <r>
      <rPr>
        <sz val="9"/>
        <color theme="1"/>
        <rFont val="Arial"/>
        <family val="2"/>
      </rPr>
      <t xml:space="preserve"> are where user is advised to </t>
    </r>
    <r>
      <rPr>
        <b/>
        <sz val="9"/>
        <color theme="1"/>
        <rFont val="Arial"/>
        <family val="2"/>
      </rPr>
      <t>pay extra attention</t>
    </r>
    <r>
      <rPr>
        <sz val="9"/>
        <color theme="1"/>
        <rFont val="Arial"/>
        <family val="2"/>
      </rPr>
      <t xml:space="preserve"> and refer to financial report for further guidance</t>
    </r>
    <phoneticPr fontId="16" type="noConversion"/>
  </si>
  <si>
    <t>NET DEBT</t>
    <phoneticPr fontId="4" type="noConversion"/>
  </si>
  <si>
    <t>EV COMPONENT</t>
    <phoneticPr fontId="4" type="noConversion"/>
  </si>
  <si>
    <t>BPS</t>
    <phoneticPr fontId="14" type="noConversion"/>
  </si>
  <si>
    <t>CONSENSUS</t>
    <phoneticPr fontId="4" type="noConversion"/>
  </si>
  <si>
    <t>CONSENSUS - SALES</t>
    <phoneticPr fontId="4" type="noConversion"/>
  </si>
  <si>
    <t>CONSENSUS - EBIT</t>
    <phoneticPr fontId="4" type="noConversion"/>
  </si>
  <si>
    <t>CONSENSUS - NET INCOME</t>
    <phoneticPr fontId="4" type="noConversion"/>
  </si>
  <si>
    <t>CONSENSUS - EPS</t>
    <phoneticPr fontId="4" type="noConversion"/>
  </si>
  <si>
    <t>VARIANCE (%)</t>
    <phoneticPr fontId="4" type="noConversion"/>
  </si>
  <si>
    <t>Interest EXPENSE</t>
    <phoneticPr fontId="14" type="noConversion"/>
  </si>
  <si>
    <t>INTEREST INCOME</t>
    <phoneticPr fontId="4" type="noConversion"/>
  </si>
  <si>
    <t>FCF ANALYSIS</t>
    <phoneticPr fontId="16" type="noConversion"/>
  </si>
  <si>
    <t>NET OPERATING CASH FLOW</t>
    <phoneticPr fontId="16" type="noConversion"/>
  </si>
  <si>
    <t>SUBSTRACT: CAPEX</t>
    <phoneticPr fontId="16" type="noConversion"/>
  </si>
  <si>
    <t>FREE CASH FLOW</t>
    <phoneticPr fontId="16" type="noConversion"/>
  </si>
  <si>
    <t>VARIANCE (%)</t>
    <phoneticPr fontId="16" type="noConversion"/>
  </si>
  <si>
    <t>EPS (Diluted) - NON GAAP</t>
    <phoneticPr fontId="4" type="noConversion"/>
  </si>
  <si>
    <t>CONSENSUS - EPS</t>
  </si>
  <si>
    <t>VARIANCE (%)</t>
  </si>
  <si>
    <t>Yan</t>
    <phoneticPr fontId="16" type="noConversion"/>
  </si>
  <si>
    <t>FY14</t>
  </si>
  <si>
    <t>FY15</t>
  </si>
  <si>
    <t>FY16</t>
  </si>
  <si>
    <t>FY17</t>
  </si>
  <si>
    <t>FY18</t>
  </si>
  <si>
    <t>FY19</t>
  </si>
  <si>
    <t>FY20</t>
  </si>
  <si>
    <t>FY21</t>
  </si>
  <si>
    <t>FY22</t>
  </si>
  <si>
    <t>RMB in mns</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</si>
  <si>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</si>
  <si>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</si>
  <si>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</si>
  <si>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</si>
  <si>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</si>
  <si>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</si>
  <si>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</si>
  <si>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</si>
  <si>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</si>
  <si>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</si>
  <si>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</si>
  <si>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</si>
  <si>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</si>
  <si>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</si>
  <si>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</si>
  <si>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</si>
  <si>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</si>
  <si>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</si>
  <si>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</si>
  <si>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</si>
  <si>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</si>
  <si>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</si>
  <si>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</si>
  <si>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</si>
  <si>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</si>
  <si>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</si>
  <si>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</si>
  <si>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</si>
  <si>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</si>
  <si>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</si>
  <si>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</si>
  <si>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</si>
  <si>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</si>
  <si>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</si>
  <si>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</si>
  <si>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</si>
  <si>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given Y/N</t>
  </si>
  <si>
    <t>2014/3/31</t>
  </si>
  <si>
    <t>2015/3/31</t>
  </si>
  <si>
    <t>2016/3/31</t>
  </si>
  <si>
    <t>2017/3/31</t>
  </si>
  <si>
    <t>2018/3/31</t>
  </si>
  <si>
    <t>2019/3/31</t>
  </si>
  <si>
    <t>2020/3/31</t>
  </si>
  <si>
    <t>FX: USD/RMB</t>
  </si>
  <si>
    <t>alpha</t>
  </si>
  <si>
    <t>y</t>
  </si>
  <si>
    <t>%YoY</t>
  </si>
  <si>
    <t>VA Consensus</t>
  </si>
  <si>
    <t>Revenue - Guidance (RMB bns)</t>
  </si>
  <si>
    <t>375-383</t>
  </si>
  <si>
    <t>50-53%</t>
  </si>
  <si>
    <t>a) CRM</t>
  </si>
  <si>
    <t>Y</t>
  </si>
  <si>
    <t>%QoQ</t>
  </si>
  <si>
    <t>&lt;----new feeds monetized from FY20</t>
  </si>
  <si>
    <t>b) Commission</t>
  </si>
  <si>
    <t>&lt;----NBS matched</t>
  </si>
  <si>
    <t xml:space="preserve">NBS GMV </t>
  </si>
  <si>
    <t>BABA TMALL GMV</t>
  </si>
  <si>
    <t>[1.1.1] Core China Retail (excl. Other)</t>
  </si>
  <si>
    <t>[1.1.2] Others</t>
  </si>
  <si>
    <t>a) New Retail - Intime</t>
  </si>
  <si>
    <t>b) New Retail - Hema</t>
  </si>
  <si>
    <t>&lt;----too high in consensus?</t>
  </si>
  <si>
    <t>**</t>
  </si>
  <si>
    <t>c) New Retail - Others (Tmall Import, Storefront fee)</t>
  </si>
  <si>
    <t>d) New Retail - Kaola</t>
  </si>
  <si>
    <t>[1.1] Total China Retail</t>
  </si>
  <si>
    <t>[1.2.1] China Wholesale</t>
  </si>
  <si>
    <t>[1.2.2] International Commerce</t>
  </si>
  <si>
    <t>a) International Wholesale (Alibaba.com)</t>
  </si>
  <si>
    <t>b) International Retail</t>
  </si>
  <si>
    <t>(i) AliExpress and others</t>
  </si>
  <si>
    <t>n</t>
  </si>
  <si>
    <t>(ii) Lazada</t>
  </si>
  <si>
    <t>[1.2.3] Other (related to AliHealth)</t>
  </si>
  <si>
    <t>[1.2] Non-China Retail</t>
  </si>
  <si>
    <t>[1.3] Cainiao logistics</t>
  </si>
  <si>
    <t>[1.4] Local consumer services : Eleme&amp;Koubei</t>
  </si>
  <si>
    <t>[1] Total Commerce</t>
  </si>
  <si>
    <t>Memo: Organic Commerce (excl. New Retail &amp; Eleme &amp; Cainiao)</t>
  </si>
  <si>
    <t>% Organic Growth</t>
  </si>
  <si>
    <t>China IaaS Market (bn $)</t>
  </si>
  <si>
    <t>% Industry Growth</t>
  </si>
  <si>
    <t>% BABA share</t>
  </si>
  <si>
    <t>[2] Cloud</t>
  </si>
  <si>
    <t>in mns $</t>
  </si>
  <si>
    <t>Memo: AWS revenue</t>
  </si>
  <si>
    <t>% AWS Growth</t>
  </si>
  <si>
    <t>[3] Digital Media &amp; Entertainment</t>
  </si>
  <si>
    <t>[4] New Business (Autonavi, DDTalk, etc.)</t>
  </si>
  <si>
    <t xml:space="preserve">Total Other Revenue [3]+[4] </t>
  </si>
  <si>
    <t>Total Revenue</t>
  </si>
  <si>
    <t>in bns $</t>
  </si>
  <si>
    <t>INCOME STATEMENT</t>
  </si>
  <si>
    <t>% YOY</t>
  </si>
  <si>
    <t>Adj EBITA BY SEGMENT</t>
  </si>
  <si>
    <t>not given</t>
  </si>
  <si>
    <t>given</t>
  </si>
  <si>
    <t>given margin</t>
  </si>
  <si>
    <t>Market place core commerce revenue</t>
  </si>
  <si>
    <t>EBITA</t>
  </si>
  <si>
    <t>% Margin(nG)</t>
  </si>
  <si>
    <t>Others</t>
  </si>
  <si>
    <t>1. New Retail - Intime</t>
  </si>
  <si>
    <t>% Margin</t>
  </si>
  <si>
    <t>2. New Retail - Hema</t>
  </si>
  <si>
    <t>3. New Retail - Tmall Import</t>
  </si>
  <si>
    <t>FY 19 %</t>
  </si>
  <si>
    <t>Check</t>
  </si>
  <si>
    <t>EBITA on cainiao+eleme+lazada+new retail&amp;import</t>
  </si>
  <si>
    <t>Cainiao</t>
  </si>
  <si>
    <t>Eleme+koubei</t>
  </si>
  <si>
    <t>Lazada+ ali express</t>
  </si>
  <si>
    <t>Error term</t>
  </si>
  <si>
    <t>[1] Retail: check</t>
  </si>
  <si>
    <t>% YoY</t>
  </si>
  <si>
    <t>[1] Retail: repoted Core commerce</t>
  </si>
  <si>
    <t>Adj EBITA margin</t>
  </si>
  <si>
    <t>Gap</t>
  </si>
  <si>
    <t>Repoted Core commerce-VA Consensus</t>
  </si>
  <si>
    <t>[4] New Businesses</t>
  </si>
  <si>
    <t>[5]Unallocated</t>
  </si>
  <si>
    <t>EBITA - non GAAP</t>
  </si>
  <si>
    <t>[i]</t>
  </si>
  <si>
    <t>EBIT (GAAP): = EBITA (Non-GAAP) - SBC - Amortization of intangible assets</t>
  </si>
  <si>
    <t>[ii]</t>
  </si>
  <si>
    <t>EBIT (GAAP): = GP - OPEX</t>
  </si>
  <si>
    <t>error term: = [i] - [ii]</t>
  </si>
  <si>
    <t>Diluted Shares Outstanding (Average)</t>
    <phoneticPr fontId="4" type="noConversion"/>
  </si>
  <si>
    <t>By Method [i]</t>
  </si>
  <si>
    <t>Net Income - non GAAP</t>
  </si>
  <si>
    <t>部分数据对不上</t>
  </si>
  <si>
    <t>EPS  Consensus RMB</t>
  </si>
  <si>
    <t>EPS  Consensus USD</t>
  </si>
  <si>
    <t>EPS RMB</t>
  </si>
  <si>
    <t>历史数据对不上</t>
  </si>
  <si>
    <t>EPS USD</t>
  </si>
  <si>
    <t>&lt;--PE band 18.3-30</t>
  </si>
  <si>
    <t>TP</t>
  </si>
  <si>
    <t>PE   (High end)</t>
  </si>
  <si>
    <t>Ant TP</t>
  </si>
  <si>
    <t xml:space="preserve">Core Commerce - Net Income - non GAAP </t>
  </si>
  <si>
    <t>PE</t>
  </si>
  <si>
    <t>&lt;---SOTP 给云等不盈利业务一个综合PE 溢价</t>
  </si>
  <si>
    <t>% of revenue</t>
  </si>
  <si>
    <t>Gross Profit</t>
  </si>
  <si>
    <t>% GPM</t>
  </si>
  <si>
    <t>Operating Costs and Expenses</t>
  </si>
  <si>
    <t>S&amp;M</t>
  </si>
  <si>
    <t>% yoy</t>
  </si>
  <si>
    <t>G&amp;A</t>
  </si>
  <si>
    <t>R&amp;D</t>
  </si>
  <si>
    <t>EBIT (Operating Income) - GAAP</t>
  </si>
  <si>
    <t>Income expenses</t>
  </si>
  <si>
    <t>Interest and investment income, other income, net</t>
  </si>
  <si>
    <t>% Tax rate</t>
  </si>
  <si>
    <t>EBITDA non GAAP adjustment</t>
  </si>
  <si>
    <t>Total SBC</t>
  </si>
  <si>
    <t>% of Rev</t>
  </si>
  <si>
    <t>SBC - COGS</t>
  </si>
  <si>
    <t>SBC - R&amp;D</t>
  </si>
  <si>
    <t>SBC - S&amp;M</t>
  </si>
  <si>
    <t>SBC - G&amp;A</t>
  </si>
  <si>
    <t>Amortization of intangible assets</t>
  </si>
  <si>
    <t>Impairment of goodwill</t>
  </si>
  <si>
    <t>Depreciation and amortization of property and equipment and land use rights</t>
  </si>
  <si>
    <t>By Method [ii]</t>
  </si>
  <si>
    <t>Net Income non GAAP adjustment</t>
  </si>
  <si>
    <t>SBC</t>
  </si>
  <si>
    <t>Impairment of goodwill and investments</t>
  </si>
  <si>
    <t>Yahoo TIPLA amendment payment</t>
  </si>
  <si>
    <t>(Gain)/loss on deemed disposals/revaluation of investments &amp; others</t>
  </si>
  <si>
    <t>Amortization of excess value receivable (related to Ant Financial)</t>
  </si>
  <si>
    <t>Expenses relating to sale of shares by existing shareholders in IPO</t>
  </si>
  <si>
    <t>Tax effects on non-gaap adjustments</t>
  </si>
  <si>
    <t>One-time charge for financing-related fees</t>
  </si>
  <si>
    <t xml:space="preserve">Gain in relation to the receipt of the 33% equity interest in Ant Financial </t>
  </si>
  <si>
    <t>部分数据和VA数据不同，对的上的数据为 Net income before non controlling interest - operating而不是Net income/(loss) - operating</t>
  </si>
  <si>
    <t>Net Income - GAAP</t>
  </si>
  <si>
    <t>Accretion of convertible preference shares</t>
  </si>
  <si>
    <t>Dividends accrued on convertible preference shares</t>
  </si>
  <si>
    <t xml:space="preserve">Net Income - attribute to ordinary shareholders </t>
  </si>
  <si>
    <t>Dilution effect on earnings arising from option plans operated by a subsidiary and an equity investe</t>
  </si>
  <si>
    <t xml:space="preserve">Net Income - non GAAP - attribute to ordinary shareholders </t>
  </si>
  <si>
    <t xml:space="preserve">SEGMENT Amortisation </t>
    <phoneticPr fontId="4" type="noConversion"/>
  </si>
  <si>
    <t>Advertising</t>
  </si>
  <si>
    <t>Commission</t>
  </si>
  <si>
    <t>Ad + Comm</t>
  </si>
  <si>
    <t>Other (new retail)</t>
  </si>
  <si>
    <t>Hema</t>
  </si>
  <si>
    <t>Ex- Hema (Intime, Tmall Imports)</t>
  </si>
  <si>
    <t>China Retail Commerce</t>
  </si>
  <si>
    <t>Wholesale</t>
  </si>
  <si>
    <t>China Core Commerce (Retail+Wholesale)</t>
  </si>
  <si>
    <t>Cainaio</t>
  </si>
  <si>
    <t>Ele.me</t>
  </si>
  <si>
    <t>China Core</t>
  </si>
  <si>
    <t>Retail, Int'l</t>
  </si>
  <si>
    <t>Lazada</t>
  </si>
  <si>
    <t>ex. Lazada</t>
  </si>
  <si>
    <t>Wholesale, Int'l</t>
  </si>
  <si>
    <t>Int'l Commerce</t>
  </si>
  <si>
    <t>Total Core Commerce (China + Int'l)</t>
  </si>
  <si>
    <t>Cloud</t>
  </si>
  <si>
    <t>Entertainment</t>
  </si>
  <si>
    <t>Innovation</t>
  </si>
  <si>
    <t>Unallocated</t>
  </si>
  <si>
    <t>Alibaba Group Holding Limited</t>
  </si>
  <si>
    <t>Calendar-Year GMV</t>
    <phoneticPr fontId="82" type="noConversion"/>
  </si>
  <si>
    <t>CY13 GMV</t>
    <phoneticPr fontId="82" type="noConversion"/>
  </si>
  <si>
    <t>CY14 GMV</t>
    <phoneticPr fontId="82" type="noConversion"/>
  </si>
  <si>
    <t>CY15 GMV</t>
    <phoneticPr fontId="82" type="noConversion"/>
  </si>
  <si>
    <t>CY16 GMV</t>
    <phoneticPr fontId="82" type="noConversion"/>
  </si>
  <si>
    <t>Tmall</t>
    <phoneticPr fontId="82" type="noConversion"/>
  </si>
  <si>
    <t>Tmall</t>
    <phoneticPr fontId="82" type="noConversion"/>
  </si>
  <si>
    <t>Calendar</t>
  </si>
  <si>
    <t>Jun CY12</t>
    <phoneticPr fontId="82" type="noConversion"/>
  </si>
  <si>
    <t>Sep CY12</t>
    <phoneticPr fontId="82" type="noConversion"/>
  </si>
  <si>
    <t>Dec CY12</t>
    <phoneticPr fontId="82" type="noConversion"/>
  </si>
  <si>
    <t>Mar CY13</t>
    <phoneticPr fontId="82" type="noConversion"/>
  </si>
  <si>
    <t>Jun CY13</t>
    <phoneticPr fontId="82" type="noConversion"/>
  </si>
  <si>
    <t>Sep CY13</t>
    <phoneticPr fontId="82" type="noConversion"/>
  </si>
  <si>
    <t>Dec CY13</t>
    <phoneticPr fontId="82" type="noConversion"/>
  </si>
  <si>
    <t>Mar CY14</t>
    <phoneticPr fontId="82" type="noConversion"/>
  </si>
  <si>
    <t>Jun CY14</t>
    <phoneticPr fontId="82" type="noConversion"/>
  </si>
  <si>
    <t>Sep CY14</t>
    <phoneticPr fontId="82" type="noConversion"/>
  </si>
  <si>
    <t>Dec CY14</t>
    <phoneticPr fontId="82" type="noConversion"/>
  </si>
  <si>
    <t>Mar CY15</t>
    <phoneticPr fontId="82" type="noConversion"/>
  </si>
  <si>
    <t>Jun CY15</t>
    <phoneticPr fontId="82" type="noConversion"/>
  </si>
  <si>
    <t>Sep CY15</t>
    <phoneticPr fontId="82" type="noConversion"/>
  </si>
  <si>
    <t>Dec CY15</t>
    <phoneticPr fontId="82" type="noConversion"/>
  </si>
  <si>
    <t>Mar CY16</t>
    <phoneticPr fontId="82" type="noConversion"/>
  </si>
  <si>
    <t>Jun CY16</t>
  </si>
  <si>
    <t>Sep CY16</t>
  </si>
  <si>
    <t>Dec CY16</t>
  </si>
  <si>
    <t>Mar CY17</t>
  </si>
  <si>
    <t>Jun CY17</t>
  </si>
  <si>
    <t>Sep CY17</t>
  </si>
  <si>
    <t>Dec CY17</t>
  </si>
  <si>
    <t>Mar CY18</t>
  </si>
  <si>
    <t>Jun CY18</t>
    <phoneticPr fontId="82" type="noConversion"/>
  </si>
  <si>
    <t>Sep CY18</t>
    <phoneticPr fontId="82" type="noConversion"/>
  </si>
  <si>
    <t>Dec CY18</t>
    <phoneticPr fontId="82" type="noConversion"/>
  </si>
  <si>
    <t>Mar CY19</t>
    <phoneticPr fontId="82" type="noConversion"/>
  </si>
  <si>
    <t>Jun CY19</t>
  </si>
  <si>
    <t>Sep CY19</t>
  </si>
  <si>
    <t>Dec CY19</t>
  </si>
  <si>
    <t>Mar CY20</t>
  </si>
  <si>
    <t>Jun CY20</t>
  </si>
  <si>
    <t>Sep CY20</t>
  </si>
  <si>
    <t>Dec CY20</t>
  </si>
  <si>
    <t>Mar CY21</t>
  </si>
  <si>
    <t>Jun CY21</t>
  </si>
  <si>
    <t>Sep CY21</t>
  </si>
  <si>
    <t>Dec CY21</t>
  </si>
  <si>
    <t>Mar CY22</t>
  </si>
  <si>
    <t>YE Mar 12</t>
    <phoneticPr fontId="82" type="noConversion"/>
  </si>
  <si>
    <t>YE Mar 13</t>
  </si>
  <si>
    <t>YE Mar 14</t>
  </si>
  <si>
    <t>YE Mar 15</t>
  </si>
  <si>
    <t>YE Mar 16</t>
  </si>
  <si>
    <t>YE Mar 17</t>
  </si>
  <si>
    <t>YE Mar 18</t>
  </si>
  <si>
    <t>YE Mar 19</t>
  </si>
  <si>
    <t>YE Mar 20</t>
  </si>
  <si>
    <t>YE Mar 21</t>
    <phoneticPr fontId="82" type="noConversion"/>
  </si>
  <si>
    <t>YE Mar 22</t>
    <phoneticPr fontId="82" type="noConversion"/>
  </si>
  <si>
    <t>YE Mar 23</t>
  </si>
  <si>
    <t>YE Mar 24</t>
  </si>
  <si>
    <t>Note</t>
    <phoneticPr fontId="87" type="noConversion"/>
  </si>
  <si>
    <t>Items</t>
  </si>
  <si>
    <t>F1Q13</t>
    <phoneticPr fontId="82" type="noConversion"/>
  </si>
  <si>
    <t>F2Q13</t>
    <phoneticPr fontId="82" type="noConversion"/>
  </si>
  <si>
    <t>F3Q13</t>
    <phoneticPr fontId="82" type="noConversion"/>
  </si>
  <si>
    <t>F4Q13</t>
    <phoneticPr fontId="82" type="noConversion"/>
  </si>
  <si>
    <t>F1Q14</t>
    <phoneticPr fontId="82" type="noConversion"/>
  </si>
  <si>
    <t>F2Q14</t>
    <phoneticPr fontId="82" type="noConversion"/>
  </si>
  <si>
    <t>F3Q14</t>
    <phoneticPr fontId="82" type="noConversion"/>
  </si>
  <si>
    <t>F4Q14</t>
    <phoneticPr fontId="82" type="noConversion"/>
  </si>
  <si>
    <t>F1Q15</t>
    <phoneticPr fontId="82" type="noConversion"/>
  </si>
  <si>
    <t>F2Q15</t>
    <phoneticPr fontId="82" type="noConversion"/>
  </si>
  <si>
    <t>F3Q15</t>
    <phoneticPr fontId="82" type="noConversion"/>
  </si>
  <si>
    <t>F4Q15</t>
    <phoneticPr fontId="82" type="noConversion"/>
  </si>
  <si>
    <t>F1Q16</t>
    <phoneticPr fontId="82" type="noConversion"/>
  </si>
  <si>
    <t>F2Q16</t>
    <phoneticPr fontId="82" type="noConversion"/>
  </si>
  <si>
    <t>F3Q16</t>
    <phoneticPr fontId="82" type="noConversion"/>
  </si>
  <si>
    <t>F4Q16</t>
    <phoneticPr fontId="82" type="noConversion"/>
  </si>
  <si>
    <t>F1Q17</t>
  </si>
  <si>
    <t>F2Q17</t>
  </si>
  <si>
    <t>F3Q17</t>
    <phoneticPr fontId="82" type="noConversion"/>
  </si>
  <si>
    <t>F4Q17</t>
    <phoneticPr fontId="82" type="noConversion"/>
  </si>
  <si>
    <t>F1Q18</t>
    <phoneticPr fontId="82" type="noConversion"/>
  </si>
  <si>
    <t>F2Q18</t>
    <phoneticPr fontId="82" type="noConversion"/>
  </si>
  <si>
    <t>F3Q18</t>
    <phoneticPr fontId="82" type="noConversion"/>
  </si>
  <si>
    <t>F4Q18</t>
  </si>
  <si>
    <t>F1Q19</t>
  </si>
  <si>
    <t>F2Q19</t>
  </si>
  <si>
    <t>F3Q19</t>
  </si>
  <si>
    <t>F4Q19</t>
  </si>
  <si>
    <t>F1Q20</t>
  </si>
  <si>
    <t>F2Q20</t>
  </si>
  <si>
    <t>F3Q20</t>
  </si>
  <si>
    <t>F4Q20</t>
  </si>
  <si>
    <t>F1Q21</t>
    <phoneticPr fontId="82" type="noConversion"/>
  </si>
  <si>
    <t>F2Q21E</t>
  </si>
  <si>
    <t>F3Q21E</t>
  </si>
  <si>
    <t>F4Q21E</t>
  </si>
  <si>
    <t>F1Q22E</t>
  </si>
  <si>
    <t>F2Q22E</t>
  </si>
  <si>
    <t>F3Q22E</t>
  </si>
  <si>
    <t>F4Q22E</t>
  </si>
  <si>
    <t>FY2012</t>
    <phoneticPr fontId="82" type="noConversion"/>
  </si>
  <si>
    <t>FY2013</t>
    <phoneticPr fontId="82" type="noConversion"/>
  </si>
  <si>
    <t>FY2014</t>
    <phoneticPr fontId="82" type="noConversion"/>
  </si>
  <si>
    <t>FY2015</t>
    <phoneticPr fontId="82" type="noConversion"/>
  </si>
  <si>
    <t>FY2016</t>
    <phoneticPr fontId="82" type="noConversion"/>
  </si>
  <si>
    <t>FY2017</t>
    <phoneticPr fontId="82" type="noConversion"/>
  </si>
  <si>
    <t>FY2018</t>
  </si>
  <si>
    <t>FY2019</t>
  </si>
  <si>
    <t>FY2020</t>
  </si>
  <si>
    <t>FY2021E</t>
    <phoneticPr fontId="82" type="noConversion"/>
  </si>
  <si>
    <t>FY2022E</t>
    <phoneticPr fontId="82" type="noConversion"/>
  </si>
  <si>
    <t>FY2023E</t>
  </si>
  <si>
    <t>FY2024E</t>
  </si>
  <si>
    <t>Exchange rate</t>
    <phoneticPr fontId="82" type="noConversion"/>
  </si>
  <si>
    <t>Operating Metrics</t>
  </si>
  <si>
    <t>86Estimates</t>
  </si>
  <si>
    <t>Total GMV $ bln</t>
    <phoneticPr fontId="82" type="noConversion"/>
  </si>
  <si>
    <t>Total GMV RMB bln</t>
    <phoneticPr fontId="82" type="noConversion"/>
  </si>
  <si>
    <t>Non-Taobao / Tmall GMV RMB bln</t>
    <phoneticPr fontId="82" type="noConversion"/>
  </si>
  <si>
    <t>Lazada (RMB bln)</t>
    <phoneticPr fontId="82" type="noConversion"/>
  </si>
  <si>
    <t>86Estimates, assuming 15% blended takerate</t>
  </si>
  <si>
    <t>AliExpress (RMB bln)</t>
    <phoneticPr fontId="82" type="noConversion"/>
  </si>
  <si>
    <t>Quarterly data after F1Q17 are 86Estimates; Annual data from 20-F</t>
  </si>
  <si>
    <r>
      <t xml:space="preserve">China retail marketplace GMV </t>
    </r>
    <r>
      <rPr>
        <b/>
        <sz val="9"/>
        <color rgb="FF0070C0"/>
        <rFont val="Arial Narrow"/>
        <family val="2"/>
      </rPr>
      <t>(RMB bln)</t>
    </r>
    <phoneticPr fontId="82" type="noConversion"/>
  </si>
  <si>
    <t xml:space="preserve"> GMV ($ bln)</t>
    <phoneticPr fontId="82" type="noConversion"/>
  </si>
  <si>
    <t>Q/Q Growth</t>
    <phoneticPr fontId="82" type="noConversion"/>
  </si>
  <si>
    <t>Y/Y Growth</t>
    <phoneticPr fontId="82" type="noConversion"/>
  </si>
  <si>
    <t>NBS, 86 adjusted</t>
  </si>
  <si>
    <t>China Online Retail Sales (RMB bln)</t>
  </si>
  <si>
    <t>Y/Y</t>
  </si>
  <si>
    <t>Quarterly data after F1Q17 are 86Estimates</t>
  </si>
  <si>
    <t>BABA market share</t>
  </si>
  <si>
    <t>Annual Report:</t>
  </si>
  <si>
    <t>Physical goods Y/Y Growth</t>
  </si>
  <si>
    <r>
      <t>Taobao Marketplace GMV</t>
    </r>
    <r>
      <rPr>
        <sz val="10"/>
        <color rgb="FF0070C0"/>
        <rFont val="Arial Narrow"/>
        <family val="2"/>
      </rPr>
      <t xml:space="preserve"> </t>
    </r>
    <r>
      <rPr>
        <b/>
        <sz val="9"/>
        <color rgb="FF0070C0"/>
        <rFont val="Arial Narrow"/>
        <family val="2"/>
      </rPr>
      <t>(RMB bln)</t>
    </r>
  </si>
  <si>
    <t>Contain assumptions for quarterly Taobao GMV</t>
  </si>
  <si>
    <t>Y/Y Growth</t>
    <phoneticPr fontId="82" type="noConversion"/>
  </si>
  <si>
    <t>Taobao physical goods GMV Y/Y Growth</t>
  </si>
  <si>
    <t>Excluding Lottery</t>
    <phoneticPr fontId="82" type="noConversion"/>
  </si>
  <si>
    <t>Lottery sales</t>
    <phoneticPr fontId="82" type="noConversion"/>
  </si>
  <si>
    <t>yoy</t>
    <phoneticPr fontId="82" type="noConversion"/>
  </si>
  <si>
    <r>
      <t>Tmall GMV</t>
    </r>
    <r>
      <rPr>
        <sz val="10"/>
        <color rgb="FF0070C0"/>
        <rFont val="Arial Narrow"/>
        <family val="2"/>
      </rPr>
      <t xml:space="preserve"> </t>
    </r>
    <r>
      <rPr>
        <b/>
        <sz val="9"/>
        <color rgb="FF0070C0"/>
        <rFont val="Arial Narrow"/>
        <family val="2"/>
      </rPr>
      <t>(RMB bln)</t>
    </r>
  </si>
  <si>
    <t>Contain assumptions for quarterly Tmall GMV</t>
  </si>
  <si>
    <t>Quarterly Report:</t>
  </si>
  <si>
    <t>Physical goods Y/Y Growth</t>
    <phoneticPr fontId="82" type="noConversion"/>
  </si>
  <si>
    <t>*Check- Commission rev growth</t>
    <phoneticPr fontId="82" type="noConversion"/>
  </si>
  <si>
    <t>86Estimates from F2Q17</t>
  </si>
  <si>
    <t>% of Taobao + Tmall GMV</t>
  </si>
  <si>
    <t>*China Retail Marketplace Revenue (RMB mln)</t>
    <phoneticPr fontId="82" type="noConversion"/>
  </si>
  <si>
    <t>Y/YGrowth</t>
    <phoneticPr fontId="82" type="noConversion"/>
  </si>
  <si>
    <t>Mobile GMV (RMB bln)</t>
    <phoneticPr fontId="82" type="noConversion"/>
  </si>
  <si>
    <t>Contain assumptions for mobile GMV</t>
  </si>
  <si>
    <t>Mobile GMV as a % of total GMV</t>
    <phoneticPr fontId="82" type="noConversion"/>
  </si>
  <si>
    <t>Market share % of total mobile retail GMV in China</t>
    <phoneticPr fontId="82" type="noConversion"/>
  </si>
  <si>
    <t>86Estimates from F1Q18</t>
  </si>
  <si>
    <t>Mobile Revenue (RMB mln)</t>
    <phoneticPr fontId="82" type="noConversion"/>
  </si>
  <si>
    <t>% of total China Retail</t>
    <phoneticPr fontId="82" type="noConversion"/>
  </si>
  <si>
    <t>% of total Revenue</t>
    <phoneticPr fontId="82" type="noConversion"/>
  </si>
  <si>
    <t>Desktop GMV (RMB bln)</t>
    <phoneticPr fontId="82" type="noConversion"/>
  </si>
  <si>
    <t>Desktop GMV as a % of total GMV</t>
    <phoneticPr fontId="82" type="noConversion"/>
  </si>
  <si>
    <t>Desktop Revenue (RMB mln)</t>
    <phoneticPr fontId="82" type="noConversion"/>
  </si>
  <si>
    <t>Active Buyers TTM (mln)</t>
  </si>
  <si>
    <t>Net add of active buyers Q/Q (mln)</t>
  </si>
  <si>
    <t>Contain assumptions for # of active buyers</t>
  </si>
  <si>
    <t>= Marketing expense / net add of annual active buyers</t>
  </si>
  <si>
    <t>Average customer acquisition cost (RMB)</t>
  </si>
  <si>
    <t>Annual order per active buyer</t>
  </si>
  <si>
    <t>Average annual spending (RMB)</t>
  </si>
  <si>
    <t>Mobile MAUs (mln)</t>
    <phoneticPr fontId="82" type="noConversion"/>
  </si>
  <si>
    <t>Net add of Mobile MAUs (mln)</t>
    <phoneticPr fontId="82" type="noConversion"/>
  </si>
  <si>
    <t>Contain assumptions for # of mobile MAUs</t>
  </si>
  <si>
    <t xml:space="preserve">Mobile MAU as % total active buyers </t>
  </si>
  <si>
    <t>Mobile DAUs (mln)</t>
    <phoneticPr fontId="82" type="noConversion"/>
  </si>
  <si>
    <t>Contain assumptions for # of mobile DAUs</t>
  </si>
  <si>
    <t>Taobao App DAU/MAU</t>
  </si>
  <si>
    <t>China revenue per annual active buyer (TTM)</t>
  </si>
  <si>
    <t>Contain assumptions for mobile revenue</t>
  </si>
  <si>
    <t xml:space="preserve">Mobile revenue per mobile MAU </t>
    <phoneticPr fontId="82" type="noConversion"/>
  </si>
  <si>
    <t>(Mobile GMV per mobile buyer in RMB)</t>
  </si>
  <si>
    <t>Prospectus and Annual Report:</t>
  </si>
  <si>
    <t>Buyers outside tier 1 &amp; 2 cities (mln)</t>
  </si>
  <si>
    <t>% of total</t>
    <phoneticPr fontId="82" type="noConversion"/>
  </si>
  <si>
    <t xml:space="preserve">Brands on Tmall </t>
  </si>
  <si>
    <t>Active sellers (mln)</t>
    <phoneticPr fontId="82" type="noConversion"/>
  </si>
  <si>
    <t>Sellers outside tier 1 &amp; 2 cities (mln)</t>
  </si>
  <si>
    <t>% of sellers outsdie T-1&amp;2 as of total</t>
    <phoneticPr fontId="82" type="noConversion"/>
  </si>
  <si>
    <t>Monetization of China Retail Marketplace</t>
    <phoneticPr fontId="82" type="noConversion"/>
  </si>
  <si>
    <t xml:space="preserve">Blended Take Rate </t>
    <phoneticPr fontId="82" type="noConversion"/>
  </si>
  <si>
    <t>Blended Marketing Take Rate</t>
  </si>
  <si>
    <t>Taobao Implied Take Rate  (%)</t>
    <phoneticPr fontId="82" type="noConversion"/>
  </si>
  <si>
    <t>Tmall Take Rate  (%)</t>
    <phoneticPr fontId="82" type="noConversion"/>
  </si>
  <si>
    <t>Tmall commission rate (%)</t>
    <phoneticPr fontId="82" type="noConversion"/>
  </si>
  <si>
    <t>Tmall marketing take rate (%)</t>
  </si>
  <si>
    <t>Taobao ad revenue</t>
    <phoneticPr fontId="82" type="noConversion"/>
  </si>
  <si>
    <t>as % of total ad rev</t>
    <phoneticPr fontId="82" type="noConversion"/>
  </si>
  <si>
    <t>Tmall ad revenue</t>
    <phoneticPr fontId="82" type="noConversion"/>
  </si>
  <si>
    <t>Contain assumptions for Taobao ad revenue and takerate</t>
  </si>
  <si>
    <t>Data after F2Q17 are 86Estimates</t>
  </si>
  <si>
    <t>Mobile Take Rate</t>
    <phoneticPr fontId="82" type="noConversion"/>
  </si>
  <si>
    <t>Data after F1Q18 are 86Estimates</t>
  </si>
  <si>
    <t>PC Take Rate</t>
    <phoneticPr fontId="82" type="noConversion"/>
  </si>
  <si>
    <t>Net yoy improvement</t>
    <phoneticPr fontId="82" type="noConversion"/>
  </si>
  <si>
    <t>Mobile Q/Q</t>
    <phoneticPr fontId="82" type="noConversion"/>
  </si>
  <si>
    <t>PC Q/Q</t>
    <phoneticPr fontId="82" type="noConversion"/>
  </si>
  <si>
    <t>New Retail</t>
  </si>
  <si>
    <t>Hema stores</t>
  </si>
  <si>
    <t>City coverage</t>
  </si>
  <si>
    <t>International</t>
  </si>
  <si>
    <t>Lazada GMV $ mln</t>
    <phoneticPr fontId="82" type="noConversion"/>
  </si>
  <si>
    <t>Contain assumptions for Lazada GMV</t>
  </si>
  <si>
    <t>Y/Y growth</t>
    <phoneticPr fontId="82" type="noConversion"/>
  </si>
  <si>
    <t>Q/Q growth</t>
    <phoneticPr fontId="82" type="noConversion"/>
  </si>
  <si>
    <t>Contain assumptions for Lazada revenue</t>
  </si>
  <si>
    <t>Take rate</t>
    <phoneticPr fontId="82" type="noConversion"/>
  </si>
  <si>
    <t>Lazada Revenue RMB mln</t>
    <phoneticPr fontId="82" type="noConversion"/>
  </si>
  <si>
    <t>Lazada as % of International</t>
  </si>
  <si>
    <t>AliExpress GMV $ mln</t>
    <phoneticPr fontId="82" type="noConversion"/>
  </si>
  <si>
    <t>Take rate</t>
    <phoneticPr fontId="82" type="noConversion"/>
  </si>
  <si>
    <t>AliExpress Revenue RMB mln</t>
    <phoneticPr fontId="82" type="noConversion"/>
  </si>
  <si>
    <t>AliCloud</t>
  </si>
  <si>
    <t>Data after F2Q18 are 86Estimates</t>
  </si>
  <si>
    <t>AliCloud - Paying customers ('000)</t>
    <phoneticPr fontId="82" type="noConversion"/>
  </si>
  <si>
    <t>Contain assumptions for # of paying customers</t>
  </si>
  <si>
    <t>Cloud Customer ARPU (RMB)</t>
    <phoneticPr fontId="82" type="noConversion"/>
  </si>
  <si>
    <t>Contain assumptions for # of ARPU</t>
  </si>
  <si>
    <t>AliCloud Revenue RMB mln</t>
    <phoneticPr fontId="82" type="noConversion"/>
  </si>
  <si>
    <t>AliCloud Revenue $ bln</t>
    <phoneticPr fontId="82" type="noConversion"/>
  </si>
  <si>
    <t>% revenue</t>
    <phoneticPr fontId="82" type="noConversion"/>
  </si>
  <si>
    <t>AliCloud EBITA $mln</t>
    <phoneticPr fontId="82" type="noConversion"/>
  </si>
  <si>
    <t>AliCloud Valuation $bln P/S ratio</t>
    <phoneticPr fontId="82" type="noConversion"/>
  </si>
  <si>
    <t>Digital Content &amp; Equity Investees</t>
  </si>
  <si>
    <t>DME (digital meida &amp; entertainment) Group</t>
  </si>
  <si>
    <r>
      <t xml:space="preserve"> </t>
    </r>
    <r>
      <rPr>
        <b/>
        <i/>
        <sz val="10"/>
        <color theme="1"/>
        <rFont val="Arial Narrow"/>
        <family val="2"/>
      </rPr>
      <t xml:space="preserve"> UCWeb</t>
    </r>
    <r>
      <rPr>
        <b/>
        <i/>
        <sz val="9"/>
        <color theme="1"/>
        <rFont val="Arial Narrow"/>
        <family val="2"/>
      </rPr>
      <t xml:space="preserve"> MAU mln </t>
    </r>
    <r>
      <rPr>
        <i/>
        <sz val="9"/>
        <color theme="1"/>
        <rFont val="Arial Narrow"/>
        <family val="2"/>
      </rPr>
      <t>- a mobile media asset, offering mobile search &amp; news feeds</t>
    </r>
    <phoneticPr fontId="82" type="noConversion"/>
  </si>
  <si>
    <t>Equity Investees Updates</t>
    <phoneticPr fontId="82" type="noConversion"/>
  </si>
  <si>
    <r>
      <t xml:space="preserve"> </t>
    </r>
    <r>
      <rPr>
        <b/>
        <sz val="10"/>
        <color theme="1"/>
        <rFont val="Arial Narrow"/>
        <family val="2"/>
      </rPr>
      <t xml:space="preserve"> Cainiao</t>
    </r>
    <r>
      <rPr>
        <b/>
        <sz val="9"/>
        <color theme="1"/>
        <rFont val="Arial Narrow"/>
        <family val="2"/>
      </rPr>
      <t xml:space="preserve"> </t>
    </r>
    <r>
      <rPr>
        <sz val="9"/>
        <color theme="1"/>
        <rFont val="Arial Narrow"/>
        <family val="2"/>
      </rPr>
      <t>- logistics</t>
    </r>
  </si>
  <si>
    <t>Quarterly Report: Annual report:</t>
  </si>
  <si>
    <t>Enabled Ave Packages Per Day (mln)</t>
    <phoneticPr fontId="82" type="noConversion"/>
  </si>
  <si>
    <t>Annual report:</t>
  </si>
  <si>
    <t>Network delivery &amp; warehouse personnel (mln)</t>
    <phoneticPr fontId="82" type="noConversion"/>
  </si>
  <si>
    <t>Network hubs &amp; sorting station (K)</t>
  </si>
  <si>
    <t>Network delivery stations</t>
    <phoneticPr fontId="82" type="noConversion"/>
  </si>
  <si>
    <t>Network city coverage</t>
  </si>
  <si>
    <t>Eleme</t>
  </si>
  <si>
    <t>Koubei</t>
  </si>
  <si>
    <t>Revenue (CY)</t>
  </si>
  <si>
    <t>Net Loss (CY)</t>
  </si>
  <si>
    <t>Net Margin</t>
  </si>
  <si>
    <t>Payment Vol transacted thru Alipay (RMB bln)</t>
    <phoneticPr fontId="82" type="noConversion"/>
  </si>
  <si>
    <t>Alipay</t>
  </si>
  <si>
    <t>Annual active users (mln)</t>
  </si>
  <si>
    <t>Domestic annual active users (mln)</t>
  </si>
  <si>
    <t>Singles Day GMV setled thru Alipay (RMB bln)</t>
  </si>
  <si>
    <t>GMV setteled thru Alipay  (RMB bln)</t>
  </si>
  <si>
    <t>Payment processing and escrow services fee (RMB mln)</t>
  </si>
  <si>
    <t>Payment handling fee rate</t>
  </si>
  <si>
    <t xml:space="preserve">    # orders processed by cloud computing platform (mln)</t>
    <phoneticPr fontId="82" type="noConversion"/>
  </si>
  <si>
    <t>R&amp;D personnel</t>
  </si>
  <si>
    <t>Total headcount</t>
  </si>
  <si>
    <t>Income Statement in RMB mln</t>
  </si>
  <si>
    <t>1Q13</t>
    <phoneticPr fontId="82" type="noConversion"/>
  </si>
  <si>
    <t>2Q13</t>
    <phoneticPr fontId="82" type="noConversion"/>
  </si>
  <si>
    <t>3Q13</t>
    <phoneticPr fontId="82" type="noConversion"/>
  </si>
  <si>
    <t>4Q13</t>
    <phoneticPr fontId="82" type="noConversion"/>
  </si>
  <si>
    <t>1Q14</t>
    <phoneticPr fontId="82" type="noConversion"/>
  </si>
  <si>
    <t>2Q14</t>
    <phoneticPr fontId="82" type="noConversion"/>
  </si>
  <si>
    <t>3Q14</t>
    <phoneticPr fontId="82" type="noConversion"/>
  </si>
  <si>
    <t>FY2012</t>
    <phoneticPr fontId="82" type="noConversion"/>
  </si>
  <si>
    <t xml:space="preserve">Total Core Commerce </t>
  </si>
  <si>
    <t>Core Commerce excl. Cainiao, Eleme, &amp; Kaola</t>
  </si>
  <si>
    <t>China Commerce (Retail &amp; Wholesale)</t>
    <phoneticPr fontId="82" type="noConversion"/>
  </si>
  <si>
    <t>China Commerce Retail</t>
  </si>
  <si>
    <t xml:space="preserve"> - Customer management</t>
  </si>
  <si>
    <t xml:space="preserve"> - Commission</t>
    <phoneticPr fontId="82" type="noConversion"/>
  </si>
  <si>
    <t xml:space="preserve"> - Others</t>
    <phoneticPr fontId="82" type="noConversion"/>
  </si>
  <si>
    <t>Tmall Import &amp; Tmall Supermarket</t>
    <phoneticPr fontId="82" type="noConversion"/>
  </si>
  <si>
    <t>Contain assumptions for Tmall Import revenue</t>
  </si>
  <si>
    <t>Y/Y</t>
    <phoneticPr fontId="82" type="noConversion"/>
  </si>
  <si>
    <t>Quarterly data from NTES model</t>
  </si>
  <si>
    <t>Kaola</t>
  </si>
  <si>
    <t>Intime</t>
    <phoneticPr fontId="82" type="noConversion"/>
  </si>
  <si>
    <t>Contain assumptions for Intime revenue</t>
  </si>
  <si>
    <t>Y/Y</t>
    <phoneticPr fontId="82" type="noConversion"/>
  </si>
  <si>
    <t>Annual data linked to "Hema" tab</t>
  </si>
  <si>
    <t>New Retail 3P</t>
  </si>
  <si>
    <t>Storefront fees</t>
    <phoneticPr fontId="82" type="noConversion"/>
  </si>
  <si>
    <t>China Commerce Wholesale</t>
  </si>
  <si>
    <t>International commerce  (Retail &amp; Wholesale)</t>
    <phoneticPr fontId="82" type="noConversion"/>
  </si>
  <si>
    <t>International commerce retail</t>
  </si>
  <si>
    <t>Lazada*</t>
    <phoneticPr fontId="82" type="noConversion"/>
  </si>
  <si>
    <t>Lazada*Y/Y</t>
    <phoneticPr fontId="82" type="noConversion"/>
  </si>
  <si>
    <t>Lazada* Q/Q</t>
    <phoneticPr fontId="82" type="noConversion"/>
  </si>
  <si>
    <t>AliExpress*</t>
    <phoneticPr fontId="82" type="noConversion"/>
  </si>
  <si>
    <t>Contain assumptions for AliExpress revenue</t>
  </si>
  <si>
    <t>AliExpress* Y/Y</t>
    <phoneticPr fontId="82" type="noConversion"/>
  </si>
  <si>
    <t>AliExpress* Q/Q</t>
    <phoneticPr fontId="82" type="noConversion"/>
  </si>
  <si>
    <t>International commerce wholesale</t>
  </si>
  <si>
    <t>Contain assumptions for International commerce wholesale</t>
  </si>
  <si>
    <t>Q/Q</t>
    <phoneticPr fontId="82" type="noConversion"/>
  </si>
  <si>
    <t>Cainiao</t>
    <phoneticPr fontId="82" type="noConversion"/>
  </si>
  <si>
    <t>Consumer Service</t>
  </si>
  <si>
    <t>Others</t>
    <phoneticPr fontId="82" type="noConversion"/>
  </si>
  <si>
    <t>Total operating income</t>
    <phoneticPr fontId="82" type="noConversion"/>
  </si>
  <si>
    <t>Add: Total SBC expense</t>
    <phoneticPr fontId="82" type="noConversion"/>
  </si>
  <si>
    <t>Add: Total Amortization of intangible assets</t>
    <phoneticPr fontId="82" type="noConversion"/>
  </si>
  <si>
    <t>Based on Lazada revenue estimates</t>
  </si>
  <si>
    <t>Marketplace-based Revenue</t>
    <phoneticPr fontId="82" type="noConversion"/>
  </si>
  <si>
    <t>Quarterly Report from F1Q18</t>
  </si>
  <si>
    <t>Marketplace-based Adj. EBITA</t>
    <phoneticPr fontId="82" type="noConversion"/>
  </si>
  <si>
    <t>Contain assumptions for Marketplace-based Adj. EBITA</t>
  </si>
  <si>
    <t>Marketplace-based Adj. EBITAM</t>
    <phoneticPr fontId="82" type="noConversion"/>
  </si>
  <si>
    <t>Marketplace-based Adj. Net Income (RMB mln)</t>
  </si>
  <si>
    <t>Marketplace-based Adj. Net Income ($ mln)</t>
  </si>
  <si>
    <t>Lazada Adj. EBITA</t>
    <phoneticPr fontId="82" type="noConversion"/>
  </si>
  <si>
    <t>Contain assumptions for Lazada Adj. EBITA</t>
  </si>
  <si>
    <t>Lazada Adj. EBITAM</t>
    <phoneticPr fontId="82" type="noConversion"/>
  </si>
  <si>
    <t>New Retail Adj. EBITA</t>
    <phoneticPr fontId="82" type="noConversion"/>
  </si>
  <si>
    <t>Tmall Import and Tmall Supermarket Adj. EBITA</t>
  </si>
  <si>
    <t>Contain assumptions for Tmall Import Adj. EBITA</t>
  </si>
  <si>
    <t>Tmall Import Adj. EBITAM</t>
    <phoneticPr fontId="82" type="noConversion"/>
  </si>
  <si>
    <t>Kaola Adj. EBITA</t>
  </si>
  <si>
    <t>Contain assumptions for Kaola Adj. EBITA</t>
  </si>
  <si>
    <t>Kaola Adj. EBITAM</t>
  </si>
  <si>
    <t>Hema Adj. EBITA</t>
    <phoneticPr fontId="82" type="noConversion"/>
  </si>
  <si>
    <t>Contain assumptions for Hema Adj. EBITA</t>
  </si>
  <si>
    <t>Hema Adj. EBITAM</t>
    <phoneticPr fontId="82" type="noConversion"/>
  </si>
  <si>
    <t>New Retail 3P Adj. EBITA</t>
  </si>
  <si>
    <t>Contain assumptions for NR 3P Adj. EBITA</t>
  </si>
  <si>
    <t>New Retail 3P Adj. EBITAM</t>
  </si>
  <si>
    <t>Intime Adj. EBITA</t>
    <phoneticPr fontId="82" type="noConversion"/>
  </si>
  <si>
    <t>Contain assumptions for Intime Adj. EBITA</t>
  </si>
  <si>
    <t>Intime Adj. EBITAM</t>
    <phoneticPr fontId="82" type="noConversion"/>
  </si>
  <si>
    <t>Cainiao Adj. EBITA</t>
    <phoneticPr fontId="82" type="noConversion"/>
  </si>
  <si>
    <t>Contain assumptions for Cainiao Adj. EBITA</t>
  </si>
  <si>
    <t>Cainiao Adj. EBITAM</t>
    <phoneticPr fontId="82" type="noConversion"/>
  </si>
  <si>
    <t>86Estimates; Linked to "Eleme" tab</t>
  </si>
  <si>
    <t>Consumer Service Adj. EBITA</t>
    <phoneticPr fontId="82" type="noConversion"/>
  </si>
  <si>
    <t>Contain assumptions for Consumer Service Adj. EBITA</t>
  </si>
  <si>
    <t>Consumer Service Adj. EBITAM</t>
    <phoneticPr fontId="82" type="noConversion"/>
  </si>
  <si>
    <t>Combined losses of other businesses</t>
    <phoneticPr fontId="82" type="noConversion"/>
  </si>
  <si>
    <t>Combined losses as % of mkplace adj. EBITA</t>
  </si>
  <si>
    <t>Quarterly Reports:</t>
  </si>
  <si>
    <t xml:space="preserve">Adjusted EBITA </t>
    <phoneticPr fontId="82" type="noConversion"/>
  </si>
  <si>
    <t>EBITA in US$ mln</t>
    <phoneticPr fontId="82" type="noConversion"/>
  </si>
  <si>
    <t>Adjusted EBITAM</t>
    <phoneticPr fontId="82" type="noConversion"/>
  </si>
  <si>
    <t>Effective tax rate</t>
    <phoneticPr fontId="82" type="noConversion"/>
  </si>
  <si>
    <t>Tax expense</t>
    <phoneticPr fontId="82" type="noConversion"/>
  </si>
  <si>
    <t>Overall EBITA Margin drag</t>
    <phoneticPr fontId="82" type="noConversion"/>
  </si>
  <si>
    <t>Margin drag from Lazada</t>
  </si>
  <si>
    <t>Margin drag from New Retail</t>
  </si>
  <si>
    <t>Margin drag from Tmall Import</t>
  </si>
  <si>
    <t>Margin drag from Kaola</t>
  </si>
  <si>
    <t>Margin drag from Intime</t>
    <phoneticPr fontId="82" type="noConversion"/>
  </si>
  <si>
    <t>Margin drag from Hema</t>
    <phoneticPr fontId="82" type="noConversion"/>
  </si>
  <si>
    <t>Margin drag from New Retail 3P</t>
  </si>
  <si>
    <t>Margin drag from Cainiao</t>
    <phoneticPr fontId="82" type="noConversion"/>
  </si>
  <si>
    <t>Margin drag from Consumer Service</t>
  </si>
  <si>
    <t>Incremental margin drag</t>
  </si>
  <si>
    <t>Cloud Computing</t>
    <phoneticPr fontId="82" type="noConversion"/>
  </si>
  <si>
    <t>in $</t>
  </si>
  <si>
    <t>Income from Operation</t>
    <phoneticPr fontId="82" type="noConversion"/>
  </si>
  <si>
    <t>Add: SBC expense</t>
    <phoneticPr fontId="82" type="noConversion"/>
  </si>
  <si>
    <t>Add: Amortization of intangible assets</t>
    <phoneticPr fontId="82" type="noConversion"/>
  </si>
  <si>
    <t>Adjusted EBITA</t>
    <phoneticPr fontId="82" type="noConversion"/>
  </si>
  <si>
    <t>Contain assumptions for AliCloud Adj. EBITA</t>
  </si>
  <si>
    <t>Digital Media and Entertainment</t>
    <phoneticPr fontId="82" type="noConversion"/>
  </si>
  <si>
    <t>in $mln</t>
  </si>
  <si>
    <t>Youku (non-GAAP)- checkline</t>
    <phoneticPr fontId="82" type="noConversion"/>
  </si>
  <si>
    <t>NO MORE</t>
  </si>
  <si>
    <t>Youku total revenue</t>
    <phoneticPr fontId="82" type="noConversion"/>
  </si>
  <si>
    <t>Youku ads revenue</t>
    <phoneticPr fontId="82" type="noConversion"/>
  </si>
  <si>
    <t>Contain assumptions for Youku ad rev</t>
  </si>
  <si>
    <t>Y/Y growth</t>
  </si>
  <si>
    <t>Youku subscription revenue</t>
    <phoneticPr fontId="82" type="noConversion"/>
  </si>
  <si>
    <t>Contain assumptions for Youku subs rev</t>
  </si>
  <si>
    <t>UCWeb and others</t>
    <phoneticPr fontId="82" type="noConversion"/>
  </si>
  <si>
    <t>Contain assumptions for UCWeb rev</t>
  </si>
  <si>
    <t>Online gaming</t>
  </si>
  <si>
    <t>Half-year data from AliPictures filings; quarterly data by 86Estimates; consolidated from F4Q19</t>
  </si>
  <si>
    <t>AliPictures revenue</t>
  </si>
  <si>
    <t>Contain assumptions for AliPictures rev</t>
  </si>
  <si>
    <t>Total cost and expenses</t>
    <phoneticPr fontId="82" type="noConversion"/>
  </si>
  <si>
    <t>- Youku expenses</t>
    <phoneticPr fontId="82" type="noConversion"/>
  </si>
  <si>
    <t>Youku Content Costs</t>
  </si>
  <si>
    <t>Contain assumptions for Youku content cost</t>
  </si>
  <si>
    <t>Youku bandwidth and OPEX costs</t>
  </si>
  <si>
    <t>Contain assumptions for Youku bandwidth cost</t>
  </si>
  <si>
    <t>as % of revenue</t>
    <phoneticPr fontId="82" type="noConversion"/>
  </si>
  <si>
    <t>- UCWeb and others expenses</t>
    <phoneticPr fontId="82" type="noConversion"/>
  </si>
  <si>
    <t>- online gaming expenses</t>
  </si>
  <si>
    <t>- AliPictures expenses</t>
  </si>
  <si>
    <t>Youku Adj EBITA</t>
  </si>
  <si>
    <t>UCWeb Adj EBITA</t>
  </si>
  <si>
    <t>online gaming Adj EBITA</t>
  </si>
  <si>
    <t>AliPictures Op Profit (Loss)</t>
  </si>
  <si>
    <t>Youku Adj EBITAM</t>
    <phoneticPr fontId="82" type="noConversion"/>
  </si>
  <si>
    <t>Contain assumptions for UCWeb Adj. EBITA</t>
  </si>
  <si>
    <t>UCWeb Adj EBITAM</t>
    <phoneticPr fontId="82" type="noConversion"/>
  </si>
  <si>
    <t>online gaming Adj EBITAM</t>
  </si>
  <si>
    <t>Contain assumptions for AliPictures Adj. EBITA</t>
  </si>
  <si>
    <t>AliPictures Adj OPM</t>
  </si>
  <si>
    <t>Innovation Initiatives and Others</t>
  </si>
  <si>
    <t>Contain assumptions for Innovation Adj. EBITA</t>
  </si>
  <si>
    <t>NO MORE</t>
    <phoneticPr fontId="82" type="noConversion"/>
  </si>
  <si>
    <t>Unallocated</t>
    <phoneticPr fontId="82" type="noConversion"/>
  </si>
  <si>
    <t>Income from Operation</t>
    <phoneticPr fontId="82" type="noConversion"/>
  </si>
  <si>
    <t>Add: impairment of goodwill</t>
    <phoneticPr fontId="82" type="noConversion"/>
  </si>
  <si>
    <t>Add: Settlement of U.S. federal class action lawsuit</t>
  </si>
  <si>
    <t>Contain assumptions for Unallocated Adj. EBITA</t>
  </si>
  <si>
    <t>Total revenue</t>
    <phoneticPr fontId="82" type="noConversion"/>
  </si>
  <si>
    <t>Check Y/Y growth</t>
    <phoneticPr fontId="82" type="noConversion"/>
  </si>
  <si>
    <t>Backtesting</t>
    <phoneticPr fontId="82" type="noConversion"/>
  </si>
  <si>
    <t>Core commerce revenue calcaulated</t>
    <phoneticPr fontId="82" type="noConversion"/>
  </si>
  <si>
    <t>Core commerce revenue actual</t>
    <phoneticPr fontId="82" type="noConversion"/>
  </si>
  <si>
    <t>Total revenues in USD mln</t>
    <phoneticPr fontId="82" type="noConversion"/>
  </si>
  <si>
    <t>Cost of revenue</t>
  </si>
  <si>
    <t>Gross profit</t>
    <phoneticPr fontId="82" type="noConversion"/>
  </si>
  <si>
    <t>Product development expenses</t>
  </si>
  <si>
    <t>Sales and marketing expenses</t>
  </si>
  <si>
    <t>General and administrative expenses</t>
  </si>
  <si>
    <t>Amortization of intangible assets</t>
    <phoneticPr fontId="82" type="noConversion"/>
  </si>
  <si>
    <t>Impairment of goodwill and intangible assets</t>
  </si>
  <si>
    <t>Expense from operations</t>
    <phoneticPr fontId="82" type="noConversion"/>
  </si>
  <si>
    <t>Income from operations</t>
  </si>
  <si>
    <t>Interest and investment income (loss), net</t>
  </si>
  <si>
    <t>Interest expense</t>
  </si>
  <si>
    <t>Other income, net*</t>
    <phoneticPr fontId="82" type="noConversion"/>
  </si>
  <si>
    <t xml:space="preserve">   Pre-tax Sharing from Ant Financial</t>
  </si>
  <si>
    <t xml:space="preserve">   Others</t>
    <phoneticPr fontId="82" type="noConversion"/>
  </si>
  <si>
    <t>Income before income tax and share of results of equity investees</t>
  </si>
  <si>
    <t>Income tax expenses</t>
  </si>
  <si>
    <t>Share of results of equity investees*</t>
  </si>
  <si>
    <t>Ant Financial</t>
    <phoneticPr fontId="82" type="noConversion"/>
  </si>
  <si>
    <t>Koubei</t>
    <phoneticPr fontId="82" type="noConversion"/>
  </si>
  <si>
    <t>Youku Tudou</t>
    <phoneticPr fontId="82" type="noConversion"/>
  </si>
  <si>
    <t>Cainiao Network</t>
    <phoneticPr fontId="82" type="noConversion"/>
  </si>
  <si>
    <t>Other equity investee</t>
  </si>
  <si>
    <t>Impairment loss</t>
    <phoneticPr fontId="82" type="noConversion"/>
  </si>
  <si>
    <t>Dilution (losses) gain</t>
  </si>
  <si>
    <t>Net income</t>
  </si>
  <si>
    <t>Net loss attributable to noncontrolling interests</t>
    <phoneticPr fontId="82" type="noConversion"/>
  </si>
  <si>
    <t>Net income attributable to Alibaba Group Holding Limited</t>
  </si>
  <si>
    <t>Accretion of Convertible Preference Shares</t>
  </si>
  <si>
    <t>Dividends accrued on Convertible Preference Shares</t>
  </si>
  <si>
    <t>Accretion of mezzanine equity</t>
  </si>
  <si>
    <t>Net income attributable to ordinary shareholders</t>
  </si>
  <si>
    <t>Reversal of accretion upon assumed conversion of convertible preference shares</t>
  </si>
  <si>
    <t>Dividend eliminated upon assumed conversion of convertible preference shares</t>
  </si>
  <si>
    <t>Dilution effect on earnings arising from option plans operated by a subsidiary and an equity investee</t>
  </si>
  <si>
    <t>Net income attributable to ordinary shareholders for computing diluted EPS</t>
  </si>
  <si>
    <r>
      <t>Earnings per share attributable to ordinary</t>
    </r>
    <r>
      <rPr>
        <sz val="8"/>
        <color theme="0"/>
        <rFont val="Arial Narrow"/>
        <family val="2"/>
      </rPr>
      <t> </t>
    </r>
    <r>
      <rPr>
        <b/>
        <sz val="8"/>
        <color theme="0"/>
        <rFont val="Arial Narrow"/>
        <family val="2"/>
      </rPr>
      <t>shareholders</t>
    </r>
  </si>
  <si>
    <t>Basic</t>
  </si>
  <si>
    <t>Diluted</t>
  </si>
  <si>
    <t>GAAP EPADS Diluted</t>
  </si>
  <si>
    <t>Number of ADS equivalent basic</t>
  </si>
  <si>
    <t>Number of ordinary shares diluted</t>
    <phoneticPr fontId="82" type="noConversion"/>
  </si>
  <si>
    <t>Number of ADS equivalent diluted</t>
  </si>
  <si>
    <t>Adjusted items</t>
    <phoneticPr fontId="82" type="noConversion"/>
  </si>
  <si>
    <t>Share-based compensation expense</t>
    <phoneticPr fontId="82" type="noConversion"/>
  </si>
  <si>
    <t>*check-line for SBC</t>
    <phoneticPr fontId="82" type="noConversion"/>
  </si>
  <si>
    <t>Cost of revene</t>
  </si>
  <si>
    <t>Product development expenses</t>
    <phoneticPr fontId="82" type="noConversion"/>
  </si>
  <si>
    <t>Sales and marketing expenses</t>
    <phoneticPr fontId="82" type="noConversion"/>
  </si>
  <si>
    <t>General and administrative expenses</t>
    <phoneticPr fontId="82" type="noConversion"/>
  </si>
  <si>
    <t>Equity-settled donation expense</t>
    <phoneticPr fontId="82" type="noConversion"/>
  </si>
  <si>
    <t>One-time charge for financing -related fees as a result of early repayment of bank borrowings</t>
    <phoneticPr fontId="82" type="noConversion"/>
  </si>
  <si>
    <t>Impairment of goodwill, intangible assets and investments</t>
  </si>
  <si>
    <t>Gain on deemed disposals/disposals/revaluation of investments</t>
  </si>
  <si>
    <t>Gain in relation to the receipt of the 33% equity interest in Ant Financial</t>
  </si>
  <si>
    <t>Settlement of U.S. federal class action lawsuit</t>
  </si>
  <si>
    <t>Amortization of excess value receivable arising from the restructuring of Ant Financial</t>
    <phoneticPr fontId="82" type="noConversion"/>
  </si>
  <si>
    <t>Immediate recognition of unamortized professional fees and upfront fees upon termination of bank borrowings</t>
    <phoneticPr fontId="82" type="noConversion"/>
  </si>
  <si>
    <t>Tax effects on non-GAAP adjustments</t>
    <phoneticPr fontId="82" type="noConversion"/>
  </si>
  <si>
    <t>Expenses relating to the sales of shares by existing shareholders</t>
    <phoneticPr fontId="82" type="noConversion"/>
  </si>
  <si>
    <t>Adjusted EBITDA</t>
    <phoneticPr fontId="82" type="noConversion"/>
  </si>
  <si>
    <t>Adjusted income from operations</t>
    <phoneticPr fontId="82" type="noConversion"/>
  </si>
  <si>
    <t>Adjusted PBT</t>
  </si>
  <si>
    <t>Adjusted tax expense</t>
  </si>
  <si>
    <t>Adjusted net income</t>
    <phoneticPr fontId="82" type="noConversion"/>
  </si>
  <si>
    <t>Adjusted net income attributable to ordinary shares</t>
    <phoneticPr fontId="82" type="noConversion"/>
  </si>
  <si>
    <t>Non-GAAP EPS Diluted</t>
  </si>
  <si>
    <t>Non-GAAP EPADS Diluted</t>
  </si>
  <si>
    <t>Adjusted EBITDA in USD</t>
    <phoneticPr fontId="82" type="noConversion"/>
  </si>
  <si>
    <t xml:space="preserve">Adjusted net income in USD </t>
    <phoneticPr fontId="82" type="noConversion"/>
  </si>
  <si>
    <t>Non-GAAP EPADS Diluted in USD</t>
  </si>
  <si>
    <t>Segment Analysis</t>
  </si>
  <si>
    <t>China commerce</t>
  </si>
  <si>
    <t xml:space="preserve"> - China retail commerce </t>
    <phoneticPr fontId="82" type="noConversion"/>
  </si>
  <si>
    <t>Marketing revenue</t>
    <phoneticPr fontId="82" type="noConversion"/>
  </si>
  <si>
    <t>Commission revenue</t>
    <phoneticPr fontId="82" type="noConversion"/>
  </si>
  <si>
    <t>China retail others</t>
    <phoneticPr fontId="82" type="noConversion"/>
  </si>
  <si>
    <t xml:space="preserve"> - China wholesale commerce</t>
    <phoneticPr fontId="82" type="noConversion"/>
  </si>
  <si>
    <t>International commerce</t>
  </si>
  <si>
    <t>Cloud computing and Internet infrastructure</t>
  </si>
  <si>
    <t>Cost and Expenses (as % of rev)</t>
  </si>
  <si>
    <t>Total Operating Expenses</t>
    <phoneticPr fontId="82" type="noConversion"/>
  </si>
  <si>
    <t>Adj. income tax rate</t>
    <phoneticPr fontId="82" type="noConversion"/>
  </si>
  <si>
    <t>Income tax rate</t>
    <phoneticPr fontId="82" type="noConversion"/>
  </si>
  <si>
    <t>Cost and Expenses (as % of operating expense)</t>
  </si>
  <si>
    <t>Contain assumptions for COGS</t>
  </si>
  <si>
    <t>Contain assumptions for R&amp;D expense</t>
  </si>
  <si>
    <t>Contain assumptions for S&amp;M expense</t>
  </si>
  <si>
    <t>Non-GAAP Cost and Expenses (as % of rev)</t>
    <phoneticPr fontId="82" type="noConversion"/>
  </si>
  <si>
    <t>Total Non-GAAP Operating Expenses</t>
    <phoneticPr fontId="82" type="noConversion"/>
  </si>
  <si>
    <t>Contain assumptions for income tax expense</t>
  </si>
  <si>
    <t>Tax Rate</t>
  </si>
  <si>
    <t>Margin Analysis</t>
  </si>
  <si>
    <t>Gross margin</t>
    <phoneticPr fontId="82" type="noConversion"/>
  </si>
  <si>
    <t>Operating margin</t>
    <phoneticPr fontId="82" type="noConversion"/>
  </si>
  <si>
    <t>Net margin</t>
    <phoneticPr fontId="82" type="noConversion"/>
  </si>
  <si>
    <t>Adjusted gross margin</t>
    <phoneticPr fontId="82" type="noConversion"/>
  </si>
  <si>
    <t>Adjusted EBITDA margin</t>
    <phoneticPr fontId="82" type="noConversion"/>
  </si>
  <si>
    <t>Adjusted EBITA margin</t>
    <phoneticPr fontId="82" type="noConversion"/>
  </si>
  <si>
    <t>Adjusted operating margin</t>
    <phoneticPr fontId="82" type="noConversion"/>
  </si>
  <si>
    <t>Adjusted net margin</t>
    <phoneticPr fontId="82" type="noConversion"/>
  </si>
  <si>
    <t>Y/Y Growth Rate</t>
  </si>
  <si>
    <t>Segments</t>
    <phoneticPr fontId="82" type="noConversion"/>
  </si>
  <si>
    <t xml:space="preserve">  Core Commerce</t>
    <phoneticPr fontId="82" type="noConversion"/>
  </si>
  <si>
    <t xml:space="preserve">China retail commerce </t>
    <phoneticPr fontId="82" type="noConversion"/>
  </si>
  <si>
    <t>Contain assumptions for CMR</t>
  </si>
  <si>
    <t>Customer management</t>
  </si>
  <si>
    <t>Contain assumptions for commission</t>
  </si>
  <si>
    <t>Commission</t>
    <phoneticPr fontId="82" type="noConversion"/>
  </si>
  <si>
    <t>Customer mgmt + Commission combined</t>
    <phoneticPr fontId="82" type="noConversion"/>
  </si>
  <si>
    <t>Contain assumptions for China wholesale commerce</t>
  </si>
  <si>
    <t>China wholesale commerce</t>
    <phoneticPr fontId="82" type="noConversion"/>
  </si>
  <si>
    <t>Contain assumptions for Cainiao</t>
  </si>
  <si>
    <t>Consumer Services</t>
  </si>
  <si>
    <t xml:space="preserve">  Cloud Computing </t>
    <phoneticPr fontId="82" type="noConversion"/>
  </si>
  <si>
    <t xml:space="preserve">  Digital Media and Entertainment</t>
    <phoneticPr fontId="82" type="noConversion"/>
  </si>
  <si>
    <t>Contain assumptions for Innovative Initiatives and others</t>
  </si>
  <si>
    <t xml:space="preserve">  Innovative Initiatives and others</t>
  </si>
  <si>
    <t>Total revenue</t>
  </si>
  <si>
    <t>Total revenue excl. Cainiao and Eleme</t>
  </si>
  <si>
    <t>GAAP EPS Diluted</t>
    <phoneticPr fontId="82" type="noConversion"/>
  </si>
  <si>
    <t>Non-GAAP EPADS Diluted - USD</t>
  </si>
  <si>
    <t>Q/Q Growth Rate</t>
  </si>
  <si>
    <t>Online marketing services</t>
    <phoneticPr fontId="82" type="noConversion"/>
  </si>
  <si>
    <t>Others (storefront fees +intime)</t>
    <phoneticPr fontId="82" type="noConversion"/>
  </si>
  <si>
    <t xml:space="preserve">  Cloud computing </t>
    <phoneticPr fontId="82" type="noConversion"/>
  </si>
  <si>
    <t xml:space="preserve">  Innovative Initiatives</t>
    <phoneticPr fontId="82" type="noConversion"/>
  </si>
  <si>
    <t>Non-GAAP EPS Diluted</t>
    <phoneticPr fontId="82" type="noConversion"/>
  </si>
  <si>
    <t>Seansonality (as % of full fiscal year)</t>
    <phoneticPr fontId="82" type="noConversion"/>
  </si>
  <si>
    <t>Innovation Initiatives and Others</t>
    <phoneticPr fontId="82" type="noConversion"/>
  </si>
  <si>
    <t>Total Revenue</t>
    <phoneticPr fontId="82" type="noConversion"/>
  </si>
  <si>
    <t>Net cash in USD mln</t>
    <phoneticPr fontId="82" type="noConversion"/>
  </si>
  <si>
    <t>Net cash per ADS in USD</t>
  </si>
  <si>
    <t>Only modeling annual Balance Sheet</t>
  </si>
  <si>
    <t>Current assets:</t>
  </si>
  <si>
    <t>Cash and cash equivalents</t>
  </si>
  <si>
    <t>Short-term investments</t>
  </si>
  <si>
    <t>The Company’s restricted cash mainly represents cash received from consumers and reserved in a bank supervised account for payments to merchants.</t>
  </si>
  <si>
    <t>Restricted cash and escrow receivables</t>
  </si>
  <si>
    <t>Investment securities</t>
  </si>
  <si>
    <t>Prepayments, receivables and other assets</t>
    <phoneticPr fontId="82" type="noConversion"/>
  </si>
  <si>
    <t>Prepayments, receivables and other assets</t>
  </si>
  <si>
    <t>Loan receivables, net</t>
  </si>
  <si>
    <t>Total current assets</t>
  </si>
  <si>
    <t>Investment in equity investees</t>
  </si>
  <si>
    <t>Property and equipment, net</t>
  </si>
  <si>
    <t>Land use rights, net</t>
  </si>
  <si>
    <t>Intangible assets, net</t>
  </si>
  <si>
    <t>Goodwill</t>
  </si>
  <si>
    <t>Total assets</t>
  </si>
  <si>
    <t>Liabilities, Mezzanine Equity and Shareholders’ Equity</t>
  </si>
  <si>
    <t>Current liabilities:</t>
  </si>
  <si>
    <t>Current bank borrowings</t>
  </si>
  <si>
    <t>Current portion of unsecured notes</t>
    <phoneticPr fontId="82" type="noConversion"/>
  </si>
  <si>
    <t>Secured borrowings</t>
  </si>
  <si>
    <t>Income tax payable</t>
  </si>
  <si>
    <t>Escrow money payable</t>
    <phoneticPr fontId="82" type="noConversion"/>
  </si>
  <si>
    <t>Accrued expenses, accounts payable and other liabilities</t>
    <phoneticPr fontId="82" type="noConversion"/>
  </si>
  <si>
    <t>Merchant deposits</t>
  </si>
  <si>
    <t>Deferred revenue and customer advances</t>
    <phoneticPr fontId="82" type="noConversion"/>
  </si>
  <si>
    <t>Total current liabilities</t>
  </si>
  <si>
    <t>Deferred revenue</t>
  </si>
  <si>
    <t>Deferred tax liabilities</t>
  </si>
  <si>
    <t>Redeemable Preference Shares</t>
  </si>
  <si>
    <t>Non-current bank borrowings</t>
  </si>
  <si>
    <t>Unsecured senior notes</t>
  </si>
  <si>
    <t>Other liabilities</t>
  </si>
  <si>
    <t>Total liabilities</t>
  </si>
  <si>
    <t>Commitments and contingencies</t>
  </si>
  <si>
    <t>Mezzanine equity:</t>
  </si>
  <si>
    <t>Convertible Preference Shares, US$0.000025 par value; 2,600,000 shares authorized; nil, 1,688,000, 1,688,000 and nil shares issued and outstanding as of March 31, 2012, March 31, 2013, December 31, 2013 (unaudited) and pro forma December 31, 2013 (unaudited), respectively; liquidation value of nil, RMB10,447 million, RMB10,235 million and nil as of March 31, 2012, March 31, 2013, December 31, 2013 (unaudited) and pro forma December 31, 2013 (unaudited), respectively</t>
  </si>
  <si>
    <t>Total mezzanine equity</t>
  </si>
  <si>
    <t>Alibaba Group Holding Limited shareholders’ equity:</t>
  </si>
  <si>
    <t>Ordinary shares, US$0.000025 par value; 2,797,400,000 shares authorized; 2,506,952,201, 2,175,220,739, 2,217,793,573 and 2,309,036,816 shares issued and outstanding as of March 31, 2012, March 31, 2013, December 31, 2013 (unaudited) and pro forma December 31, 2013 (unaudited), respectively</t>
  </si>
  <si>
    <t>Additional paid-in capital</t>
  </si>
  <si>
    <t>Treasury shares at cost</t>
  </si>
  <si>
    <t>Restructuring reserve</t>
    <phoneticPr fontId="82" type="noConversion"/>
  </si>
  <si>
    <t>Subscription receivables</t>
  </si>
  <si>
    <t>Statutory reserves</t>
  </si>
  <si>
    <t>Accumulated other comprehensive income</t>
  </si>
  <si>
    <t>Cumulative translation adjustments</t>
  </si>
  <si>
    <t>Unrealized gain (loss) on available-for-sale investment securities, interest rate swaps and others</t>
  </si>
  <si>
    <t>Retained earnings (Accumulated deficits)</t>
  </si>
  <si>
    <t>Total Alibaba Group Holding Limited shareholders’ equity (deficits)</t>
  </si>
  <si>
    <t>Non controlling interests</t>
  </si>
  <si>
    <t>Total equity</t>
  </si>
  <si>
    <t>Total liabilities, mezzanine equity and equity</t>
  </si>
  <si>
    <t>B/S Assumptions</t>
    <phoneticPr fontId="79" type="noConversion"/>
  </si>
  <si>
    <t>Prepayments, receivables and other assets as % of Rev</t>
    <phoneticPr fontId="12" type="noConversion"/>
  </si>
  <si>
    <t>Non-current prepayment, receivables and other assets as % of Rev</t>
  </si>
  <si>
    <t>Accrued expenses, accounts payable etc as % of COS</t>
    <phoneticPr fontId="12" type="noConversion"/>
  </si>
  <si>
    <t>Current portion of deferred revenues as % of Rev</t>
  </si>
  <si>
    <t>Deferred tax liability as % of Income before tax</t>
  </si>
  <si>
    <t>Only modeling annual Cash Flow Statement</t>
  </si>
  <si>
    <t>Cash flows from operating activities:</t>
  </si>
  <si>
    <t>Adjustments to reconcile net income to net cash provided by operating activities:</t>
  </si>
  <si>
    <t>Revaluation of previously held equity interest related to step acquisitions</t>
    <phoneticPr fontId="82" type="noConversion"/>
  </si>
  <si>
    <t>(Gain) Loss on disposals of equity investees</t>
  </si>
  <si>
    <t>Realized and unrealized loss (gain) related to investment securities</t>
  </si>
  <si>
    <t>Change in fair value of other assets and liabilities</t>
  </si>
  <si>
    <t>Gain in relation to the receipt of the 33% equity interest in Ant Group</t>
  </si>
  <si>
    <t>Loss (Gain) on disposals of other subsidiaries</t>
  </si>
  <si>
    <t>Tax benefits from share-based awards</t>
    <phoneticPr fontId="82" type="noConversion"/>
  </si>
  <si>
    <t>Share-based compensation expense</t>
  </si>
  <si>
    <t>Equity-settled donation expense</t>
  </si>
  <si>
    <t>Impairment of cost method equity investees and investment securities</t>
    <phoneticPr fontId="82" type="noConversion"/>
  </si>
  <si>
    <t>Impairment of goodwill and intangible assets</t>
    <phoneticPr fontId="82" type="noConversion"/>
  </si>
  <si>
    <t>Loss (Gain) on disposals of property and equipment</t>
  </si>
  <si>
    <t>Amortization of restructuring reserve</t>
  </si>
  <si>
    <t>Share of results of equity investees</t>
  </si>
  <si>
    <t>Deferred income taxes</t>
  </si>
  <si>
    <t>Allowance for doubtful accounts relating to micro loans</t>
  </si>
  <si>
    <t>Changes in assets and liabilities, net of effects of acquisitions and disposals:</t>
    <phoneticPr fontId="82" type="noConversion"/>
  </si>
  <si>
    <t>Loan receivables</t>
  </si>
  <si>
    <t>Escrow money payable</t>
  </si>
  <si>
    <t>Accrued expenses, accounts payable and other liabilities</t>
  </si>
  <si>
    <t>Deferred revenue and customer advances</t>
  </si>
  <si>
    <t>Net cash provided by operating activities</t>
  </si>
  <si>
    <t>Cash flows from investing activities:</t>
  </si>
  <si>
    <t>Decrease (Increase) in short-term investments, net</t>
  </si>
  <si>
    <t>(Increase) Decrease in restricted cash</t>
  </si>
  <si>
    <t>Decrease (Increase) in trading investment securities, net</t>
  </si>
  <si>
    <t>Payments for settlement of forward contracts</t>
    <phoneticPr fontId="82" type="noConversion"/>
  </si>
  <si>
    <t>Acquisitions of available-for-sale and held-to-maturity investment securities</t>
  </si>
  <si>
    <t>Disposals of available-for-sale investment securities</t>
  </si>
  <si>
    <t>Total CapEx</t>
    <phoneticPr fontId="82" type="noConversion"/>
  </si>
  <si>
    <t>Q/Q</t>
  </si>
  <si>
    <t>Acquisitions of</t>
  </si>
  <si>
    <t>- Land use rights and construction in progress</t>
  </si>
  <si>
    <t>-  Other property and equipment</t>
  </si>
  <si>
    <t xml:space="preserve">- Acquisition of licensed copyrights and intangible assets </t>
  </si>
  <si>
    <t>Disposals of property and equipment</t>
  </si>
  <si>
    <t>Changes in the consumer protection fund deposits</t>
  </si>
  <si>
    <t>Cash paid for business combinations, net of cash acquired</t>
  </si>
  <si>
    <t>Deconsolidation and disposal of subsidiaries, net of cash proceeds</t>
  </si>
  <si>
    <t>Loans to employees, net of repayments</t>
  </si>
  <si>
    <t>Acquisitions of equity investees</t>
  </si>
  <si>
    <t>Disposals of equity investees</t>
  </si>
  <si>
    <t>Disposals of intellectual property rights and assets</t>
  </si>
  <si>
    <t>Net cash (used in) provided by investing activities</t>
  </si>
  <si>
    <t>Cash flows from financing activities:</t>
  </si>
  <si>
    <t>Issuance of ordinary shares, including repayment of loan and interest receivable on employee loans for the exercise of ordinary shares</t>
  </si>
  <si>
    <t>Repurchase of ordinary shares</t>
  </si>
  <si>
    <t>Subscription of rights for Partner Capital Investment Plan</t>
  </si>
  <si>
    <t>Issuance of Convertible Preference Shares, net of direct incidental fees incurred</t>
  </si>
  <si>
    <t>Payment of dividend on Convertible Preference Shares</t>
  </si>
  <si>
    <t>Redemption of Redeemable Preference Shares</t>
  </si>
  <si>
    <t>Acquisitions of shares of Alibaba.com Limited</t>
  </si>
  <si>
    <t>Payment for privatization of Alibaba.com Limited</t>
  </si>
  <si>
    <t>Acquisition of the remaining noncontrolling interest in a subsidiary</t>
  </si>
  <si>
    <t>Payment for settlement of contingent consideration</t>
  </si>
  <si>
    <t>Dividend paid by a consolidated subsidiary to noncontrolling interests</t>
  </si>
  <si>
    <t>Disposals of partial interest in subsidiaries, net of related costs</t>
  </si>
  <si>
    <t>Capital injection from noncontrolling interests</t>
    <phoneticPr fontId="82" type="noConversion"/>
  </si>
  <si>
    <t>Proceeds from secured borrowings relating to micro loans</t>
  </si>
  <si>
    <t>Repayment of secured borrowings relating to micro loans</t>
    <phoneticPr fontId="82" type="noConversion"/>
  </si>
  <si>
    <t>Proceeds from current bank borrowings</t>
  </si>
  <si>
    <t>Repayment of current bank borrowings</t>
  </si>
  <si>
    <t>Proceeds from non-current bank borrowings</t>
  </si>
  <si>
    <t>Repayment of non-current bank borrowings</t>
  </si>
  <si>
    <t>Proceeds from unsecured senior notes</t>
  </si>
  <si>
    <t>Repayment of unsecured senior notes</t>
  </si>
  <si>
    <t>Upfront fee payment for a revolving credit facility</t>
  </si>
  <si>
    <t>Net cash provided by (used in) financing activities</t>
  </si>
  <si>
    <t>Effect of exchange rate changes on cash and cash equivalents</t>
  </si>
  <si>
    <t>Increase in cash and cash equivalents</t>
  </si>
  <si>
    <t>Cash and cash equivalents, restricted cash and escrow receivables at beginning of year</t>
  </si>
  <si>
    <t>Cash and cash equivalents, restricted cash and escrow receivables at end of year/period</t>
  </si>
  <si>
    <t>Cash flow Assumptions</t>
  </si>
  <si>
    <t>Depreciation and amortization as % of Rev</t>
    <phoneticPr fontId="16" type="noConversion"/>
  </si>
  <si>
    <t>Amortization of intangible assets as % of intangible assets</t>
  </si>
  <si>
    <t>Loss from disposal of property, equipment and software as % of PPE</t>
    <phoneticPr fontId="16" type="noConversion"/>
  </si>
  <si>
    <t>Total CapEx as % of Rev</t>
    <phoneticPr fontId="16" type="noConversion"/>
  </si>
  <si>
    <t>- Non-Real Estate CapEx: Other property, equipment and intangible assets</t>
    <phoneticPr fontId="82" type="noConversion"/>
  </si>
  <si>
    <t xml:space="preserve">Impairment of cost method equity investees and investment securities as % </t>
    <phoneticPr fontId="82" type="noConversion"/>
  </si>
  <si>
    <t>Impairment of goodwill and intangible assets as %</t>
    <phoneticPr fontId="82" type="noConversion"/>
  </si>
  <si>
    <t>Changes in loan receivables, net and others</t>
  </si>
  <si>
    <t>Free Cash Flows</t>
    <phoneticPr fontId="82" type="noConversion"/>
  </si>
  <si>
    <t>yoy growth</t>
    <phoneticPr fontId="82" type="noConversion"/>
  </si>
  <si>
    <t>Free cash flow in USD</t>
    <phoneticPr fontId="82" type="noConversion"/>
  </si>
  <si>
    <t>FCF per share $</t>
    <phoneticPr fontId="82" type="noConversion"/>
  </si>
  <si>
    <t>TTM Free Cash Flows</t>
    <phoneticPr fontId="82" type="noConversion"/>
  </si>
  <si>
    <t>1Q23</t>
  </si>
  <si>
    <t>2Q23</t>
  </si>
  <si>
    <t>3Q23</t>
  </si>
  <si>
    <t>4Q23</t>
  </si>
  <si>
    <t>FY23</t>
  </si>
  <si>
    <t>FY24</t>
  </si>
  <si>
    <t>FY25</t>
  </si>
  <si>
    <t>FY26</t>
  </si>
  <si>
    <t>FY27</t>
  </si>
  <si>
    <t>FY28</t>
  </si>
  <si>
    <t>FY29</t>
  </si>
  <si>
    <t>FY30</t>
  </si>
  <si>
    <t>EBIT (Operating Income) - NoN GAAP</t>
    <phoneticPr fontId="4" type="noConversion"/>
  </si>
  <si>
    <t>EBITDA-Non GAAP</t>
    <phoneticPr fontId="4" type="noConversion"/>
  </si>
  <si>
    <t>Operating Income-Non GAAP</t>
    <phoneticPr fontId="4" type="noConversion"/>
  </si>
  <si>
    <t>Net Income-Non GAAP</t>
    <phoneticPr fontId="4" type="noConversion"/>
  </si>
  <si>
    <t>OPM</t>
    <phoneticPr fontId="4" type="noConversion"/>
  </si>
  <si>
    <t>EBIT non GAAP adjustment</t>
    <phoneticPr fontId="4" type="noConversion"/>
  </si>
  <si>
    <t>NPM</t>
    <phoneticPr fontId="4" type="noConversion"/>
  </si>
  <si>
    <r>
      <t xml:space="preserve">PE </t>
    </r>
    <r>
      <rPr>
        <sz val="9"/>
        <rFont val="宋体"/>
        <family val="3"/>
        <charset val="134"/>
      </rPr>
      <t>（</t>
    </r>
    <r>
      <rPr>
        <sz val="9"/>
        <rFont val="Arial"/>
        <family val="2"/>
      </rPr>
      <t>Low end</t>
    </r>
    <r>
      <rPr>
        <sz val="9"/>
        <rFont val="宋体"/>
        <family val="3"/>
        <charset val="134"/>
      </rPr>
      <t>）</t>
    </r>
  </si>
  <si>
    <t>手动链接</t>
    <phoneticPr fontId="4" type="noConversion"/>
  </si>
  <si>
    <t>check</t>
    <phoneticPr fontId="4" type="noConversion"/>
  </si>
  <si>
    <t>调节项目</t>
    <phoneticPr fontId="4" type="noConversion"/>
  </si>
  <si>
    <t>Net Income, NG</t>
    <phoneticPr fontId="4" type="noConversion"/>
  </si>
  <si>
    <t>fy21</t>
    <phoneticPr fontId="4" type="noConversion"/>
  </si>
  <si>
    <t>fy22</t>
  </si>
  <si>
    <t>fy23</t>
  </si>
  <si>
    <t>Net Cash Per Share (USD)</t>
    <phoneticPr fontId="14" type="noConversion"/>
  </si>
  <si>
    <t>EPS (RMB)</t>
    <phoneticPr fontId="14" type="noConversion"/>
  </si>
  <si>
    <t>EPS-Non GAAP (USD)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</si>
</sst>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3">
    <numFmt numFmtId="44" formatCode="_ &quot;¥&quot;* #,##0.00_ ;_ &quot;¥&quot;* \-#,##0.00_ ;_ &quot;¥&quot;* &quot;-&quot;??_ ;_ @_ "/>
    <numFmt numFmtId="43" formatCode="_ * #,##0.00_ ;_ * \-#,##0.00_ ;_ * &quot;-&quot;??_ ;_ @_ "/>
    <numFmt numFmtId="176" formatCode="&quot;$&quot;#,##0.00_);[Red]\(&quot;$&quot;#,##0.00\)"/>
    <numFmt numFmtId="177" formatCode="_(* #,##0_);_(* \(#,##0\);_(* &quot;-&quot;_);_(@_)"/>
    <numFmt numFmtId="178" formatCode="#,##0.0"/>
    <numFmt numFmtId="179" formatCode="#,##0_);\(#,##0\);&quot;--&quot;_)"/>
    <numFmt numFmtId="180" formatCode="yyyy/mm/dd"/>
    <numFmt numFmtId="181" formatCode="\$#,##0.00;[Red]\-\$#,##0.00"/>
    <numFmt numFmtId="182" formatCode="#,##0.00_);\(#,##0.00\);&quot;--&quot;_)"/>
    <numFmt numFmtId="183" formatCode="[$-409]mmm\-yy;@"/>
    <numFmt numFmtId="184" formatCode="0.0%"/>
    <numFmt numFmtId="185" formatCode="&quot;FY&quot;;000000\ "/>
    <numFmt numFmtId="186" formatCode="_(* #,##0.0_);_(* \(#,##0.0\);_(* &quot;-&quot;?_);_(@_)"/>
    <numFmt numFmtId="187" formatCode="_(* #,##0_);_(* \(#,##0\);_(* &quot;-&quot;?_);_(@_)"/>
    <numFmt numFmtId="188" formatCode="_(* #,##0.0_);_(* \(#,##0.0\);_(* &quot;-&quot;_);_(@_)"/>
    <numFmt numFmtId="189" formatCode="_(* #,##0.000_);_(* \(#,##0.000\);_(* &quot;-&quot;?_);_(@_)"/>
    <numFmt numFmtId="190" formatCode="#,##0.0_);\(#,##0.0\);&quot;--&quot;_)"/>
    <numFmt numFmtId="191" formatCode="yyyy/m/d;@"/>
    <numFmt numFmtId="192" formatCode="_ * #,##0_ ;_ * \-#,##0_ ;_ * &quot;-&quot;??_ ;_ @_ "/>
    <numFmt numFmtId="193" formatCode="#,##0_);[Red]\(#,##0\)"/>
    <numFmt numFmtId="194" formatCode="0_ "/>
    <numFmt numFmtId="195" formatCode="_-\$* #,##0.0_ ;_-\$* \-#,##0.0\ ;_-\$* &quot;-&quot;?_ ;_-@_ "/>
    <numFmt numFmtId="196" formatCode="_-\$* #,##0_ ;_-\$* \-#,##0\ ;_-\$* &quot;-&quot;_ ;_-@_ "/>
    <numFmt numFmtId="197" formatCode="_ \¥* #,##0.00_ ;_ \¥* \-#,##0.00_ ;_ \¥* &quot;-&quot;??_ ;_ @_ "/>
    <numFmt numFmtId="198" formatCode="_-\$* #,##0.0_ ;_-\$* \-#,##0.0\ ;_-\$* &quot;-&quot;_ ;_-@_ "/>
    <numFmt numFmtId="199" formatCode="_ * #,##0.0_ ;_ * \-#,##0.0_ ;_ * &quot;-&quot;??_ ;_ @_ "/>
    <numFmt numFmtId="200" formatCode="_ [$¥-804]* #,##0.00_ ;_ [$¥-804]* \-#,##0.00_ ;_ [$¥-804]* &quot;-&quot;??_ ;_ @_ "/>
    <numFmt numFmtId="201" formatCode="#,##0.0_);[Red]\(#,##0.0\)"/>
    <numFmt numFmtId="202" formatCode="_-\$* #,##0.00_ ;_-\$* \-#,##0.00\ ;_-\$* &quot;-&quot;??_ ;_-@_ "/>
    <numFmt numFmtId="203" formatCode="_-\$* #,##0_ ;_-\$* \-#,##0\ ;_-\$* &quot;-&quot;??_ ;_-@_ "/>
    <numFmt numFmtId="204" formatCode="_-\$* #,##0.0_ ;_-\$* \-#,##0.0\ ;_-\$* &quot;-&quot;??_ ;_-@_ "/>
    <numFmt numFmtId="205" formatCode="0.0_ "/>
    <numFmt numFmtId="206" formatCode="_(* #,##0.00_);_(* \(#,##0.00\);_(* &quot;-&quot;??_);_(@_)"/>
    <numFmt numFmtId="207" formatCode="_-[$$-409]* #,##0_ ;_-[$$-409]* \-#,##0\ ;_-[$$-409]* &quot;-&quot;_ ;_-@_ "/>
    <numFmt numFmtId="208" formatCode="_(* #,##0_);_(* \(#,##0\);_(* &quot;-&quot;??_);_(@_)"/>
    <numFmt numFmtId="209" formatCode="_ &quot;¥&quot;* #,##0.000_ ;_ &quot;¥&quot;* \-#,##0.000_ ;_ &quot;¥&quot;* &quot;-&quot;??_ ;_ @_ "/>
    <numFmt numFmtId="210" formatCode="_(* #,##0.0_);_(* \(#,##0.0\);_(* &quot;-&quot;??_);_(@_)"/>
    <numFmt numFmtId="211" formatCode="#,##0.00_ "/>
    <numFmt numFmtId="212" formatCode="#,##0_ ;\-#,##0\ "/>
    <numFmt numFmtId="213" formatCode="0.0"/>
    <numFmt numFmtId="214" formatCode="#,##0_ "/>
    <numFmt numFmtId="215" formatCode="0.0_);[Red]\(0.0\)"/>
    <numFmt numFmtId="216" formatCode="0.00_);[Red]\(0.00\)"/>
    <numFmt numFmtId="217" formatCode="#,##0.000"/>
    <numFmt numFmtId="218" formatCode="#,##0.00_ ;\-#,##0.00\ "/>
    <numFmt numFmtId="219" formatCode="#,##0_);\(#,##0\)"/>
    <numFmt numFmtId="220" formatCode="0_);\(0\)"/>
    <numFmt numFmtId="221" formatCode="_-[$$-409]* #,##0.0_ ;_-[$$-409]* \-#,##0.0\ ;_-[$$-409]* &quot;-&quot;_ ;_-@_ "/>
    <numFmt numFmtId="222" formatCode="0.00_);\(0.00\)"/>
    <numFmt numFmtId="223" formatCode="0.00_ "/>
    <numFmt numFmtId="224" formatCode="0_);[Red]\(0\)"/>
    <numFmt numFmtId="225" formatCode="\$#,##0;[Red]\-\$#,##0"/>
    <numFmt numFmtId="226" formatCode="\$#,##0.0;[Red]\-\$#,##0.0"/>
  </numFmts>
  <fonts count="184" x14ac:knownFonts="1">
    <font>
      <sz val="11"/>
      <color theme="1"/>
      <name val="宋体"/>
      <family val="2"/>
      <scheme val="minor"/>
    </font>
    <font>
      <sz val="11"/>
      <color theme="1"/>
      <name val="宋体"/>
      <family val="2"/>
      <charset val="134"/>
      <scheme val="minor"/>
    </font>
    <font>
      <sz val="11"/>
      <color theme="1"/>
      <name val="宋体"/>
      <family val="2"/>
      <scheme val="minor"/>
    </font>
    <font>
      <b/>
      <sz val="14"/>
      <name val="Arial"/>
      <family val="2"/>
    </font>
    <font>
      <sz val="9"/>
      <name val="宋体"/>
      <family val="3"/>
      <charset val="134"/>
      <scheme val="minor"/>
    </font>
    <font>
      <sz val="12"/>
      <name val="新細明體"/>
      <family val="1"/>
      <charset val="136"/>
    </font>
    <font>
      <b/>
      <sz val="12"/>
      <name val="Arial"/>
      <family val="2"/>
    </font>
    <font>
      <sz val="9"/>
      <color indexed="9"/>
      <name val="Arial"/>
      <family val="2"/>
    </font>
    <font>
      <b/>
      <sz val="10"/>
      <name val="Arial"/>
      <family val="2"/>
    </font>
    <font>
      <b/>
      <sz val="8"/>
      <name val="Arial"/>
      <family val="2"/>
    </font>
    <font>
      <sz val="8"/>
      <color indexed="55"/>
      <name val="Arial"/>
      <family val="2"/>
    </font>
    <font>
      <sz val="9"/>
      <color indexed="8"/>
      <name val="Arial"/>
      <family val="2"/>
    </font>
    <font>
      <sz val="8"/>
      <name val="Arial"/>
      <family val="2"/>
    </font>
    <font>
      <b/>
      <u/>
      <sz val="9"/>
      <name val="Arial"/>
      <family val="2"/>
    </font>
    <font>
      <sz val="9"/>
      <name val="新細明體"/>
      <family val="1"/>
      <charset val="136"/>
    </font>
    <font>
      <sz val="9"/>
      <name val="Arial"/>
      <family val="2"/>
    </font>
    <font>
      <sz val="9"/>
      <name val="宋体"/>
      <family val="3"/>
      <charset val="134"/>
    </font>
    <font>
      <b/>
      <sz val="10"/>
      <color indexed="9"/>
      <name val="Arial"/>
      <family val="2"/>
    </font>
    <font>
      <b/>
      <sz val="9"/>
      <color indexed="8"/>
      <name val="Arial"/>
      <family val="2"/>
    </font>
    <font>
      <b/>
      <sz val="9"/>
      <name val="Arial"/>
      <family val="2"/>
    </font>
    <font>
      <sz val="9"/>
      <color indexed="55"/>
      <name val="Arial"/>
      <family val="2"/>
    </font>
    <font>
      <b/>
      <u/>
      <sz val="8"/>
      <name val="Arial"/>
      <family val="2"/>
    </font>
    <font>
      <sz val="9"/>
      <color theme="1"/>
      <name val="Arial"/>
      <family val="2"/>
    </font>
    <font>
      <i/>
      <sz val="9"/>
      <name val="Arial"/>
      <family val="2"/>
    </font>
    <font>
      <sz val="9"/>
      <color theme="0"/>
      <name val="Arial"/>
      <family val="2"/>
    </font>
    <font>
      <b/>
      <u/>
      <sz val="9"/>
      <color theme="0"/>
      <name val="Arial"/>
      <family val="2"/>
    </font>
    <font>
      <sz val="9"/>
      <color rgb="FFFF0000"/>
      <name val="Arial"/>
      <family val="2"/>
    </font>
    <font>
      <i/>
      <sz val="9"/>
      <color theme="0"/>
      <name val="Arial"/>
      <family val="2"/>
    </font>
    <font>
      <i/>
      <sz val="8"/>
      <name val="Arial"/>
      <family val="2"/>
    </font>
    <font>
      <sz val="8"/>
      <color theme="0"/>
      <name val="Arial"/>
      <family val="2"/>
    </font>
    <font>
      <b/>
      <sz val="9"/>
      <color indexed="81"/>
      <name val="宋体"/>
      <family val="3"/>
      <charset val="134"/>
    </font>
    <font>
      <sz val="9"/>
      <color indexed="81"/>
      <name val="宋体"/>
      <family val="3"/>
      <charset val="134"/>
    </font>
    <font>
      <b/>
      <sz val="6"/>
      <color indexed="8"/>
      <name val="Arial"/>
      <family val="2"/>
    </font>
    <font>
      <b/>
      <sz val="9"/>
      <color theme="0"/>
      <name val="Arial"/>
      <family val="2"/>
    </font>
    <font>
      <sz val="10"/>
      <name val="Arial"/>
      <family val="2"/>
    </font>
    <font>
      <b/>
      <sz val="9"/>
      <color indexed="9"/>
      <name val="Arial"/>
      <family val="2"/>
    </font>
    <font>
      <b/>
      <sz val="9"/>
      <color theme="1"/>
      <name val="Arial"/>
      <family val="2"/>
    </font>
    <font>
      <sz val="9"/>
      <color theme="0" tint="-0.249977111117893"/>
      <name val="Arial"/>
      <family val="2"/>
    </font>
    <font>
      <b/>
      <sz val="12"/>
      <color indexed="8"/>
      <name val="Arial"/>
      <family val="2"/>
    </font>
    <font>
      <b/>
      <sz val="10"/>
      <color indexed="8"/>
      <name val="Arial"/>
      <family val="2"/>
    </font>
    <font>
      <sz val="10"/>
      <color indexed="9"/>
      <name val="Arial"/>
      <family val="2"/>
    </font>
    <font>
      <b/>
      <sz val="10"/>
      <color theme="0"/>
      <name val="Arial"/>
      <family val="2"/>
    </font>
    <font>
      <i/>
      <u/>
      <sz val="9"/>
      <name val="Arial"/>
      <family val="2"/>
    </font>
    <font>
      <b/>
      <i/>
      <sz val="9"/>
      <name val="Arial"/>
      <family val="2"/>
    </font>
    <font>
      <b/>
      <sz val="8"/>
      <color indexed="81"/>
      <name val="Tahoma"/>
      <family val="2"/>
    </font>
    <font>
      <sz val="8"/>
      <color indexed="81"/>
      <name val="Tahoma"/>
      <family val="2"/>
    </font>
    <font>
      <sz val="11"/>
      <color theme="1"/>
      <name val="Arial"/>
      <family val="2"/>
    </font>
    <font>
      <sz val="11"/>
      <name val="宋体"/>
      <family val="2"/>
      <scheme val="minor"/>
    </font>
    <font>
      <i/>
      <sz val="9"/>
      <color rgb="FF00B050"/>
      <name val="Arial"/>
      <family val="2"/>
    </font>
    <font>
      <b/>
      <i/>
      <sz val="9"/>
      <color rgb="FF00B050"/>
      <name val="Arial"/>
      <family val="2"/>
    </font>
    <font>
      <i/>
      <sz val="11"/>
      <color rgb="FF00B050"/>
      <name val="宋体"/>
      <family val="2"/>
      <scheme val="minor"/>
    </font>
    <font>
      <i/>
      <sz val="9"/>
      <color rgb="FF0000FF"/>
      <name val="Arial"/>
      <family val="2"/>
    </font>
    <font>
      <sz val="11"/>
      <color rgb="FF006100"/>
      <name val="宋体"/>
      <family val="2"/>
      <charset val="134"/>
      <scheme val="minor"/>
    </font>
    <font>
      <sz val="11"/>
      <color theme="1"/>
      <name val="宋体"/>
      <family val="3"/>
      <charset val="134"/>
      <scheme val="minor"/>
    </font>
    <font>
      <sz val="10"/>
      <color theme="1"/>
      <name val="Arial"/>
      <family val="2"/>
    </font>
    <font>
      <sz val="9"/>
      <name val="Arial Narrow"/>
      <family val="2"/>
    </font>
    <font>
      <sz val="9"/>
      <color rgb="FF0000FF"/>
      <name val="Arial"/>
      <family val="2"/>
    </font>
    <font>
      <sz val="9"/>
      <color rgb="FFFF0000"/>
      <name val="Arial Narrow"/>
      <family val="2"/>
    </font>
    <font>
      <b/>
      <sz val="9"/>
      <color rgb="FFFF0000"/>
      <name val="Arial"/>
      <family val="2"/>
    </font>
    <font>
      <i/>
      <sz val="9"/>
      <color theme="1"/>
      <name val="Arial"/>
      <family val="2"/>
    </font>
    <font>
      <i/>
      <sz val="9"/>
      <color rgb="FFFF0000"/>
      <name val="Arial"/>
      <family val="2"/>
    </font>
    <font>
      <b/>
      <i/>
      <sz val="9"/>
      <color theme="1"/>
      <name val="Arial"/>
      <family val="2"/>
    </font>
    <font>
      <b/>
      <i/>
      <sz val="9"/>
      <color theme="0"/>
      <name val="Arial"/>
      <family val="2"/>
    </font>
    <font>
      <b/>
      <i/>
      <sz val="9"/>
      <color rgb="FFFF0000"/>
      <name val="Arial"/>
      <family val="2"/>
    </font>
    <font>
      <b/>
      <i/>
      <sz val="9"/>
      <color rgb="FF0000FF"/>
      <name val="Arial"/>
      <family val="2"/>
    </font>
    <font>
      <b/>
      <u/>
      <sz val="9"/>
      <color theme="1"/>
      <name val="Arial"/>
      <family val="2"/>
    </font>
    <font>
      <u/>
      <sz val="9"/>
      <color theme="1"/>
      <name val="Arial"/>
      <family val="2"/>
    </font>
    <font>
      <i/>
      <sz val="9"/>
      <color theme="0" tint="-0.34998626667073579"/>
      <name val="Arial"/>
      <family val="2"/>
    </font>
    <font>
      <sz val="9"/>
      <color theme="0" tint="-0.34998626667073579"/>
      <name val="Arial"/>
      <family val="2"/>
    </font>
    <font>
      <u/>
      <sz val="9"/>
      <name val="Arial"/>
      <family val="2"/>
    </font>
    <font>
      <u/>
      <sz val="9"/>
      <color rgb="FF0000FF"/>
      <name val="Arial"/>
      <family val="2"/>
    </font>
    <font>
      <i/>
      <sz val="12"/>
      <color rgb="FFFF0000"/>
      <name val="Arial"/>
      <family val="2"/>
    </font>
    <font>
      <sz val="9"/>
      <color theme="0" tint="-0.1498458815271462"/>
      <name val="Arial"/>
      <family val="2"/>
    </font>
    <font>
      <sz val="9"/>
      <color theme="1"/>
      <name val="等线"/>
      <family val="3"/>
      <charset val="134"/>
    </font>
    <font>
      <b/>
      <sz val="9"/>
      <color rgb="FF0000FF"/>
      <name val="Arial"/>
      <family val="2"/>
    </font>
    <font>
      <b/>
      <sz val="9"/>
      <name val="宋体"/>
      <family val="3"/>
      <charset val="134"/>
    </font>
    <font>
      <sz val="10"/>
      <name val="宋体"/>
      <family val="3"/>
      <charset val="134"/>
    </font>
    <font>
      <i/>
      <sz val="8"/>
      <color theme="1"/>
      <name val="Arial Narrow"/>
      <family val="2"/>
    </font>
    <font>
      <b/>
      <sz val="18"/>
      <color theme="1"/>
      <name val="Calibri"/>
      <family val="2"/>
    </font>
    <font>
      <sz val="8"/>
      <color theme="1"/>
      <name val="Arial Narrow"/>
      <family val="2"/>
    </font>
    <font>
      <b/>
      <i/>
      <sz val="8"/>
      <color theme="1"/>
      <name val="Arial Narrow"/>
      <family val="2"/>
    </font>
    <font>
      <i/>
      <sz val="8"/>
      <color rgb="FF006100"/>
      <name val="Arial Narrow"/>
      <family val="2"/>
    </font>
    <font>
      <sz val="9"/>
      <name val="宋体"/>
      <family val="2"/>
      <charset val="134"/>
      <scheme val="minor"/>
    </font>
    <font>
      <sz val="8"/>
      <color theme="1"/>
      <name val="宋体"/>
      <family val="2"/>
      <charset val="134"/>
      <scheme val="minor"/>
    </font>
    <font>
      <sz val="8"/>
      <name val="Arial Narrow"/>
      <family val="2"/>
    </font>
    <font>
      <i/>
      <sz val="8"/>
      <name val="Arial Narrow"/>
      <family val="2"/>
    </font>
    <font>
      <b/>
      <sz val="9"/>
      <color theme="1"/>
      <name val="Arial Narrow"/>
      <family val="2"/>
    </font>
    <font>
      <u/>
      <sz val="12"/>
      <color indexed="12"/>
      <name val="宋体"/>
      <family val="3"/>
      <charset val="134"/>
    </font>
    <font>
      <b/>
      <sz val="10"/>
      <name val="Arial Narrow"/>
      <family val="2"/>
    </font>
    <font>
      <b/>
      <sz val="9"/>
      <name val="Arial Narrow"/>
      <family val="2"/>
    </font>
    <font>
      <sz val="10"/>
      <color theme="1"/>
      <name val="Arial Narrow"/>
      <family val="2"/>
    </font>
    <font>
      <i/>
      <sz val="8"/>
      <color rgb="FF0000FF"/>
      <name val="Arial Narrow"/>
      <family val="2"/>
    </font>
    <font>
      <b/>
      <i/>
      <u/>
      <sz val="8"/>
      <name val="Arial Narrow"/>
      <family val="2"/>
    </font>
    <font>
      <b/>
      <sz val="8"/>
      <name val="Arial Narrow"/>
      <family val="2"/>
    </font>
    <font>
      <sz val="8"/>
      <color rgb="FF0000FF"/>
      <name val="Arial Narrow"/>
      <family val="2"/>
    </font>
    <font>
      <i/>
      <u/>
      <sz val="8"/>
      <name val="Arial Narrow"/>
      <family val="2"/>
    </font>
    <font>
      <b/>
      <sz val="8"/>
      <color rgb="FF0070C0"/>
      <name val="Arial Narrow"/>
      <family val="2"/>
    </font>
    <font>
      <i/>
      <sz val="8"/>
      <color rgb="FF00B050"/>
      <name val="Arial Narrow"/>
      <family val="2"/>
    </font>
    <font>
      <b/>
      <sz val="8"/>
      <color rgb="FF00B050"/>
      <name val="Arial Narrow"/>
      <family val="2"/>
    </font>
    <font>
      <i/>
      <sz val="8"/>
      <color rgb="FF0070C0"/>
      <name val="Arial Narrow"/>
      <family val="2"/>
    </font>
    <font>
      <b/>
      <i/>
      <sz val="8"/>
      <name val="Arial Narrow"/>
      <family val="2"/>
    </font>
    <font>
      <b/>
      <i/>
      <sz val="8"/>
      <color rgb="FF0070C0"/>
      <name val="Arial Narrow"/>
      <family val="2"/>
    </font>
    <font>
      <b/>
      <sz val="10"/>
      <color rgb="FF0070C0"/>
      <name val="Arial Narrow"/>
      <family val="2"/>
    </font>
    <font>
      <b/>
      <sz val="9"/>
      <color rgb="FF0070C0"/>
      <name val="Arial Narrow"/>
      <family val="2"/>
    </font>
    <font>
      <b/>
      <sz val="9"/>
      <color rgb="FF00B050"/>
      <name val="Arial Narrow"/>
      <family val="2"/>
    </font>
    <font>
      <sz val="9"/>
      <color theme="1"/>
      <name val="Arial Narrow"/>
      <family val="2"/>
    </font>
    <font>
      <sz val="9"/>
      <color rgb="FF0070C0"/>
      <name val="Arial Narrow"/>
      <family val="2"/>
    </font>
    <font>
      <b/>
      <sz val="8"/>
      <color theme="1"/>
      <name val="Arial Narrow"/>
      <family val="2"/>
    </font>
    <font>
      <b/>
      <sz val="10"/>
      <color theme="1"/>
      <name val="Arial Narrow"/>
      <family val="2"/>
    </font>
    <font>
      <i/>
      <sz val="9"/>
      <color theme="1"/>
      <name val="Arial Narrow"/>
      <family val="2"/>
    </font>
    <font>
      <b/>
      <i/>
      <sz val="9"/>
      <color theme="1"/>
      <name val="Arial Narrow"/>
      <family val="2"/>
    </font>
    <font>
      <sz val="10"/>
      <color rgb="FF0070C0"/>
      <name val="Arial Narrow"/>
      <family val="2"/>
    </font>
    <font>
      <sz val="9"/>
      <color rgb="FF0000FF"/>
      <name val="Arial Narrow"/>
      <family val="2"/>
    </font>
    <font>
      <b/>
      <i/>
      <sz val="9"/>
      <color rgb="FF0000FF"/>
      <name val="Arial Narrow"/>
      <family val="2"/>
    </font>
    <font>
      <i/>
      <sz val="8"/>
      <color rgb="FFFF0000"/>
      <name val="Arial Narrow"/>
      <family val="2"/>
    </font>
    <font>
      <i/>
      <sz val="9"/>
      <color rgb="FFFF0000"/>
      <name val="Arial Narrow"/>
      <family val="2"/>
    </font>
    <font>
      <i/>
      <sz val="9"/>
      <name val="Arial Narrow"/>
      <family val="2"/>
    </font>
    <font>
      <i/>
      <sz val="9"/>
      <color rgb="FF0000FF"/>
      <name val="Arial Narrow"/>
      <family val="2"/>
    </font>
    <font>
      <sz val="6"/>
      <color rgb="FFFF0000"/>
      <name val="Arial Narrow"/>
      <family val="2"/>
    </font>
    <font>
      <sz val="6"/>
      <color theme="1"/>
      <name val="Arial Narrow"/>
      <family val="2"/>
    </font>
    <font>
      <sz val="6"/>
      <name val="Arial Narrow"/>
      <family val="2"/>
    </font>
    <font>
      <sz val="6"/>
      <color rgb="FF0000FF"/>
      <name val="Arial Narrow"/>
      <family val="2"/>
    </font>
    <font>
      <b/>
      <i/>
      <sz val="6"/>
      <color theme="1"/>
      <name val="Arial Narrow"/>
      <family val="2"/>
    </font>
    <font>
      <b/>
      <i/>
      <sz val="6"/>
      <color rgb="FF0000FF"/>
      <name val="Arial Narrow"/>
      <family val="2"/>
    </font>
    <font>
      <b/>
      <i/>
      <sz val="9"/>
      <color rgb="FF00B0F0"/>
      <name val="Arial Narrow"/>
      <family val="2"/>
    </font>
    <font>
      <b/>
      <sz val="9"/>
      <color theme="3"/>
      <name val="Arial Narrow"/>
      <family val="2"/>
    </font>
    <font>
      <b/>
      <sz val="10"/>
      <color theme="3"/>
      <name val="Arial Narrow"/>
      <family val="2"/>
    </font>
    <font>
      <sz val="8"/>
      <color rgb="FF0070C0"/>
      <name val="Arial Narrow"/>
      <family val="2"/>
    </font>
    <font>
      <b/>
      <sz val="10"/>
      <color rgb="FF00B0F0"/>
      <name val="Arial Narrow"/>
      <family val="2"/>
    </font>
    <font>
      <b/>
      <i/>
      <sz val="9"/>
      <name val="Arial Narrow"/>
      <family val="2"/>
    </font>
    <font>
      <b/>
      <sz val="9"/>
      <color rgb="FF00B0F0"/>
      <name val="Arial Narrow"/>
      <family val="2"/>
    </font>
    <font>
      <b/>
      <sz val="10"/>
      <color rgb="FF0000FF"/>
      <name val="Arial Narrow"/>
      <family val="2"/>
    </font>
    <font>
      <b/>
      <sz val="8"/>
      <color theme="0" tint="-0.34998626667073579"/>
      <name val="Book Antiqua"/>
      <family val="1"/>
    </font>
    <font>
      <sz val="8"/>
      <color theme="0" tint="-0.34998626667073579"/>
      <name val="Book Antiqua"/>
      <family val="1"/>
    </font>
    <font>
      <b/>
      <i/>
      <sz val="8"/>
      <color rgb="FFFF0000"/>
      <name val="Arial Narrow"/>
      <family val="2"/>
    </font>
    <font>
      <b/>
      <i/>
      <u/>
      <sz val="9"/>
      <color rgb="FF0070C0"/>
      <name val="Arial Narrow"/>
      <family val="2"/>
    </font>
    <font>
      <b/>
      <u/>
      <sz val="9"/>
      <name val="Arial Narrow"/>
      <family val="2"/>
    </font>
    <font>
      <b/>
      <u/>
      <sz val="9"/>
      <color theme="1"/>
      <name val="Arial Narrow"/>
      <family val="2"/>
    </font>
    <font>
      <b/>
      <u/>
      <sz val="9"/>
      <color rgb="FF0070C0"/>
      <name val="Arial Narrow"/>
      <family val="2"/>
    </font>
    <font>
      <i/>
      <sz val="9"/>
      <color rgb="FF0070C0"/>
      <name val="Arial Narrow"/>
      <family val="2"/>
    </font>
    <font>
      <i/>
      <sz val="9"/>
      <color theme="8" tint="-0.249977111117893"/>
      <name val="Arial Narrow"/>
      <family val="2"/>
    </font>
    <font>
      <sz val="9"/>
      <color theme="3" tint="-0.249977111117893"/>
      <name val="Arial Narrow"/>
      <family val="2"/>
    </font>
    <font>
      <i/>
      <sz val="8"/>
      <color theme="1" tint="0.499984740745262"/>
      <name val="Arial Narrow"/>
      <family val="2"/>
    </font>
    <font>
      <b/>
      <sz val="11"/>
      <color theme="1"/>
      <name val="Arial Narrow"/>
      <family val="2"/>
    </font>
    <font>
      <b/>
      <i/>
      <sz val="9"/>
      <color rgb="FF00B050"/>
      <name val="Arial Narrow"/>
      <family val="2"/>
    </font>
    <font>
      <i/>
      <sz val="9"/>
      <color theme="4"/>
      <name val="Arial Narrow"/>
      <family val="2"/>
    </font>
    <font>
      <b/>
      <i/>
      <sz val="9"/>
      <color rgb="FF0070C0"/>
      <name val="Arial Narrow"/>
      <family val="2"/>
    </font>
    <font>
      <i/>
      <sz val="9"/>
      <color rgb="FF00B050"/>
      <name val="Arial Narrow"/>
      <family val="2"/>
    </font>
    <font>
      <sz val="9"/>
      <color rgb="FF00B050"/>
      <name val="Arial Narrow"/>
      <family val="2"/>
    </font>
    <font>
      <b/>
      <i/>
      <sz val="10"/>
      <color theme="1"/>
      <name val="Arial Narrow"/>
      <family val="2"/>
    </font>
    <font>
      <i/>
      <u/>
      <sz val="8"/>
      <color theme="1"/>
      <name val="Arial Narrow"/>
      <family val="2"/>
    </font>
    <font>
      <i/>
      <sz val="8"/>
      <color theme="0"/>
      <name val="Arial Narrow"/>
      <family val="2"/>
    </font>
    <font>
      <b/>
      <sz val="8"/>
      <color theme="0"/>
      <name val="Arial Narrow"/>
      <family val="2"/>
    </font>
    <font>
      <sz val="8"/>
      <color theme="0"/>
      <name val="Arial Narrow"/>
      <family val="2"/>
    </font>
    <font>
      <b/>
      <sz val="10"/>
      <color theme="0"/>
      <name val="Arial Narrow"/>
      <family val="2"/>
    </font>
    <font>
      <b/>
      <sz val="9"/>
      <color theme="0"/>
      <name val="Arial Narrow"/>
      <family val="2"/>
    </font>
    <font>
      <sz val="10"/>
      <color theme="0"/>
      <name val="Arial Narrow"/>
      <family val="2"/>
    </font>
    <font>
      <b/>
      <u/>
      <sz val="9"/>
      <color theme="0"/>
      <name val="Arial Narrow"/>
      <family val="2"/>
    </font>
    <font>
      <sz val="9"/>
      <color theme="0"/>
      <name val="Arial Narrow"/>
      <family val="2"/>
    </font>
    <font>
      <b/>
      <i/>
      <sz val="8"/>
      <color theme="0"/>
      <name val="Arial Narrow"/>
      <family val="2"/>
    </font>
    <font>
      <i/>
      <sz val="9"/>
      <color theme="0"/>
      <name val="Arial Narrow"/>
      <family val="2"/>
    </font>
    <font>
      <b/>
      <sz val="10.5"/>
      <color theme="0"/>
      <name val="Arial Narrow"/>
      <family val="2"/>
    </font>
    <font>
      <b/>
      <i/>
      <sz val="9"/>
      <color theme="0"/>
      <name val="Arial Narrow"/>
      <family val="2"/>
    </font>
    <font>
      <b/>
      <i/>
      <sz val="10.5"/>
      <color theme="0"/>
      <name val="Arial Narrow"/>
      <family val="2"/>
    </font>
    <font>
      <sz val="10.5"/>
      <color theme="0"/>
      <name val="Arial Narrow"/>
      <family val="2"/>
    </font>
    <font>
      <b/>
      <i/>
      <sz val="10"/>
      <color theme="0"/>
      <name val="Arial Narrow"/>
      <family val="2"/>
    </font>
    <font>
      <i/>
      <u/>
      <sz val="8"/>
      <color theme="0"/>
      <name val="Arial Narrow"/>
      <family val="2"/>
    </font>
    <font>
      <u/>
      <sz val="9"/>
      <color theme="0"/>
      <name val="Arial Narrow"/>
      <family val="2"/>
    </font>
    <font>
      <b/>
      <i/>
      <u/>
      <sz val="8"/>
      <color theme="0"/>
      <name val="Arial Narrow"/>
      <family val="2"/>
    </font>
    <font>
      <b/>
      <u/>
      <sz val="8"/>
      <color theme="0"/>
      <name val="Arial Narrow"/>
      <family val="2"/>
    </font>
    <font>
      <b/>
      <i/>
      <u/>
      <sz val="9"/>
      <color theme="0"/>
      <name val="Arial Narrow"/>
      <family val="2"/>
    </font>
    <font>
      <b/>
      <u/>
      <sz val="11"/>
      <color theme="0"/>
      <name val="Arial Narrow"/>
      <family val="2"/>
    </font>
    <font>
      <i/>
      <u/>
      <sz val="10"/>
      <color theme="0"/>
      <name val="Arial Narrow"/>
      <family val="2"/>
    </font>
    <font>
      <i/>
      <u/>
      <sz val="9"/>
      <color theme="0"/>
      <name val="Arial Narrow"/>
      <family val="2"/>
    </font>
    <font>
      <u/>
      <sz val="8"/>
      <color theme="0"/>
      <name val="Arial Narrow"/>
      <family val="2"/>
    </font>
    <font>
      <sz val="7"/>
      <color theme="0"/>
      <name val="Arial"/>
      <family val="2"/>
    </font>
    <font>
      <b/>
      <i/>
      <u/>
      <sz val="10"/>
      <color theme="0"/>
      <name val="Arial Narrow"/>
      <family val="2"/>
    </font>
    <font>
      <sz val="8"/>
      <color indexed="81"/>
      <name val="Arial Narrow"/>
      <family val="2"/>
    </font>
    <font>
      <sz val="9"/>
      <color indexed="81"/>
      <name val="Arial Narrow"/>
      <family val="2"/>
    </font>
    <font>
      <b/>
      <sz val="8"/>
      <color indexed="81"/>
      <name val="Arial Narrow"/>
      <family val="2"/>
    </font>
    <font>
      <i/>
      <u val="singleAccounting"/>
      <sz val="9"/>
      <name val="Arial"/>
      <family val="2"/>
    </font>
    <font>
      <b/>
      <sz val="9"/>
      <color theme="1"/>
      <name val="宋体"/>
      <family val="2"/>
      <charset val="134"/>
    </font>
    <font>
      <b/>
      <sz val="11"/>
      <color theme="1"/>
      <name val="宋体"/>
      <family val="2"/>
      <scheme val="minor"/>
    </font>
    <font>
      <sz val="9"/>
      <color theme="1"/>
      <name val="宋体"/>
      <family val="2"/>
      <charset val="134"/>
    </font>
  </fonts>
  <fills count="19">
    <fill>
      <patternFill patternType="none"/>
    </fill>
    <fill>
      <patternFill patternType="gray125"/>
    </fill>
    <fill>
      <patternFill patternType="solid">
        <fgColor indexed="9"/>
        <bgColor indexed="64"/>
      </patternFill>
    </fill>
    <fill>
      <patternFill patternType="solid">
        <fgColor rgb="FFFFFF99"/>
        <bgColor indexed="64"/>
      </patternFill>
    </fill>
    <fill>
      <patternFill patternType="solid">
        <fgColor rgb="FFFFC000"/>
        <bgColor indexed="64"/>
      </patternFill>
    </fill>
    <fill>
      <patternFill patternType="solid">
        <fgColor theme="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rgb="FFC6EFCE"/>
      </patternFill>
    </fill>
    <fill>
      <patternFill patternType="solid">
        <fgColor rgb="FFFFFF00"/>
        <bgColor indexed="64"/>
      </patternFill>
    </fill>
    <fill>
      <patternFill patternType="solid">
        <fgColor theme="8" tint="0.59999389629810485"/>
        <bgColor indexed="64"/>
      </patternFill>
    </fill>
    <fill>
      <patternFill patternType="solid">
        <fgColor rgb="FF00B0F0"/>
        <bgColor indexed="64"/>
      </patternFill>
    </fill>
    <fill>
      <patternFill patternType="solid">
        <fgColor rgb="FF92D05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6" tint="0.79998168889431442"/>
        <bgColor indexed="64"/>
      </patternFill>
    </fill>
  </fills>
  <borders count="50">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medium">
        <color indexed="64"/>
      </left>
      <right style="medium">
        <color indexed="64"/>
      </right>
      <top style="medium">
        <color indexed="64"/>
      </top>
      <bottom style="thin">
        <color indexed="64"/>
      </bottom>
      <diagonal/>
    </border>
    <border>
      <left style="thick">
        <color theme="1"/>
      </left>
      <right/>
      <top/>
      <bottom/>
      <diagonal/>
    </border>
    <border>
      <left/>
      <right style="thick">
        <color theme="1"/>
      </right>
      <top/>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bottom style="mediumDashDot">
        <color auto="1"/>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indexed="64"/>
      </left>
      <right style="medium">
        <color indexed="64"/>
      </right>
      <top/>
      <bottom/>
      <diagonal/>
    </border>
    <border>
      <left style="medium">
        <color auto="1"/>
      </left>
      <right/>
      <top/>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thin">
        <color auto="1"/>
      </bottom>
      <diagonal/>
    </border>
    <border>
      <left/>
      <right style="medium">
        <color auto="1"/>
      </right>
      <top/>
      <bottom style="thin">
        <color auto="1"/>
      </bottom>
      <diagonal/>
    </border>
    <border>
      <left style="medium">
        <color indexed="64"/>
      </left>
      <right style="medium">
        <color auto="1"/>
      </right>
      <top style="thin">
        <color indexed="64"/>
      </top>
      <bottom/>
      <diagonal/>
    </border>
    <border>
      <left style="medium">
        <color auto="1"/>
      </left>
      <right style="medium">
        <color auto="1"/>
      </right>
      <top/>
      <bottom style="thin">
        <color indexed="64"/>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s>
  <cellStyleXfs count="18">
    <xf numFmtId="0" fontId="0" fillId="0" borderId="0"/>
    <xf numFmtId="9" fontId="2" fillId="0" borderId="0" applyFont="0" applyFill="0" applyBorder="0" applyAlignment="0" applyProtection="0">
      <alignment vertical="center"/>
    </xf>
    <xf numFmtId="0" fontId="5" fillId="0" borderId="0">
      <alignment vertical="center"/>
    </xf>
    <xf numFmtId="9" fontId="5" fillId="0" borderId="0" applyFont="0" applyFill="0" applyBorder="0" applyAlignment="0" applyProtection="0">
      <alignment vertical="center"/>
    </xf>
    <xf numFmtId="0" fontId="34" fillId="0" borderId="0"/>
    <xf numFmtId="0" fontId="22" fillId="0" borderId="0"/>
    <xf numFmtId="9" fontId="11" fillId="0" borderId="0" applyFont="0" applyFill="0" applyBorder="0" applyAlignment="0" applyProtection="0"/>
    <xf numFmtId="43" fontId="53" fillId="0" borderId="0" applyFont="0" applyFill="0" applyBorder="0" applyAlignment="0" applyProtection="0">
      <alignment vertical="center"/>
    </xf>
    <xf numFmtId="0" fontId="53" fillId="0" borderId="0"/>
    <xf numFmtId="0" fontId="54" fillId="0" borderId="0"/>
    <xf numFmtId="9" fontId="53" fillId="0" borderId="0" applyFont="0" applyFill="0" applyBorder="0" applyAlignment="0" applyProtection="0">
      <alignment vertical="center"/>
    </xf>
    <xf numFmtId="197" fontId="53" fillId="0" borderId="0" applyFont="0" applyFill="0" applyBorder="0" applyAlignment="0" applyProtection="0">
      <alignment vertical="center"/>
    </xf>
    <xf numFmtId="206" fontId="1" fillId="0" borderId="0" applyFont="0" applyFill="0" applyBorder="0" applyAlignment="0" applyProtection="0">
      <alignment vertical="center"/>
    </xf>
    <xf numFmtId="207" fontId="1" fillId="0" borderId="0">
      <alignment vertical="center"/>
    </xf>
    <xf numFmtId="9" fontId="1" fillId="0" borderId="0" applyFont="0" applyFill="0" applyBorder="0" applyAlignment="0" applyProtection="0">
      <alignment vertical="center"/>
    </xf>
    <xf numFmtId="207" fontId="52" fillId="9" borderId="0" applyNumberFormat="0" applyBorder="0" applyAlignment="0" applyProtection="0">
      <alignment vertical="center"/>
    </xf>
    <xf numFmtId="207" fontId="34" fillId="0" borderId="0"/>
    <xf numFmtId="43" fontId="1" fillId="0" borderId="0" applyFont="0" applyFill="0" applyBorder="0" applyAlignment="0" applyProtection="0">
      <alignment vertical="center"/>
    </xf>
  </cellStyleXfs>
  <cellXfs count="2874">
    <xf numFmtId="0" fontId="0" fillId="0" borderId="0" xfId="0"/>
    <xf numFmtId="178" fontId="3" fillId="2" borderId="1" xfId="0" quotePrefix="1" applyNumberFormat="1" applyFont="1" applyFill="1" applyBorder="1" applyAlignment="1" applyProtection="1"/>
    <xf numFmtId="178" fontId="0" fillId="2" borderId="2" xfId="0" applyNumberFormat="1" applyFont="1" applyFill="1" applyBorder="1" applyAlignment="1">
      <alignment horizontal="right"/>
    </xf>
    <xf numFmtId="179" fontId="6" fillId="0" borderId="2" xfId="2" applyNumberFormat="1" applyFont="1" applyBorder="1" applyAlignment="1">
      <alignment horizontal="left" vertical="center"/>
    </xf>
    <xf numFmtId="179" fontId="6" fillId="0" borderId="2" xfId="2" applyNumberFormat="1" applyFont="1" applyBorder="1" applyAlignment="1">
      <alignment horizontal="right" vertical="center"/>
    </xf>
    <xf numFmtId="179" fontId="6" fillId="0" borderId="3" xfId="2" applyNumberFormat="1" applyFont="1" applyBorder="1" applyAlignment="1">
      <alignment horizontal="right" vertical="center"/>
    </xf>
    <xf numFmtId="179" fontId="6" fillId="0" borderId="0" xfId="2" applyNumberFormat="1" applyFont="1" applyBorder="1" applyAlignment="1">
      <alignment horizontal="right" vertical="center"/>
    </xf>
    <xf numFmtId="178" fontId="7" fillId="2" borderId="4" xfId="0" applyNumberFormat="1" applyFont="1" applyFill="1" applyBorder="1" applyAlignment="1">
      <alignment horizontal="right"/>
    </xf>
    <xf numFmtId="178" fontId="8" fillId="2" borderId="0" xfId="0" applyNumberFormat="1" applyFont="1" applyFill="1" applyBorder="1" applyAlignment="1" applyProtection="1">
      <alignment horizontal="left"/>
    </xf>
    <xf numFmtId="180" fontId="9" fillId="0" borderId="0" xfId="2" applyNumberFormat="1" applyFont="1" applyBorder="1" applyAlignment="1">
      <alignment horizontal="left" vertical="center"/>
    </xf>
    <xf numFmtId="0" fontId="9" fillId="0" borderId="0" xfId="2" applyNumberFormat="1" applyFont="1" applyBorder="1" applyAlignment="1">
      <alignment horizontal="left" vertical="center"/>
    </xf>
    <xf numFmtId="0" fontId="9" fillId="0" borderId="0" xfId="2" applyNumberFormat="1" applyFont="1" applyBorder="1" applyAlignment="1">
      <alignment horizontal="right" vertical="center"/>
    </xf>
    <xf numFmtId="179" fontId="10" fillId="0" borderId="0" xfId="2" applyNumberFormat="1" applyFont="1" applyFill="1" applyBorder="1" applyAlignment="1">
      <alignment horizontal="right" vertical="center"/>
    </xf>
    <xf numFmtId="179" fontId="10" fillId="0" borderId="5" xfId="2" applyNumberFormat="1" applyFont="1" applyFill="1" applyBorder="1" applyAlignment="1">
      <alignment horizontal="right" vertical="center"/>
    </xf>
    <xf numFmtId="178" fontId="0" fillId="2" borderId="4" xfId="0" applyNumberFormat="1" applyFont="1" applyFill="1" applyBorder="1" applyAlignment="1">
      <alignment horizontal="right"/>
    </xf>
    <xf numFmtId="3" fontId="11" fillId="2" borderId="0" xfId="0" quotePrefix="1" applyNumberFormat="1" applyFont="1" applyFill="1" applyBorder="1" applyAlignment="1" applyProtection="1">
      <alignment horizontal="left"/>
    </xf>
    <xf numFmtId="17" fontId="12" fillId="0" borderId="0" xfId="2" applyNumberFormat="1" applyFont="1" applyBorder="1" applyAlignment="1">
      <alignment horizontal="right" vertical="center"/>
    </xf>
    <xf numFmtId="17" fontId="12" fillId="0" borderId="0" xfId="2" applyNumberFormat="1" applyFont="1" applyBorder="1" applyAlignment="1">
      <alignment horizontal="left" vertical="center"/>
    </xf>
    <xf numFmtId="179" fontId="13" fillId="0" borderId="6" xfId="2" applyNumberFormat="1" applyFont="1" applyFill="1" applyBorder="1" applyAlignment="1">
      <alignment horizontal="left" vertical="center"/>
    </xf>
    <xf numFmtId="179" fontId="13" fillId="0" borderId="7" xfId="2" applyNumberFormat="1" applyFont="1" applyFill="1" applyBorder="1" applyAlignment="1">
      <alignment horizontal="right" vertical="center"/>
    </xf>
    <xf numFmtId="179" fontId="15" fillId="0" borderId="7" xfId="2" applyNumberFormat="1" applyFont="1" applyFill="1" applyBorder="1" applyAlignment="1">
      <alignment horizontal="right" vertical="center"/>
    </xf>
    <xf numFmtId="0" fontId="13" fillId="0" borderId="8" xfId="2" applyNumberFormat="1" applyFont="1" applyBorder="1" applyAlignment="1">
      <alignment horizontal="right" vertical="center"/>
    </xf>
    <xf numFmtId="179" fontId="12" fillId="0" borderId="0" xfId="2" applyNumberFormat="1" applyFont="1" applyFill="1" applyBorder="1" applyAlignment="1">
      <alignment horizontal="right" vertical="center"/>
    </xf>
    <xf numFmtId="178" fontId="17" fillId="2" borderId="4" xfId="0" quotePrefix="1" applyNumberFormat="1" applyFont="1" applyFill="1" applyBorder="1" applyAlignment="1" applyProtection="1">
      <alignment horizontal="right"/>
    </xf>
    <xf numFmtId="14" fontId="18" fillId="2" borderId="9" xfId="0" applyNumberFormat="1" applyFont="1" applyFill="1" applyBorder="1" applyAlignment="1" applyProtection="1">
      <alignment horizontal="left"/>
    </xf>
    <xf numFmtId="179" fontId="10" fillId="0" borderId="0" xfId="2" applyNumberFormat="1" applyFont="1" applyBorder="1" applyAlignment="1">
      <alignment horizontal="right" vertical="center"/>
    </xf>
    <xf numFmtId="179" fontId="19" fillId="0" borderId="10" xfId="2" applyNumberFormat="1" applyFont="1" applyFill="1" applyBorder="1" applyAlignment="1">
      <alignment horizontal="left" vertical="center"/>
    </xf>
    <xf numFmtId="0" fontId="13" fillId="0" borderId="0" xfId="2" applyNumberFormat="1" applyFont="1" applyBorder="1" applyAlignment="1">
      <alignment horizontal="right" vertical="center"/>
    </xf>
    <xf numFmtId="179" fontId="13" fillId="0" borderId="0" xfId="2" applyNumberFormat="1" applyFont="1" applyFill="1" applyBorder="1" applyAlignment="1">
      <alignment horizontal="right" vertical="center"/>
    </xf>
    <xf numFmtId="179" fontId="15" fillId="0" borderId="0" xfId="2" applyNumberFormat="1" applyFont="1" applyFill="1" applyBorder="1" applyAlignment="1">
      <alignment horizontal="right" vertical="center"/>
    </xf>
    <xf numFmtId="0" fontId="13" fillId="0" borderId="11" xfId="2" applyNumberFormat="1" applyFont="1" applyBorder="1" applyAlignment="1">
      <alignment horizontal="right" vertical="center"/>
    </xf>
    <xf numFmtId="179" fontId="20" fillId="0" borderId="4" xfId="2" applyNumberFormat="1" applyFont="1" applyBorder="1" applyAlignment="1">
      <alignment horizontal="left" vertical="center"/>
    </xf>
    <xf numFmtId="179" fontId="20" fillId="0" borderId="0" xfId="2" applyNumberFormat="1" applyFont="1" applyBorder="1" applyAlignment="1">
      <alignment horizontal="left" vertical="center"/>
    </xf>
    <xf numFmtId="179" fontId="20" fillId="0" borderId="0" xfId="2" applyNumberFormat="1" applyFont="1" applyFill="1" applyBorder="1" applyAlignment="1">
      <alignment horizontal="left" vertical="center"/>
    </xf>
    <xf numFmtId="179" fontId="20" fillId="0" borderId="0" xfId="2" applyNumberFormat="1" applyFont="1" applyFill="1" applyBorder="1" applyAlignment="1">
      <alignment horizontal="right" vertical="center"/>
    </xf>
    <xf numFmtId="179" fontId="15" fillId="0" borderId="10" xfId="2" applyNumberFormat="1" applyFont="1" applyFill="1" applyBorder="1" applyAlignment="1">
      <alignment horizontal="left" vertical="center"/>
    </xf>
    <xf numFmtId="181" fontId="15" fillId="0" borderId="0" xfId="2" applyNumberFormat="1" applyFont="1" applyFill="1" applyBorder="1" applyAlignment="1">
      <alignment horizontal="right" vertical="center"/>
    </xf>
    <xf numFmtId="9" fontId="15" fillId="0" borderId="11" xfId="2" applyNumberFormat="1" applyFont="1" applyFill="1" applyBorder="1" applyAlignment="1">
      <alignment horizontal="right" vertical="center"/>
    </xf>
    <xf numFmtId="179" fontId="21" fillId="0" borderId="0" xfId="2" applyNumberFormat="1" applyFont="1" applyFill="1" applyBorder="1" applyAlignment="1">
      <alignment horizontal="right" vertical="center"/>
    </xf>
    <xf numFmtId="179" fontId="20" fillId="0" borderId="4" xfId="2" applyNumberFormat="1" applyFont="1" applyFill="1" applyBorder="1" applyAlignment="1">
      <alignment horizontal="left" vertical="center"/>
    </xf>
    <xf numFmtId="182" fontId="20" fillId="0" borderId="0" xfId="2" applyNumberFormat="1" applyFont="1" applyFill="1" applyBorder="1" applyAlignment="1">
      <alignment horizontal="left" vertical="center"/>
    </xf>
    <xf numFmtId="179" fontId="22" fillId="0" borderId="0" xfId="2" applyNumberFormat="1" applyFont="1" applyFill="1" applyBorder="1" applyAlignment="1">
      <alignment horizontal="right" vertical="center"/>
    </xf>
    <xf numFmtId="179" fontId="15" fillId="0" borderId="12" xfId="2" applyNumberFormat="1" applyFont="1" applyFill="1" applyBorder="1" applyAlignment="1">
      <alignment horizontal="left" vertical="center"/>
    </xf>
    <xf numFmtId="179" fontId="15" fillId="0" borderId="13" xfId="2" applyNumberFormat="1" applyFont="1" applyFill="1" applyBorder="1" applyAlignment="1">
      <alignment horizontal="right" vertical="center"/>
    </xf>
    <xf numFmtId="9" fontId="15" fillId="0" borderId="14" xfId="2" applyNumberFormat="1" applyFont="1" applyFill="1" applyBorder="1" applyAlignment="1">
      <alignment horizontal="right" vertical="center"/>
    </xf>
    <xf numFmtId="179" fontId="15" fillId="0" borderId="4" xfId="2" applyNumberFormat="1" applyFont="1" applyFill="1" applyBorder="1" applyAlignment="1">
      <alignment horizontal="left" vertical="center"/>
    </xf>
    <xf numFmtId="179" fontId="15" fillId="0" borderId="0" xfId="2" applyNumberFormat="1" applyFont="1" applyFill="1" applyBorder="1" applyAlignment="1">
      <alignment horizontal="left" vertical="center"/>
    </xf>
    <xf numFmtId="179" fontId="15" fillId="0" borderId="5" xfId="2" applyNumberFormat="1" applyFont="1" applyFill="1" applyBorder="1" applyAlignment="1">
      <alignment horizontal="right" vertical="center"/>
    </xf>
    <xf numFmtId="179" fontId="13" fillId="0" borderId="4" xfId="2" applyNumberFormat="1" applyFont="1" applyFill="1" applyBorder="1" applyAlignment="1">
      <alignment horizontal="left" vertical="center"/>
    </xf>
    <xf numFmtId="179" fontId="13" fillId="0" borderId="0" xfId="2" applyNumberFormat="1" applyFont="1" applyFill="1" applyBorder="1" applyAlignment="1">
      <alignment horizontal="left" vertical="center"/>
    </xf>
    <xf numFmtId="176" fontId="15" fillId="5" borderId="0" xfId="2" applyNumberFormat="1" applyFont="1" applyFill="1" applyBorder="1" applyAlignment="1">
      <alignment horizontal="right" vertical="center"/>
    </xf>
    <xf numFmtId="179" fontId="15" fillId="0" borderId="4" xfId="2" applyNumberFormat="1" applyFont="1" applyFill="1" applyBorder="1" applyAlignment="1">
      <alignment vertical="center"/>
    </xf>
    <xf numFmtId="4" fontId="15" fillId="5" borderId="0" xfId="2" applyNumberFormat="1" applyFont="1" applyFill="1" applyBorder="1" applyAlignment="1">
      <alignment horizontal="right" vertical="center"/>
    </xf>
    <xf numFmtId="179" fontId="13" fillId="0" borderId="5" xfId="2" applyNumberFormat="1" applyFont="1" applyFill="1" applyBorder="1" applyAlignment="1">
      <alignment horizontal="right" vertical="center"/>
    </xf>
    <xf numFmtId="179" fontId="15" fillId="3" borderId="0" xfId="2" applyNumberFormat="1" applyFont="1" applyFill="1" applyBorder="1" applyAlignment="1">
      <alignment horizontal="right" vertical="center"/>
    </xf>
    <xf numFmtId="179" fontId="13" fillId="0" borderId="15" xfId="2" applyNumberFormat="1" applyFont="1" applyFill="1" applyBorder="1" applyAlignment="1">
      <alignment horizontal="right" vertical="center"/>
    </xf>
    <xf numFmtId="179" fontId="13" fillId="0" borderId="16" xfId="2" applyNumberFormat="1" applyFont="1" applyFill="1" applyBorder="1" applyAlignment="1">
      <alignment horizontal="right" vertical="center"/>
    </xf>
    <xf numFmtId="179" fontId="15" fillId="0" borderId="16" xfId="2" applyNumberFormat="1" applyFont="1" applyFill="1" applyBorder="1" applyAlignment="1">
      <alignment horizontal="left" vertical="center"/>
    </xf>
    <xf numFmtId="179" fontId="15" fillId="0" borderId="16" xfId="2" applyNumberFormat="1" applyFont="1" applyFill="1" applyBorder="1" applyAlignment="1">
      <alignment horizontal="right" vertical="center"/>
    </xf>
    <xf numFmtId="179" fontId="15" fillId="0" borderId="17" xfId="2" applyNumberFormat="1" applyFont="1" applyFill="1" applyBorder="1" applyAlignment="1">
      <alignment horizontal="right" vertical="center"/>
    </xf>
    <xf numFmtId="179" fontId="13" fillId="0" borderId="18" xfId="2" applyNumberFormat="1" applyFont="1" applyFill="1" applyBorder="1" applyAlignment="1">
      <alignment horizontal="left" vertical="center"/>
    </xf>
    <xf numFmtId="179" fontId="15" fillId="0" borderId="19" xfId="2" applyNumberFormat="1" applyFont="1" applyFill="1" applyBorder="1" applyAlignment="1">
      <alignment horizontal="left" vertical="center"/>
    </xf>
    <xf numFmtId="179" fontId="15" fillId="0" borderId="19" xfId="2" applyNumberFormat="1" applyFont="1" applyFill="1" applyBorder="1" applyAlignment="1">
      <alignment horizontal="right" vertical="center"/>
    </xf>
    <xf numFmtId="179" fontId="15" fillId="0" borderId="20" xfId="2" applyNumberFormat="1" applyFont="1" applyFill="1" applyBorder="1" applyAlignment="1">
      <alignment horizontal="right" vertical="center"/>
    </xf>
    <xf numFmtId="179" fontId="19" fillId="0" borderId="21" xfId="2" applyNumberFormat="1" applyFont="1" applyBorder="1" applyAlignment="1">
      <alignment horizontal="left" vertical="center"/>
    </xf>
    <xf numFmtId="179" fontId="19" fillId="0" borderId="0" xfId="2" applyNumberFormat="1" applyFont="1" applyBorder="1" applyAlignment="1">
      <alignment horizontal="left" vertical="center"/>
    </xf>
    <xf numFmtId="0" fontId="19" fillId="0" borderId="0" xfId="2" applyNumberFormat="1" applyFont="1" applyBorder="1" applyAlignment="1">
      <alignment horizontal="left" vertical="center"/>
    </xf>
    <xf numFmtId="0" fontId="19" fillId="0" borderId="0" xfId="2" applyNumberFormat="1" applyFont="1" applyBorder="1" applyAlignment="1">
      <alignment horizontal="right" vertical="center"/>
    </xf>
    <xf numFmtId="0" fontId="19" fillId="0" borderId="22" xfId="2" applyNumberFormat="1" applyFont="1" applyBorder="1" applyAlignment="1">
      <alignment horizontal="right" vertical="center"/>
    </xf>
    <xf numFmtId="176" fontId="15" fillId="0" borderId="0" xfId="2" applyNumberFormat="1" applyFont="1" applyFill="1" applyBorder="1" applyAlignment="1">
      <alignment horizontal="right" vertical="center"/>
    </xf>
    <xf numFmtId="17" fontId="15" fillId="0" borderId="21" xfId="2" applyNumberFormat="1" applyFont="1" applyBorder="1" applyAlignment="1">
      <alignment horizontal="left" vertical="center"/>
    </xf>
    <xf numFmtId="17" fontId="15" fillId="0" borderId="0" xfId="2" applyNumberFormat="1" applyFont="1" applyBorder="1" applyAlignment="1">
      <alignment horizontal="left" vertical="center"/>
    </xf>
    <xf numFmtId="180" fontId="15" fillId="0" borderId="0" xfId="2" applyNumberFormat="1" applyFont="1" applyBorder="1" applyAlignment="1">
      <alignment horizontal="left" vertical="center"/>
    </xf>
    <xf numFmtId="183" fontId="15" fillId="0" borderId="0" xfId="2" applyNumberFormat="1" applyFont="1" applyBorder="1" applyAlignment="1">
      <alignment horizontal="right" vertical="center"/>
    </xf>
    <xf numFmtId="183" fontId="15" fillId="0" borderId="22" xfId="2" applyNumberFormat="1" applyFont="1" applyBorder="1" applyAlignment="1">
      <alignment horizontal="right" vertical="center"/>
    </xf>
    <xf numFmtId="9" fontId="15" fillId="0" borderId="0" xfId="2" applyNumberFormat="1" applyFont="1" applyFill="1" applyBorder="1" applyAlignment="1">
      <alignment horizontal="right" vertical="center"/>
    </xf>
    <xf numFmtId="179" fontId="13" fillId="0" borderId="21" xfId="2" applyNumberFormat="1" applyFont="1" applyFill="1" applyBorder="1" applyAlignment="1">
      <alignment horizontal="left" vertical="center"/>
    </xf>
    <xf numFmtId="179" fontId="13" fillId="0" borderId="22" xfId="2" applyNumberFormat="1" applyFont="1" applyFill="1" applyBorder="1" applyAlignment="1">
      <alignment horizontal="right" vertical="center"/>
    </xf>
    <xf numFmtId="179" fontId="15" fillId="4" borderId="21" xfId="2" applyNumberFormat="1" applyFont="1" applyFill="1" applyBorder="1" applyAlignment="1">
      <alignment horizontal="left" vertical="center"/>
    </xf>
    <xf numFmtId="179" fontId="15" fillId="4" borderId="0" xfId="2" applyNumberFormat="1" applyFont="1" applyFill="1" applyBorder="1" applyAlignment="1">
      <alignment horizontal="left" vertical="center"/>
    </xf>
    <xf numFmtId="179" fontId="15" fillId="4" borderId="0" xfId="2" applyNumberFormat="1" applyFont="1" applyFill="1" applyBorder="1" applyAlignment="1">
      <alignment horizontal="right" vertical="center"/>
    </xf>
    <xf numFmtId="179" fontId="15" fillId="4" borderId="22" xfId="2" applyNumberFormat="1" applyFont="1" applyFill="1" applyBorder="1" applyAlignment="1">
      <alignment horizontal="right" vertical="center"/>
    </xf>
    <xf numFmtId="184" fontId="23" fillId="0" borderId="0" xfId="3" applyNumberFormat="1" applyFont="1" applyFill="1" applyBorder="1" applyAlignment="1">
      <alignment horizontal="right" vertical="center"/>
    </xf>
    <xf numFmtId="184" fontId="23" fillId="0" borderId="21" xfId="3" applyNumberFormat="1" applyFont="1" applyFill="1" applyBorder="1" applyAlignment="1">
      <alignment horizontal="left" vertical="center"/>
    </xf>
    <xf numFmtId="184" fontId="23" fillId="0" borderId="0" xfId="3" applyNumberFormat="1" applyFont="1" applyFill="1" applyBorder="1" applyAlignment="1">
      <alignment horizontal="left" vertical="center"/>
    </xf>
    <xf numFmtId="184" fontId="23" fillId="0" borderId="22" xfId="3" applyNumberFormat="1" applyFont="1" applyFill="1" applyBorder="1" applyAlignment="1">
      <alignment horizontal="right" vertical="center"/>
    </xf>
    <xf numFmtId="179" fontId="15" fillId="0" borderId="21" xfId="2" applyNumberFormat="1" applyFont="1" applyFill="1" applyBorder="1" applyAlignment="1">
      <alignment horizontal="left" vertical="center"/>
    </xf>
    <xf numFmtId="179" fontId="15" fillId="0" borderId="22" xfId="2" applyNumberFormat="1" applyFont="1" applyFill="1" applyBorder="1" applyAlignment="1">
      <alignment horizontal="right" vertical="center"/>
    </xf>
    <xf numFmtId="17" fontId="15" fillId="0" borderId="0" xfId="2" applyNumberFormat="1" applyFont="1" applyBorder="1" applyAlignment="1">
      <alignment horizontal="right" vertical="center"/>
    </xf>
    <xf numFmtId="179" fontId="24" fillId="0" borderId="0" xfId="2" applyNumberFormat="1" applyFont="1" applyFill="1" applyBorder="1" applyAlignment="1">
      <alignment horizontal="left" vertical="center"/>
    </xf>
    <xf numFmtId="179" fontId="19" fillId="0" borderId="0" xfId="2" applyNumberFormat="1" applyFont="1" applyFill="1" applyBorder="1" applyAlignment="1">
      <alignment horizontal="right" vertical="center"/>
    </xf>
    <xf numFmtId="179" fontId="25" fillId="0" borderId="0" xfId="2" applyNumberFormat="1" applyFont="1" applyFill="1" applyBorder="1" applyAlignment="1">
      <alignment horizontal="left" vertical="center"/>
    </xf>
    <xf numFmtId="9" fontId="15" fillId="0" borderId="0" xfId="3" applyFont="1" applyFill="1" applyBorder="1" applyAlignment="1">
      <alignment horizontal="right" vertical="center"/>
    </xf>
    <xf numFmtId="10" fontId="15" fillId="0" borderId="0" xfId="3" applyNumberFormat="1" applyFont="1" applyFill="1" applyBorder="1" applyAlignment="1">
      <alignment horizontal="right" vertical="center"/>
    </xf>
    <xf numFmtId="176" fontId="15" fillId="4" borderId="21" xfId="2" applyNumberFormat="1" applyFont="1" applyFill="1" applyBorder="1" applyAlignment="1">
      <alignment horizontal="left" vertical="center"/>
    </xf>
    <xf numFmtId="176" fontId="15" fillId="4" borderId="0" xfId="2" applyNumberFormat="1" applyFont="1" applyFill="1" applyBorder="1" applyAlignment="1">
      <alignment horizontal="left" vertical="center"/>
    </xf>
    <xf numFmtId="176" fontId="15" fillId="4" borderId="0" xfId="2" applyNumberFormat="1" applyFont="1" applyFill="1" applyBorder="1" applyAlignment="1">
      <alignment horizontal="right" vertical="center"/>
    </xf>
    <xf numFmtId="176" fontId="15" fillId="4" borderId="22" xfId="2" applyNumberFormat="1" applyFont="1" applyFill="1" applyBorder="1" applyAlignment="1">
      <alignment horizontal="right" vertical="center"/>
    </xf>
    <xf numFmtId="182" fontId="23" fillId="0" borderId="21" xfId="2" applyNumberFormat="1" applyFont="1" applyFill="1" applyBorder="1" applyAlignment="1">
      <alignment horizontal="left" vertical="center"/>
    </xf>
    <xf numFmtId="182" fontId="23" fillId="0" borderId="0" xfId="2" applyNumberFormat="1" applyFont="1" applyFill="1" applyBorder="1" applyAlignment="1">
      <alignment horizontal="left" vertical="center"/>
    </xf>
    <xf numFmtId="182" fontId="23" fillId="0" borderId="0" xfId="2" applyNumberFormat="1" applyFont="1" applyFill="1" applyBorder="1" applyAlignment="1">
      <alignment horizontal="right" vertical="center"/>
    </xf>
    <xf numFmtId="182" fontId="23" fillId="0" borderId="22" xfId="2" applyNumberFormat="1" applyFont="1" applyFill="1" applyBorder="1" applyAlignment="1">
      <alignment horizontal="right" vertical="center"/>
    </xf>
    <xf numFmtId="176" fontId="15" fillId="0" borderId="21" xfId="2" applyNumberFormat="1" applyFont="1" applyFill="1" applyBorder="1" applyAlignment="1">
      <alignment horizontal="left" vertical="center"/>
    </xf>
    <xf numFmtId="176" fontId="15" fillId="0" borderId="0" xfId="2" applyNumberFormat="1" applyFont="1" applyFill="1" applyBorder="1" applyAlignment="1">
      <alignment horizontal="left" vertical="center"/>
    </xf>
    <xf numFmtId="176" fontId="15" fillId="0" borderId="22" xfId="2" applyNumberFormat="1" applyFont="1" applyFill="1" applyBorder="1" applyAlignment="1">
      <alignment horizontal="right" vertical="center"/>
    </xf>
    <xf numFmtId="179" fontId="24" fillId="0" borderId="0" xfId="2" applyNumberFormat="1" applyFont="1" applyFill="1" applyBorder="1" applyAlignment="1">
      <alignment horizontal="right" vertical="center"/>
    </xf>
    <xf numFmtId="179" fontId="15" fillId="0" borderId="0" xfId="2" applyNumberFormat="1" applyFont="1" applyBorder="1" applyAlignment="1">
      <alignment horizontal="right" vertical="center"/>
    </xf>
    <xf numFmtId="182" fontId="15" fillId="0" borderId="21" xfId="2" applyNumberFormat="1" applyFont="1" applyFill="1" applyBorder="1" applyAlignment="1">
      <alignment horizontal="left" vertical="center"/>
    </xf>
    <xf numFmtId="182" fontId="15" fillId="0" borderId="0" xfId="2" applyNumberFormat="1" applyFont="1" applyFill="1" applyBorder="1" applyAlignment="1">
      <alignment horizontal="left" vertical="center"/>
    </xf>
    <xf numFmtId="182" fontId="15" fillId="0" borderId="0" xfId="2" applyNumberFormat="1" applyFont="1" applyFill="1" applyBorder="1" applyAlignment="1">
      <alignment horizontal="right" vertical="center"/>
    </xf>
    <xf numFmtId="3" fontId="15" fillId="0" borderId="0" xfId="2" applyNumberFormat="1" applyFont="1" applyFill="1" applyBorder="1" applyAlignment="1">
      <alignment horizontal="right" vertical="center"/>
    </xf>
    <xf numFmtId="182" fontId="15" fillId="0" borderId="22" xfId="2" applyNumberFormat="1" applyFont="1" applyFill="1" applyBorder="1" applyAlignment="1">
      <alignment horizontal="right" vertical="center"/>
    </xf>
    <xf numFmtId="9" fontId="23" fillId="0" borderId="21" xfId="3" applyNumberFormat="1" applyFont="1" applyFill="1" applyBorder="1" applyAlignment="1">
      <alignment horizontal="left" vertical="center"/>
    </xf>
    <xf numFmtId="9" fontId="23" fillId="0" borderId="0" xfId="3" applyNumberFormat="1" applyFont="1" applyFill="1" applyBorder="1" applyAlignment="1">
      <alignment horizontal="left" vertical="center"/>
    </xf>
    <xf numFmtId="9" fontId="23" fillId="0" borderId="0" xfId="3" applyNumberFormat="1" applyFont="1" applyFill="1" applyBorder="1" applyAlignment="1">
      <alignment horizontal="right" vertical="center"/>
    </xf>
    <xf numFmtId="9" fontId="23" fillId="0" borderId="22" xfId="3" applyNumberFormat="1" applyFont="1" applyFill="1" applyBorder="1" applyAlignment="1">
      <alignment horizontal="right" vertical="center"/>
    </xf>
    <xf numFmtId="179" fontId="13" fillId="0" borderId="0" xfId="2" applyNumberFormat="1" applyFont="1" applyFill="1" applyBorder="1" applyAlignment="1">
      <alignment horizontal="center" vertical="center"/>
    </xf>
    <xf numFmtId="179" fontId="15" fillId="0" borderId="0" xfId="2" applyNumberFormat="1" applyFont="1" applyFill="1" applyBorder="1" applyAlignment="1">
      <alignment vertical="center"/>
    </xf>
    <xf numFmtId="3" fontId="15" fillId="0" borderId="0" xfId="2" applyNumberFormat="1" applyFont="1" applyFill="1" applyBorder="1" applyAlignment="1">
      <alignment vertical="center"/>
    </xf>
    <xf numFmtId="9" fontId="27" fillId="0" borderId="0" xfId="3" applyNumberFormat="1" applyFont="1" applyFill="1" applyBorder="1" applyAlignment="1">
      <alignment horizontal="right" vertical="center"/>
    </xf>
    <xf numFmtId="14" fontId="23" fillId="0" borderId="0" xfId="3" applyNumberFormat="1" applyFont="1" applyFill="1" applyBorder="1" applyAlignment="1">
      <alignment horizontal="right" vertical="center"/>
    </xf>
    <xf numFmtId="9" fontId="28" fillId="0" borderId="0" xfId="3" applyNumberFormat="1" applyFont="1" applyFill="1" applyBorder="1" applyAlignment="1">
      <alignment horizontal="right" vertical="center"/>
    </xf>
    <xf numFmtId="181" fontId="15" fillId="0" borderId="22" xfId="2" applyNumberFormat="1" applyFont="1" applyFill="1" applyBorder="1" applyAlignment="1">
      <alignment horizontal="right" vertical="center"/>
    </xf>
    <xf numFmtId="9" fontId="23" fillId="0" borderId="24" xfId="3" applyNumberFormat="1" applyFont="1" applyFill="1" applyBorder="1" applyAlignment="1">
      <alignment horizontal="left" vertical="center"/>
    </xf>
    <xf numFmtId="179" fontId="15" fillId="0" borderId="0" xfId="2" applyNumberFormat="1" applyFont="1" applyBorder="1" applyAlignment="1">
      <alignment horizontal="left" vertical="center"/>
    </xf>
    <xf numFmtId="176" fontId="24" fillId="0" borderId="0" xfId="2" applyNumberFormat="1" applyFont="1" applyFill="1" applyBorder="1" applyAlignment="1">
      <alignment horizontal="right" vertical="center"/>
    </xf>
    <xf numFmtId="176" fontId="12" fillId="0" borderId="0" xfId="2" applyNumberFormat="1" applyFont="1" applyFill="1" applyBorder="1" applyAlignment="1">
      <alignment horizontal="right" vertical="center"/>
    </xf>
    <xf numFmtId="179" fontId="24" fillId="0" borderId="0" xfId="2" applyNumberFormat="1" applyFont="1" applyBorder="1" applyAlignment="1">
      <alignment horizontal="right" vertical="center"/>
    </xf>
    <xf numFmtId="179" fontId="12" fillId="0" borderId="0" xfId="2" applyNumberFormat="1" applyFont="1" applyBorder="1" applyAlignment="1">
      <alignment horizontal="right" vertical="center"/>
    </xf>
    <xf numFmtId="184" fontId="15" fillId="0" borderId="0" xfId="3" applyNumberFormat="1" applyFont="1" applyBorder="1" applyAlignment="1">
      <alignment horizontal="right" vertical="center"/>
    </xf>
    <xf numFmtId="184" fontId="15" fillId="0" borderId="0" xfId="3" applyNumberFormat="1" applyFont="1" applyBorder="1" applyAlignment="1">
      <alignment horizontal="left" vertical="center"/>
    </xf>
    <xf numFmtId="182" fontId="15" fillId="0" borderId="0" xfId="2" applyNumberFormat="1" applyFont="1" applyBorder="1" applyAlignment="1">
      <alignment horizontal="left" vertical="center"/>
    </xf>
    <xf numFmtId="184" fontId="15" fillId="0" borderId="0" xfId="3" applyNumberFormat="1" applyFont="1" applyFill="1" applyBorder="1" applyAlignment="1">
      <alignment horizontal="right" vertical="center"/>
    </xf>
    <xf numFmtId="184" fontId="24" fillId="0" borderId="0" xfId="3" applyNumberFormat="1" applyFont="1" applyBorder="1" applyAlignment="1">
      <alignment horizontal="right" vertical="center"/>
    </xf>
    <xf numFmtId="184" fontId="12" fillId="0" borderId="0" xfId="3" applyNumberFormat="1" applyFont="1" applyBorder="1" applyAlignment="1">
      <alignment horizontal="right" vertical="center"/>
    </xf>
    <xf numFmtId="182" fontId="15" fillId="0" borderId="0" xfId="2" applyNumberFormat="1" applyFont="1" applyBorder="1" applyAlignment="1">
      <alignment horizontal="right" vertical="center"/>
    </xf>
    <xf numFmtId="182" fontId="24" fillId="0" borderId="0" xfId="2" applyNumberFormat="1" applyFont="1" applyBorder="1" applyAlignment="1">
      <alignment horizontal="right" vertical="center"/>
    </xf>
    <xf numFmtId="182" fontId="12" fillId="0" borderId="0" xfId="2" applyNumberFormat="1" applyFont="1" applyBorder="1" applyAlignment="1">
      <alignment horizontal="right" vertical="center"/>
    </xf>
    <xf numFmtId="179" fontId="12" fillId="0" borderId="0" xfId="2" applyNumberFormat="1" applyFont="1" applyBorder="1" applyAlignment="1">
      <alignment horizontal="left" vertical="center"/>
    </xf>
    <xf numFmtId="176" fontId="29" fillId="0" borderId="0" xfId="2" applyNumberFormat="1" applyFont="1" applyFill="1" applyBorder="1" applyAlignment="1">
      <alignment horizontal="right" vertical="center"/>
    </xf>
    <xf numFmtId="178" fontId="3" fillId="2" borderId="0" xfId="0" quotePrefix="1" applyNumberFormat="1" applyFont="1" applyFill="1" applyBorder="1" applyAlignment="1" applyProtection="1"/>
    <xf numFmtId="178" fontId="0" fillId="2" borderId="0" xfId="0" applyNumberFormat="1" applyFont="1" applyFill="1" applyAlignment="1">
      <alignment horizontal="right"/>
    </xf>
    <xf numFmtId="179" fontId="6" fillId="0" borderId="0" xfId="2" applyNumberFormat="1" applyFont="1" applyBorder="1" applyAlignment="1">
      <alignment horizontal="left" vertical="center"/>
    </xf>
    <xf numFmtId="178" fontId="0" fillId="2" borderId="0" xfId="0" applyNumberFormat="1" applyFont="1" applyFill="1" applyBorder="1" applyAlignment="1">
      <alignment horizontal="right"/>
    </xf>
    <xf numFmtId="178" fontId="7" fillId="2" borderId="0" xfId="0" applyNumberFormat="1" applyFont="1" applyFill="1" applyAlignment="1">
      <alignment horizontal="right"/>
    </xf>
    <xf numFmtId="178" fontId="17" fillId="2" borderId="0" xfId="0" quotePrefix="1" applyNumberFormat="1" applyFont="1" applyFill="1" applyBorder="1" applyAlignment="1" applyProtection="1">
      <alignment horizontal="right"/>
    </xf>
    <xf numFmtId="14" fontId="32" fillId="2" borderId="0" xfId="0" applyNumberFormat="1" applyFont="1" applyFill="1" applyBorder="1" applyAlignment="1" applyProtection="1">
      <alignment horizontal="left"/>
    </xf>
    <xf numFmtId="178" fontId="15" fillId="2" borderId="0" xfId="0" applyNumberFormat="1" applyFont="1" applyFill="1" applyBorder="1" applyAlignment="1">
      <alignment horizontal="right"/>
    </xf>
    <xf numFmtId="0" fontId="15" fillId="0" borderId="0" xfId="0" applyFont="1"/>
    <xf numFmtId="178" fontId="7" fillId="2" borderId="0" xfId="0" applyNumberFormat="1" applyFont="1" applyFill="1" applyBorder="1" applyAlignment="1">
      <alignment horizontal="right"/>
    </xf>
    <xf numFmtId="178" fontId="33" fillId="0" borderId="0" xfId="0" quotePrefix="1" applyNumberFormat="1" applyFont="1" applyFill="1" applyBorder="1" applyAlignment="1" applyProtection="1">
      <alignment horizontal="center"/>
    </xf>
    <xf numFmtId="178" fontId="19" fillId="0" borderId="0" xfId="0" quotePrefix="1" applyNumberFormat="1" applyFont="1" applyFill="1" applyBorder="1" applyAlignment="1" applyProtection="1">
      <alignment horizontal="center"/>
    </xf>
    <xf numFmtId="178" fontId="34" fillId="2" borderId="0" xfId="0" applyNumberFormat="1" applyFont="1" applyFill="1" applyBorder="1" applyAlignment="1">
      <alignment horizontal="right"/>
    </xf>
    <xf numFmtId="178" fontId="35" fillId="2" borderId="0" xfId="0" quotePrefix="1" applyNumberFormat="1" applyFont="1" applyFill="1" applyBorder="1" applyAlignment="1" applyProtection="1">
      <alignment horizontal="right"/>
    </xf>
    <xf numFmtId="178" fontId="18" fillId="6" borderId="0" xfId="0" applyNumberFormat="1" applyFont="1" applyFill="1" applyBorder="1" applyAlignment="1">
      <alignment horizontal="left"/>
    </xf>
    <xf numFmtId="178" fontId="35" fillId="6" borderId="0" xfId="0" applyNumberFormat="1" applyFont="1" applyFill="1" applyBorder="1" applyAlignment="1">
      <alignment horizontal="left"/>
    </xf>
    <xf numFmtId="178" fontId="11" fillId="6" borderId="0" xfId="0" applyNumberFormat="1" applyFont="1" applyFill="1" applyBorder="1" applyAlignment="1">
      <alignment horizontal="right"/>
    </xf>
    <xf numFmtId="183" fontId="36" fillId="6" borderId="0" xfId="0" quotePrefix="1" applyNumberFormat="1" applyFont="1" applyFill="1" applyBorder="1" applyAlignment="1" applyProtection="1">
      <alignment horizontal="center"/>
    </xf>
    <xf numFmtId="183" fontId="19" fillId="6" borderId="0" xfId="0" quotePrefix="1" applyNumberFormat="1" applyFont="1" applyFill="1" applyBorder="1" applyAlignment="1" applyProtection="1">
      <alignment horizontal="center"/>
    </xf>
    <xf numFmtId="178" fontId="19" fillId="6" borderId="0" xfId="0" quotePrefix="1" applyNumberFormat="1" applyFont="1" applyFill="1" applyBorder="1" applyAlignment="1" applyProtection="1">
      <alignment horizontal="center"/>
    </xf>
    <xf numFmtId="178" fontId="24" fillId="6" borderId="0" xfId="0" applyNumberFormat="1" applyFont="1" applyFill="1" applyBorder="1" applyAlignment="1">
      <alignment horizontal="right"/>
    </xf>
    <xf numFmtId="178" fontId="37" fillId="6" borderId="0" xfId="0" applyNumberFormat="1" applyFont="1" applyFill="1" applyBorder="1" applyAlignment="1">
      <alignment horizontal="left"/>
    </xf>
    <xf numFmtId="178" fontId="15" fillId="6" borderId="0" xfId="0" applyNumberFormat="1" applyFont="1" applyFill="1" applyBorder="1" applyAlignment="1">
      <alignment horizontal="left"/>
    </xf>
    <xf numFmtId="178" fontId="15" fillId="6" borderId="0" xfId="0" applyNumberFormat="1" applyFont="1" applyFill="1" applyBorder="1" applyAlignment="1">
      <alignment horizontal="right"/>
    </xf>
    <xf numFmtId="178" fontId="19" fillId="2" borderId="0" xfId="0" applyNumberFormat="1" applyFont="1" applyFill="1" applyBorder="1" applyAlignment="1" applyProtection="1">
      <alignment horizontal="left"/>
    </xf>
    <xf numFmtId="178" fontId="35" fillId="2" borderId="0" xfId="0" applyNumberFormat="1" applyFont="1" applyFill="1" applyBorder="1" applyAlignment="1" applyProtection="1">
      <alignment horizontal="left"/>
    </xf>
    <xf numFmtId="178" fontId="15" fillId="0" borderId="0" xfId="0" applyNumberFormat="1" applyFont="1" applyFill="1" applyBorder="1" applyAlignment="1">
      <alignment horizontal="right"/>
    </xf>
    <xf numFmtId="177" fontId="15" fillId="0" borderId="0" xfId="0" quotePrefix="1" applyNumberFormat="1" applyFont="1" applyFill="1" applyBorder="1" applyAlignment="1" applyProtection="1">
      <alignment horizontal="right"/>
    </xf>
    <xf numFmtId="177" fontId="19" fillId="2" borderId="0" xfId="0" applyNumberFormat="1" applyFont="1" applyFill="1" applyBorder="1" applyAlignment="1" applyProtection="1">
      <alignment horizontal="left"/>
    </xf>
    <xf numFmtId="177" fontId="15" fillId="0" borderId="0" xfId="0" applyNumberFormat="1" applyFont="1" applyFill="1" applyBorder="1" applyAlignment="1">
      <alignment horizontal="right"/>
    </xf>
    <xf numFmtId="177" fontId="15" fillId="2" borderId="0" xfId="0" applyNumberFormat="1" applyFont="1" applyFill="1" applyBorder="1" applyAlignment="1">
      <alignment horizontal="right"/>
    </xf>
    <xf numFmtId="178" fontId="7" fillId="2" borderId="0" xfId="0" applyNumberFormat="1" applyFont="1" applyFill="1" applyBorder="1" applyAlignment="1" applyProtection="1">
      <alignment horizontal="left"/>
    </xf>
    <xf numFmtId="178" fontId="15" fillId="2" borderId="0" xfId="0" applyNumberFormat="1" applyFont="1" applyFill="1" applyBorder="1" applyAlignment="1" applyProtection="1">
      <alignment horizontal="left"/>
    </xf>
    <xf numFmtId="177" fontId="15" fillId="2" borderId="0" xfId="0" applyNumberFormat="1" applyFont="1" applyFill="1" applyBorder="1" applyAlignment="1" applyProtection="1">
      <alignment horizontal="right"/>
    </xf>
    <xf numFmtId="177" fontId="15" fillId="3" borderId="0" xfId="0" applyNumberFormat="1" applyFont="1" applyFill="1" applyBorder="1" applyAlignment="1" applyProtection="1">
      <alignment horizontal="right"/>
    </xf>
    <xf numFmtId="0" fontId="7" fillId="0" borderId="0" xfId="4" applyFont="1" applyBorder="1"/>
    <xf numFmtId="178" fontId="19" fillId="4" borderId="0" xfId="0" applyNumberFormat="1" applyFont="1" applyFill="1" applyBorder="1" applyAlignment="1" applyProtection="1">
      <alignment horizontal="left"/>
    </xf>
    <xf numFmtId="178" fontId="35" fillId="4" borderId="0" xfId="0" applyNumberFormat="1" applyFont="1" applyFill="1" applyBorder="1" applyAlignment="1" applyProtection="1">
      <alignment horizontal="left"/>
    </xf>
    <xf numFmtId="178" fontId="19" fillId="4" borderId="0" xfId="0" applyNumberFormat="1" applyFont="1" applyFill="1" applyBorder="1" applyAlignment="1">
      <alignment horizontal="right"/>
    </xf>
    <xf numFmtId="177" fontId="19" fillId="4" borderId="0" xfId="0" applyNumberFormat="1" applyFont="1" applyFill="1" applyBorder="1" applyAlignment="1" applyProtection="1">
      <alignment horizontal="right"/>
    </xf>
    <xf numFmtId="177" fontId="19" fillId="4" borderId="0" xfId="0" quotePrefix="1" applyNumberFormat="1" applyFont="1" applyFill="1" applyBorder="1" applyAlignment="1" applyProtection="1">
      <alignment horizontal="right"/>
    </xf>
    <xf numFmtId="177" fontId="19" fillId="4" borderId="0" xfId="0" applyNumberFormat="1" applyFont="1" applyFill="1" applyBorder="1" applyAlignment="1">
      <alignment horizontal="right"/>
    </xf>
    <xf numFmtId="178" fontId="19" fillId="0" borderId="0" xfId="0" applyNumberFormat="1" applyFont="1" applyFill="1" applyBorder="1" applyAlignment="1">
      <alignment horizontal="right"/>
    </xf>
    <xf numFmtId="177" fontId="19" fillId="2" borderId="0" xfId="0" applyNumberFormat="1" applyFont="1" applyFill="1" applyBorder="1" applyAlignment="1" applyProtection="1">
      <alignment horizontal="right"/>
    </xf>
    <xf numFmtId="177" fontId="19" fillId="0" borderId="0" xfId="0" quotePrefix="1" applyNumberFormat="1" applyFont="1" applyFill="1" applyBorder="1" applyAlignment="1" applyProtection="1">
      <alignment horizontal="right"/>
    </xf>
    <xf numFmtId="177" fontId="19" fillId="0" borderId="0" xfId="0" applyNumberFormat="1" applyFont="1" applyFill="1" applyBorder="1" applyAlignment="1">
      <alignment horizontal="right"/>
    </xf>
    <xf numFmtId="178" fontId="7" fillId="0" borderId="0" xfId="0" applyNumberFormat="1" applyFont="1" applyFill="1" applyBorder="1" applyAlignment="1" applyProtection="1">
      <alignment horizontal="left"/>
    </xf>
    <xf numFmtId="177" fontId="15" fillId="0" borderId="0" xfId="0" applyNumberFormat="1" applyFont="1" applyFill="1" applyBorder="1" applyAlignment="1" applyProtection="1">
      <alignment horizontal="right"/>
    </xf>
    <xf numFmtId="177" fontId="15" fillId="2" borderId="0" xfId="0" applyNumberFormat="1" applyFont="1" applyFill="1" applyBorder="1" applyAlignment="1" applyProtection="1">
      <alignment horizontal="left"/>
    </xf>
    <xf numFmtId="177" fontId="15" fillId="3" borderId="0" xfId="0" applyNumberFormat="1" applyFont="1" applyFill="1" applyBorder="1" applyAlignment="1" applyProtection="1">
      <alignment horizontal="left"/>
    </xf>
    <xf numFmtId="177" fontId="19" fillId="4" borderId="0" xfId="0" applyNumberFormat="1" applyFont="1" applyFill="1" applyBorder="1" applyAlignment="1" applyProtection="1">
      <alignment horizontal="left"/>
    </xf>
    <xf numFmtId="178" fontId="15" fillId="0" borderId="0" xfId="0" applyNumberFormat="1" applyFont="1" applyFill="1" applyBorder="1" applyAlignment="1" applyProtection="1">
      <alignment horizontal="left"/>
    </xf>
    <xf numFmtId="177" fontId="15" fillId="0" borderId="0" xfId="0" applyNumberFormat="1" applyFont="1" applyFill="1" applyBorder="1" applyAlignment="1" applyProtection="1">
      <alignment horizontal="left"/>
    </xf>
    <xf numFmtId="178" fontId="36" fillId="6" borderId="0" xfId="0" applyNumberFormat="1" applyFont="1" applyFill="1" applyBorder="1" applyAlignment="1">
      <alignment horizontal="left"/>
    </xf>
    <xf numFmtId="178" fontId="7" fillId="6" borderId="0" xfId="0" applyNumberFormat="1" applyFont="1" applyFill="1" applyBorder="1" applyAlignment="1">
      <alignment horizontal="right"/>
    </xf>
    <xf numFmtId="177" fontId="19" fillId="6" borderId="0" xfId="0" quotePrefix="1" applyNumberFormat="1" applyFont="1" applyFill="1" applyBorder="1" applyAlignment="1" applyProtection="1">
      <alignment horizontal="right"/>
    </xf>
    <xf numFmtId="178" fontId="7" fillId="0" borderId="0" xfId="0" applyNumberFormat="1" applyFont="1" applyFill="1" applyBorder="1" applyAlignment="1">
      <alignment horizontal="right"/>
    </xf>
    <xf numFmtId="178" fontId="15" fillId="2" borderId="0" xfId="0" applyNumberFormat="1" applyFont="1" applyFill="1" applyBorder="1" applyAlignment="1">
      <alignment horizontal="left"/>
    </xf>
    <xf numFmtId="9" fontId="15" fillId="3" borderId="0" xfId="0" quotePrefix="1" applyNumberFormat="1" applyFont="1" applyFill="1" applyBorder="1" applyAlignment="1" applyProtection="1">
      <alignment horizontal="right"/>
    </xf>
    <xf numFmtId="178" fontId="15" fillId="2" borderId="0" xfId="0" applyNumberFormat="1" applyFont="1" applyFill="1" applyBorder="1" applyAlignment="1"/>
    <xf numFmtId="178" fontId="24" fillId="2" borderId="0" xfId="0" applyNumberFormat="1" applyFont="1" applyFill="1" applyBorder="1" applyAlignment="1">
      <alignment horizontal="right"/>
    </xf>
    <xf numFmtId="178" fontId="22" fillId="2" borderId="0" xfId="0" applyNumberFormat="1" applyFont="1" applyFill="1" applyBorder="1" applyAlignment="1">
      <alignment horizontal="right"/>
    </xf>
    <xf numFmtId="14" fontId="22" fillId="2" borderId="0" xfId="0" applyNumberFormat="1" applyFont="1" applyFill="1" applyAlignment="1">
      <alignment horizontal="left" vertical="center"/>
    </xf>
    <xf numFmtId="0" fontId="22" fillId="0" borderId="0" xfId="0" applyFont="1"/>
    <xf numFmtId="178" fontId="22" fillId="2" borderId="0" xfId="0" applyNumberFormat="1" applyFont="1" applyFill="1" applyAlignment="1">
      <alignment horizontal="right"/>
    </xf>
    <xf numFmtId="0" fontId="12" fillId="0" borderId="0" xfId="0" applyFont="1" applyAlignment="1">
      <alignment horizontal="center"/>
    </xf>
    <xf numFmtId="2" fontId="17" fillId="2" borderId="0" xfId="0" applyNumberFormat="1" applyFont="1" applyFill="1" applyBorder="1" applyAlignment="1" applyProtection="1">
      <alignment horizontal="left"/>
    </xf>
    <xf numFmtId="2" fontId="38" fillId="2" borderId="0" xfId="0" applyNumberFormat="1" applyFont="1" applyFill="1" applyBorder="1" applyAlignment="1" applyProtection="1">
      <alignment horizontal="left"/>
    </xf>
    <xf numFmtId="0" fontId="39" fillId="2" borderId="0" xfId="0" quotePrefix="1" applyNumberFormat="1" applyFont="1" applyFill="1" applyBorder="1" applyAlignment="1" applyProtection="1">
      <alignment horizontal="right"/>
    </xf>
    <xf numFmtId="0" fontId="17" fillId="2" borderId="0" xfId="0" quotePrefix="1" applyNumberFormat="1" applyFont="1" applyFill="1" applyBorder="1" applyAlignment="1" applyProtection="1">
      <alignment horizontal="right"/>
    </xf>
    <xf numFmtId="178" fontId="39" fillId="2" borderId="0" xfId="0" quotePrefix="1" applyNumberFormat="1" applyFont="1" applyFill="1" applyBorder="1" applyAlignment="1" applyProtection="1">
      <alignment horizontal="right"/>
    </xf>
    <xf numFmtId="178" fontId="39" fillId="2" borderId="0" xfId="0" applyNumberFormat="1" applyFont="1" applyFill="1" applyBorder="1" applyAlignment="1" applyProtection="1">
      <alignment horizontal="center"/>
    </xf>
    <xf numFmtId="178" fontId="39" fillId="2" borderId="0" xfId="0" applyNumberFormat="1" applyFont="1" applyFill="1" applyBorder="1" applyAlignment="1" applyProtection="1">
      <alignment horizontal="right"/>
    </xf>
    <xf numFmtId="178" fontId="17" fillId="2" borderId="0" xfId="0" applyNumberFormat="1" applyFont="1" applyFill="1" applyBorder="1" applyAlignment="1" applyProtection="1">
      <alignment horizontal="right"/>
    </xf>
    <xf numFmtId="178" fontId="34" fillId="2" borderId="0" xfId="0" applyNumberFormat="1" applyFont="1" applyFill="1" applyBorder="1" applyAlignment="1" applyProtection="1">
      <alignment horizontal="right"/>
    </xf>
    <xf numFmtId="178" fontId="40" fillId="2" borderId="0" xfId="0" applyNumberFormat="1" applyFont="1" applyFill="1" applyBorder="1" applyAlignment="1" applyProtection="1">
      <alignment horizontal="right"/>
    </xf>
    <xf numFmtId="178" fontId="11" fillId="2" borderId="0" xfId="0" quotePrefix="1" applyNumberFormat="1" applyFont="1" applyFill="1" applyBorder="1" applyAlignment="1" applyProtection="1">
      <alignment horizontal="right"/>
    </xf>
    <xf numFmtId="180" fontId="12" fillId="0" borderId="0" xfId="2" applyNumberFormat="1" applyFont="1" applyBorder="1" applyAlignment="1">
      <alignment horizontal="left" vertical="center"/>
    </xf>
    <xf numFmtId="178" fontId="41" fillId="0" borderId="0" xfId="0" applyNumberFormat="1" applyFont="1" applyFill="1" applyBorder="1" applyAlignment="1" applyProtection="1">
      <alignment horizontal="center"/>
    </xf>
    <xf numFmtId="14" fontId="19" fillId="6" borderId="0" xfId="0" applyNumberFormat="1" applyFont="1" applyFill="1" applyBorder="1" applyAlignment="1" applyProtection="1">
      <alignment horizontal="left"/>
    </xf>
    <xf numFmtId="178" fontId="15" fillId="6" borderId="0" xfId="0" applyNumberFormat="1" applyFont="1" applyFill="1" applyAlignment="1">
      <alignment horizontal="right"/>
    </xf>
    <xf numFmtId="185" fontId="19" fillId="6" borderId="0" xfId="0" applyNumberFormat="1" applyFont="1" applyFill="1" applyAlignment="1">
      <alignment horizontal="center"/>
    </xf>
    <xf numFmtId="178" fontId="11" fillId="2" borderId="0" xfId="0" applyNumberFormat="1" applyFont="1" applyFill="1" applyBorder="1" applyAlignment="1" applyProtection="1">
      <alignment horizontal="right"/>
    </xf>
    <xf numFmtId="178" fontId="11" fillId="2" borderId="0" xfId="0" applyNumberFormat="1" applyFont="1" applyFill="1" applyBorder="1" applyAlignment="1">
      <alignment horizontal="right"/>
    </xf>
    <xf numFmtId="178" fontId="11" fillId="0" borderId="0" xfId="0" applyNumberFormat="1" applyFont="1" applyFill="1" applyBorder="1" applyAlignment="1" applyProtection="1">
      <alignment horizontal="right"/>
    </xf>
    <xf numFmtId="186" fontId="18" fillId="0" borderId="0" xfId="0" quotePrefix="1" applyNumberFormat="1" applyFont="1" applyFill="1" applyBorder="1" applyAlignment="1" applyProtection="1">
      <alignment horizontal="right"/>
    </xf>
    <xf numFmtId="178" fontId="11" fillId="0" borderId="0" xfId="0" applyNumberFormat="1" applyFont="1" applyFill="1" applyBorder="1" applyAlignment="1">
      <alignment horizontal="right"/>
    </xf>
    <xf numFmtId="178" fontId="18" fillId="4" borderId="0" xfId="0" applyNumberFormat="1" applyFont="1" applyFill="1" applyBorder="1" applyAlignment="1" applyProtection="1">
      <alignment horizontal="left"/>
    </xf>
    <xf numFmtId="178" fontId="11" fillId="4" borderId="0" xfId="0" applyNumberFormat="1" applyFont="1" applyFill="1" applyBorder="1" applyAlignment="1">
      <alignment horizontal="right"/>
    </xf>
    <xf numFmtId="187" fontId="18" fillId="4" borderId="0" xfId="0" quotePrefix="1" applyNumberFormat="1" applyFont="1" applyFill="1" applyBorder="1" applyAlignment="1" applyProtection="1">
      <alignment horizontal="right"/>
    </xf>
    <xf numFmtId="9" fontId="18" fillId="4" borderId="0" xfId="1" quotePrefix="1" applyFont="1" applyFill="1" applyBorder="1" applyAlignment="1" applyProtection="1">
      <alignment horizontal="right"/>
    </xf>
    <xf numFmtId="187" fontId="11" fillId="4" borderId="0" xfId="0" applyNumberFormat="1" applyFont="1" applyFill="1" applyBorder="1" applyAlignment="1">
      <alignment horizontal="right"/>
    </xf>
    <xf numFmtId="178" fontId="11" fillId="2" borderId="0" xfId="0" applyNumberFormat="1" applyFont="1" applyFill="1" applyBorder="1" applyAlignment="1" applyProtection="1">
      <alignment horizontal="left"/>
    </xf>
    <xf numFmtId="187" fontId="11" fillId="0" borderId="0" xfId="0" quotePrefix="1" applyNumberFormat="1" applyFont="1" applyFill="1" applyBorder="1" applyAlignment="1" applyProtection="1">
      <alignment horizontal="right"/>
    </xf>
    <xf numFmtId="187" fontId="15" fillId="0" borderId="0" xfId="0" quotePrefix="1" applyNumberFormat="1" applyFont="1" applyFill="1" applyBorder="1" applyAlignment="1" applyProtection="1">
      <alignment horizontal="right"/>
    </xf>
    <xf numFmtId="187" fontId="11" fillId="0" borderId="0" xfId="0" applyNumberFormat="1" applyFont="1" applyFill="1" applyBorder="1" applyAlignment="1">
      <alignment horizontal="right"/>
    </xf>
    <xf numFmtId="178" fontId="18" fillId="2" borderId="0" xfId="0" applyNumberFormat="1" applyFont="1" applyFill="1" applyBorder="1" applyAlignment="1" applyProtection="1">
      <alignment horizontal="left"/>
    </xf>
    <xf numFmtId="187" fontId="18" fillId="0" borderId="0" xfId="0" quotePrefix="1" applyNumberFormat="1" applyFont="1" applyFill="1" applyBorder="1" applyAlignment="1" applyProtection="1">
      <alignment horizontal="right"/>
    </xf>
    <xf numFmtId="187" fontId="19" fillId="0" borderId="0" xfId="0" quotePrefix="1" applyNumberFormat="1" applyFont="1" applyFill="1" applyBorder="1" applyAlignment="1" applyProtection="1">
      <alignment horizontal="right"/>
    </xf>
    <xf numFmtId="3" fontId="11" fillId="2" borderId="0" xfId="0" applyNumberFormat="1" applyFont="1" applyFill="1" applyBorder="1" applyAlignment="1" applyProtection="1">
      <alignment horizontal="left" indent="1"/>
    </xf>
    <xf numFmtId="44" fontId="18" fillId="0" borderId="0" xfId="0" quotePrefix="1" applyNumberFormat="1" applyFont="1" applyFill="1" applyBorder="1" applyAlignment="1" applyProtection="1">
      <alignment horizontal="right"/>
    </xf>
    <xf numFmtId="187" fontId="15" fillId="3" borderId="0" xfId="0" quotePrefix="1" applyNumberFormat="1" applyFont="1" applyFill="1" applyBorder="1" applyAlignment="1" applyProtection="1">
      <alignment horizontal="right"/>
    </xf>
    <xf numFmtId="9" fontId="11" fillId="0" borderId="0" xfId="1" quotePrefix="1" applyFont="1" applyFill="1" applyBorder="1" applyAlignment="1" applyProtection="1">
      <alignment horizontal="right"/>
    </xf>
    <xf numFmtId="9" fontId="15" fillId="0" borderId="0" xfId="1" quotePrefix="1" applyFont="1" applyFill="1" applyBorder="1" applyAlignment="1" applyProtection="1">
      <alignment horizontal="right"/>
    </xf>
    <xf numFmtId="187" fontId="11" fillId="3" borderId="0" xfId="0" quotePrefix="1" applyNumberFormat="1" applyFont="1" applyFill="1" applyBorder="1" applyAlignment="1" applyProtection="1">
      <alignment horizontal="right"/>
    </xf>
    <xf numFmtId="2" fontId="18" fillId="2" borderId="0" xfId="0" applyNumberFormat="1" applyFont="1" applyFill="1" applyBorder="1" applyAlignment="1" applyProtection="1">
      <alignment horizontal="left"/>
    </xf>
    <xf numFmtId="2" fontId="18" fillId="2" borderId="0" xfId="0" applyNumberFormat="1" applyFont="1" applyFill="1" applyBorder="1" applyAlignment="1">
      <alignment horizontal="right"/>
    </xf>
    <xf numFmtId="188" fontId="18" fillId="0" borderId="0" xfId="0" quotePrefix="1" applyNumberFormat="1" applyFont="1" applyFill="1" applyBorder="1" applyAlignment="1" applyProtection="1">
      <alignment horizontal="right"/>
    </xf>
    <xf numFmtId="188" fontId="19" fillId="3" borderId="0" xfId="0" quotePrefix="1" applyNumberFormat="1" applyFont="1" applyFill="1" applyBorder="1" applyAlignment="1" applyProtection="1">
      <alignment horizontal="right"/>
    </xf>
    <xf numFmtId="188" fontId="18" fillId="3" borderId="0" xfId="0" quotePrefix="1" applyNumberFormat="1" applyFont="1" applyFill="1" applyBorder="1" applyAlignment="1" applyProtection="1">
      <alignment horizontal="right"/>
    </xf>
    <xf numFmtId="188" fontId="18" fillId="0" borderId="0" xfId="0" applyNumberFormat="1" applyFont="1" applyFill="1" applyBorder="1" applyAlignment="1">
      <alignment horizontal="right"/>
    </xf>
    <xf numFmtId="178" fontId="18" fillId="2" borderId="0" xfId="0" applyNumberFormat="1" applyFont="1" applyFill="1" applyBorder="1" applyAlignment="1">
      <alignment horizontal="right"/>
    </xf>
    <xf numFmtId="188" fontId="19" fillId="0" borderId="0" xfId="0" quotePrefix="1" applyNumberFormat="1" applyFont="1" applyFill="1" applyBorder="1" applyAlignment="1" applyProtection="1">
      <alignment horizontal="right"/>
    </xf>
    <xf numFmtId="178" fontId="18" fillId="4" borderId="0" xfId="0" applyNumberFormat="1" applyFont="1" applyFill="1" applyBorder="1" applyAlignment="1">
      <alignment horizontal="right"/>
    </xf>
    <xf numFmtId="188" fontId="18" fillId="4" borderId="0" xfId="0" quotePrefix="1" applyNumberFormat="1" applyFont="1" applyFill="1" applyBorder="1" applyAlignment="1" applyProtection="1">
      <alignment horizontal="right"/>
    </xf>
    <xf numFmtId="188" fontId="19" fillId="4" borderId="0" xfId="0" quotePrefix="1" applyNumberFormat="1" applyFont="1" applyFill="1" applyBorder="1" applyAlignment="1" applyProtection="1">
      <alignment horizontal="right"/>
    </xf>
    <xf numFmtId="178" fontId="11" fillId="2" borderId="0" xfId="0" applyNumberFormat="1" applyFont="1" applyFill="1" applyBorder="1" applyAlignment="1">
      <alignment horizontal="left"/>
    </xf>
    <xf numFmtId="186" fontId="18" fillId="0" borderId="0" xfId="0" applyNumberFormat="1" applyFont="1" applyFill="1" applyBorder="1" applyAlignment="1">
      <alignment horizontal="right"/>
    </xf>
    <xf numFmtId="178" fontId="19" fillId="2" borderId="0" xfId="0" applyNumberFormat="1" applyFont="1" applyFill="1" applyBorder="1" applyAlignment="1">
      <alignment horizontal="left"/>
    </xf>
    <xf numFmtId="178" fontId="36" fillId="6" borderId="0" xfId="0" quotePrefix="1" applyNumberFormat="1" applyFont="1" applyFill="1" applyBorder="1" applyAlignment="1" applyProtection="1">
      <alignment horizontal="center"/>
    </xf>
    <xf numFmtId="186" fontId="19" fillId="0" borderId="0" xfId="0" applyNumberFormat="1" applyFont="1" applyFill="1" applyBorder="1" applyAlignment="1">
      <alignment horizontal="right"/>
    </xf>
    <xf numFmtId="184" fontId="15" fillId="0" borderId="0" xfId="1" quotePrefix="1" applyNumberFormat="1" applyFont="1" applyFill="1" applyBorder="1" applyAlignment="1">
      <alignment horizontal="right"/>
    </xf>
    <xf numFmtId="184" fontId="15" fillId="3" borderId="0" xfId="1" applyNumberFormat="1" applyFont="1" applyFill="1" applyBorder="1" applyAlignment="1">
      <alignment horizontal="right"/>
    </xf>
    <xf numFmtId="178" fontId="36" fillId="7" borderId="0" xfId="0" applyNumberFormat="1" applyFont="1" applyFill="1" applyBorder="1" applyAlignment="1">
      <alignment horizontal="left"/>
    </xf>
    <xf numFmtId="184" fontId="19" fillId="0" borderId="0" xfId="1" applyNumberFormat="1" applyFont="1" applyFill="1" applyBorder="1" applyAlignment="1">
      <alignment horizontal="left" vertical="center"/>
    </xf>
    <xf numFmtId="9" fontId="19" fillId="2" borderId="0" xfId="1" applyFont="1" applyFill="1" applyAlignment="1">
      <alignment horizontal="right"/>
    </xf>
    <xf numFmtId="9" fontId="19" fillId="2" borderId="0" xfId="1" applyFont="1" applyFill="1" applyBorder="1" applyAlignment="1">
      <alignment horizontal="right"/>
    </xf>
    <xf numFmtId="184" fontId="15" fillId="0" borderId="0" xfId="1" applyNumberFormat="1" applyFont="1" applyFill="1" applyBorder="1" applyAlignment="1">
      <alignment horizontal="left" vertical="center"/>
    </xf>
    <xf numFmtId="9" fontId="19" fillId="3" borderId="0" xfId="1" applyFont="1" applyFill="1" applyAlignment="1">
      <alignment horizontal="right"/>
    </xf>
    <xf numFmtId="9" fontId="36" fillId="2" borderId="0" xfId="1" applyFont="1" applyFill="1" applyAlignment="1">
      <alignment horizontal="right"/>
    </xf>
    <xf numFmtId="9" fontId="36" fillId="2" borderId="0" xfId="1" applyFont="1" applyFill="1" applyBorder="1" applyAlignment="1">
      <alignment horizontal="right"/>
    </xf>
    <xf numFmtId="178" fontId="24" fillId="2" borderId="0" xfId="0" applyNumberFormat="1" applyFont="1" applyFill="1" applyBorder="1" applyAlignment="1">
      <alignment horizontal="right" wrapText="1"/>
    </xf>
    <xf numFmtId="9" fontId="15" fillId="2" borderId="0" xfId="1" applyFont="1" applyFill="1" applyAlignment="1">
      <alignment horizontal="right"/>
    </xf>
    <xf numFmtId="9" fontId="15" fillId="3" borderId="0" xfId="1" applyFont="1" applyFill="1" applyAlignment="1">
      <alignment horizontal="right"/>
    </xf>
    <xf numFmtId="0" fontId="19" fillId="0" borderId="0" xfId="0" applyNumberFormat="1" applyFont="1" applyBorder="1" applyAlignment="1">
      <alignment horizontal="left" vertical="center"/>
    </xf>
    <xf numFmtId="178" fontId="11" fillId="2" borderId="0" xfId="0" applyNumberFormat="1" applyFont="1" applyFill="1" applyAlignment="1">
      <alignment horizontal="left"/>
    </xf>
    <xf numFmtId="9" fontId="11" fillId="2" borderId="0" xfId="1" applyFont="1" applyFill="1" applyAlignment="1">
      <alignment horizontal="right"/>
    </xf>
    <xf numFmtId="9" fontId="11" fillId="2" borderId="0" xfId="1" applyFont="1" applyFill="1" applyBorder="1" applyAlignment="1">
      <alignment horizontal="right"/>
    </xf>
    <xf numFmtId="178" fontId="11" fillId="2" borderId="0" xfId="0" applyNumberFormat="1" applyFont="1" applyFill="1" applyAlignment="1">
      <alignment horizontal="right"/>
    </xf>
    <xf numFmtId="178" fontId="36" fillId="2" borderId="0" xfId="0" applyNumberFormat="1" applyFont="1" applyFill="1" applyAlignment="1">
      <alignment horizontal="right"/>
    </xf>
    <xf numFmtId="9" fontId="18" fillId="2" borderId="0" xfId="1" applyFont="1" applyFill="1" applyAlignment="1">
      <alignment horizontal="right"/>
    </xf>
    <xf numFmtId="9" fontId="0" fillId="2" borderId="0" xfId="0" applyNumberFormat="1" applyFont="1" applyFill="1" applyAlignment="1">
      <alignment horizontal="right"/>
    </xf>
    <xf numFmtId="178" fontId="0" fillId="2" borderId="0" xfId="0" applyNumberFormat="1" applyFont="1" applyFill="1" applyBorder="1" applyAlignment="1">
      <alignment horizontal="left"/>
    </xf>
    <xf numFmtId="178" fontId="33" fillId="5" borderId="0" xfId="0" quotePrefix="1" applyNumberFormat="1" applyFont="1" applyFill="1" applyBorder="1" applyAlignment="1" applyProtection="1">
      <alignment horizontal="center"/>
    </xf>
    <xf numFmtId="178" fontId="24" fillId="5" borderId="0" xfId="0" applyNumberFormat="1" applyFont="1" applyFill="1" applyBorder="1" applyAlignment="1">
      <alignment horizontal="right"/>
    </xf>
    <xf numFmtId="178" fontId="24" fillId="2" borderId="0" xfId="0" applyNumberFormat="1" applyFont="1" applyFill="1" applyBorder="1" applyAlignment="1">
      <alignment horizontal="left"/>
    </xf>
    <xf numFmtId="178" fontId="19" fillId="4" borderId="0" xfId="0" applyNumberFormat="1" applyFont="1" applyFill="1" applyBorder="1" applyAlignment="1">
      <alignment horizontal="left"/>
    </xf>
    <xf numFmtId="178" fontId="33" fillId="2" borderId="0" xfId="0" applyNumberFormat="1" applyFont="1" applyFill="1" applyBorder="1" applyAlignment="1">
      <alignment horizontal="left"/>
    </xf>
    <xf numFmtId="187" fontId="15" fillId="0" borderId="0" xfId="0" quotePrefix="1" applyNumberFormat="1" applyFont="1" applyFill="1" applyBorder="1" applyAlignment="1">
      <alignment horizontal="right"/>
    </xf>
    <xf numFmtId="187" fontId="19" fillId="2" borderId="0" xfId="0" applyNumberFormat="1" applyFont="1" applyFill="1" applyBorder="1" applyAlignment="1">
      <alignment horizontal="right"/>
    </xf>
    <xf numFmtId="178" fontId="27" fillId="2" borderId="0" xfId="0" applyNumberFormat="1" applyFont="1" applyFill="1" applyBorder="1" applyAlignment="1">
      <alignment horizontal="left"/>
    </xf>
    <xf numFmtId="178" fontId="15" fillId="0" borderId="0" xfId="0" applyNumberFormat="1" applyFont="1" applyFill="1" applyBorder="1" applyAlignment="1">
      <alignment horizontal="left"/>
    </xf>
    <xf numFmtId="187" fontId="23" fillId="2" borderId="0" xfId="0" applyNumberFormat="1" applyFont="1" applyFill="1" applyBorder="1" applyAlignment="1">
      <alignment horizontal="right"/>
    </xf>
    <xf numFmtId="187" fontId="15" fillId="2" borderId="0" xfId="0" applyNumberFormat="1" applyFont="1" applyFill="1" applyBorder="1" applyAlignment="1">
      <alignment horizontal="right"/>
    </xf>
    <xf numFmtId="187" fontId="19" fillId="0" borderId="0" xfId="0" quotePrefix="1" applyNumberFormat="1" applyFont="1" applyFill="1" applyBorder="1" applyAlignment="1">
      <alignment horizontal="right"/>
    </xf>
    <xf numFmtId="178" fontId="23" fillId="2" borderId="0" xfId="0" applyNumberFormat="1" applyFont="1" applyFill="1" applyBorder="1" applyAlignment="1">
      <alignment horizontal="right"/>
    </xf>
    <xf numFmtId="178" fontId="23" fillId="0" borderId="0" xfId="0" applyNumberFormat="1" applyFont="1" applyFill="1" applyBorder="1" applyAlignment="1">
      <alignment horizontal="right"/>
    </xf>
    <xf numFmtId="178" fontId="23" fillId="2" borderId="0" xfId="0" applyNumberFormat="1" applyFont="1" applyFill="1" applyBorder="1" applyAlignment="1">
      <alignment horizontal="left" indent="1"/>
    </xf>
    <xf numFmtId="178" fontId="23" fillId="2" borderId="0" xfId="0" applyNumberFormat="1" applyFont="1" applyFill="1" applyBorder="1" applyAlignment="1">
      <alignment horizontal="left"/>
    </xf>
    <xf numFmtId="3" fontId="23" fillId="0" borderId="0" xfId="0" applyNumberFormat="1" applyFont="1" applyFill="1" applyBorder="1" applyAlignment="1">
      <alignment horizontal="right"/>
    </xf>
    <xf numFmtId="186" fontId="23" fillId="2" borderId="0" xfId="0" applyNumberFormat="1" applyFont="1" applyFill="1" applyBorder="1" applyAlignment="1">
      <alignment horizontal="right"/>
    </xf>
    <xf numFmtId="178" fontId="15" fillId="0" borderId="0" xfId="0" applyNumberFormat="1" applyFont="1" applyFill="1" applyBorder="1" applyAlignment="1">
      <alignment horizontal="left" indent="1"/>
    </xf>
    <xf numFmtId="178" fontId="15" fillId="2" borderId="0" xfId="0" applyNumberFormat="1" applyFont="1" applyFill="1" applyBorder="1" applyAlignment="1">
      <alignment horizontal="left" indent="1"/>
    </xf>
    <xf numFmtId="187" fontId="15" fillId="3" borderId="0" xfId="0" quotePrefix="1" applyNumberFormat="1" applyFont="1" applyFill="1" applyBorder="1" applyAlignment="1">
      <alignment horizontal="right"/>
    </xf>
    <xf numFmtId="178" fontId="19" fillId="2" borderId="0" xfId="0" applyNumberFormat="1" applyFont="1" applyFill="1" applyBorder="1" applyAlignment="1">
      <alignment horizontal="right"/>
    </xf>
    <xf numFmtId="187" fontId="15" fillId="4" borderId="0" xfId="0" quotePrefix="1" applyNumberFormat="1" applyFont="1" applyFill="1" applyBorder="1" applyAlignment="1">
      <alignment horizontal="right"/>
    </xf>
    <xf numFmtId="178" fontId="33" fillId="0" borderId="0" xfId="0" applyNumberFormat="1" applyFont="1" applyFill="1" applyBorder="1" applyAlignment="1">
      <alignment horizontal="left"/>
    </xf>
    <xf numFmtId="178" fontId="15" fillId="4" borderId="0" xfId="0" applyNumberFormat="1" applyFont="1" applyFill="1" applyBorder="1" applyAlignment="1">
      <alignment horizontal="right"/>
    </xf>
    <xf numFmtId="187" fontId="19" fillId="4" borderId="0" xfId="0" applyNumberFormat="1" applyFont="1" applyFill="1" applyBorder="1" applyAlignment="1">
      <alignment horizontal="right"/>
    </xf>
    <xf numFmtId="187" fontId="19" fillId="4" borderId="0" xfId="0" quotePrefix="1" applyNumberFormat="1" applyFont="1" applyFill="1" applyBorder="1" applyAlignment="1">
      <alignment horizontal="right"/>
    </xf>
    <xf numFmtId="187" fontId="15" fillId="4" borderId="0" xfId="0" applyNumberFormat="1" applyFont="1" applyFill="1" applyBorder="1" applyAlignment="1">
      <alignment horizontal="right"/>
    </xf>
    <xf numFmtId="186" fontId="23" fillId="0" borderId="0" xfId="0" applyNumberFormat="1" applyFont="1" applyFill="1" applyBorder="1" applyAlignment="1">
      <alignment horizontal="right"/>
    </xf>
    <xf numFmtId="186" fontId="15" fillId="0" borderId="0" xfId="0" quotePrefix="1" applyNumberFormat="1" applyFont="1" applyFill="1" applyBorder="1" applyAlignment="1">
      <alignment horizontal="right"/>
    </xf>
    <xf numFmtId="178" fontId="15" fillId="0" borderId="0" xfId="0" quotePrefix="1" applyNumberFormat="1" applyFont="1" applyFill="1" applyBorder="1" applyAlignment="1">
      <alignment horizontal="right"/>
    </xf>
    <xf numFmtId="186" fontId="15" fillId="0" borderId="0" xfId="0" applyNumberFormat="1" applyFont="1" applyFill="1" applyBorder="1" applyAlignment="1">
      <alignment horizontal="right"/>
    </xf>
    <xf numFmtId="189" fontId="15" fillId="0" borderId="0" xfId="0" quotePrefix="1" applyNumberFormat="1" applyFont="1" applyFill="1" applyBorder="1" applyAlignment="1">
      <alignment horizontal="right"/>
    </xf>
    <xf numFmtId="178" fontId="19" fillId="7" borderId="0" xfId="0" applyNumberFormat="1" applyFont="1" applyFill="1" applyBorder="1" applyAlignment="1">
      <alignment horizontal="left"/>
    </xf>
    <xf numFmtId="178" fontId="33" fillId="7" borderId="0" xfId="0" applyNumberFormat="1" applyFont="1" applyFill="1" applyBorder="1" applyAlignment="1">
      <alignment horizontal="left"/>
    </xf>
    <xf numFmtId="179" fontId="19" fillId="0" borderId="0" xfId="0" applyNumberFormat="1" applyFont="1" applyFill="1" applyBorder="1" applyAlignment="1">
      <alignment vertical="center"/>
    </xf>
    <xf numFmtId="179" fontId="15" fillId="0" borderId="0" xfId="0" applyNumberFormat="1" applyFont="1" applyFill="1" applyBorder="1" applyAlignment="1">
      <alignment vertical="center"/>
    </xf>
    <xf numFmtId="190" fontId="15" fillId="0" borderId="0" xfId="0" applyNumberFormat="1" applyFont="1" applyFill="1" applyBorder="1" applyAlignment="1">
      <alignment vertical="center"/>
    </xf>
    <xf numFmtId="186" fontId="15" fillId="3" borderId="0" xfId="0" applyNumberFormat="1" applyFont="1" applyFill="1" applyBorder="1" applyAlignment="1">
      <alignment horizontal="right"/>
    </xf>
    <xf numFmtId="190" fontId="23" fillId="0" borderId="0" xfId="0" applyNumberFormat="1" applyFont="1" applyFill="1" applyBorder="1" applyAlignment="1">
      <alignment vertical="center"/>
    </xf>
    <xf numFmtId="190" fontId="42" fillId="0" borderId="0" xfId="0" applyNumberFormat="1" applyFont="1" applyFill="1" applyBorder="1" applyAlignment="1">
      <alignment vertical="center"/>
    </xf>
    <xf numFmtId="179" fontId="23" fillId="0" borderId="0" xfId="0" applyNumberFormat="1" applyFont="1" applyFill="1" applyBorder="1" applyAlignment="1">
      <alignment vertical="center"/>
    </xf>
    <xf numFmtId="179" fontId="23" fillId="0" borderId="0" xfId="0" applyNumberFormat="1" applyFont="1" applyFill="1" applyBorder="1" applyAlignment="1">
      <alignment horizontal="right" vertical="center"/>
    </xf>
    <xf numFmtId="178" fontId="15" fillId="7" borderId="0" xfId="0" applyNumberFormat="1" applyFont="1" applyFill="1" applyBorder="1" applyAlignment="1">
      <alignment horizontal="right"/>
    </xf>
    <xf numFmtId="184" fontId="15" fillId="0" borderId="0" xfId="1" applyNumberFormat="1" applyFont="1" applyFill="1" applyBorder="1" applyAlignment="1">
      <alignment vertical="center"/>
    </xf>
    <xf numFmtId="179" fontId="42" fillId="0" borderId="0" xfId="0" applyNumberFormat="1" applyFont="1" applyFill="1" applyBorder="1" applyAlignment="1">
      <alignment vertical="center"/>
    </xf>
    <xf numFmtId="184" fontId="23" fillId="0" borderId="0" xfId="1" applyNumberFormat="1" applyFont="1" applyFill="1" applyBorder="1" applyAlignment="1">
      <alignment vertical="center"/>
    </xf>
    <xf numFmtId="182" fontId="23" fillId="0" borderId="0" xfId="0" applyNumberFormat="1" applyFont="1" applyFill="1" applyBorder="1" applyAlignment="1">
      <alignment vertical="center"/>
    </xf>
    <xf numFmtId="182" fontId="23" fillId="0" borderId="0" xfId="0" applyNumberFormat="1" applyFont="1" applyBorder="1" applyAlignment="1">
      <alignment vertical="center"/>
    </xf>
    <xf numFmtId="184" fontId="43" fillId="4" borderId="0" xfId="1" applyNumberFormat="1" applyFont="1" applyFill="1" applyBorder="1" applyAlignment="1">
      <alignment vertical="center"/>
    </xf>
    <xf numFmtId="184" fontId="15" fillId="0" borderId="0" xfId="1" applyNumberFormat="1" applyFont="1" applyBorder="1" applyAlignment="1">
      <alignment vertical="center"/>
    </xf>
    <xf numFmtId="179" fontId="15" fillId="0" borderId="0" xfId="0" applyNumberFormat="1" applyFont="1" applyBorder="1" applyAlignment="1">
      <alignment vertical="center"/>
    </xf>
    <xf numFmtId="0" fontId="0" fillId="0" borderId="0" xfId="0" applyFont="1"/>
    <xf numFmtId="179" fontId="19" fillId="0" borderId="0" xfId="0" applyNumberFormat="1" applyFont="1" applyBorder="1" applyAlignment="1">
      <alignment vertical="center"/>
    </xf>
    <xf numFmtId="179" fontId="19" fillId="0" borderId="0" xfId="0" applyNumberFormat="1" applyFont="1" applyBorder="1" applyAlignment="1">
      <alignment horizontal="left" vertical="center"/>
    </xf>
    <xf numFmtId="179" fontId="15" fillId="0" borderId="0" xfId="0" applyNumberFormat="1" applyFont="1" applyBorder="1" applyAlignment="1">
      <alignment horizontal="left" vertical="center"/>
    </xf>
    <xf numFmtId="179" fontId="23" fillId="0" borderId="0" xfId="0" applyNumberFormat="1" applyFont="1" applyBorder="1" applyAlignment="1">
      <alignment horizontal="left" vertical="center"/>
    </xf>
    <xf numFmtId="179" fontId="23" fillId="0" borderId="0" xfId="0" applyNumberFormat="1" applyFont="1" applyBorder="1" applyAlignment="1">
      <alignment horizontal="right" vertical="center"/>
    </xf>
    <xf numFmtId="9" fontId="15" fillId="3" borderId="0" xfId="0" applyNumberFormat="1" applyFont="1" applyFill="1" applyBorder="1" applyAlignment="1">
      <alignment horizontal="right"/>
    </xf>
    <xf numFmtId="179" fontId="23" fillId="0" borderId="0" xfId="0" applyNumberFormat="1" applyFont="1" applyBorder="1" applyAlignment="1">
      <alignment vertical="center"/>
    </xf>
    <xf numFmtId="178" fontId="22" fillId="3" borderId="0" xfId="0" applyNumberFormat="1" applyFont="1" applyFill="1" applyBorder="1" applyAlignment="1">
      <alignment horizontal="left"/>
    </xf>
    <xf numFmtId="0" fontId="46" fillId="0" borderId="0" xfId="0" applyFont="1"/>
    <xf numFmtId="178" fontId="22" fillId="2" borderId="0" xfId="0" applyNumberFormat="1" applyFont="1" applyFill="1" applyBorder="1" applyAlignment="1">
      <alignment horizontal="left"/>
    </xf>
    <xf numFmtId="178" fontId="22" fillId="6" borderId="0" xfId="0" applyNumberFormat="1" applyFont="1" applyFill="1" applyBorder="1" applyAlignment="1">
      <alignment horizontal="right"/>
    </xf>
    <xf numFmtId="178" fontId="22" fillId="6" borderId="0" xfId="0" applyNumberFormat="1" applyFont="1" applyFill="1" applyBorder="1" applyAlignment="1">
      <alignment horizontal="left"/>
    </xf>
    <xf numFmtId="186" fontId="22" fillId="0" borderId="0" xfId="0" applyNumberFormat="1" applyFont="1"/>
    <xf numFmtId="186" fontId="22" fillId="2" borderId="0" xfId="0" applyNumberFormat="1" applyFont="1" applyFill="1" applyBorder="1" applyAlignment="1">
      <alignment horizontal="right"/>
    </xf>
    <xf numFmtId="187" fontId="22" fillId="2" borderId="0" xfId="0" applyNumberFormat="1" applyFont="1" applyFill="1" applyBorder="1" applyAlignment="1">
      <alignment horizontal="right"/>
    </xf>
    <xf numFmtId="187" fontId="22" fillId="0" borderId="0" xfId="0" applyNumberFormat="1" applyFont="1"/>
    <xf numFmtId="184" fontId="22" fillId="2" borderId="0" xfId="1" applyNumberFormat="1" applyFont="1" applyFill="1" applyBorder="1" applyAlignment="1">
      <alignment horizontal="right"/>
    </xf>
    <xf numFmtId="184" fontId="22" fillId="0" borderId="0" xfId="1" applyNumberFormat="1" applyFont="1" applyAlignment="1"/>
    <xf numFmtId="9" fontId="22" fillId="2" borderId="0" xfId="0" applyNumberFormat="1" applyFont="1" applyFill="1" applyBorder="1" applyAlignment="1">
      <alignment horizontal="right"/>
    </xf>
    <xf numFmtId="9" fontId="22" fillId="2" borderId="0" xfId="1" applyFont="1" applyFill="1" applyBorder="1" applyAlignment="1">
      <alignment horizontal="right"/>
    </xf>
    <xf numFmtId="9" fontId="22" fillId="0" borderId="0" xfId="1" applyFont="1" applyAlignment="1"/>
    <xf numFmtId="9" fontId="22" fillId="3" borderId="0" xfId="0" applyNumberFormat="1" applyFont="1" applyFill="1" applyBorder="1" applyAlignment="1">
      <alignment horizontal="right"/>
    </xf>
    <xf numFmtId="9" fontId="22" fillId="0" borderId="0" xfId="1" applyFont="1" applyFill="1" applyAlignment="1">
      <alignment horizontal="right"/>
    </xf>
    <xf numFmtId="9" fontId="22" fillId="2" borderId="0" xfId="1" applyFont="1" applyFill="1" applyAlignment="1">
      <alignment horizontal="right"/>
    </xf>
    <xf numFmtId="177" fontId="22" fillId="6" borderId="0" xfId="0" applyNumberFormat="1" applyFont="1" applyFill="1" applyBorder="1" applyAlignment="1">
      <alignment horizontal="right"/>
    </xf>
    <xf numFmtId="177" fontId="22" fillId="6" borderId="0" xfId="0" applyNumberFormat="1" applyFont="1" applyFill="1"/>
    <xf numFmtId="178" fontId="22" fillId="0" borderId="0" xfId="0" applyNumberFormat="1" applyFont="1" applyFill="1" applyBorder="1" applyAlignment="1">
      <alignment horizontal="left"/>
    </xf>
    <xf numFmtId="178" fontId="22" fillId="0" borderId="0" xfId="0" applyNumberFormat="1" applyFont="1" applyFill="1" applyBorder="1" applyAlignment="1">
      <alignment horizontal="right"/>
    </xf>
    <xf numFmtId="177" fontId="22" fillId="0" borderId="0" xfId="0" applyNumberFormat="1" applyFont="1" applyFill="1" applyBorder="1" applyAlignment="1">
      <alignment horizontal="right"/>
    </xf>
    <xf numFmtId="177" fontId="22" fillId="0" borderId="0" xfId="0" applyNumberFormat="1" applyFont="1" applyFill="1"/>
    <xf numFmtId="177" fontId="22" fillId="0" borderId="0" xfId="1" applyNumberFormat="1" applyFont="1" applyFill="1" applyBorder="1" applyAlignment="1">
      <alignment horizontal="right"/>
    </xf>
    <xf numFmtId="9" fontId="22" fillId="0" borderId="0" xfId="1" applyNumberFormat="1" applyFont="1" applyFill="1" applyBorder="1" applyAlignment="1">
      <alignment horizontal="right"/>
    </xf>
    <xf numFmtId="3" fontId="22" fillId="0" borderId="0" xfId="0" applyNumberFormat="1" applyFont="1" applyFill="1" applyBorder="1" applyAlignment="1">
      <alignment horizontal="right"/>
    </xf>
    <xf numFmtId="9" fontId="22" fillId="0" borderId="0" xfId="0" applyNumberFormat="1" applyFont="1" applyFill="1" applyBorder="1" applyAlignment="1">
      <alignment horizontal="right"/>
    </xf>
    <xf numFmtId="10" fontId="22" fillId="0" borderId="0" xfId="0" applyNumberFormat="1" applyFont="1" applyFill="1" applyBorder="1" applyAlignment="1">
      <alignment horizontal="right"/>
    </xf>
    <xf numFmtId="177" fontId="22" fillId="2" borderId="0" xfId="0" applyNumberFormat="1" applyFont="1" applyFill="1" applyBorder="1" applyAlignment="1">
      <alignment horizontal="right"/>
    </xf>
    <xf numFmtId="177" fontId="22" fillId="0" borderId="0" xfId="0" applyNumberFormat="1" applyFont="1"/>
    <xf numFmtId="0" fontId="22" fillId="2" borderId="0" xfId="0" applyNumberFormat="1" applyFont="1" applyFill="1" applyBorder="1" applyAlignment="1">
      <alignment horizontal="right"/>
    </xf>
    <xf numFmtId="179" fontId="13" fillId="0" borderId="19" xfId="2" applyNumberFormat="1" applyFont="1" applyFill="1" applyBorder="1" applyAlignment="1">
      <alignment horizontal="left" vertical="center"/>
    </xf>
    <xf numFmtId="179" fontId="13" fillId="0" borderId="19" xfId="2" applyNumberFormat="1" applyFont="1" applyFill="1" applyBorder="1" applyAlignment="1">
      <alignment horizontal="right" vertical="center"/>
    </xf>
    <xf numFmtId="179" fontId="13" fillId="0" borderId="20" xfId="2" applyNumberFormat="1" applyFont="1" applyFill="1" applyBorder="1" applyAlignment="1">
      <alignment horizontal="right" vertical="center"/>
    </xf>
    <xf numFmtId="179" fontId="15" fillId="0" borderId="21" xfId="2" applyNumberFormat="1" applyFont="1" applyBorder="1" applyAlignment="1">
      <alignment horizontal="left" vertical="center"/>
    </xf>
    <xf numFmtId="179" fontId="15" fillId="0" borderId="22" xfId="2" applyNumberFormat="1" applyFont="1" applyBorder="1" applyAlignment="1">
      <alignment horizontal="right" vertical="center"/>
    </xf>
    <xf numFmtId="184" fontId="15" fillId="0" borderId="21" xfId="3" applyNumberFormat="1" applyFont="1" applyBorder="1" applyAlignment="1">
      <alignment horizontal="left" vertical="center"/>
    </xf>
    <xf numFmtId="184" fontId="15" fillId="0" borderId="22" xfId="3" applyNumberFormat="1" applyFont="1" applyBorder="1" applyAlignment="1">
      <alignment horizontal="right" vertical="center"/>
    </xf>
    <xf numFmtId="182" fontId="15" fillId="0" borderId="21" xfId="2" applyNumberFormat="1" applyFont="1" applyBorder="1" applyAlignment="1">
      <alignment horizontal="left" vertical="center"/>
    </xf>
    <xf numFmtId="176" fontId="15" fillId="0" borderId="23" xfId="2" applyNumberFormat="1" applyFont="1" applyFill="1" applyBorder="1" applyAlignment="1">
      <alignment horizontal="left" vertical="center"/>
    </xf>
    <xf numFmtId="176" fontId="15" fillId="0" borderId="24" xfId="2" applyNumberFormat="1" applyFont="1" applyFill="1" applyBorder="1" applyAlignment="1">
      <alignment horizontal="left" vertical="center"/>
    </xf>
    <xf numFmtId="176" fontId="15" fillId="0" borderId="24" xfId="2" applyNumberFormat="1" applyFont="1" applyFill="1" applyBorder="1" applyAlignment="1">
      <alignment horizontal="right" vertical="center"/>
    </xf>
    <xf numFmtId="177" fontId="22" fillId="2" borderId="0" xfId="1" applyNumberFormat="1" applyFont="1" applyFill="1" applyBorder="1" applyAlignment="1">
      <alignment horizontal="right"/>
    </xf>
    <xf numFmtId="0" fontId="22" fillId="4" borderId="27" xfId="0" applyFont="1" applyFill="1" applyBorder="1"/>
    <xf numFmtId="0" fontId="22" fillId="0" borderId="26" xfId="0" applyFont="1" applyBorder="1"/>
    <xf numFmtId="0" fontId="22" fillId="0" borderId="18" xfId="0" applyFont="1" applyBorder="1"/>
    <xf numFmtId="0" fontId="46" fillId="0" borderId="19" xfId="0" applyFont="1" applyBorder="1"/>
    <xf numFmtId="0" fontId="46" fillId="0" borderId="20" xfId="0" applyFont="1" applyBorder="1"/>
    <xf numFmtId="0" fontId="46" fillId="0" borderId="21" xfId="0" applyFont="1" applyBorder="1"/>
    <xf numFmtId="0" fontId="22" fillId="0" borderId="0" xfId="0" applyFont="1" applyBorder="1"/>
    <xf numFmtId="0" fontId="46" fillId="0" borderId="0" xfId="0" applyFont="1" applyBorder="1"/>
    <xf numFmtId="0" fontId="46" fillId="0" borderId="22" xfId="0" applyFont="1" applyBorder="1"/>
    <xf numFmtId="0" fontId="22" fillId="0" borderId="21" xfId="0" applyFont="1" applyBorder="1"/>
    <xf numFmtId="0" fontId="46" fillId="0" borderId="23" xfId="0" applyFont="1" applyBorder="1"/>
    <xf numFmtId="0" fontId="22" fillId="0" borderId="24" xfId="0" applyFont="1" applyBorder="1"/>
    <xf numFmtId="0" fontId="46" fillId="0" borderId="24" xfId="0" applyFont="1" applyBorder="1"/>
    <xf numFmtId="0" fontId="46" fillId="0" borderId="25" xfId="0" applyFont="1" applyBorder="1"/>
    <xf numFmtId="0" fontId="22" fillId="0" borderId="29" xfId="0" applyFont="1" applyBorder="1"/>
    <xf numFmtId="0" fontId="46" fillId="0" borderId="30" xfId="0" applyFont="1" applyBorder="1"/>
    <xf numFmtId="0" fontId="46" fillId="0" borderId="31" xfId="0" applyFont="1" applyBorder="1"/>
    <xf numFmtId="0" fontId="22" fillId="0" borderId="30" xfId="0" applyFont="1" applyBorder="1"/>
    <xf numFmtId="0" fontId="22" fillId="0" borderId="19" xfId="0" applyFont="1" applyBorder="1"/>
    <xf numFmtId="0" fontId="22" fillId="0" borderId="23" xfId="0" applyFont="1" applyBorder="1"/>
    <xf numFmtId="0" fontId="22" fillId="0" borderId="30" xfId="0" applyFont="1" applyBorder="1" applyAlignment="1">
      <alignment horizontal="left" indent="1"/>
    </xf>
    <xf numFmtId="0" fontId="36" fillId="0" borderId="29" xfId="0" applyFont="1" applyBorder="1"/>
    <xf numFmtId="0" fontId="36" fillId="0" borderId="21" xfId="0" applyFont="1" applyBorder="1"/>
    <xf numFmtId="179" fontId="13" fillId="0" borderId="20" xfId="2" applyNumberFormat="1" applyFont="1" applyFill="1" applyBorder="1" applyAlignment="1">
      <alignment horizontal="left" vertical="center"/>
    </xf>
    <xf numFmtId="179" fontId="15" fillId="0" borderId="22" xfId="2" applyNumberFormat="1" applyFont="1" applyFill="1" applyBorder="1" applyAlignment="1" applyProtection="1">
      <alignment vertical="center"/>
      <protection locked="0"/>
    </xf>
    <xf numFmtId="179" fontId="15" fillId="0" borderId="22" xfId="2" applyNumberFormat="1" applyFont="1" applyFill="1" applyBorder="1" applyAlignment="1">
      <alignment vertical="center"/>
    </xf>
    <xf numFmtId="184" fontId="23" fillId="0" borderId="21" xfId="3" applyNumberFormat="1" applyFont="1" applyFill="1" applyBorder="1" applyAlignment="1">
      <alignment horizontal="right" vertical="center"/>
    </xf>
    <xf numFmtId="179" fontId="13" fillId="0" borderId="21" xfId="2" applyNumberFormat="1" applyFont="1" applyFill="1" applyBorder="1" applyAlignment="1">
      <alignment horizontal="right" vertical="center"/>
    </xf>
    <xf numFmtId="179" fontId="15" fillId="0" borderId="21" xfId="2" applyNumberFormat="1" applyFont="1" applyFill="1" applyBorder="1" applyAlignment="1">
      <alignment horizontal="right" vertical="center"/>
    </xf>
    <xf numFmtId="179" fontId="26" fillId="0" borderId="21" xfId="2" applyNumberFormat="1" applyFont="1" applyFill="1" applyBorder="1" applyAlignment="1">
      <alignment horizontal="left" vertical="center"/>
    </xf>
    <xf numFmtId="179" fontId="13" fillId="0" borderId="21" xfId="2" applyNumberFormat="1" applyFont="1" applyFill="1" applyBorder="1" applyAlignment="1">
      <alignment vertical="center"/>
    </xf>
    <xf numFmtId="179" fontId="15" fillId="0" borderId="21" xfId="2" applyNumberFormat="1" applyFont="1" applyFill="1" applyBorder="1" applyAlignment="1">
      <alignment vertical="center"/>
    </xf>
    <xf numFmtId="179" fontId="15" fillId="0" borderId="21" xfId="2" applyNumberFormat="1" applyFont="1" applyBorder="1" applyAlignment="1">
      <alignment horizontal="right" vertical="center"/>
    </xf>
    <xf numFmtId="184" fontId="15" fillId="0" borderId="21" xfId="3" applyNumberFormat="1" applyFont="1" applyBorder="1" applyAlignment="1">
      <alignment horizontal="right" vertical="center"/>
    </xf>
    <xf numFmtId="182" fontId="15" fillId="0" borderId="21" xfId="2" applyNumberFormat="1" applyFont="1" applyBorder="1" applyAlignment="1">
      <alignment horizontal="right" vertical="center"/>
    </xf>
    <xf numFmtId="182" fontId="15" fillId="0" borderId="22" xfId="2" applyNumberFormat="1" applyFont="1" applyBorder="1" applyAlignment="1">
      <alignment horizontal="right" vertical="center"/>
    </xf>
    <xf numFmtId="182" fontId="12" fillId="0" borderId="21" xfId="2" applyNumberFormat="1" applyFont="1" applyBorder="1" applyAlignment="1">
      <alignment horizontal="right" vertical="center"/>
    </xf>
    <xf numFmtId="182" fontId="12" fillId="0" borderId="22" xfId="2" applyNumberFormat="1" applyFont="1" applyBorder="1" applyAlignment="1">
      <alignment horizontal="right" vertical="center"/>
    </xf>
    <xf numFmtId="182" fontId="12" fillId="0" borderId="23" xfId="2" applyNumberFormat="1" applyFont="1" applyBorder="1" applyAlignment="1">
      <alignment horizontal="right" vertical="center"/>
    </xf>
    <xf numFmtId="182" fontId="12" fillId="0" borderId="24" xfId="2" applyNumberFormat="1" applyFont="1" applyBorder="1" applyAlignment="1">
      <alignment horizontal="right" vertical="center"/>
    </xf>
    <xf numFmtId="182" fontId="12" fillId="0" borderId="25" xfId="2" applyNumberFormat="1" applyFont="1" applyBorder="1" applyAlignment="1">
      <alignment horizontal="right" vertical="center"/>
    </xf>
    <xf numFmtId="0" fontId="36" fillId="0" borderId="23" xfId="0" applyFont="1" applyBorder="1"/>
    <xf numFmtId="0" fontId="36" fillId="0" borderId="26" xfId="0" applyFont="1" applyBorder="1" applyAlignment="1">
      <alignment horizontal="center"/>
    </xf>
    <xf numFmtId="0" fontId="36" fillId="0" borderId="28" xfId="0" applyFont="1" applyBorder="1" applyAlignment="1">
      <alignment horizontal="center"/>
    </xf>
    <xf numFmtId="9" fontId="23" fillId="4" borderId="0" xfId="3" applyNumberFormat="1" applyFont="1" applyFill="1" applyBorder="1" applyAlignment="1">
      <alignment horizontal="left" vertical="center"/>
    </xf>
    <xf numFmtId="9" fontId="23" fillId="4" borderId="0" xfId="3" applyNumberFormat="1" applyFont="1" applyFill="1" applyBorder="1" applyAlignment="1">
      <alignment horizontal="right" vertical="center"/>
    </xf>
    <xf numFmtId="9" fontId="23" fillId="4" borderId="22" xfId="3" applyNumberFormat="1" applyFont="1" applyFill="1" applyBorder="1" applyAlignment="1">
      <alignment horizontal="right" vertical="center"/>
    </xf>
    <xf numFmtId="14" fontId="22" fillId="0" borderId="20" xfId="0" applyNumberFormat="1" applyFont="1" applyBorder="1" applyAlignment="1">
      <alignment horizontal="right"/>
    </xf>
    <xf numFmtId="0" fontId="22" fillId="0" borderId="25" xfId="0" applyFont="1" applyBorder="1" applyAlignment="1">
      <alignment horizontal="right"/>
    </xf>
    <xf numFmtId="14" fontId="22" fillId="0" borderId="31" xfId="0" quotePrefix="1" applyNumberFormat="1" applyFont="1" applyBorder="1" applyAlignment="1">
      <alignment horizontal="right"/>
    </xf>
    <xf numFmtId="0" fontId="22" fillId="0" borderId="20" xfId="0" applyFont="1" applyBorder="1"/>
    <xf numFmtId="0" fontId="22" fillId="0" borderId="31" xfId="0" applyFont="1" applyBorder="1"/>
    <xf numFmtId="0" fontId="22" fillId="0" borderId="25" xfId="0" applyFont="1" applyBorder="1"/>
    <xf numFmtId="0" fontId="36" fillId="0" borderId="18" xfId="0" applyFont="1" applyBorder="1"/>
    <xf numFmtId="9" fontId="15" fillId="0" borderId="0" xfId="2" applyNumberFormat="1" applyFont="1" applyFill="1" applyBorder="1" applyAlignment="1">
      <alignment vertical="center"/>
    </xf>
    <xf numFmtId="184" fontId="43" fillId="4" borderId="0" xfId="1" applyNumberFormat="1" applyFont="1" applyFill="1" applyBorder="1" applyAlignment="1">
      <alignment horizontal="right" vertical="center"/>
    </xf>
    <xf numFmtId="9" fontId="19" fillId="0" borderId="0" xfId="0" quotePrefix="1" applyNumberFormat="1" applyFont="1" applyFill="1" applyBorder="1" applyAlignment="1" applyProtection="1">
      <alignment horizontal="right"/>
    </xf>
    <xf numFmtId="3" fontId="0" fillId="0" borderId="0" xfId="0" applyNumberFormat="1"/>
    <xf numFmtId="3" fontId="15" fillId="3" borderId="0" xfId="0" applyNumberFormat="1" applyFont="1" applyFill="1" applyBorder="1" applyAlignment="1">
      <alignment horizontal="right"/>
    </xf>
    <xf numFmtId="3" fontId="22" fillId="3" borderId="0" xfId="0" applyNumberFormat="1" applyFont="1" applyFill="1" applyBorder="1" applyAlignment="1">
      <alignment horizontal="right"/>
    </xf>
    <xf numFmtId="10" fontId="15" fillId="0" borderId="0" xfId="2" applyNumberFormat="1" applyFont="1" applyFill="1" applyBorder="1" applyAlignment="1">
      <alignment horizontal="right" vertical="center"/>
    </xf>
    <xf numFmtId="176" fontId="15" fillId="0" borderId="0" xfId="2" applyNumberFormat="1" applyFont="1" applyFill="1" applyBorder="1" applyAlignment="1">
      <alignment vertical="center"/>
    </xf>
    <xf numFmtId="184" fontId="19" fillId="0" borderId="0" xfId="1" applyNumberFormat="1" applyFont="1" applyBorder="1" applyAlignment="1">
      <alignment vertical="center"/>
    </xf>
    <xf numFmtId="0" fontId="47" fillId="0" borderId="0" xfId="0" applyFont="1"/>
    <xf numFmtId="9" fontId="23" fillId="0" borderId="25" xfId="3" applyNumberFormat="1" applyFont="1" applyFill="1" applyBorder="1" applyAlignment="1">
      <alignment horizontal="left" vertical="center"/>
    </xf>
    <xf numFmtId="176" fontId="15" fillId="0" borderId="25" xfId="2" applyNumberFormat="1" applyFont="1" applyFill="1" applyBorder="1" applyAlignment="1">
      <alignment horizontal="right" vertical="center"/>
    </xf>
    <xf numFmtId="178" fontId="48" fillId="0" borderId="0" xfId="0" applyNumberFormat="1" applyFont="1" applyFill="1" applyAlignment="1">
      <alignment horizontal="right"/>
    </xf>
    <xf numFmtId="178" fontId="49" fillId="0" borderId="0" xfId="0" applyNumberFormat="1" applyFont="1" applyFill="1" applyBorder="1" applyAlignment="1" applyProtection="1">
      <alignment horizontal="left"/>
    </xf>
    <xf numFmtId="178" fontId="48" fillId="0" borderId="0" xfId="0" applyNumberFormat="1" applyFont="1" applyFill="1" applyBorder="1" applyAlignment="1">
      <alignment horizontal="right"/>
    </xf>
    <xf numFmtId="187" fontId="49" fillId="0" borderId="0" xfId="0" quotePrefix="1" applyNumberFormat="1" applyFont="1" applyFill="1" applyBorder="1" applyAlignment="1" applyProtection="1">
      <alignment horizontal="right"/>
    </xf>
    <xf numFmtId="9" fontId="49" fillId="0" borderId="0" xfId="1" quotePrefix="1" applyFont="1" applyFill="1" applyBorder="1" applyAlignment="1" applyProtection="1">
      <alignment horizontal="right"/>
    </xf>
    <xf numFmtId="187" fontId="48" fillId="0" borderId="0" xfId="0" applyNumberFormat="1" applyFont="1" applyFill="1" applyBorder="1" applyAlignment="1">
      <alignment horizontal="right"/>
    </xf>
    <xf numFmtId="0" fontId="48" fillId="0" borderId="0" xfId="0" applyFont="1" applyFill="1"/>
    <xf numFmtId="0" fontId="50" fillId="0" borderId="0" xfId="0" applyFont="1" applyFill="1"/>
    <xf numFmtId="178" fontId="49" fillId="8" borderId="0" xfId="0" applyNumberFormat="1" applyFont="1" applyFill="1" applyBorder="1" applyAlignment="1" applyProtection="1">
      <alignment horizontal="left"/>
    </xf>
    <xf numFmtId="178" fontId="48" fillId="8" borderId="0" xfId="0" applyNumberFormat="1" applyFont="1" applyFill="1" applyBorder="1" applyAlignment="1">
      <alignment horizontal="right"/>
    </xf>
    <xf numFmtId="187" fontId="49" fillId="8" borderId="0" xfId="0" quotePrefix="1" applyNumberFormat="1" applyFont="1" applyFill="1" applyBorder="1" applyAlignment="1" applyProtection="1">
      <alignment horizontal="right"/>
    </xf>
    <xf numFmtId="9" fontId="49" fillId="8" borderId="0" xfId="1" quotePrefix="1" applyFont="1" applyFill="1" applyBorder="1" applyAlignment="1" applyProtection="1">
      <alignment horizontal="right"/>
    </xf>
    <xf numFmtId="178" fontId="48" fillId="8" borderId="0" xfId="0" applyNumberFormat="1" applyFont="1" applyFill="1" applyBorder="1" applyAlignment="1"/>
    <xf numFmtId="178" fontId="48" fillId="8" borderId="0" xfId="0" applyNumberFormat="1" applyFont="1" applyFill="1" applyBorder="1" applyAlignment="1" applyProtection="1">
      <alignment horizontal="left"/>
    </xf>
    <xf numFmtId="187" fontId="48" fillId="8" borderId="0" xfId="0" quotePrefix="1" applyNumberFormat="1" applyFont="1" applyFill="1" applyBorder="1" applyAlignment="1" applyProtection="1">
      <alignment horizontal="right"/>
    </xf>
    <xf numFmtId="9" fontId="48" fillId="8" borderId="0" xfId="1" quotePrefix="1" applyFont="1" applyFill="1" applyBorder="1" applyAlignment="1" applyProtection="1">
      <alignment horizontal="right"/>
    </xf>
    <xf numFmtId="9" fontId="48" fillId="8" borderId="0" xfId="0" quotePrefix="1" applyNumberFormat="1" applyFont="1" applyFill="1" applyBorder="1" applyAlignment="1" applyProtection="1">
      <alignment horizontal="right"/>
    </xf>
    <xf numFmtId="178" fontId="36" fillId="2" borderId="0" xfId="0" applyNumberFormat="1" applyFont="1" applyFill="1" applyBorder="1" applyAlignment="1"/>
    <xf numFmtId="178" fontId="19" fillId="2" borderId="0" xfId="0" quotePrefix="1" applyNumberFormat="1" applyFont="1" applyFill="1" applyBorder="1" applyAlignment="1" applyProtection="1">
      <alignment horizontal="right"/>
    </xf>
    <xf numFmtId="178" fontId="47" fillId="2" borderId="0" xfId="0" applyNumberFormat="1" applyFont="1" applyFill="1" applyBorder="1" applyAlignment="1">
      <alignment horizontal="right"/>
    </xf>
    <xf numFmtId="177" fontId="47" fillId="2" borderId="0" xfId="0" applyNumberFormat="1" applyFont="1" applyFill="1" applyBorder="1" applyAlignment="1">
      <alignment horizontal="right"/>
    </xf>
    <xf numFmtId="177" fontId="47" fillId="0" borderId="0" xfId="0" applyNumberFormat="1" applyFont="1"/>
    <xf numFmtId="178" fontId="49" fillId="8" borderId="0" xfId="0" applyNumberFormat="1" applyFont="1" applyFill="1" applyBorder="1" applyAlignment="1" applyProtection="1">
      <alignment horizontal="right"/>
    </xf>
    <xf numFmtId="9" fontId="49" fillId="8" borderId="0" xfId="0" quotePrefix="1" applyNumberFormat="1" applyFont="1" applyFill="1" applyBorder="1" applyAlignment="1" applyProtection="1">
      <alignment horizontal="right"/>
    </xf>
    <xf numFmtId="178" fontId="48" fillId="0" borderId="0" xfId="0" applyNumberFormat="1" applyFont="1" applyFill="1" applyBorder="1" applyAlignment="1" applyProtection="1">
      <alignment horizontal="left"/>
    </xf>
    <xf numFmtId="178" fontId="48" fillId="0" borderId="0" xfId="0" applyNumberFormat="1" applyFont="1" applyFill="1" applyBorder="1" applyAlignment="1"/>
    <xf numFmtId="187" fontId="48" fillId="0" borderId="0" xfId="0" quotePrefix="1" applyNumberFormat="1" applyFont="1" applyFill="1" applyBorder="1" applyAlignment="1" applyProtection="1">
      <alignment horizontal="right"/>
    </xf>
    <xf numFmtId="9" fontId="48" fillId="0" borderId="0" xfId="1" quotePrefix="1" applyFont="1" applyFill="1" applyBorder="1" applyAlignment="1" applyProtection="1">
      <alignment horizontal="right"/>
    </xf>
    <xf numFmtId="0" fontId="48" fillId="8" borderId="0" xfId="0" quotePrefix="1" applyNumberFormat="1" applyFont="1" applyFill="1" applyBorder="1" applyAlignment="1" applyProtection="1">
      <alignment horizontal="right"/>
    </xf>
    <xf numFmtId="186" fontId="49" fillId="8" borderId="0" xfId="0" quotePrefix="1" applyNumberFormat="1" applyFont="1" applyFill="1" applyBorder="1" applyAlignment="1" applyProtection="1">
      <alignment horizontal="right"/>
    </xf>
    <xf numFmtId="178" fontId="49" fillId="8" borderId="0" xfId="0" quotePrefix="1" applyNumberFormat="1" applyFont="1" applyFill="1" applyBorder="1" applyAlignment="1" applyProtection="1">
      <alignment horizontal="right"/>
    </xf>
    <xf numFmtId="0" fontId="15" fillId="0" borderId="0" xfId="0" applyNumberFormat="1" applyFont="1" applyFill="1" applyBorder="1" applyAlignment="1">
      <alignment horizontal="right"/>
    </xf>
    <xf numFmtId="43" fontId="22" fillId="6" borderId="0" xfId="7" applyFont="1" applyFill="1" applyAlignment="1"/>
    <xf numFmtId="183" fontId="36" fillId="6" borderId="0" xfId="8" applyNumberFormat="1" applyFont="1" applyFill="1" applyAlignment="1">
      <alignment horizontal="center"/>
    </xf>
    <xf numFmtId="183" fontId="19" fillId="6" borderId="0" xfId="8" applyNumberFormat="1" applyFont="1" applyFill="1" applyAlignment="1">
      <alignment horizontal="center"/>
    </xf>
    <xf numFmtId="183" fontId="19" fillId="3" borderId="0" xfId="8" applyNumberFormat="1" applyFont="1" applyFill="1" applyAlignment="1">
      <alignment horizontal="center"/>
    </xf>
    <xf numFmtId="183" fontId="24" fillId="5" borderId="0" xfId="8" applyNumberFormat="1" applyFont="1" applyFill="1" applyAlignment="1">
      <alignment horizontal="center"/>
    </xf>
    <xf numFmtId="183" fontId="26" fillId="5" borderId="0" xfId="8" applyNumberFormat="1" applyFont="1" applyFill="1" applyAlignment="1">
      <alignment horizontal="center"/>
    </xf>
    <xf numFmtId="185" fontId="19" fillId="6" borderId="0" xfId="8" quotePrefix="1" applyNumberFormat="1" applyFont="1" applyFill="1" applyAlignment="1">
      <alignment horizontal="center"/>
    </xf>
    <xf numFmtId="185" fontId="36" fillId="6" borderId="0" xfId="9" applyNumberFormat="1" applyFont="1" applyFill="1" applyAlignment="1">
      <alignment horizontal="center"/>
    </xf>
    <xf numFmtId="185" fontId="36" fillId="3" borderId="0" xfId="9" applyNumberFormat="1" applyFont="1" applyFill="1" applyAlignment="1">
      <alignment horizontal="center"/>
    </xf>
    <xf numFmtId="0" fontId="22" fillId="5" borderId="0" xfId="8" applyFont="1" applyFill="1"/>
    <xf numFmtId="43" fontId="22" fillId="6" borderId="0" xfId="7" applyFont="1" applyFill="1" applyAlignment="1">
      <alignment horizontal="center"/>
    </xf>
    <xf numFmtId="183" fontId="36" fillId="6" borderId="0" xfId="8" quotePrefix="1" applyNumberFormat="1" applyFont="1" applyFill="1" applyAlignment="1">
      <alignment horizontal="center"/>
    </xf>
    <xf numFmtId="183" fontId="19" fillId="6" borderId="0" xfId="8" quotePrefix="1" applyNumberFormat="1" applyFont="1" applyFill="1" applyAlignment="1">
      <alignment horizontal="center"/>
    </xf>
    <xf numFmtId="183" fontId="19" fillId="3" borderId="0" xfId="8" quotePrefix="1" applyNumberFormat="1" applyFont="1" applyFill="1" applyAlignment="1">
      <alignment horizontal="center"/>
    </xf>
    <xf numFmtId="183" fontId="24" fillId="5" borderId="0" xfId="8" quotePrefix="1" applyNumberFormat="1" applyFont="1" applyFill="1" applyAlignment="1">
      <alignment horizontal="center"/>
    </xf>
    <xf numFmtId="178" fontId="19" fillId="6" borderId="0" xfId="8" quotePrefix="1" applyNumberFormat="1" applyFont="1" applyFill="1" applyAlignment="1">
      <alignment horizontal="center"/>
    </xf>
    <xf numFmtId="178" fontId="19" fillId="6" borderId="0" xfId="8" quotePrefix="1" applyNumberFormat="1" applyFont="1" applyFill="1" applyAlignment="1">
      <alignment horizontal="right"/>
    </xf>
    <xf numFmtId="178" fontId="36" fillId="6" borderId="0" xfId="9" applyNumberFormat="1" applyFont="1" applyFill="1" applyAlignment="1">
      <alignment horizontal="right"/>
    </xf>
    <xf numFmtId="191" fontId="36" fillId="3" borderId="0" xfId="9" applyNumberFormat="1" applyFont="1" applyFill="1" applyAlignment="1">
      <alignment horizontal="right"/>
    </xf>
    <xf numFmtId="43" fontId="55" fillId="5" borderId="0" xfId="7" applyFont="1" applyFill="1" applyAlignment="1">
      <alignment horizontal="left" vertical="center"/>
    </xf>
    <xf numFmtId="4" fontId="22" fillId="5" borderId="0" xfId="8" applyNumberFormat="1" applyFont="1" applyFill="1"/>
    <xf numFmtId="4" fontId="15" fillId="5" borderId="0" xfId="8" applyNumberFormat="1" applyFont="1" applyFill="1"/>
    <xf numFmtId="4" fontId="56" fillId="5" borderId="0" xfId="8" applyNumberFormat="1" applyFont="1" applyFill="1"/>
    <xf numFmtId="3" fontId="22" fillId="5" borderId="0" xfId="8" applyNumberFormat="1" applyFont="1" applyFill="1" applyAlignment="1">
      <alignment horizontal="right"/>
    </xf>
    <xf numFmtId="3" fontId="24" fillId="5" borderId="0" xfId="8" applyNumberFormat="1" applyFont="1" applyFill="1"/>
    <xf numFmtId="3" fontId="26" fillId="5" borderId="0" xfId="8" applyNumberFormat="1" applyFont="1" applyFill="1"/>
    <xf numFmtId="43" fontId="57" fillId="5" borderId="0" xfId="7" applyFont="1" applyFill="1" applyAlignment="1">
      <alignment horizontal="center" vertical="center"/>
    </xf>
    <xf numFmtId="4" fontId="26" fillId="5" borderId="0" xfId="8" applyNumberFormat="1" applyFont="1" applyFill="1"/>
    <xf numFmtId="184" fontId="26" fillId="5" borderId="0" xfId="8" applyNumberFormat="1" applyFont="1" applyFill="1"/>
    <xf numFmtId="3" fontId="26" fillId="5" borderId="0" xfId="8" applyNumberFormat="1" applyFont="1" applyFill="1" applyAlignment="1">
      <alignment horizontal="right"/>
    </xf>
    <xf numFmtId="0" fontId="26" fillId="5" borderId="0" xfId="8" applyFont="1" applyFill="1"/>
    <xf numFmtId="43" fontId="36" fillId="4" borderId="0" xfId="7" applyFont="1" applyFill="1" applyAlignment="1">
      <alignment horizontal="left"/>
    </xf>
    <xf numFmtId="192" fontId="36" fillId="4" borderId="0" xfId="7" applyNumberFormat="1" applyFont="1" applyFill="1" applyAlignment="1"/>
    <xf numFmtId="192" fontId="33" fillId="5" borderId="0" xfId="7" applyNumberFormat="1" applyFont="1" applyFill="1" applyAlignment="1"/>
    <xf numFmtId="192" fontId="58" fillId="5" borderId="0" xfId="7" applyNumberFormat="1" applyFont="1" applyFill="1" applyAlignment="1"/>
    <xf numFmtId="192" fontId="36" fillId="5" borderId="0" xfId="7" applyNumberFormat="1" applyFont="1" applyFill="1" applyAlignment="1"/>
    <xf numFmtId="9" fontId="27" fillId="5" borderId="0" xfId="10" applyFont="1" applyFill="1" applyAlignment="1"/>
    <xf numFmtId="9" fontId="60" fillId="5" borderId="0" xfId="10" applyFont="1" applyFill="1" applyAlignment="1"/>
    <xf numFmtId="9" fontId="59" fillId="5" borderId="0" xfId="10" applyFont="1" applyFill="1" applyAlignment="1"/>
    <xf numFmtId="43" fontId="26" fillId="5" borderId="0" xfId="7" applyFont="1" applyFill="1" applyAlignment="1">
      <alignment horizontal="center"/>
    </xf>
    <xf numFmtId="192" fontId="22" fillId="5" borderId="0" xfId="7" applyNumberFormat="1" applyFont="1" applyFill="1" applyAlignment="1"/>
    <xf numFmtId="3" fontId="56" fillId="5" borderId="0" xfId="8" applyNumberFormat="1" applyFont="1" applyFill="1"/>
    <xf numFmtId="193" fontId="15" fillId="5" borderId="0" xfId="8" applyNumberFormat="1" applyFont="1" applyFill="1"/>
    <xf numFmtId="192" fontId="22" fillId="5" borderId="0" xfId="7" applyNumberFormat="1" applyFont="1" applyFill="1" applyAlignment="1">
      <alignment horizontal="right"/>
    </xf>
    <xf numFmtId="192" fontId="24" fillId="5" borderId="0" xfId="7" applyNumberFormat="1" applyFont="1" applyFill="1" applyAlignment="1"/>
    <xf numFmtId="192" fontId="26" fillId="5" borderId="0" xfId="7" applyNumberFormat="1" applyFont="1" applyFill="1" applyAlignment="1"/>
    <xf numFmtId="43" fontId="59" fillId="5" borderId="0" xfId="7" applyFont="1" applyFill="1" applyAlignment="1">
      <alignment horizontal="right"/>
    </xf>
    <xf numFmtId="0" fontId="61" fillId="5" borderId="0" xfId="8" applyFont="1" applyFill="1"/>
    <xf numFmtId="9" fontId="59" fillId="5" borderId="0" xfId="8" applyNumberFormat="1" applyFont="1" applyFill="1"/>
    <xf numFmtId="184" fontId="22" fillId="5" borderId="0" xfId="10" applyNumberFormat="1" applyFont="1" applyFill="1" applyAlignment="1"/>
    <xf numFmtId="0" fontId="61" fillId="5" borderId="0" xfId="8" applyFont="1" applyFill="1" applyAlignment="1">
      <alignment horizontal="right"/>
    </xf>
    <xf numFmtId="0" fontId="62" fillId="5" borderId="0" xfId="8" applyFont="1" applyFill="1"/>
    <xf numFmtId="0" fontId="63" fillId="5" borderId="0" xfId="8" applyFont="1" applyFill="1"/>
    <xf numFmtId="43" fontId="22" fillId="5" borderId="0" xfId="7" applyFont="1" applyFill="1" applyAlignment="1">
      <alignment horizontal="left"/>
    </xf>
    <xf numFmtId="0" fontId="36" fillId="5" borderId="0" xfId="8" applyFont="1" applyFill="1"/>
    <xf numFmtId="0" fontId="36" fillId="5" borderId="0" xfId="8" applyFont="1" applyFill="1" applyAlignment="1">
      <alignment horizontal="right"/>
    </xf>
    <xf numFmtId="0" fontId="33" fillId="5" borderId="0" xfId="8" applyFont="1" applyFill="1"/>
    <xf numFmtId="0" fontId="58" fillId="5" borderId="0" xfId="8" applyFont="1" applyFill="1"/>
    <xf numFmtId="0" fontId="58" fillId="5" borderId="32" xfId="8" applyFont="1" applyFill="1" applyBorder="1" applyAlignment="1">
      <alignment horizontal="right"/>
    </xf>
    <xf numFmtId="0" fontId="59" fillId="5" borderId="0" xfId="8" applyFont="1" applyFill="1"/>
    <xf numFmtId="0" fontId="59" fillId="5" borderId="0" xfId="8" applyFont="1" applyFill="1" applyAlignment="1">
      <alignment horizontal="right"/>
    </xf>
    <xf numFmtId="0" fontId="27" fillId="5" borderId="0" xfId="8" applyFont="1" applyFill="1"/>
    <xf numFmtId="0" fontId="60" fillId="5" borderId="0" xfId="8" applyFont="1" applyFill="1"/>
    <xf numFmtId="0" fontId="60" fillId="5" borderId="33" xfId="8" applyFont="1" applyFill="1" applyBorder="1" applyAlignment="1">
      <alignment horizontal="right"/>
    </xf>
    <xf numFmtId="43" fontId="22" fillId="5" borderId="34" xfId="7" applyFont="1" applyFill="1" applyBorder="1" applyAlignment="1"/>
    <xf numFmtId="0" fontId="22" fillId="5" borderId="34" xfId="8" applyFont="1" applyFill="1" applyBorder="1"/>
    <xf numFmtId="0" fontId="22" fillId="5" borderId="34" xfId="8" applyFont="1" applyFill="1" applyBorder="1" applyAlignment="1">
      <alignment horizontal="right"/>
    </xf>
    <xf numFmtId="0" fontId="24" fillId="5" borderId="34" xfId="8" applyFont="1" applyFill="1" applyBorder="1"/>
    <xf numFmtId="0" fontId="26" fillId="5" borderId="34" xfId="8" applyFont="1" applyFill="1" applyBorder="1"/>
    <xf numFmtId="9" fontId="22" fillId="5" borderId="0" xfId="8" applyNumberFormat="1" applyFont="1" applyFill="1"/>
    <xf numFmtId="9" fontId="22" fillId="5" borderId="0" xfId="10" applyFont="1" applyFill="1" applyAlignment="1"/>
    <xf numFmtId="0" fontId="22" fillId="5" borderId="0" xfId="8" applyFont="1" applyFill="1" applyAlignment="1">
      <alignment horizontal="right"/>
    </xf>
    <xf numFmtId="0" fontId="24" fillId="5" borderId="0" xfId="8" applyFont="1" applyFill="1"/>
    <xf numFmtId="43" fontId="36" fillId="5" borderId="0" xfId="7" applyFont="1" applyFill="1" applyAlignment="1">
      <alignment horizontal="left" indent="4"/>
    </xf>
    <xf numFmtId="3" fontId="33" fillId="5" borderId="0" xfId="8" applyNumberFormat="1" applyFont="1" applyFill="1"/>
    <xf numFmtId="3" fontId="58" fillId="5" borderId="0" xfId="8" applyNumberFormat="1" applyFont="1" applyFill="1"/>
    <xf numFmtId="192" fontId="36" fillId="5" borderId="0" xfId="8" applyNumberFormat="1" applyFont="1" applyFill="1"/>
    <xf numFmtId="184" fontId="22" fillId="5" borderId="0" xfId="7" applyNumberFormat="1" applyFont="1" applyFill="1" applyAlignment="1"/>
    <xf numFmtId="9" fontId="51" fillId="5" borderId="0" xfId="10" applyFont="1" applyFill="1" applyAlignment="1"/>
    <xf numFmtId="43" fontId="59" fillId="5" borderId="0" xfId="7" applyFont="1" applyFill="1" applyAlignment="1">
      <alignment horizontal="left" indent="5"/>
    </xf>
    <xf numFmtId="9" fontId="23" fillId="5" borderId="0" xfId="10" applyFont="1" applyFill="1" applyBorder="1" applyAlignment="1"/>
    <xf numFmtId="9" fontId="60" fillId="5" borderId="0" xfId="10" applyFont="1" applyFill="1" applyBorder="1" applyAlignment="1"/>
    <xf numFmtId="9" fontId="51" fillId="5" borderId="0" xfId="10" applyFont="1" applyFill="1" applyBorder="1" applyAlignment="1"/>
    <xf numFmtId="9" fontId="59" fillId="5" borderId="0" xfId="10" applyFont="1" applyFill="1" applyAlignment="1">
      <alignment horizontal="right"/>
    </xf>
    <xf numFmtId="9" fontId="23" fillId="5" borderId="0" xfId="10" applyFont="1" applyFill="1" applyAlignment="1"/>
    <xf numFmtId="192" fontId="59" fillId="5" borderId="0" xfId="7" applyNumberFormat="1" applyFont="1" applyFill="1" applyAlignment="1"/>
    <xf numFmtId="192" fontId="36" fillId="5" borderId="0" xfId="7" applyNumberFormat="1" applyFont="1" applyFill="1" applyAlignment="1">
      <alignment horizontal="right"/>
    </xf>
    <xf numFmtId="43" fontId="22" fillId="5" borderId="0" xfId="7" applyFont="1" applyFill="1" applyAlignment="1">
      <alignment horizontal="right"/>
    </xf>
    <xf numFmtId="192" fontId="22" fillId="5" borderId="0" xfId="8" applyNumberFormat="1" applyFont="1" applyFill="1"/>
    <xf numFmtId="3" fontId="22" fillId="5" borderId="0" xfId="7" applyNumberFormat="1" applyFont="1" applyFill="1" applyAlignment="1">
      <alignment horizontal="right"/>
    </xf>
    <xf numFmtId="184" fontId="23" fillId="5" borderId="0" xfId="10" applyNumberFormat="1" applyFont="1" applyFill="1" applyAlignment="1"/>
    <xf numFmtId="9" fontId="23" fillId="5" borderId="0" xfId="10" applyNumberFormat="1" applyFont="1" applyFill="1" applyAlignment="1"/>
    <xf numFmtId="43" fontId="22" fillId="5" borderId="0" xfId="7" applyFont="1" applyFill="1" applyAlignment="1">
      <alignment horizontal="center"/>
    </xf>
    <xf numFmtId="43" fontId="36" fillId="5" borderId="0" xfId="7" applyFont="1" applyFill="1" applyAlignment="1">
      <alignment horizontal="left" indent="3"/>
    </xf>
    <xf numFmtId="3" fontId="22" fillId="5" borderId="0" xfId="8" applyNumberFormat="1" applyFont="1" applyFill="1"/>
    <xf numFmtId="43" fontId="59" fillId="5" borderId="0" xfId="7" applyFont="1" applyFill="1" applyAlignment="1">
      <alignment horizontal="left" indent="4"/>
    </xf>
    <xf numFmtId="184" fontId="51" fillId="5" borderId="0" xfId="10" applyNumberFormat="1" applyFont="1" applyFill="1" applyAlignment="1"/>
    <xf numFmtId="0" fontId="19" fillId="5" borderId="0" xfId="8" applyFont="1" applyFill="1"/>
    <xf numFmtId="1" fontId="19" fillId="5" borderId="0" xfId="8" applyNumberFormat="1" applyFont="1" applyFill="1"/>
    <xf numFmtId="1" fontId="36" fillId="5" borderId="0" xfId="8" applyNumberFormat="1" applyFont="1" applyFill="1"/>
    <xf numFmtId="9" fontId="23" fillId="5" borderId="0" xfId="10" applyNumberFormat="1" applyFont="1" applyFill="1" applyBorder="1" applyAlignment="1"/>
    <xf numFmtId="192" fontId="59" fillId="5" borderId="0" xfId="10" applyNumberFormat="1" applyFont="1" applyFill="1" applyAlignment="1"/>
    <xf numFmtId="43" fontId="22" fillId="5" borderId="0" xfId="7" applyFont="1" applyFill="1" applyAlignment="1">
      <alignment horizontal="left" indent="4"/>
    </xf>
    <xf numFmtId="192" fontId="15" fillId="5" borderId="0" xfId="7" applyNumberFormat="1" applyFont="1" applyFill="1" applyAlignment="1"/>
    <xf numFmtId="192" fontId="56" fillId="5" borderId="0" xfId="7" applyNumberFormat="1" applyFont="1" applyFill="1" applyAlignment="1"/>
    <xf numFmtId="184" fontId="56" fillId="5" borderId="0" xfId="10" applyNumberFormat="1" applyFont="1" applyFill="1" applyAlignment="1"/>
    <xf numFmtId="9" fontId="56" fillId="5" borderId="0" xfId="10" applyFont="1" applyFill="1" applyAlignment="1"/>
    <xf numFmtId="1" fontId="22" fillId="5" borderId="0" xfId="8" applyNumberFormat="1" applyFont="1" applyFill="1"/>
    <xf numFmtId="192" fontId="59" fillId="5" borderId="0" xfId="7" applyNumberFormat="1" applyFont="1" applyFill="1" applyAlignment="1">
      <alignment horizontal="right"/>
    </xf>
    <xf numFmtId="192" fontId="27" fillId="5" borderId="0" xfId="7" applyNumberFormat="1" applyFont="1" applyFill="1" applyAlignment="1"/>
    <xf numFmtId="192" fontId="60" fillId="5" borderId="0" xfId="7" applyNumberFormat="1" applyFont="1" applyFill="1" applyAlignment="1"/>
    <xf numFmtId="194" fontId="22" fillId="5" borderId="0" xfId="8" applyNumberFormat="1" applyFont="1" applyFill="1"/>
    <xf numFmtId="9" fontId="56" fillId="5" borderId="0" xfId="10" applyNumberFormat="1" applyFont="1" applyFill="1" applyAlignment="1"/>
    <xf numFmtId="43" fontId="36" fillId="5" borderId="0" xfId="7" applyFont="1" applyFill="1" applyAlignment="1">
      <alignment horizontal="left" indent="2"/>
    </xf>
    <xf numFmtId="43" fontId="22" fillId="5" borderId="0" xfId="7" applyFont="1" applyFill="1" applyAlignment="1"/>
    <xf numFmtId="43" fontId="59" fillId="5" borderId="0" xfId="7" applyFont="1" applyFill="1" applyAlignment="1">
      <alignment horizontal="left" indent="3"/>
    </xf>
    <xf numFmtId="43" fontId="65" fillId="5" borderId="0" xfId="7" applyFont="1" applyFill="1" applyAlignment="1">
      <alignment horizontal="left" indent="3"/>
    </xf>
    <xf numFmtId="9" fontId="51" fillId="5" borderId="0" xfId="10" applyNumberFormat="1" applyFont="1" applyFill="1" applyAlignment="1"/>
    <xf numFmtId="43" fontId="66" fillId="5" borderId="0" xfId="7" applyFont="1" applyFill="1" applyAlignment="1">
      <alignment horizontal="left" indent="3"/>
    </xf>
    <xf numFmtId="43" fontId="22" fillId="5" borderId="0" xfId="7" applyFont="1" applyFill="1" applyAlignment="1">
      <alignment horizontal="left" indent="5"/>
    </xf>
    <xf numFmtId="3" fontId="15" fillId="5" borderId="0" xfId="8" applyNumberFormat="1" applyFont="1" applyFill="1"/>
    <xf numFmtId="3" fontId="36" fillId="5" borderId="0" xfId="8" applyNumberFormat="1" applyFont="1" applyFill="1"/>
    <xf numFmtId="3" fontId="19" fillId="5" borderId="0" xfId="8" applyNumberFormat="1" applyFont="1" applyFill="1"/>
    <xf numFmtId="9" fontId="61" fillId="5" borderId="0" xfId="10" applyFont="1" applyFill="1" applyAlignment="1"/>
    <xf numFmtId="192" fontId="36" fillId="5" borderId="0" xfId="10" applyNumberFormat="1" applyFont="1" applyFill="1" applyAlignment="1"/>
    <xf numFmtId="192" fontId="19" fillId="5" borderId="0" xfId="10" applyNumberFormat="1" applyFont="1" applyFill="1" applyAlignment="1"/>
    <xf numFmtId="9" fontId="61" fillId="5" borderId="0" xfId="10" applyFont="1" applyFill="1" applyAlignment="1">
      <alignment horizontal="right"/>
    </xf>
    <xf numFmtId="192" fontId="43" fillId="5" borderId="0" xfId="7" applyNumberFormat="1" applyFont="1" applyFill="1" applyAlignment="1"/>
    <xf numFmtId="43" fontId="67" fillId="5" borderId="0" xfId="7" applyFont="1" applyFill="1" applyAlignment="1">
      <alignment horizontal="right"/>
    </xf>
    <xf numFmtId="9" fontId="67" fillId="5" borderId="0" xfId="10" applyFont="1" applyFill="1" applyAlignment="1"/>
    <xf numFmtId="192" fontId="67" fillId="5" borderId="0" xfId="10" applyNumberFormat="1" applyFont="1" applyFill="1" applyAlignment="1"/>
    <xf numFmtId="9" fontId="67" fillId="5" borderId="0" xfId="10" applyFont="1" applyFill="1" applyAlignment="1">
      <alignment horizontal="right"/>
    </xf>
    <xf numFmtId="43" fontId="36" fillId="11" borderId="0" xfId="7" applyFont="1" applyFill="1" applyAlignment="1">
      <alignment horizontal="left" indent="1"/>
    </xf>
    <xf numFmtId="192" fontId="36" fillId="11" borderId="0" xfId="8" applyNumberFormat="1" applyFont="1" applyFill="1"/>
    <xf numFmtId="0" fontId="36" fillId="11" borderId="0" xfId="8" applyFont="1" applyFill="1"/>
    <xf numFmtId="43" fontId="59" fillId="5" borderId="0" xfId="7" applyFont="1" applyFill="1" applyAlignment="1">
      <alignment horizontal="left" indent="2"/>
    </xf>
    <xf numFmtId="43" fontId="22" fillId="5" borderId="0" xfId="7" applyFont="1" applyFill="1" applyAlignment="1">
      <alignment horizontal="left" indent="1"/>
    </xf>
    <xf numFmtId="195" fontId="22" fillId="5" borderId="0" xfId="8" applyNumberFormat="1" applyFont="1" applyFill="1"/>
    <xf numFmtId="43" fontId="36" fillId="11" borderId="19" xfId="7" applyFont="1" applyFill="1" applyBorder="1" applyAlignment="1">
      <alignment horizontal="left" indent="1"/>
    </xf>
    <xf numFmtId="3" fontId="36" fillId="11" borderId="19" xfId="8" applyNumberFormat="1" applyFont="1" applyFill="1" applyBorder="1"/>
    <xf numFmtId="0" fontId="36" fillId="11" borderId="19" xfId="8" applyFont="1" applyFill="1" applyBorder="1"/>
    <xf numFmtId="196" fontId="22" fillId="5" borderId="0" xfId="8" applyNumberFormat="1" applyFont="1" applyFill="1"/>
    <xf numFmtId="196" fontId="22" fillId="5" borderId="0" xfId="11" applyNumberFormat="1" applyFont="1" applyFill="1" applyAlignment="1"/>
    <xf numFmtId="196" fontId="22" fillId="5" borderId="0" xfId="11" applyNumberFormat="1" applyFont="1" applyFill="1" applyAlignment="1">
      <alignment horizontal="right"/>
    </xf>
    <xf numFmtId="196" fontId="24" fillId="5" borderId="0" xfId="11" applyNumberFormat="1" applyFont="1" applyFill="1" applyAlignment="1"/>
    <xf numFmtId="196" fontId="26" fillId="5" borderId="0" xfId="11" applyNumberFormat="1" applyFont="1" applyFill="1" applyAlignment="1"/>
    <xf numFmtId="3" fontId="36" fillId="11" borderId="0" xfId="8" applyNumberFormat="1" applyFont="1" applyFill="1"/>
    <xf numFmtId="9" fontId="51" fillId="5" borderId="0" xfId="10" applyFont="1" applyFill="1" applyAlignment="1">
      <alignment horizontal="right"/>
    </xf>
    <xf numFmtId="43" fontId="36" fillId="5" borderId="0" xfId="7" applyFont="1" applyFill="1" applyAlignment="1">
      <alignment horizontal="left" indent="1"/>
    </xf>
    <xf numFmtId="3" fontId="36" fillId="5" borderId="0" xfId="8" applyNumberFormat="1" applyFont="1" applyFill="1" applyAlignment="1">
      <alignment horizontal="right"/>
    </xf>
    <xf numFmtId="43" fontId="36" fillId="5" borderId="34" xfId="7" applyFont="1" applyFill="1" applyBorder="1" applyAlignment="1">
      <alignment horizontal="center"/>
    </xf>
    <xf numFmtId="3" fontId="22" fillId="5" borderId="34" xfId="8" applyNumberFormat="1" applyFont="1" applyFill="1" applyBorder="1"/>
    <xf numFmtId="9" fontId="22" fillId="5" borderId="34" xfId="8" applyNumberFormat="1" applyFont="1" applyFill="1" applyBorder="1"/>
    <xf numFmtId="3" fontId="22" fillId="5" borderId="34" xfId="8" applyNumberFormat="1" applyFont="1" applyFill="1" applyBorder="1" applyAlignment="1">
      <alignment horizontal="right"/>
    </xf>
    <xf numFmtId="3" fontId="24" fillId="5" borderId="34" xfId="8" applyNumberFormat="1" applyFont="1" applyFill="1" applyBorder="1"/>
    <xf numFmtId="3" fontId="26" fillId="5" borderId="34" xfId="8" applyNumberFormat="1" applyFont="1" applyFill="1" applyBorder="1"/>
    <xf numFmtId="43" fontId="36" fillId="4" borderId="0" xfId="7" applyFont="1" applyFill="1" applyAlignment="1"/>
    <xf numFmtId="3" fontId="36" fillId="4" borderId="0" xfId="8" applyNumberFormat="1" applyFont="1" applyFill="1"/>
    <xf numFmtId="43" fontId="59" fillId="5" borderId="0" xfId="7" applyFont="1" applyFill="1" applyAlignment="1">
      <alignment horizontal="left" indent="1"/>
    </xf>
    <xf numFmtId="43" fontId="36" fillId="5" borderId="0" xfId="7" applyFont="1" applyFill="1" applyAlignment="1">
      <alignment horizontal="center"/>
    </xf>
    <xf numFmtId="0" fontId="15" fillId="5" borderId="0" xfId="8" applyFont="1" applyFill="1" applyAlignment="1">
      <alignment horizontal="right"/>
    </xf>
    <xf numFmtId="0" fontId="15" fillId="5" borderId="0" xfId="8" applyFont="1" applyFill="1"/>
    <xf numFmtId="9" fontId="59" fillId="5" borderId="0" xfId="10" applyFont="1" applyFill="1" applyBorder="1" applyAlignment="1"/>
    <xf numFmtId="9" fontId="61" fillId="5" borderId="0" xfId="10" applyFont="1" applyFill="1" applyBorder="1" applyAlignment="1"/>
    <xf numFmtId="0" fontId="22" fillId="5" borderId="0" xfId="8" applyFont="1" applyFill="1" applyBorder="1"/>
    <xf numFmtId="3" fontId="36" fillId="5" borderId="0" xfId="8" applyNumberFormat="1" applyFont="1" applyFill="1" applyBorder="1" applyAlignment="1">
      <alignment horizontal="right"/>
    </xf>
    <xf numFmtId="3" fontId="36" fillId="5" borderId="0" xfId="8" applyNumberFormat="1" applyFont="1" applyFill="1" applyBorder="1"/>
    <xf numFmtId="9" fontId="36" fillId="5" borderId="0" xfId="8" applyNumberFormat="1" applyFont="1" applyFill="1" applyBorder="1"/>
    <xf numFmtId="184" fontId="22" fillId="5" borderId="0" xfId="10" applyNumberFormat="1" applyFont="1" applyFill="1" applyBorder="1" applyAlignment="1"/>
    <xf numFmtId="43" fontId="60" fillId="5" borderId="0" xfId="7" applyFont="1" applyFill="1" applyBorder="1" applyAlignment="1">
      <alignment horizontal="center"/>
    </xf>
    <xf numFmtId="192" fontId="51" fillId="5" borderId="0" xfId="7" applyNumberFormat="1" applyFont="1" applyFill="1" applyBorder="1" applyAlignment="1"/>
    <xf numFmtId="193" fontId="59" fillId="5" borderId="0" xfId="10" applyNumberFormat="1" applyFont="1" applyFill="1" applyBorder="1" applyAlignment="1"/>
    <xf numFmtId="9" fontId="59" fillId="5" borderId="0" xfId="10" applyFont="1" applyFill="1" applyBorder="1" applyAlignment="1">
      <alignment horizontal="right"/>
    </xf>
    <xf numFmtId="9" fontId="27" fillId="5" borderId="0" xfId="10" applyFont="1" applyFill="1" applyBorder="1" applyAlignment="1"/>
    <xf numFmtId="192" fontId="59" fillId="5" borderId="0" xfId="7" applyNumberFormat="1" applyFont="1" applyFill="1" applyBorder="1" applyAlignment="1"/>
    <xf numFmtId="43" fontId="36" fillId="5" borderId="0" xfId="7" applyFont="1" applyFill="1" applyAlignment="1"/>
    <xf numFmtId="0" fontId="36" fillId="14" borderId="0" xfId="8" applyFont="1" applyFill="1"/>
    <xf numFmtId="43" fontId="22" fillId="14" borderId="0" xfId="7" applyFont="1" applyFill="1" applyAlignment="1"/>
    <xf numFmtId="3" fontId="22" fillId="14" borderId="0" xfId="8" applyNumberFormat="1" applyFont="1" applyFill="1"/>
    <xf numFmtId="0" fontId="22" fillId="14" borderId="0" xfId="8" applyFont="1" applyFill="1"/>
    <xf numFmtId="43" fontId="15" fillId="5" borderId="0" xfId="7" applyFont="1" applyFill="1" applyAlignment="1"/>
    <xf numFmtId="3" fontId="56" fillId="5" borderId="0" xfId="8" applyNumberFormat="1" applyFont="1" applyFill="1" applyAlignment="1">
      <alignment horizontal="right"/>
    </xf>
    <xf numFmtId="43" fontId="36" fillId="15" borderId="0" xfId="7" applyFont="1" applyFill="1" applyAlignment="1"/>
    <xf numFmtId="43" fontId="36" fillId="5" borderId="0" xfId="7" applyFont="1" applyFill="1" applyBorder="1" applyAlignment="1"/>
    <xf numFmtId="0" fontId="36" fillId="5" borderId="0" xfId="8" applyFont="1" applyFill="1" applyBorder="1"/>
    <xf numFmtId="0" fontId="36" fillId="5" borderId="0" xfId="8" applyFont="1" applyFill="1" applyBorder="1" applyAlignment="1">
      <alignment horizontal="right"/>
    </xf>
    <xf numFmtId="199" fontId="16" fillId="5" borderId="0" xfId="7" applyNumberFormat="1" applyFont="1" applyFill="1" applyBorder="1" applyAlignment="1"/>
    <xf numFmtId="0" fontId="26" fillId="5" borderId="0" xfId="8" applyFont="1" applyFill="1" applyBorder="1"/>
    <xf numFmtId="43" fontId="59" fillId="5" borderId="0" xfId="7" applyFont="1" applyFill="1" applyBorder="1" applyAlignment="1">
      <alignment horizontal="right"/>
    </xf>
    <xf numFmtId="0" fontId="24" fillId="5" borderId="0" xfId="8" applyFont="1" applyFill="1" applyBorder="1"/>
    <xf numFmtId="9" fontId="22" fillId="5" borderId="0" xfId="10" applyFont="1" applyFill="1" applyBorder="1" applyAlignment="1"/>
    <xf numFmtId="43" fontId="59" fillId="5" borderId="0" xfId="7" applyFont="1" applyFill="1" applyBorder="1" applyAlignment="1">
      <alignment horizontal="right" indent="2"/>
    </xf>
    <xf numFmtId="43" fontId="72" fillId="5" borderId="0" xfId="7" applyFont="1" applyFill="1" applyBorder="1" applyAlignment="1">
      <alignment horizontal="left"/>
    </xf>
    <xf numFmtId="0" fontId="72" fillId="5" borderId="0" xfId="8" applyFont="1" applyFill="1" applyBorder="1"/>
    <xf numFmtId="200" fontId="72" fillId="5" borderId="0" xfId="8" applyNumberFormat="1" applyFont="1" applyFill="1" applyBorder="1"/>
    <xf numFmtId="200" fontId="56" fillId="5" borderId="0" xfId="8" applyNumberFormat="1" applyFont="1" applyFill="1" applyBorder="1"/>
    <xf numFmtId="201" fontId="37" fillId="5" borderId="0" xfId="8" applyNumberFormat="1" applyFont="1" applyFill="1" applyBorder="1"/>
    <xf numFmtId="0" fontId="72" fillId="5" borderId="0" xfId="8" applyFont="1" applyFill="1" applyBorder="1" applyAlignment="1">
      <alignment horizontal="right"/>
    </xf>
    <xf numFmtId="4" fontId="22" fillId="5" borderId="0" xfId="8" applyNumberFormat="1" applyFont="1" applyFill="1" applyBorder="1"/>
    <xf numFmtId="43" fontId="26" fillId="5" borderId="0" xfId="7" applyFont="1" applyFill="1" applyBorder="1" applyAlignment="1">
      <alignment horizontal="left"/>
    </xf>
    <xf numFmtId="200" fontId="22" fillId="5" borderId="0" xfId="8" applyNumberFormat="1" applyFont="1" applyFill="1" applyBorder="1"/>
    <xf numFmtId="0" fontId="22" fillId="5" borderId="0" xfId="8" applyFont="1" applyFill="1" applyBorder="1" applyAlignment="1">
      <alignment horizontal="right"/>
    </xf>
    <xf numFmtId="43" fontId="22" fillId="5" borderId="0" xfId="7" applyFont="1" applyFill="1" applyBorder="1" applyAlignment="1">
      <alignment horizontal="center"/>
    </xf>
    <xf numFmtId="202" fontId="22" fillId="5" borderId="0" xfId="8" applyNumberFormat="1" applyFont="1" applyFill="1" applyBorder="1"/>
    <xf numFmtId="199" fontId="72" fillId="5" borderId="0" xfId="7" applyNumberFormat="1" applyFont="1" applyFill="1" applyBorder="1" applyAlignment="1"/>
    <xf numFmtId="199" fontId="72" fillId="5" borderId="0" xfId="7" applyNumberFormat="1" applyFont="1" applyFill="1" applyBorder="1" applyAlignment="1">
      <alignment horizontal="right"/>
    </xf>
    <xf numFmtId="199" fontId="26" fillId="5" borderId="0" xfId="7" applyNumberFormat="1" applyFont="1" applyFill="1" applyBorder="1" applyAlignment="1"/>
    <xf numFmtId="43" fontId="22" fillId="4" borderId="0" xfId="7" applyFont="1" applyFill="1" applyBorder="1" applyAlignment="1"/>
    <xf numFmtId="0" fontId="22" fillId="4" borderId="0" xfId="8" applyFont="1" applyFill="1" applyBorder="1"/>
    <xf numFmtId="202" fontId="22" fillId="4" borderId="0" xfId="8" applyNumberFormat="1" applyFont="1" applyFill="1" applyBorder="1"/>
    <xf numFmtId="0" fontId="59" fillId="5" borderId="0" xfId="8" applyFont="1" applyFill="1" applyBorder="1"/>
    <xf numFmtId="9" fontId="59" fillId="5" borderId="0" xfId="8" applyNumberFormat="1" applyFont="1" applyFill="1" applyBorder="1"/>
    <xf numFmtId="0" fontId="59" fillId="5" borderId="0" xfId="8" applyFont="1" applyFill="1" applyBorder="1" applyAlignment="1">
      <alignment horizontal="right"/>
    </xf>
    <xf numFmtId="0" fontId="27" fillId="5" borderId="0" xfId="8" applyFont="1" applyFill="1" applyBorder="1"/>
    <xf numFmtId="0" fontId="60" fillId="5" borderId="0" xfId="8" applyFont="1" applyFill="1" applyBorder="1"/>
    <xf numFmtId="202" fontId="59" fillId="5" borderId="0" xfId="8" applyNumberFormat="1" applyFont="1" applyFill="1" applyBorder="1"/>
    <xf numFmtId="9" fontId="59" fillId="10" borderId="0" xfId="8" applyNumberFormat="1" applyFont="1" applyFill="1" applyBorder="1"/>
    <xf numFmtId="43" fontId="22" fillId="5" borderId="0" xfId="7" applyFont="1" applyFill="1" applyBorder="1" applyAlignment="1">
      <alignment horizontal="left" indent="1"/>
    </xf>
    <xf numFmtId="3" fontId="68" fillId="5" borderId="0" xfId="8" applyNumberFormat="1" applyFont="1" applyFill="1" applyBorder="1"/>
    <xf numFmtId="9" fontId="22" fillId="5" borderId="0" xfId="8" applyNumberFormat="1" applyFont="1" applyFill="1" applyBorder="1"/>
    <xf numFmtId="43" fontId="22" fillId="5" borderId="0" xfId="7" applyFont="1" applyFill="1" applyBorder="1" applyAlignment="1"/>
    <xf numFmtId="192" fontId="68" fillId="5" borderId="0" xfId="7" applyNumberFormat="1" applyFont="1" applyFill="1" applyBorder="1" applyAlignment="1">
      <alignment horizontal="left"/>
    </xf>
    <xf numFmtId="192" fontId="68" fillId="5" borderId="0" xfId="7" applyNumberFormat="1" applyFont="1" applyFill="1" applyBorder="1" applyAlignment="1"/>
    <xf numFmtId="192" fontId="68" fillId="5" borderId="0" xfId="7" applyNumberFormat="1" applyFont="1" applyFill="1" applyBorder="1" applyAlignment="1">
      <alignment horizontal="right"/>
    </xf>
    <xf numFmtId="43" fontId="22" fillId="4" borderId="0" xfId="7" applyFont="1" applyFill="1" applyBorder="1" applyAlignment="1">
      <alignment horizontal="left"/>
    </xf>
    <xf numFmtId="3" fontId="22" fillId="5" borderId="0" xfId="8" applyNumberFormat="1" applyFont="1" applyFill="1" applyBorder="1"/>
    <xf numFmtId="0" fontId="73" fillId="5" borderId="0" xfId="8" applyFont="1" applyFill="1" applyBorder="1"/>
    <xf numFmtId="43" fontId="15" fillId="5" borderId="0" xfId="7" applyFont="1" applyFill="1" applyBorder="1" applyAlignment="1">
      <alignment horizontal="left" indent="1"/>
    </xf>
    <xf numFmtId="0" fontId="15" fillId="5" borderId="0" xfId="8" applyFont="1" applyFill="1" applyBorder="1"/>
    <xf numFmtId="9" fontId="15" fillId="5" borderId="0" xfId="8" applyNumberFormat="1" applyFont="1" applyFill="1" applyBorder="1"/>
    <xf numFmtId="0" fontId="15" fillId="5" borderId="0" xfId="8" applyFont="1" applyFill="1" applyBorder="1" applyAlignment="1">
      <alignment horizontal="right"/>
    </xf>
    <xf numFmtId="202" fontId="15" fillId="5" borderId="0" xfId="8" applyNumberFormat="1" applyFont="1" applyFill="1" applyBorder="1"/>
    <xf numFmtId="204" fontId="19" fillId="5" borderId="0" xfId="8" applyNumberFormat="1" applyFont="1" applyFill="1" applyBorder="1"/>
    <xf numFmtId="9" fontId="59" fillId="0" borderId="0" xfId="8" applyNumberFormat="1" applyFont="1"/>
    <xf numFmtId="202" fontId="59" fillId="5" borderId="0" xfId="8" applyNumberFormat="1" applyFont="1" applyFill="1"/>
    <xf numFmtId="9" fontId="15" fillId="5" borderId="0" xfId="8" applyNumberFormat="1" applyFont="1" applyFill="1"/>
    <xf numFmtId="9" fontId="22" fillId="5" borderId="0" xfId="8" applyNumberFormat="1" applyFont="1" applyFill="1" applyAlignment="1">
      <alignment horizontal="right"/>
    </xf>
    <xf numFmtId="184" fontId="22" fillId="5" borderId="0" xfId="8" applyNumberFormat="1" applyFont="1" applyFill="1"/>
    <xf numFmtId="184" fontId="56" fillId="5" borderId="0" xfId="8" applyNumberFormat="1" applyFont="1" applyFill="1"/>
    <xf numFmtId="184" fontId="15" fillId="5" borderId="0" xfId="8" applyNumberFormat="1" applyFont="1" applyFill="1"/>
    <xf numFmtId="9" fontId="56" fillId="5" borderId="0" xfId="8" applyNumberFormat="1" applyFont="1" applyFill="1"/>
    <xf numFmtId="3" fontId="22" fillId="0" borderId="0" xfId="8" applyNumberFormat="1" applyFont="1" applyFill="1"/>
    <xf numFmtId="3" fontId="22" fillId="0" borderId="0" xfId="8" applyNumberFormat="1" applyFont="1"/>
    <xf numFmtId="184" fontId="15" fillId="5" borderId="0" xfId="10" applyNumberFormat="1" applyFont="1" applyFill="1" applyAlignment="1"/>
    <xf numFmtId="0" fontId="56" fillId="5" borderId="0" xfId="8" applyFont="1" applyFill="1"/>
    <xf numFmtId="3" fontId="24" fillId="5" borderId="0" xfId="8" applyNumberFormat="1" applyFont="1" applyFill="1" applyBorder="1"/>
    <xf numFmtId="3" fontId="26" fillId="5" borderId="0" xfId="8" applyNumberFormat="1" applyFont="1" applyFill="1" applyBorder="1"/>
    <xf numFmtId="3" fontId="74" fillId="5" borderId="0" xfId="8" applyNumberFormat="1" applyFont="1" applyFill="1" applyBorder="1"/>
    <xf numFmtId="43" fontId="22" fillId="4" borderId="0" xfId="7" applyFont="1" applyFill="1" applyAlignment="1"/>
    <xf numFmtId="0" fontId="22" fillId="5" borderId="0" xfId="8" applyFont="1" applyFill="1" applyAlignment="1">
      <alignment horizontal="center" vertical="center"/>
    </xf>
    <xf numFmtId="0" fontId="22" fillId="5" borderId="0" xfId="8" applyFont="1" applyFill="1" applyAlignment="1">
      <alignment horizontal="left" vertical="center"/>
    </xf>
    <xf numFmtId="199" fontId="22" fillId="5" borderId="0" xfId="7" applyNumberFormat="1" applyFont="1" applyFill="1" applyAlignment="1"/>
    <xf numFmtId="205" fontId="22" fillId="5" borderId="0" xfId="8" applyNumberFormat="1" applyFont="1" applyFill="1"/>
    <xf numFmtId="0" fontId="22" fillId="5" borderId="0" xfId="8" applyFont="1" applyFill="1" applyAlignment="1">
      <alignment horizontal="left" vertical="center" indent="2"/>
    </xf>
    <xf numFmtId="0" fontId="36" fillId="5" borderId="0" xfId="8" applyFont="1" applyFill="1" applyAlignment="1">
      <alignment horizontal="center" vertical="center"/>
    </xf>
    <xf numFmtId="0" fontId="36" fillId="5" borderId="0" xfId="8" applyFont="1" applyFill="1" applyAlignment="1">
      <alignment horizontal="left" vertical="center"/>
    </xf>
    <xf numFmtId="192" fontId="77" fillId="0" borderId="0" xfId="12" applyNumberFormat="1" applyFont="1" applyBorder="1" applyAlignment="1">
      <alignment horizontal="left"/>
    </xf>
    <xf numFmtId="207" fontId="78" fillId="0" borderId="0" xfId="13" applyFont="1">
      <alignment vertical="center"/>
    </xf>
    <xf numFmtId="207" fontId="79" fillId="0" borderId="0" xfId="13" applyFont="1" applyAlignment="1">
      <alignment horizontal="right" vertical="center"/>
    </xf>
    <xf numFmtId="208" fontId="77" fillId="0" borderId="0" xfId="12" applyNumberFormat="1" applyFont="1" applyFill="1" applyAlignment="1">
      <alignment horizontal="right" vertical="center"/>
    </xf>
    <xf numFmtId="184" fontId="80" fillId="5" borderId="0" xfId="14" applyNumberFormat="1" applyFont="1" applyFill="1" applyBorder="1" applyAlignment="1">
      <alignment horizontal="right" wrapText="1"/>
    </xf>
    <xf numFmtId="208" fontId="81" fillId="5" borderId="0" xfId="15" applyNumberFormat="1" applyFont="1" applyFill="1" applyBorder="1" applyAlignment="1">
      <alignment horizontal="right" vertical="center"/>
    </xf>
    <xf numFmtId="9" fontId="77" fillId="5" borderId="0" xfId="14" applyFont="1" applyFill="1" applyAlignment="1">
      <alignment horizontal="right" vertical="center"/>
    </xf>
    <xf numFmtId="207" fontId="77" fillId="0" borderId="0" xfId="13" applyFont="1" applyAlignment="1">
      <alignment horizontal="right" vertical="center"/>
    </xf>
    <xf numFmtId="209" fontId="77" fillId="0" borderId="0" xfId="13" applyNumberFormat="1" applyFont="1" applyAlignment="1">
      <alignment horizontal="right" vertical="center"/>
    </xf>
    <xf numFmtId="184" fontId="77" fillId="0" borderId="0" xfId="14" applyNumberFormat="1" applyFont="1" applyFill="1" applyAlignment="1">
      <alignment horizontal="right" vertical="center"/>
    </xf>
    <xf numFmtId="9" fontId="79" fillId="0" borderId="0" xfId="14" applyFont="1" applyFill="1" applyAlignment="1">
      <alignment horizontal="right" vertical="center"/>
    </xf>
    <xf numFmtId="208" fontId="79" fillId="0" borderId="0" xfId="12" applyNumberFormat="1" applyFont="1" applyFill="1" applyAlignment="1">
      <alignment horizontal="right" vertical="center"/>
    </xf>
    <xf numFmtId="184" fontId="79" fillId="0" borderId="0" xfId="14" applyNumberFormat="1" applyFont="1" applyFill="1" applyAlignment="1">
      <alignment horizontal="right" vertical="center"/>
    </xf>
    <xf numFmtId="9" fontId="79" fillId="0" borderId="0" xfId="13" applyNumberFormat="1" applyFont="1" applyAlignment="1">
      <alignment horizontal="right" vertical="center"/>
    </xf>
    <xf numFmtId="9" fontId="79" fillId="0" borderId="0" xfId="14" applyFont="1" applyFill="1">
      <alignment vertical="center"/>
    </xf>
    <xf numFmtId="207" fontId="55" fillId="0" borderId="0" xfId="13" applyFont="1" applyAlignment="1">
      <alignment horizontal="left" vertical="center"/>
    </xf>
    <xf numFmtId="207" fontId="79" fillId="0" borderId="0" xfId="13" applyFont="1">
      <alignment vertical="center"/>
    </xf>
    <xf numFmtId="207" fontId="79" fillId="5" borderId="0" xfId="13" applyFont="1" applyFill="1" applyAlignment="1">
      <alignment horizontal="right" vertical="center"/>
    </xf>
    <xf numFmtId="208" fontId="79" fillId="5" borderId="0" xfId="13" applyNumberFormat="1" applyFont="1" applyFill="1" applyAlignment="1">
      <alignment horizontal="right" vertical="center"/>
    </xf>
    <xf numFmtId="208" fontId="79" fillId="0" borderId="0" xfId="13" applyNumberFormat="1" applyFont="1" applyAlignment="1">
      <alignment horizontal="right" vertical="center"/>
    </xf>
    <xf numFmtId="208" fontId="79" fillId="5" borderId="24" xfId="12" applyNumberFormat="1" applyFont="1" applyFill="1" applyBorder="1" applyAlignment="1">
      <alignment horizontal="right" vertical="center"/>
    </xf>
    <xf numFmtId="208" fontId="83" fillId="5" borderId="0" xfId="15" applyNumberFormat="1" applyFont="1" applyFill="1" applyBorder="1" applyAlignment="1">
      <alignment horizontal="right" vertical="center"/>
    </xf>
    <xf numFmtId="210" fontId="79" fillId="5" borderId="0" xfId="12" applyNumberFormat="1" applyFont="1" applyFill="1" applyAlignment="1">
      <alignment horizontal="right" vertical="center"/>
    </xf>
    <xf numFmtId="208" fontId="79" fillId="5" borderId="0" xfId="12" applyNumberFormat="1" applyFont="1" applyFill="1" applyAlignment="1">
      <alignment horizontal="right" vertical="center"/>
    </xf>
    <xf numFmtId="184" fontId="79" fillId="5" borderId="0" xfId="13" applyNumberFormat="1" applyFont="1" applyFill="1" applyAlignment="1">
      <alignment horizontal="right" vertical="center"/>
    </xf>
    <xf numFmtId="207" fontId="84" fillId="0" borderId="0" xfId="13" applyFont="1" applyAlignment="1">
      <alignment horizontal="left" vertical="center"/>
    </xf>
    <xf numFmtId="207" fontId="79" fillId="0" borderId="24" xfId="13" applyFont="1" applyBorder="1">
      <alignment vertical="center"/>
    </xf>
    <xf numFmtId="208" fontId="77" fillId="5" borderId="24" xfId="12" applyNumberFormat="1" applyFont="1" applyFill="1" applyBorder="1" applyAlignment="1">
      <alignment horizontal="right" vertical="center"/>
    </xf>
    <xf numFmtId="207" fontId="79" fillId="0" borderId="24" xfId="13" applyFont="1" applyBorder="1" applyAlignment="1">
      <alignment horizontal="right" vertical="center"/>
    </xf>
    <xf numFmtId="9" fontId="79" fillId="5" borderId="24" xfId="14" applyFont="1" applyFill="1" applyBorder="1" applyAlignment="1">
      <alignment horizontal="right" vertical="center"/>
    </xf>
    <xf numFmtId="208" fontId="79" fillId="0" borderId="24" xfId="12" applyNumberFormat="1" applyFont="1" applyFill="1" applyBorder="1" applyAlignment="1">
      <alignment horizontal="right" vertical="center"/>
    </xf>
    <xf numFmtId="44" fontId="79" fillId="0" borderId="24" xfId="13" applyNumberFormat="1" applyFont="1" applyBorder="1" applyAlignment="1">
      <alignment horizontal="right" vertical="center"/>
    </xf>
    <xf numFmtId="207" fontId="55" fillId="0" borderId="24" xfId="13" applyFont="1" applyBorder="1" applyAlignment="1">
      <alignment horizontal="left" vertical="center"/>
    </xf>
    <xf numFmtId="207" fontId="85" fillId="0" borderId="0" xfId="13" applyFont="1" applyAlignment="1">
      <alignment horizontal="left"/>
    </xf>
    <xf numFmtId="207" fontId="86" fillId="0" borderId="30" xfId="13" applyFont="1" applyBorder="1">
      <alignment vertical="center"/>
    </xf>
    <xf numFmtId="207" fontId="86" fillId="16" borderId="30" xfId="13" applyFont="1" applyFill="1" applyBorder="1" applyAlignment="1">
      <alignment horizontal="right" vertical="center"/>
    </xf>
    <xf numFmtId="207" fontId="86" fillId="0" borderId="30" xfId="13" applyFont="1" applyBorder="1" applyAlignment="1">
      <alignment horizontal="right" vertical="center"/>
    </xf>
    <xf numFmtId="207" fontId="86" fillId="0" borderId="19" xfId="13" applyFont="1" applyBorder="1" applyAlignment="1">
      <alignment horizontal="right" vertical="center"/>
    </xf>
    <xf numFmtId="207" fontId="86" fillId="0" borderId="20" xfId="13" applyFont="1" applyBorder="1" applyAlignment="1">
      <alignment horizontal="right" vertical="center"/>
    </xf>
    <xf numFmtId="207" fontId="86" fillId="0" borderId="0" xfId="13" applyFont="1">
      <alignment vertical="center"/>
    </xf>
    <xf numFmtId="207" fontId="77" fillId="4" borderId="32" xfId="13" applyFont="1" applyFill="1" applyBorder="1" applyAlignment="1">
      <alignment horizontal="center"/>
    </xf>
    <xf numFmtId="207" fontId="88" fillId="4" borderId="0" xfId="16" applyFont="1" applyFill="1" applyAlignment="1">
      <alignment horizontal="center"/>
    </xf>
    <xf numFmtId="207" fontId="89" fillId="4" borderId="0" xfId="16" applyFont="1" applyFill="1" applyAlignment="1">
      <alignment horizontal="right"/>
    </xf>
    <xf numFmtId="207" fontId="89" fillId="4" borderId="36" xfId="16" applyFont="1" applyFill="1" applyBorder="1" applyAlignment="1">
      <alignment horizontal="right"/>
    </xf>
    <xf numFmtId="207" fontId="89" fillId="4" borderId="37" xfId="16" applyFont="1" applyFill="1" applyBorder="1" applyAlignment="1">
      <alignment horizontal="right"/>
    </xf>
    <xf numFmtId="207" fontId="89" fillId="4" borderId="38" xfId="16" applyFont="1" applyFill="1" applyBorder="1" applyAlignment="1">
      <alignment horizontal="right"/>
    </xf>
    <xf numFmtId="207" fontId="90" fillId="4" borderId="0" xfId="13" applyFont="1" applyFill="1">
      <alignment vertical="center"/>
    </xf>
    <xf numFmtId="207" fontId="91" fillId="17" borderId="39" xfId="13" applyFont="1" applyFill="1" applyBorder="1" applyAlignment="1">
      <alignment horizontal="left" indent="1"/>
    </xf>
    <xf numFmtId="207" fontId="92" fillId="0" borderId="0" xfId="13" applyFont="1" applyAlignment="1">
      <alignment horizontal="center" vertical="center"/>
    </xf>
    <xf numFmtId="4" fontId="84" fillId="16" borderId="0" xfId="13" applyNumberFormat="1" applyFont="1" applyFill="1" applyAlignment="1">
      <alignment horizontal="right" wrapText="1"/>
    </xf>
    <xf numFmtId="4" fontId="84" fillId="2" borderId="0" xfId="13" applyNumberFormat="1" applyFont="1" applyFill="1" applyAlignment="1">
      <alignment horizontal="right" wrapText="1"/>
    </xf>
    <xf numFmtId="2" fontId="79" fillId="5" borderId="0" xfId="13" applyNumberFormat="1" applyFont="1" applyFill="1" applyAlignment="1">
      <alignment horizontal="right" vertical="center"/>
    </xf>
    <xf numFmtId="2" fontId="84" fillId="16" borderId="0" xfId="13" applyNumberFormat="1" applyFont="1" applyFill="1" applyAlignment="1">
      <alignment horizontal="right" vertical="center"/>
    </xf>
    <xf numFmtId="2" fontId="84" fillId="0" borderId="0" xfId="13" applyNumberFormat="1" applyFont="1" applyAlignment="1">
      <alignment horizontal="right" vertical="center"/>
    </xf>
    <xf numFmtId="2" fontId="93" fillId="16" borderId="0" xfId="13" applyNumberFormat="1" applyFont="1" applyFill="1" applyAlignment="1">
      <alignment horizontal="right" vertical="center"/>
    </xf>
    <xf numFmtId="2" fontId="79" fillId="16" borderId="0" xfId="13" applyNumberFormat="1" applyFont="1" applyFill="1" applyAlignment="1">
      <alignment horizontal="right" vertical="center"/>
    </xf>
    <xf numFmtId="2" fontId="79" fillId="0" borderId="0" xfId="13" applyNumberFormat="1" applyFont="1" applyAlignment="1">
      <alignment horizontal="right" vertical="center"/>
    </xf>
    <xf numFmtId="2" fontId="94" fillId="16" borderId="0" xfId="13" applyNumberFormat="1" applyFont="1" applyFill="1" applyAlignment="1">
      <alignment horizontal="right" vertical="center"/>
    </xf>
    <xf numFmtId="2" fontId="94" fillId="0" borderId="0" xfId="13" applyNumberFormat="1" applyFont="1" applyAlignment="1">
      <alignment horizontal="right" vertical="center"/>
    </xf>
    <xf numFmtId="211" fontId="79" fillId="0" borderId="40" xfId="13" applyNumberFormat="1" applyFont="1" applyBorder="1" applyAlignment="1">
      <alignment horizontal="right" vertical="center"/>
    </xf>
    <xf numFmtId="2" fontId="79" fillId="0" borderId="35" xfId="13" applyNumberFormat="1" applyFont="1" applyBorder="1" applyAlignment="1">
      <alignment horizontal="right" vertical="center"/>
    </xf>
    <xf numFmtId="2" fontId="84" fillId="0" borderId="40" xfId="13" applyNumberFormat="1" applyFont="1" applyBorder="1" applyAlignment="1">
      <alignment horizontal="right" vertical="center"/>
    </xf>
    <xf numFmtId="2" fontId="94" fillId="0" borderId="40" xfId="13" applyNumberFormat="1" applyFont="1" applyBorder="1" applyAlignment="1">
      <alignment horizontal="right" vertical="center"/>
    </xf>
    <xf numFmtId="2" fontId="94" fillId="0" borderId="35" xfId="13" applyNumberFormat="1" applyFont="1" applyBorder="1" applyAlignment="1">
      <alignment horizontal="right" vertical="center"/>
    </xf>
    <xf numFmtId="207" fontId="95" fillId="17" borderId="39" xfId="13" applyFont="1" applyFill="1" applyBorder="1" applyAlignment="1">
      <alignment horizontal="center" vertical="center"/>
    </xf>
    <xf numFmtId="208" fontId="93" fillId="16" borderId="0" xfId="12" applyNumberFormat="1" applyFont="1" applyFill="1" applyAlignment="1">
      <alignment horizontal="right" wrapText="1"/>
    </xf>
    <xf numFmtId="208" fontId="93" fillId="0" borderId="0" xfId="12" applyNumberFormat="1" applyFont="1" applyFill="1" applyAlignment="1">
      <alignment horizontal="right" wrapText="1"/>
    </xf>
    <xf numFmtId="208" fontId="93" fillId="5" borderId="0" xfId="12" applyNumberFormat="1" applyFont="1" applyFill="1" applyAlignment="1">
      <alignment horizontal="right" wrapText="1"/>
    </xf>
    <xf numFmtId="208" fontId="93" fillId="5" borderId="40" xfId="12" applyNumberFormat="1" applyFont="1" applyFill="1" applyBorder="1" applyAlignment="1">
      <alignment horizontal="right" vertical="center"/>
    </xf>
    <xf numFmtId="208" fontId="93" fillId="5" borderId="0" xfId="12" applyNumberFormat="1" applyFont="1" applyFill="1" applyBorder="1" applyAlignment="1">
      <alignment horizontal="right" vertical="center"/>
    </xf>
    <xf numFmtId="208" fontId="93" fillId="5" borderId="35" xfId="12" applyNumberFormat="1" applyFont="1" applyFill="1" applyBorder="1" applyAlignment="1">
      <alignment horizontal="right" vertical="center"/>
    </xf>
    <xf numFmtId="208" fontId="93" fillId="0" borderId="40" xfId="12" applyNumberFormat="1" applyFont="1" applyFill="1" applyBorder="1" applyAlignment="1">
      <alignment horizontal="right" vertical="center"/>
    </xf>
    <xf numFmtId="208" fontId="93" fillId="0" borderId="0" xfId="12" applyNumberFormat="1" applyFont="1" applyFill="1" applyBorder="1" applyAlignment="1">
      <alignment horizontal="right" vertical="center"/>
    </xf>
    <xf numFmtId="208" fontId="93" fillId="0" borderId="35" xfId="12" applyNumberFormat="1" applyFont="1" applyFill="1" applyBorder="1" applyAlignment="1">
      <alignment horizontal="right" vertical="center"/>
    </xf>
    <xf numFmtId="207" fontId="96" fillId="0" borderId="0" xfId="13" applyFont="1">
      <alignment vertical="center"/>
    </xf>
    <xf numFmtId="9" fontId="93" fillId="16" borderId="0" xfId="14" applyFont="1" applyFill="1" applyAlignment="1">
      <alignment horizontal="right" wrapText="1"/>
    </xf>
    <xf numFmtId="9" fontId="93" fillId="0" borderId="0" xfId="14" applyFont="1" applyFill="1" applyAlignment="1">
      <alignment horizontal="right" wrapText="1"/>
    </xf>
    <xf numFmtId="184" fontId="93" fillId="0" borderId="0" xfId="14" applyNumberFormat="1" applyFont="1" applyFill="1" applyAlignment="1">
      <alignment horizontal="right" wrapText="1"/>
    </xf>
    <xf numFmtId="207" fontId="97" fillId="17" borderId="39" xfId="13" applyFont="1" applyFill="1" applyBorder="1" applyAlignment="1">
      <alignment horizontal="left" indent="1"/>
    </xf>
    <xf numFmtId="207" fontId="98" fillId="0" borderId="41" xfId="13" applyFont="1" applyBorder="1" applyAlignment="1">
      <alignment horizontal="left" vertical="top" wrapText="1"/>
    </xf>
    <xf numFmtId="208" fontId="98" fillId="16" borderId="19" xfId="12" applyNumberFormat="1" applyFont="1" applyFill="1" applyBorder="1" applyAlignment="1">
      <alignment horizontal="right" wrapText="1"/>
    </xf>
    <xf numFmtId="208" fontId="98" fillId="0" borderId="19" xfId="12" applyNumberFormat="1" applyFont="1" applyFill="1" applyBorder="1" applyAlignment="1">
      <alignment horizontal="right" wrapText="1"/>
    </xf>
    <xf numFmtId="208" fontId="98" fillId="5" borderId="19" xfId="12" applyNumberFormat="1" applyFont="1" applyFill="1" applyBorder="1" applyAlignment="1">
      <alignment horizontal="right" wrapText="1"/>
    </xf>
    <xf numFmtId="208" fontId="98" fillId="5" borderId="41" xfId="12" applyNumberFormat="1" applyFont="1" applyFill="1" applyBorder="1" applyAlignment="1">
      <alignment horizontal="right" vertical="center"/>
    </xf>
    <xf numFmtId="208" fontId="98" fillId="5" borderId="19" xfId="12" applyNumberFormat="1" applyFont="1" applyFill="1" applyBorder="1" applyAlignment="1">
      <alignment horizontal="right" vertical="center"/>
    </xf>
    <xf numFmtId="208" fontId="98" fillId="5" borderId="42" xfId="12" applyNumberFormat="1" applyFont="1" applyFill="1" applyBorder="1" applyAlignment="1">
      <alignment horizontal="right" vertical="center"/>
    </xf>
    <xf numFmtId="208" fontId="98" fillId="0" borderId="41" xfId="12" applyNumberFormat="1" applyFont="1" applyFill="1" applyBorder="1" applyAlignment="1">
      <alignment horizontal="right" vertical="center"/>
    </xf>
    <xf numFmtId="208" fontId="98" fillId="0" borderId="19" xfId="12" applyNumberFormat="1" applyFont="1" applyFill="1" applyBorder="1" applyAlignment="1">
      <alignment horizontal="right" vertical="center"/>
    </xf>
    <xf numFmtId="208" fontId="98" fillId="0" borderId="42" xfId="12" applyNumberFormat="1" applyFont="1" applyFill="1" applyBorder="1" applyAlignment="1">
      <alignment horizontal="right" vertical="center"/>
    </xf>
    <xf numFmtId="207" fontId="98" fillId="0" borderId="0" xfId="13" applyFont="1">
      <alignment vertical="center"/>
    </xf>
    <xf numFmtId="207" fontId="99" fillId="17" borderId="39" xfId="13" applyFont="1" applyFill="1" applyBorder="1" applyAlignment="1">
      <alignment horizontal="left" indent="1"/>
    </xf>
    <xf numFmtId="207" fontId="96" fillId="0" borderId="40" xfId="13" applyFont="1" applyBorder="1" applyAlignment="1">
      <alignment horizontal="left" vertical="top" wrapText="1"/>
    </xf>
    <xf numFmtId="208" fontId="93" fillId="16" borderId="0" xfId="12" applyNumberFormat="1" applyFont="1" applyFill="1" applyBorder="1" applyAlignment="1">
      <alignment horizontal="right" wrapText="1"/>
    </xf>
    <xf numFmtId="208" fontId="93" fillId="0" borderId="0" xfId="12" applyNumberFormat="1" applyFont="1" applyFill="1" applyBorder="1" applyAlignment="1">
      <alignment horizontal="right" wrapText="1"/>
    </xf>
    <xf numFmtId="208" fontId="93" fillId="5" borderId="0" xfId="12" applyNumberFormat="1" applyFont="1" applyFill="1" applyBorder="1" applyAlignment="1">
      <alignment horizontal="right" wrapText="1"/>
    </xf>
    <xf numFmtId="208" fontId="96" fillId="5" borderId="0" xfId="12" applyNumberFormat="1" applyFont="1" applyFill="1" applyBorder="1" applyAlignment="1">
      <alignment horizontal="right" vertical="center"/>
    </xf>
    <xf numFmtId="208" fontId="96" fillId="0" borderId="40" xfId="12" applyNumberFormat="1" applyFont="1" applyFill="1" applyBorder="1" applyAlignment="1">
      <alignment horizontal="right" vertical="center"/>
    </xf>
    <xf numFmtId="208" fontId="96" fillId="0" borderId="0" xfId="12" applyNumberFormat="1" applyFont="1" applyFill="1" applyBorder="1" applyAlignment="1">
      <alignment horizontal="right" vertical="center"/>
    </xf>
    <xf numFmtId="208" fontId="96" fillId="0" borderId="35" xfId="12" applyNumberFormat="1" applyFont="1" applyFill="1" applyBorder="1" applyAlignment="1">
      <alignment horizontal="right" vertical="center"/>
    </xf>
    <xf numFmtId="207" fontId="100" fillId="0" borderId="40" xfId="13" applyFont="1" applyBorder="1" applyAlignment="1">
      <alignment horizontal="left" vertical="top" wrapText="1"/>
    </xf>
    <xf numFmtId="208" fontId="100" fillId="16" borderId="0" xfId="12" applyNumberFormat="1" applyFont="1" applyFill="1" applyBorder="1" applyAlignment="1">
      <alignment horizontal="right" wrapText="1"/>
    </xf>
    <xf numFmtId="208" fontId="100" fillId="0" borderId="0" xfId="12" applyNumberFormat="1" applyFont="1" applyFill="1" applyBorder="1" applyAlignment="1">
      <alignment horizontal="right" wrapText="1"/>
    </xf>
    <xf numFmtId="208" fontId="100" fillId="5" borderId="0" xfId="12" applyNumberFormat="1" applyFont="1" applyFill="1" applyBorder="1" applyAlignment="1">
      <alignment horizontal="right" wrapText="1"/>
    </xf>
    <xf numFmtId="208" fontId="100" fillId="5" borderId="40" xfId="12" applyNumberFormat="1" applyFont="1" applyFill="1" applyBorder="1" applyAlignment="1">
      <alignment horizontal="right" vertical="center"/>
    </xf>
    <xf numFmtId="208" fontId="100" fillId="5" borderId="0" xfId="12" applyNumberFormat="1" applyFont="1" applyFill="1" applyBorder="1" applyAlignment="1">
      <alignment horizontal="right" vertical="center"/>
    </xf>
    <xf numFmtId="208" fontId="100" fillId="5" borderId="35" xfId="12" applyNumberFormat="1" applyFont="1" applyFill="1" applyBorder="1" applyAlignment="1">
      <alignment horizontal="right" vertical="center"/>
    </xf>
    <xf numFmtId="208" fontId="101" fillId="5" borderId="0" xfId="12" applyNumberFormat="1" applyFont="1" applyFill="1" applyBorder="1" applyAlignment="1">
      <alignment horizontal="right" vertical="center"/>
    </xf>
    <xf numFmtId="208" fontId="101" fillId="0" borderId="40" xfId="12" applyNumberFormat="1" applyFont="1" applyFill="1" applyBorder="1" applyAlignment="1">
      <alignment horizontal="right" vertical="center"/>
    </xf>
    <xf numFmtId="208" fontId="101" fillId="0" borderId="0" xfId="12" applyNumberFormat="1" applyFont="1" applyFill="1" applyBorder="1" applyAlignment="1">
      <alignment horizontal="right" vertical="center"/>
    </xf>
    <xf numFmtId="208" fontId="101" fillId="0" borderId="35" xfId="12" applyNumberFormat="1" applyFont="1" applyFill="1" applyBorder="1" applyAlignment="1">
      <alignment horizontal="right" vertical="center"/>
    </xf>
    <xf numFmtId="207" fontId="99" fillId="0" borderId="0" xfId="13" applyFont="1" applyAlignment="1">
      <alignment horizontal="left" vertical="top" wrapText="1" indent="1"/>
    </xf>
    <xf numFmtId="208" fontId="85" fillId="16" borderId="0" xfId="12" applyNumberFormat="1" applyFont="1" applyFill="1" applyAlignment="1">
      <alignment horizontal="right" wrapText="1"/>
    </xf>
    <xf numFmtId="208" fontId="85" fillId="0" borderId="0" xfId="12" applyNumberFormat="1" applyFont="1" applyFill="1" applyAlignment="1">
      <alignment horizontal="right" wrapText="1"/>
    </xf>
    <xf numFmtId="208" fontId="85" fillId="5" borderId="0" xfId="12" applyNumberFormat="1" applyFont="1" applyFill="1" applyAlignment="1">
      <alignment horizontal="right" wrapText="1"/>
    </xf>
    <xf numFmtId="208" fontId="85" fillId="5" borderId="40" xfId="12" applyNumberFormat="1" applyFont="1" applyFill="1" applyBorder="1" applyAlignment="1">
      <alignment horizontal="right" vertical="center"/>
    </xf>
    <xf numFmtId="208" fontId="85" fillId="5" borderId="0" xfId="12" applyNumberFormat="1" applyFont="1" applyFill="1" applyBorder="1" applyAlignment="1">
      <alignment horizontal="right" vertical="center"/>
    </xf>
    <xf numFmtId="208" fontId="85" fillId="5" borderId="35" xfId="12" applyNumberFormat="1" applyFont="1" applyFill="1" applyBorder="1" applyAlignment="1">
      <alignment horizontal="right" vertical="center"/>
    </xf>
    <xf numFmtId="208" fontId="99" fillId="5" borderId="0" xfId="12" applyNumberFormat="1" applyFont="1" applyFill="1" applyBorder="1" applyAlignment="1">
      <alignment horizontal="right" vertical="center"/>
    </xf>
    <xf numFmtId="208" fontId="99" fillId="0" borderId="40" xfId="12" applyNumberFormat="1" applyFont="1" applyFill="1" applyBorder="1" applyAlignment="1">
      <alignment horizontal="right" vertical="center"/>
    </xf>
    <xf numFmtId="208" fontId="99" fillId="0" borderId="0" xfId="12" applyNumberFormat="1" applyFont="1" applyFill="1" applyBorder="1" applyAlignment="1">
      <alignment horizontal="right" vertical="center"/>
    </xf>
    <xf numFmtId="208" fontId="99" fillId="0" borderId="35" xfId="12" applyNumberFormat="1" applyFont="1" applyFill="1" applyBorder="1" applyAlignment="1">
      <alignment horizontal="right" vertical="center"/>
    </xf>
    <xf numFmtId="207" fontId="102" fillId="0" borderId="19" xfId="13" applyFont="1" applyBorder="1" applyAlignment="1">
      <alignment horizontal="left"/>
    </xf>
    <xf numFmtId="208" fontId="88" fillId="16" borderId="19" xfId="12" applyNumberFormat="1" applyFont="1" applyFill="1" applyBorder="1" applyAlignment="1">
      <alignment horizontal="right" wrapText="1"/>
    </xf>
    <xf numFmtId="208" fontId="88" fillId="0" borderId="19" xfId="12" applyNumberFormat="1" applyFont="1" applyFill="1" applyBorder="1" applyAlignment="1">
      <alignment horizontal="right" wrapText="1"/>
    </xf>
    <xf numFmtId="208" fontId="88" fillId="5" borderId="19" xfId="12" applyNumberFormat="1" applyFont="1" applyFill="1" applyBorder="1" applyAlignment="1">
      <alignment horizontal="right" wrapText="1"/>
    </xf>
    <xf numFmtId="208" fontId="102" fillId="16" borderId="19" xfId="12" applyNumberFormat="1" applyFont="1" applyFill="1" applyBorder="1" applyAlignment="1">
      <alignment horizontal="right" wrapText="1"/>
    </xf>
    <xf numFmtId="208" fontId="102" fillId="0" borderId="19" xfId="12" applyNumberFormat="1" applyFont="1" applyFill="1" applyBorder="1" applyAlignment="1">
      <alignment horizontal="right" wrapText="1"/>
    </xf>
    <xf numFmtId="208" fontId="88" fillId="5" borderId="41" xfId="12" applyNumberFormat="1" applyFont="1" applyFill="1" applyBorder="1" applyAlignment="1">
      <alignment horizontal="right"/>
    </xf>
    <xf numFmtId="208" fontId="88" fillId="5" borderId="19" xfId="12" applyNumberFormat="1" applyFont="1" applyFill="1" applyBorder="1" applyAlignment="1">
      <alignment horizontal="right"/>
    </xf>
    <xf numFmtId="208" fontId="88" fillId="5" borderId="42" xfId="12" applyNumberFormat="1" applyFont="1" applyFill="1" applyBorder="1" applyAlignment="1">
      <alignment horizontal="right"/>
    </xf>
    <xf numFmtId="208" fontId="88" fillId="0" borderId="19" xfId="12" applyNumberFormat="1" applyFont="1" applyFill="1" applyBorder="1" applyAlignment="1">
      <alignment horizontal="right"/>
    </xf>
    <xf numFmtId="208" fontId="88" fillId="0" borderId="41" xfId="12" applyNumberFormat="1" applyFont="1" applyFill="1" applyBorder="1" applyAlignment="1">
      <alignment horizontal="right"/>
    </xf>
    <xf numFmtId="208" fontId="88" fillId="0" borderId="42" xfId="12" applyNumberFormat="1" applyFont="1" applyFill="1" applyBorder="1" applyAlignment="1">
      <alignment horizontal="right"/>
    </xf>
    <xf numFmtId="207" fontId="102" fillId="0" borderId="0" xfId="13" applyFont="1" applyAlignment="1"/>
    <xf numFmtId="207" fontId="98" fillId="0" borderId="0" xfId="13" applyFont="1" applyAlignment="1">
      <alignment horizontal="left" vertical="top" wrapText="1"/>
    </xf>
    <xf numFmtId="208" fontId="98" fillId="16" borderId="0" xfId="12" applyNumberFormat="1" applyFont="1" applyFill="1" applyBorder="1" applyAlignment="1">
      <alignment horizontal="right" wrapText="1"/>
    </xf>
    <xf numFmtId="208" fontId="98" fillId="5" borderId="0" xfId="12" applyNumberFormat="1" applyFont="1" applyFill="1" applyBorder="1" applyAlignment="1">
      <alignment horizontal="right" wrapText="1"/>
    </xf>
    <xf numFmtId="208" fontId="98" fillId="0" borderId="0" xfId="12" applyNumberFormat="1" applyFont="1" applyFill="1" applyBorder="1" applyAlignment="1">
      <alignment horizontal="right" wrapText="1"/>
    </xf>
    <xf numFmtId="208" fontId="104" fillId="0" borderId="0" xfId="12" applyNumberFormat="1" applyFont="1" applyFill="1" applyBorder="1" applyAlignment="1">
      <alignment horizontal="right" wrapText="1"/>
    </xf>
    <xf numFmtId="208" fontId="104" fillId="16" borderId="0" xfId="12" applyNumberFormat="1" applyFont="1" applyFill="1" applyBorder="1" applyAlignment="1">
      <alignment horizontal="right" wrapText="1"/>
    </xf>
    <xf numFmtId="208" fontId="104" fillId="5" borderId="40" xfId="12" applyNumberFormat="1" applyFont="1" applyFill="1" applyBorder="1" applyAlignment="1">
      <alignment horizontal="right" vertical="center"/>
    </xf>
    <xf numFmtId="208" fontId="104" fillId="5" borderId="0" xfId="12" applyNumberFormat="1" applyFont="1" applyFill="1" applyBorder="1" applyAlignment="1">
      <alignment horizontal="right" vertical="center"/>
    </xf>
    <xf numFmtId="208" fontId="104" fillId="5" borderId="35" xfId="12" applyNumberFormat="1" applyFont="1" applyFill="1" applyBorder="1" applyAlignment="1">
      <alignment horizontal="right" vertical="center"/>
    </xf>
    <xf numFmtId="208" fontId="104" fillId="0" borderId="0" xfId="12" applyNumberFormat="1" applyFont="1" applyFill="1" applyBorder="1" applyAlignment="1">
      <alignment horizontal="right" vertical="center"/>
    </xf>
    <xf numFmtId="208" fontId="104" fillId="0" borderId="40" xfId="12" applyNumberFormat="1" applyFont="1" applyFill="1" applyBorder="1" applyAlignment="1">
      <alignment horizontal="right" vertical="center"/>
    </xf>
    <xf numFmtId="208" fontId="104" fillId="0" borderId="35" xfId="12" applyNumberFormat="1" applyFont="1" applyFill="1" applyBorder="1" applyAlignment="1">
      <alignment horizontal="right" vertical="center"/>
    </xf>
    <xf numFmtId="207" fontId="79" fillId="0" borderId="0" xfId="13" applyFont="1" applyAlignment="1">
      <alignment horizontal="left" vertical="center" wrapText="1" indent="1"/>
    </xf>
    <xf numFmtId="207" fontId="79" fillId="16" borderId="0" xfId="13" applyFont="1" applyFill="1" applyAlignment="1">
      <alignment horizontal="right" wrapText="1"/>
    </xf>
    <xf numFmtId="9" fontId="79" fillId="16" borderId="0" xfId="14" applyFont="1" applyFill="1" applyBorder="1" applyAlignment="1">
      <alignment horizontal="right" wrapText="1"/>
    </xf>
    <xf numFmtId="9" fontId="79" fillId="0" borderId="0" xfId="14" applyFont="1" applyFill="1" applyBorder="1" applyAlignment="1">
      <alignment horizontal="right" wrapText="1"/>
    </xf>
    <xf numFmtId="9" fontId="79" fillId="5" borderId="0" xfId="14" applyFont="1" applyFill="1" applyBorder="1" applyAlignment="1">
      <alignment horizontal="right" wrapText="1"/>
    </xf>
    <xf numFmtId="9" fontId="105" fillId="16" borderId="0" xfId="14" applyFont="1" applyFill="1" applyBorder="1" applyAlignment="1">
      <alignment horizontal="right" wrapText="1"/>
    </xf>
    <xf numFmtId="9" fontId="55" fillId="5" borderId="0" xfId="14" applyFont="1" applyFill="1" applyBorder="1" applyAlignment="1">
      <alignment horizontal="right" wrapText="1"/>
    </xf>
    <xf numFmtId="9" fontId="55" fillId="16" borderId="0" xfId="14" applyFont="1" applyFill="1" applyBorder="1" applyAlignment="1">
      <alignment horizontal="right" wrapText="1"/>
    </xf>
    <xf numFmtId="9" fontId="106" fillId="16" borderId="0" xfId="14" applyFont="1" applyFill="1" applyBorder="1" applyAlignment="1">
      <alignment horizontal="right" wrapText="1"/>
    </xf>
    <xf numFmtId="9" fontId="106" fillId="0" borderId="0" xfId="14" applyFont="1" applyFill="1" applyBorder="1" applyAlignment="1">
      <alignment horizontal="right" wrapText="1"/>
    </xf>
    <xf numFmtId="184" fontId="105" fillId="5" borderId="40" xfId="14" applyNumberFormat="1" applyFont="1" applyFill="1" applyBorder="1" applyAlignment="1">
      <alignment horizontal="right" wrapText="1"/>
    </xf>
    <xf numFmtId="9" fontId="105" fillId="5" borderId="0" xfId="14" applyFont="1" applyFill="1" applyBorder="1" applyAlignment="1">
      <alignment horizontal="right" vertical="center"/>
    </xf>
    <xf numFmtId="9" fontId="105" fillId="5" borderId="35" xfId="14" applyFont="1" applyFill="1" applyBorder="1" applyAlignment="1">
      <alignment horizontal="right" vertical="center"/>
    </xf>
    <xf numFmtId="9" fontId="105" fillId="5" borderId="40" xfId="14" applyFont="1" applyFill="1" applyBorder="1" applyAlignment="1">
      <alignment horizontal="right" vertical="center"/>
    </xf>
    <xf numFmtId="207" fontId="105" fillId="0" borderId="0" xfId="13" applyFont="1" applyAlignment="1">
      <alignment horizontal="right" vertical="center"/>
    </xf>
    <xf numFmtId="207" fontId="105" fillId="0" borderId="40" xfId="13" applyFont="1" applyBorder="1" applyAlignment="1">
      <alignment horizontal="right" vertical="center"/>
    </xf>
    <xf numFmtId="207" fontId="105" fillId="0" borderId="35" xfId="13" applyFont="1" applyBorder="1" applyAlignment="1">
      <alignment horizontal="right" vertical="center"/>
    </xf>
    <xf numFmtId="207" fontId="85" fillId="17" borderId="39" xfId="13" applyFont="1" applyFill="1" applyBorder="1" applyAlignment="1">
      <alignment horizontal="left" indent="1"/>
    </xf>
    <xf numFmtId="207" fontId="107" fillId="0" borderId="0" xfId="13" applyFont="1" applyAlignment="1">
      <alignment horizontal="left" vertical="center" wrapText="1" indent="1"/>
    </xf>
    <xf numFmtId="207" fontId="107" fillId="16" borderId="0" xfId="13" applyFont="1" applyFill="1" applyAlignment="1">
      <alignment horizontal="right" wrapText="1"/>
    </xf>
    <xf numFmtId="184" fontId="107" fillId="0" borderId="0" xfId="14" applyNumberFormat="1" applyFont="1" applyFill="1" applyBorder="1" applyAlignment="1">
      <alignment horizontal="right" wrapText="1"/>
    </xf>
    <xf numFmtId="9" fontId="107" fillId="0" borderId="0" xfId="14" applyFont="1" applyFill="1" applyBorder="1" applyAlignment="1">
      <alignment horizontal="right" wrapText="1"/>
    </xf>
    <xf numFmtId="9" fontId="86" fillId="16" borderId="0" xfId="14" applyFont="1" applyFill="1" applyBorder="1" applyAlignment="1">
      <alignment horizontal="right" wrapText="1"/>
    </xf>
    <xf numFmtId="9" fontId="89" fillId="5" borderId="0" xfId="14" applyFont="1" applyFill="1" applyBorder="1" applyAlignment="1">
      <alignment horizontal="right" wrapText="1"/>
    </xf>
    <xf numFmtId="9" fontId="86" fillId="0" borderId="0" xfId="14" applyFont="1" applyFill="1" applyBorder="1" applyAlignment="1">
      <alignment horizontal="right" wrapText="1"/>
    </xf>
    <xf numFmtId="9" fontId="86" fillId="5" borderId="0" xfId="14" applyFont="1" applyFill="1" applyBorder="1" applyAlignment="1">
      <alignment horizontal="right" wrapText="1"/>
    </xf>
    <xf numFmtId="9" fontId="103" fillId="16" borderId="0" xfId="14" applyFont="1" applyFill="1" applyBorder="1" applyAlignment="1">
      <alignment horizontal="right" wrapText="1"/>
    </xf>
    <xf numFmtId="9" fontId="103" fillId="0" borderId="0" xfId="14" applyFont="1" applyFill="1" applyBorder="1" applyAlignment="1">
      <alignment horizontal="right" wrapText="1"/>
    </xf>
    <xf numFmtId="9" fontId="86" fillId="5" borderId="40" xfId="14" applyFont="1" applyFill="1" applyBorder="1" applyAlignment="1">
      <alignment horizontal="right" wrapText="1"/>
    </xf>
    <xf numFmtId="9" fontId="86" fillId="5" borderId="0" xfId="14" applyFont="1" applyFill="1" applyBorder="1" applyAlignment="1">
      <alignment horizontal="right" vertical="center"/>
    </xf>
    <xf numFmtId="9" fontId="86" fillId="5" borderId="35" xfId="14" applyFont="1" applyFill="1" applyBorder="1" applyAlignment="1">
      <alignment horizontal="right" vertical="center"/>
    </xf>
    <xf numFmtId="9" fontId="86" fillId="5" borderId="40" xfId="14" applyFont="1" applyFill="1" applyBorder="1" applyAlignment="1">
      <alignment horizontal="right" vertical="center"/>
    </xf>
    <xf numFmtId="9" fontId="86" fillId="0" borderId="0" xfId="14" applyFont="1" applyFill="1" applyBorder="1" applyAlignment="1">
      <alignment horizontal="right" vertical="center"/>
    </xf>
    <xf numFmtId="9" fontId="86" fillId="0" borderId="40" xfId="14" applyFont="1" applyFill="1" applyBorder="1" applyAlignment="1">
      <alignment horizontal="right" vertical="center"/>
    </xf>
    <xf numFmtId="9" fontId="86" fillId="0" borderId="35" xfId="14" applyFont="1" applyFill="1" applyBorder="1" applyAlignment="1">
      <alignment horizontal="right" vertical="center"/>
    </xf>
    <xf numFmtId="207" fontId="107" fillId="0" borderId="0" xfId="13" applyFont="1">
      <alignment vertical="center"/>
    </xf>
    <xf numFmtId="184" fontId="79" fillId="0" borderId="0" xfId="14" applyNumberFormat="1" applyFont="1" applyFill="1" applyBorder="1" applyAlignment="1">
      <alignment horizontal="right" wrapText="1"/>
    </xf>
    <xf numFmtId="9" fontId="105" fillId="0" borderId="0" xfId="14" applyFont="1" applyFill="1" applyBorder="1" applyAlignment="1">
      <alignment horizontal="right" wrapText="1"/>
    </xf>
    <xf numFmtId="3" fontId="105" fillId="5" borderId="0" xfId="14" applyNumberFormat="1" applyFont="1" applyFill="1" applyBorder="1" applyAlignment="1">
      <alignment horizontal="right" wrapText="1"/>
    </xf>
    <xf numFmtId="3" fontId="105" fillId="16" borderId="0" xfId="14" applyNumberFormat="1" applyFont="1" applyFill="1" applyBorder="1" applyAlignment="1">
      <alignment horizontal="right" wrapText="1"/>
    </xf>
    <xf numFmtId="3" fontId="105" fillId="0" borderId="0" xfId="14" applyNumberFormat="1" applyFont="1" applyFill="1" applyBorder="1" applyAlignment="1">
      <alignment horizontal="right" wrapText="1"/>
    </xf>
    <xf numFmtId="208" fontId="88" fillId="5" borderId="0" xfId="12" applyNumberFormat="1" applyFont="1" applyFill="1" applyBorder="1" applyAlignment="1">
      <alignment horizontal="right"/>
    </xf>
    <xf numFmtId="208" fontId="88" fillId="0" borderId="0" xfId="12" applyNumberFormat="1" applyFont="1" applyFill="1" applyBorder="1" applyAlignment="1">
      <alignment horizontal="right"/>
    </xf>
    <xf numFmtId="212" fontId="108" fillId="0" borderId="40" xfId="13" applyNumberFormat="1" applyFont="1" applyBorder="1" applyAlignment="1">
      <alignment horizontal="right" vertical="center"/>
    </xf>
    <xf numFmtId="208" fontId="86" fillId="0" borderId="0" xfId="12" applyNumberFormat="1" applyFont="1" applyFill="1" applyBorder="1" applyAlignment="1">
      <alignment horizontal="right" vertical="center"/>
    </xf>
    <xf numFmtId="9" fontId="105" fillId="0" borderId="0" xfId="14" applyFont="1" applyFill="1" applyBorder="1" applyAlignment="1">
      <alignment horizontal="right" vertical="center"/>
    </xf>
    <xf numFmtId="9" fontId="105" fillId="0" borderId="40" xfId="14" applyFont="1" applyFill="1" applyBorder="1" applyAlignment="1">
      <alignment horizontal="right" vertical="center"/>
    </xf>
    <xf numFmtId="9" fontId="105" fillId="5" borderId="0" xfId="14" applyFont="1" applyFill="1" applyBorder="1" applyAlignment="1">
      <alignment horizontal="right" wrapText="1"/>
    </xf>
    <xf numFmtId="9" fontId="109" fillId="5" borderId="40" xfId="13" applyNumberFormat="1" applyFont="1" applyFill="1" applyBorder="1" applyAlignment="1">
      <alignment horizontal="right" vertical="center"/>
    </xf>
    <xf numFmtId="9" fontId="109" fillId="5" borderId="0" xfId="14" applyFont="1" applyFill="1" applyBorder="1" applyAlignment="1">
      <alignment horizontal="right" wrapText="1"/>
    </xf>
    <xf numFmtId="9" fontId="109" fillId="5" borderId="35" xfId="14" applyFont="1" applyFill="1" applyBorder="1" applyAlignment="1">
      <alignment horizontal="right" wrapText="1"/>
    </xf>
    <xf numFmtId="9" fontId="105" fillId="5" borderId="43" xfId="14" applyFont="1" applyFill="1" applyBorder="1" applyAlignment="1">
      <alignment horizontal="right" vertical="center"/>
    </xf>
    <xf numFmtId="9" fontId="105" fillId="5" borderId="24" xfId="14" applyFont="1" applyFill="1" applyBorder="1" applyAlignment="1">
      <alignment horizontal="right" vertical="center"/>
    </xf>
    <xf numFmtId="9" fontId="105" fillId="0" borderId="24" xfId="14" applyFont="1" applyFill="1" applyBorder="1" applyAlignment="1">
      <alignment horizontal="right" vertical="center"/>
    </xf>
    <xf numFmtId="9" fontId="105" fillId="0" borderId="43" xfId="14" applyFont="1" applyFill="1" applyBorder="1" applyAlignment="1">
      <alignment horizontal="right" vertical="center"/>
    </xf>
    <xf numFmtId="207" fontId="105" fillId="0" borderId="24" xfId="13" applyFont="1" applyBorder="1" applyAlignment="1">
      <alignment horizontal="right" vertical="center"/>
    </xf>
    <xf numFmtId="207" fontId="105" fillId="0" borderId="44" xfId="13" applyFont="1" applyBorder="1" applyAlignment="1">
      <alignment horizontal="right" vertical="center"/>
    </xf>
    <xf numFmtId="207" fontId="105" fillId="0" borderId="43" xfId="13" applyFont="1" applyBorder="1" applyAlignment="1">
      <alignment horizontal="right" vertical="center"/>
    </xf>
    <xf numFmtId="207" fontId="85" fillId="17" borderId="39" xfId="13" quotePrefix="1" applyFont="1" applyFill="1" applyBorder="1" applyAlignment="1">
      <alignment horizontal="left" indent="1"/>
    </xf>
    <xf numFmtId="9" fontId="110" fillId="5" borderId="40" xfId="13" applyNumberFormat="1" applyFont="1" applyFill="1" applyBorder="1" applyAlignment="1">
      <alignment horizontal="right" vertical="center"/>
    </xf>
    <xf numFmtId="9" fontId="110" fillId="5" borderId="0" xfId="14" applyFont="1" applyFill="1" applyBorder="1" applyAlignment="1">
      <alignment horizontal="right" wrapText="1"/>
    </xf>
    <xf numFmtId="9" fontId="110" fillId="5" borderId="35" xfId="14" applyFont="1" applyFill="1" applyBorder="1" applyAlignment="1">
      <alignment horizontal="right" wrapText="1"/>
    </xf>
    <xf numFmtId="9" fontId="110" fillId="5" borderId="43" xfId="14" applyFont="1" applyFill="1" applyBorder="1" applyAlignment="1">
      <alignment horizontal="right" wrapText="1"/>
    </xf>
    <xf numFmtId="9" fontId="110" fillId="5" borderId="24" xfId="14" applyFont="1" applyFill="1" applyBorder="1" applyAlignment="1">
      <alignment horizontal="right" wrapText="1"/>
    </xf>
    <xf numFmtId="9" fontId="110" fillId="0" borderId="24" xfId="14" applyFont="1" applyFill="1" applyBorder="1" applyAlignment="1">
      <alignment horizontal="right" wrapText="1"/>
    </xf>
    <xf numFmtId="9" fontId="110" fillId="0" borderId="43" xfId="14" applyFont="1" applyFill="1" applyBorder="1" applyAlignment="1">
      <alignment horizontal="right" wrapText="1"/>
    </xf>
    <xf numFmtId="9" fontId="110" fillId="0" borderId="44" xfId="14" applyFont="1" applyFill="1" applyBorder="1" applyAlignment="1">
      <alignment horizontal="right" wrapText="1"/>
    </xf>
    <xf numFmtId="207" fontId="102" fillId="0" borderId="19" xfId="13" applyFont="1" applyBorder="1" applyAlignment="1">
      <alignment horizontal="left" wrapText="1"/>
    </xf>
    <xf numFmtId="208" fontId="88" fillId="5" borderId="40" xfId="12" applyNumberFormat="1" applyFont="1" applyFill="1" applyBorder="1" applyAlignment="1">
      <alignment horizontal="right"/>
    </xf>
    <xf numFmtId="208" fontId="88" fillId="0" borderId="40" xfId="12" applyNumberFormat="1" applyFont="1" applyFill="1" applyBorder="1" applyAlignment="1">
      <alignment horizontal="right"/>
    </xf>
    <xf numFmtId="208" fontId="88" fillId="0" borderId="35" xfId="12" applyNumberFormat="1" applyFont="1" applyFill="1" applyBorder="1" applyAlignment="1">
      <alignment horizontal="right"/>
    </xf>
    <xf numFmtId="207" fontId="105" fillId="5" borderId="40" xfId="13" applyFont="1" applyFill="1" applyBorder="1" applyAlignment="1">
      <alignment horizontal="right" vertical="center"/>
    </xf>
    <xf numFmtId="207" fontId="105" fillId="5" borderId="0" xfId="13" applyFont="1" applyFill="1" applyAlignment="1">
      <alignment horizontal="right" vertical="center"/>
    </xf>
    <xf numFmtId="207" fontId="105" fillId="5" borderId="35" xfId="13" applyFont="1" applyFill="1" applyBorder="1" applyAlignment="1">
      <alignment horizontal="right" vertical="center"/>
    </xf>
    <xf numFmtId="207" fontId="105" fillId="0" borderId="0" xfId="13" applyFont="1" applyAlignment="1">
      <alignment horizontal="left" vertical="center" wrapText="1" indent="1"/>
    </xf>
    <xf numFmtId="9" fontId="55" fillId="0" borderId="0" xfId="14" applyFont="1" applyFill="1" applyBorder="1" applyAlignment="1">
      <alignment horizontal="right" wrapText="1"/>
    </xf>
    <xf numFmtId="184" fontId="79" fillId="16" borderId="0" xfId="14" applyNumberFormat="1" applyFont="1" applyFill="1" applyBorder="1" applyAlignment="1">
      <alignment horizontal="right" wrapText="1"/>
    </xf>
    <xf numFmtId="9" fontId="105" fillId="5" borderId="0" xfId="13" applyNumberFormat="1" applyFont="1" applyFill="1" applyAlignment="1">
      <alignment horizontal="right" wrapText="1"/>
    </xf>
    <xf numFmtId="9" fontId="55" fillId="5" borderId="0" xfId="13" applyNumberFormat="1" applyFont="1" applyFill="1" applyAlignment="1">
      <alignment horizontal="right" wrapText="1"/>
    </xf>
    <xf numFmtId="9" fontId="55" fillId="16" borderId="0" xfId="13" applyNumberFormat="1" applyFont="1" applyFill="1" applyAlignment="1">
      <alignment horizontal="right" wrapText="1"/>
    </xf>
    <xf numFmtId="9" fontId="112" fillId="16" borderId="0" xfId="13" applyNumberFormat="1" applyFont="1" applyFill="1" applyAlignment="1">
      <alignment horizontal="right" wrapText="1"/>
    </xf>
    <xf numFmtId="9" fontId="112" fillId="0" borderId="0" xfId="13" applyNumberFormat="1" applyFont="1" applyAlignment="1">
      <alignment horizontal="right" wrapText="1"/>
    </xf>
    <xf numFmtId="9" fontId="105" fillId="16" borderId="0" xfId="13" applyNumberFormat="1" applyFont="1" applyFill="1" applyAlignment="1">
      <alignment horizontal="right" wrapText="1"/>
    </xf>
    <xf numFmtId="9" fontId="110" fillId="5" borderId="40" xfId="14" applyFont="1" applyFill="1" applyBorder="1" applyAlignment="1">
      <alignment horizontal="right" wrapText="1"/>
    </xf>
    <xf numFmtId="9" fontId="110" fillId="0" borderId="0" xfId="14" applyFont="1" applyFill="1" applyBorder="1" applyAlignment="1">
      <alignment horizontal="right" wrapText="1"/>
    </xf>
    <xf numFmtId="9" fontId="110" fillId="0" borderId="40" xfId="14" applyFont="1" applyFill="1" applyBorder="1" applyAlignment="1">
      <alignment horizontal="right" wrapText="1"/>
    </xf>
    <xf numFmtId="9" fontId="110" fillId="0" borderId="0" xfId="13" applyNumberFormat="1" applyFont="1" applyAlignment="1">
      <alignment horizontal="right" vertical="center"/>
    </xf>
    <xf numFmtId="9" fontId="110" fillId="0" borderId="35" xfId="13" applyNumberFormat="1" applyFont="1" applyBorder="1" applyAlignment="1">
      <alignment horizontal="right" vertical="center"/>
    </xf>
    <xf numFmtId="9" fontId="113" fillId="0" borderId="40" xfId="13" applyNumberFormat="1" applyFont="1" applyBorder="1" applyAlignment="1">
      <alignment horizontal="right" vertical="center"/>
    </xf>
    <xf numFmtId="9" fontId="113" fillId="0" borderId="35" xfId="13" applyNumberFormat="1" applyFont="1" applyBorder="1" applyAlignment="1">
      <alignment horizontal="right" vertical="center"/>
    </xf>
    <xf numFmtId="208" fontId="112" fillId="0" borderId="0" xfId="13" applyNumberFormat="1" applyFont="1" applyAlignment="1">
      <alignment horizontal="right" wrapText="1"/>
    </xf>
    <xf numFmtId="9" fontId="113" fillId="0" borderId="0" xfId="13" applyNumberFormat="1" applyFont="1" applyAlignment="1">
      <alignment horizontal="right" vertical="center"/>
    </xf>
    <xf numFmtId="207" fontId="85" fillId="10" borderId="39" xfId="13" applyFont="1" applyFill="1" applyBorder="1" applyAlignment="1">
      <alignment horizontal="left" indent="1"/>
    </xf>
    <xf numFmtId="207" fontId="114" fillId="0" borderId="0" xfId="13" applyFont="1" applyAlignment="1">
      <alignment horizontal="left" vertical="center" wrapText="1" indent="1"/>
    </xf>
    <xf numFmtId="207" fontId="114" fillId="16" borderId="0" xfId="13" applyFont="1" applyFill="1" applyAlignment="1">
      <alignment horizontal="right" wrapText="1"/>
    </xf>
    <xf numFmtId="9" fontId="114" fillId="0" borderId="0" xfId="14" applyFont="1" applyFill="1" applyBorder="1" applyAlignment="1">
      <alignment horizontal="right" wrapText="1"/>
    </xf>
    <xf numFmtId="9" fontId="115" fillId="5" borderId="0" xfId="14" applyFont="1" applyFill="1" applyBorder="1" applyAlignment="1">
      <alignment horizontal="right" wrapText="1"/>
    </xf>
    <xf numFmtId="9" fontId="115" fillId="0" borderId="0" xfId="14" applyFont="1" applyFill="1" applyBorder="1" applyAlignment="1">
      <alignment horizontal="right" wrapText="1"/>
    </xf>
    <xf numFmtId="208" fontId="115" fillId="16" borderId="0" xfId="12" applyNumberFormat="1" applyFont="1" applyFill="1" applyBorder="1" applyAlignment="1">
      <alignment horizontal="right" wrapText="1"/>
    </xf>
    <xf numFmtId="208" fontId="115" fillId="0" borderId="0" xfId="12" applyNumberFormat="1" applyFont="1" applyFill="1" applyBorder="1" applyAlignment="1">
      <alignment horizontal="right" wrapText="1"/>
    </xf>
    <xf numFmtId="9" fontId="115" fillId="0" borderId="0" xfId="13" applyNumberFormat="1" applyFont="1" applyAlignment="1">
      <alignment horizontal="right" wrapText="1"/>
    </xf>
    <xf numFmtId="9" fontId="115" fillId="16" borderId="0" xfId="13" applyNumberFormat="1" applyFont="1" applyFill="1" applyAlignment="1">
      <alignment horizontal="right" wrapText="1"/>
    </xf>
    <xf numFmtId="207" fontId="115" fillId="5" borderId="40" xfId="13" applyFont="1" applyFill="1" applyBorder="1" applyAlignment="1">
      <alignment horizontal="right" vertical="center"/>
    </xf>
    <xf numFmtId="9" fontId="115" fillId="5" borderId="35" xfId="14" applyFont="1" applyFill="1" applyBorder="1" applyAlignment="1">
      <alignment horizontal="right" wrapText="1"/>
    </xf>
    <xf numFmtId="9" fontId="115" fillId="5" borderId="40" xfId="14" applyFont="1" applyFill="1" applyBorder="1" applyAlignment="1">
      <alignment horizontal="right" wrapText="1"/>
    </xf>
    <xf numFmtId="9" fontId="115" fillId="0" borderId="0" xfId="13" applyNumberFormat="1" applyFont="1" applyAlignment="1">
      <alignment horizontal="right" vertical="center"/>
    </xf>
    <xf numFmtId="9" fontId="115" fillId="0" borderId="40" xfId="13" applyNumberFormat="1" applyFont="1" applyBorder="1" applyAlignment="1">
      <alignment horizontal="right" vertical="center"/>
    </xf>
    <xf numFmtId="9" fontId="115" fillId="0" borderId="35" xfId="13" applyNumberFormat="1" applyFont="1" applyBorder="1" applyAlignment="1">
      <alignment horizontal="right" vertical="center"/>
    </xf>
    <xf numFmtId="207" fontId="114" fillId="0" borderId="0" xfId="13" applyFont="1">
      <alignment vertical="center"/>
    </xf>
    <xf numFmtId="207" fontId="77" fillId="16" borderId="0" xfId="13" applyFont="1" applyFill="1" applyAlignment="1">
      <alignment horizontal="right" wrapText="1"/>
    </xf>
    <xf numFmtId="9" fontId="77" fillId="0" borderId="0" xfId="14" applyFont="1" applyFill="1" applyBorder="1" applyAlignment="1">
      <alignment horizontal="right" wrapText="1"/>
    </xf>
    <xf numFmtId="9" fontId="116" fillId="5" borderId="0" xfId="14" applyFont="1" applyFill="1" applyBorder="1" applyAlignment="1">
      <alignment horizontal="right" wrapText="1"/>
    </xf>
    <xf numFmtId="9" fontId="116" fillId="0" borderId="0" xfId="14" applyFont="1" applyFill="1" applyBorder="1" applyAlignment="1">
      <alignment horizontal="right" wrapText="1"/>
    </xf>
    <xf numFmtId="210" fontId="115" fillId="16" borderId="0" xfId="12" applyNumberFormat="1" applyFont="1" applyFill="1" applyBorder="1" applyAlignment="1">
      <alignment horizontal="right" wrapText="1"/>
    </xf>
    <xf numFmtId="210" fontId="117" fillId="16" borderId="0" xfId="12" applyNumberFormat="1" applyFont="1" applyFill="1" applyBorder="1" applyAlignment="1">
      <alignment horizontal="right" wrapText="1"/>
    </xf>
    <xf numFmtId="208" fontId="117" fillId="5" borderId="0" xfId="13" applyNumberFormat="1" applyFont="1" applyFill="1" applyAlignment="1">
      <alignment horizontal="right" wrapText="1"/>
    </xf>
    <xf numFmtId="9" fontId="117" fillId="5" borderId="0" xfId="13" applyNumberFormat="1" applyFont="1" applyFill="1" applyAlignment="1">
      <alignment horizontal="right" wrapText="1"/>
    </xf>
    <xf numFmtId="9" fontId="117" fillId="16" borderId="0" xfId="13" applyNumberFormat="1" applyFont="1" applyFill="1" applyAlignment="1">
      <alignment horizontal="right" wrapText="1"/>
    </xf>
    <xf numFmtId="9" fontId="117" fillId="0" borderId="0" xfId="13" applyNumberFormat="1" applyFont="1" applyAlignment="1">
      <alignment horizontal="right" wrapText="1"/>
    </xf>
    <xf numFmtId="207" fontId="109" fillId="5" borderId="40" xfId="13" applyFont="1" applyFill="1" applyBorder="1" applyAlignment="1">
      <alignment horizontal="right" vertical="center"/>
    </xf>
    <xf numFmtId="9" fontId="109" fillId="5" borderId="40" xfId="14" applyFont="1" applyFill="1" applyBorder="1" applyAlignment="1">
      <alignment horizontal="right" wrapText="1"/>
    </xf>
    <xf numFmtId="9" fontId="117" fillId="0" borderId="0" xfId="13" applyNumberFormat="1" applyFont="1" applyAlignment="1">
      <alignment horizontal="right" vertical="center"/>
    </xf>
    <xf numFmtId="9" fontId="117" fillId="0" borderId="40" xfId="13" applyNumberFormat="1" applyFont="1" applyBorder="1" applyAlignment="1">
      <alignment horizontal="right" vertical="center"/>
    </xf>
    <xf numFmtId="9" fontId="117" fillId="0" borderId="35" xfId="13" applyNumberFormat="1" applyFont="1" applyBorder="1" applyAlignment="1">
      <alignment horizontal="right" vertical="center"/>
    </xf>
    <xf numFmtId="207" fontId="77" fillId="0" borderId="0" xfId="13" applyFont="1">
      <alignment vertical="center"/>
    </xf>
    <xf numFmtId="207" fontId="118" fillId="0" borderId="0" xfId="13" applyFont="1" applyAlignment="1">
      <alignment horizontal="left" vertical="center" wrapText="1" indent="1"/>
    </xf>
    <xf numFmtId="207" fontId="119" fillId="16" borderId="0" xfId="13" applyFont="1" applyFill="1" applyAlignment="1">
      <alignment horizontal="right" wrapText="1"/>
    </xf>
    <xf numFmtId="9" fontId="119" fillId="0" borderId="0" xfId="14" applyFont="1" applyFill="1" applyBorder="1" applyAlignment="1">
      <alignment horizontal="right" wrapText="1"/>
    </xf>
    <xf numFmtId="9" fontId="120" fillId="5" borderId="0" xfId="14" applyFont="1" applyFill="1" applyBorder="1" applyAlignment="1">
      <alignment horizontal="right" wrapText="1"/>
    </xf>
    <xf numFmtId="9" fontId="120" fillId="0" borderId="0" xfId="14" applyFont="1" applyFill="1" applyBorder="1" applyAlignment="1">
      <alignment horizontal="right" wrapText="1"/>
    </xf>
    <xf numFmtId="184" fontId="119" fillId="16" borderId="0" xfId="14" applyNumberFormat="1" applyFont="1" applyFill="1" applyBorder="1" applyAlignment="1">
      <alignment horizontal="right" wrapText="1"/>
    </xf>
    <xf numFmtId="9" fontId="120" fillId="16" borderId="0" xfId="14" applyFont="1" applyFill="1" applyBorder="1" applyAlignment="1">
      <alignment horizontal="right" wrapText="1"/>
    </xf>
    <xf numFmtId="9" fontId="121" fillId="16" borderId="0" xfId="13" applyNumberFormat="1" applyFont="1" applyFill="1" applyAlignment="1">
      <alignment horizontal="right" wrapText="1"/>
    </xf>
    <xf numFmtId="9" fontId="121" fillId="0" borderId="0" xfId="13" applyNumberFormat="1" applyFont="1" applyAlignment="1">
      <alignment horizontal="right" wrapText="1"/>
    </xf>
    <xf numFmtId="208" fontId="121" fillId="0" borderId="0" xfId="13" applyNumberFormat="1" applyFont="1" applyAlignment="1">
      <alignment horizontal="right" wrapText="1"/>
    </xf>
    <xf numFmtId="207" fontId="119" fillId="5" borderId="40" xfId="13" applyFont="1" applyFill="1" applyBorder="1" applyAlignment="1">
      <alignment horizontal="right" vertical="center"/>
    </xf>
    <xf numFmtId="9" fontId="122" fillId="5" borderId="0" xfId="14" applyFont="1" applyFill="1" applyBorder="1" applyAlignment="1">
      <alignment horizontal="right" wrapText="1"/>
    </xf>
    <xf numFmtId="9" fontId="122" fillId="5" borderId="35" xfId="14" applyFont="1" applyFill="1" applyBorder="1" applyAlignment="1">
      <alignment horizontal="right" wrapText="1"/>
    </xf>
    <xf numFmtId="9" fontId="122" fillId="5" borderId="40" xfId="14" applyFont="1" applyFill="1" applyBorder="1" applyAlignment="1">
      <alignment horizontal="right" wrapText="1"/>
    </xf>
    <xf numFmtId="9" fontId="123" fillId="0" borderId="0" xfId="13" applyNumberFormat="1" applyFont="1" applyAlignment="1">
      <alignment horizontal="right" vertical="center"/>
    </xf>
    <xf numFmtId="9" fontId="123" fillId="0" borderId="40" xfId="13" applyNumberFormat="1" applyFont="1" applyBorder="1" applyAlignment="1">
      <alignment horizontal="right" vertical="center"/>
    </xf>
    <xf numFmtId="9" fontId="123" fillId="0" borderId="35" xfId="13" applyNumberFormat="1" applyFont="1" applyBorder="1" applyAlignment="1">
      <alignment horizontal="right" vertical="center"/>
    </xf>
    <xf numFmtId="207" fontId="119" fillId="0" borderId="0" xfId="13" applyFont="1">
      <alignment vertical="center"/>
    </xf>
    <xf numFmtId="207" fontId="102" fillId="0" borderId="0" xfId="13" applyFont="1" applyAlignment="1">
      <alignment horizontal="left" vertical="top" wrapText="1"/>
    </xf>
    <xf numFmtId="208" fontId="88" fillId="16" borderId="0" xfId="12" applyNumberFormat="1" applyFont="1" applyFill="1" applyBorder="1" applyAlignment="1">
      <alignment horizontal="right" wrapText="1"/>
    </xf>
    <xf numFmtId="208" fontId="88" fillId="0" borderId="0" xfId="12" applyNumberFormat="1" applyFont="1" applyFill="1" applyBorder="1" applyAlignment="1">
      <alignment horizontal="right" wrapText="1"/>
    </xf>
    <xf numFmtId="208" fontId="88" fillId="5" borderId="0" xfId="12" applyNumberFormat="1" applyFont="1" applyFill="1" applyBorder="1" applyAlignment="1">
      <alignment horizontal="right" wrapText="1"/>
    </xf>
    <xf numFmtId="208" fontId="102" fillId="16" borderId="0" xfId="12" applyNumberFormat="1" applyFont="1" applyFill="1" applyBorder="1" applyAlignment="1">
      <alignment horizontal="right" wrapText="1"/>
    </xf>
    <xf numFmtId="208" fontId="102" fillId="0" borderId="0" xfId="12" applyNumberFormat="1" applyFont="1" applyFill="1" applyBorder="1" applyAlignment="1">
      <alignment horizontal="right" wrapText="1"/>
    </xf>
    <xf numFmtId="208" fontId="88" fillId="5" borderId="40" xfId="12" applyNumberFormat="1" applyFont="1" applyFill="1" applyBorder="1" applyAlignment="1">
      <alignment horizontal="right" vertical="center"/>
    </xf>
    <xf numFmtId="208" fontId="88" fillId="5" borderId="0" xfId="12" applyNumberFormat="1" applyFont="1" applyFill="1" applyBorder="1" applyAlignment="1">
      <alignment horizontal="right" vertical="center"/>
    </xf>
    <xf numFmtId="208" fontId="88" fillId="5" borderId="35" xfId="12" applyNumberFormat="1" applyFont="1" applyFill="1" applyBorder="1" applyAlignment="1">
      <alignment horizontal="right" vertical="center"/>
    </xf>
    <xf numFmtId="208" fontId="88" fillId="0" borderId="0" xfId="12" applyNumberFormat="1" applyFont="1" applyFill="1" applyBorder="1" applyAlignment="1">
      <alignment horizontal="right" vertical="center"/>
    </xf>
    <xf numFmtId="208" fontId="88" fillId="0" borderId="40" xfId="12" applyNumberFormat="1" applyFont="1" applyFill="1" applyBorder="1" applyAlignment="1">
      <alignment horizontal="right" vertical="center"/>
    </xf>
    <xf numFmtId="208" fontId="88" fillId="0" borderId="35" xfId="12" applyNumberFormat="1" applyFont="1" applyFill="1" applyBorder="1" applyAlignment="1">
      <alignment horizontal="right" vertical="center"/>
    </xf>
    <xf numFmtId="9" fontId="107" fillId="5" borderId="0" xfId="14" applyFont="1" applyFill="1" applyBorder="1" applyAlignment="1">
      <alignment horizontal="right" wrapText="1"/>
    </xf>
    <xf numFmtId="9" fontId="107" fillId="16" borderId="0" xfId="14" applyFont="1" applyFill="1" applyBorder="1" applyAlignment="1">
      <alignment horizontal="right" wrapText="1"/>
    </xf>
    <xf numFmtId="207" fontId="105" fillId="16" borderId="0" xfId="13" applyFont="1" applyFill="1" applyAlignment="1">
      <alignment horizontal="right" wrapText="1"/>
    </xf>
    <xf numFmtId="9" fontId="55" fillId="5" borderId="0" xfId="13" applyNumberFormat="1" applyFont="1" applyFill="1" applyAlignment="1">
      <alignment horizontal="right" vertical="center"/>
    </xf>
    <xf numFmtId="9" fontId="112" fillId="16" borderId="0" xfId="14" applyFont="1" applyFill="1" applyBorder="1" applyAlignment="1">
      <alignment horizontal="right" wrapText="1"/>
    </xf>
    <xf numFmtId="207" fontId="110" fillId="5" borderId="40" xfId="13" applyFont="1" applyFill="1" applyBorder="1" applyAlignment="1">
      <alignment horizontal="right" vertical="center"/>
    </xf>
    <xf numFmtId="207" fontId="105" fillId="0" borderId="0" xfId="13" applyFont="1">
      <alignment vertical="center"/>
    </xf>
    <xf numFmtId="9" fontId="55" fillId="0" borderId="0" xfId="13" applyNumberFormat="1" applyFont="1" applyAlignment="1">
      <alignment horizontal="right" wrapText="1"/>
    </xf>
    <xf numFmtId="9" fontId="105" fillId="0" borderId="0" xfId="13" applyNumberFormat="1" applyFont="1" applyAlignment="1">
      <alignment horizontal="right" wrapText="1"/>
    </xf>
    <xf numFmtId="207" fontId="77" fillId="0" borderId="0" xfId="13" applyFont="1" applyAlignment="1">
      <alignment horizontal="left" vertical="center" wrapText="1" indent="1"/>
    </xf>
    <xf numFmtId="9" fontId="77" fillId="16" borderId="0" xfId="14" applyFont="1" applyFill="1" applyBorder="1" applyAlignment="1">
      <alignment horizontal="right" wrapText="1"/>
    </xf>
    <xf numFmtId="9" fontId="85" fillId="0" borderId="0" xfId="14" applyFont="1" applyFill="1" applyBorder="1" applyAlignment="1">
      <alignment horizontal="right" wrapText="1"/>
    </xf>
    <xf numFmtId="9" fontId="85" fillId="16" borderId="0" xfId="14" applyFont="1" applyFill="1" applyBorder="1" applyAlignment="1">
      <alignment horizontal="right" wrapText="1"/>
    </xf>
    <xf numFmtId="9" fontId="85" fillId="5" borderId="0" xfId="14" applyFont="1" applyFill="1" applyBorder="1" applyAlignment="1">
      <alignment horizontal="right" wrapText="1"/>
    </xf>
    <xf numFmtId="9" fontId="85" fillId="0" borderId="0" xfId="13" applyNumberFormat="1" applyFont="1" applyAlignment="1">
      <alignment horizontal="right" wrapText="1"/>
    </xf>
    <xf numFmtId="9" fontId="85" fillId="16" borderId="0" xfId="13" applyNumberFormat="1" applyFont="1" applyFill="1" applyAlignment="1">
      <alignment horizontal="right" wrapText="1"/>
    </xf>
    <xf numFmtId="207" fontId="80" fillId="5" borderId="40" xfId="13" applyFont="1" applyFill="1" applyBorder="1" applyAlignment="1">
      <alignment horizontal="right" vertical="center"/>
    </xf>
    <xf numFmtId="9" fontId="85" fillId="0" borderId="35" xfId="13" applyNumberFormat="1" applyFont="1" applyBorder="1" applyAlignment="1">
      <alignment horizontal="right" wrapText="1"/>
    </xf>
    <xf numFmtId="9" fontId="85" fillId="0" borderId="40" xfId="13" applyNumberFormat="1" applyFont="1" applyBorder="1" applyAlignment="1">
      <alignment horizontal="right" wrapText="1"/>
    </xf>
    <xf numFmtId="207" fontId="85" fillId="0" borderId="24" xfId="13" applyFont="1" applyBorder="1" applyAlignment="1">
      <alignment horizontal="left" vertical="center" wrapText="1" indent="1"/>
    </xf>
    <xf numFmtId="9" fontId="77" fillId="16" borderId="24" xfId="14" applyFont="1" applyFill="1" applyBorder="1" applyAlignment="1">
      <alignment horizontal="right" wrapText="1"/>
    </xf>
    <xf numFmtId="9" fontId="85" fillId="5" borderId="24" xfId="14" applyFont="1" applyFill="1" applyBorder="1" applyAlignment="1">
      <alignment horizontal="right" wrapText="1"/>
    </xf>
    <xf numFmtId="9" fontId="85" fillId="0" borderId="24" xfId="14" applyFont="1" applyFill="1" applyBorder="1" applyAlignment="1">
      <alignment horizontal="right" wrapText="1"/>
    </xf>
    <xf numFmtId="9" fontId="85" fillId="16" borderId="24" xfId="14" applyFont="1" applyFill="1" applyBorder="1" applyAlignment="1">
      <alignment horizontal="right" wrapText="1"/>
    </xf>
    <xf numFmtId="9" fontId="99" fillId="16" borderId="24" xfId="14" applyFont="1" applyFill="1" applyBorder="1" applyAlignment="1">
      <alignment horizontal="right" wrapText="1"/>
    </xf>
    <xf numFmtId="9" fontId="99" fillId="0" borderId="24" xfId="14" applyFont="1" applyFill="1" applyBorder="1" applyAlignment="1">
      <alignment horizontal="right" wrapText="1"/>
    </xf>
    <xf numFmtId="9" fontId="85" fillId="5" borderId="43" xfId="14" applyFont="1" applyFill="1" applyBorder="1" applyAlignment="1">
      <alignment horizontal="right" wrapText="1"/>
    </xf>
    <xf numFmtId="9" fontId="85" fillId="5" borderId="44" xfId="14" applyFont="1" applyFill="1" applyBorder="1" applyAlignment="1">
      <alignment horizontal="right" wrapText="1"/>
    </xf>
    <xf numFmtId="9" fontId="85" fillId="0" borderId="43" xfId="14" applyFont="1" applyFill="1" applyBorder="1" applyAlignment="1">
      <alignment horizontal="right" wrapText="1"/>
    </xf>
    <xf numFmtId="9" fontId="85" fillId="0" borderId="44" xfId="14" applyFont="1" applyFill="1" applyBorder="1" applyAlignment="1">
      <alignment horizontal="right" wrapText="1"/>
    </xf>
    <xf numFmtId="207" fontId="85" fillId="0" borderId="0" xfId="13" applyFont="1">
      <alignment vertical="center"/>
    </xf>
    <xf numFmtId="207" fontId="124" fillId="0" borderId="0" xfId="13" quotePrefix="1" applyFont="1" applyAlignment="1">
      <alignment horizontal="left" vertical="top"/>
    </xf>
    <xf numFmtId="208" fontId="89" fillId="16" borderId="0" xfId="12" applyNumberFormat="1" applyFont="1" applyFill="1" applyAlignment="1">
      <alignment horizontal="right" wrapText="1"/>
    </xf>
    <xf numFmtId="208" fontId="89" fillId="0" borderId="0" xfId="12" applyNumberFormat="1" applyFont="1" applyFill="1" applyAlignment="1">
      <alignment horizontal="right" wrapText="1"/>
    </xf>
    <xf numFmtId="208" fontId="89" fillId="5" borderId="0" xfId="12" applyNumberFormat="1" applyFont="1" applyFill="1" applyAlignment="1">
      <alignment horizontal="right" wrapText="1"/>
    </xf>
    <xf numFmtId="208" fontId="89" fillId="0" borderId="0" xfId="12" applyNumberFormat="1" applyFont="1" applyFill="1" applyBorder="1" applyAlignment="1">
      <alignment horizontal="right" wrapText="1"/>
    </xf>
    <xf numFmtId="208" fontId="89" fillId="16" borderId="0" xfId="12" applyNumberFormat="1" applyFont="1" applyFill="1" applyBorder="1" applyAlignment="1">
      <alignment horizontal="right" wrapText="1"/>
    </xf>
    <xf numFmtId="208" fontId="125" fillId="0" borderId="40" xfId="12" applyNumberFormat="1" applyFont="1" applyFill="1" applyBorder="1" applyAlignment="1">
      <alignment horizontal="right" wrapText="1"/>
    </xf>
    <xf numFmtId="208" fontId="89" fillId="0" borderId="35" xfId="12" applyNumberFormat="1" applyFont="1" applyFill="1" applyBorder="1" applyAlignment="1">
      <alignment horizontal="right" wrapText="1"/>
    </xf>
    <xf numFmtId="208" fontId="89" fillId="0" borderId="40" xfId="12" applyNumberFormat="1" applyFont="1" applyFill="1" applyBorder="1" applyAlignment="1">
      <alignment horizontal="right" wrapText="1"/>
    </xf>
    <xf numFmtId="207" fontId="79" fillId="0" borderId="0" xfId="13" applyFont="1" applyAlignment="1">
      <alignment horizontal="left" vertical="top" wrapText="1" indent="1"/>
    </xf>
    <xf numFmtId="9" fontId="79" fillId="16" borderId="0" xfId="14" applyFont="1" applyFill="1" applyAlignment="1">
      <alignment horizontal="right" wrapText="1"/>
    </xf>
    <xf numFmtId="9" fontId="79" fillId="0" borderId="0" xfId="14" applyFont="1" applyFill="1" applyAlignment="1">
      <alignment horizontal="right" wrapText="1"/>
    </xf>
    <xf numFmtId="9" fontId="79" fillId="5" borderId="0" xfId="14" applyFont="1" applyFill="1" applyAlignment="1">
      <alignment horizontal="right" wrapText="1"/>
    </xf>
    <xf numFmtId="9" fontId="105" fillId="16" borderId="0" xfId="14" applyFont="1" applyFill="1" applyAlignment="1">
      <alignment horizontal="right" wrapText="1"/>
    </xf>
    <xf numFmtId="9" fontId="55" fillId="5" borderId="0" xfId="14" applyFont="1" applyFill="1" applyAlignment="1">
      <alignment horizontal="right" wrapText="1"/>
    </xf>
    <xf numFmtId="9" fontId="55" fillId="16" borderId="0" xfId="14" applyFont="1" applyFill="1" applyAlignment="1">
      <alignment horizontal="right" wrapText="1"/>
    </xf>
    <xf numFmtId="207" fontId="79" fillId="0" borderId="40" xfId="13" applyFont="1" applyBorder="1" applyAlignment="1">
      <alignment horizontal="right" vertical="center"/>
    </xf>
    <xf numFmtId="207" fontId="84" fillId="0" borderId="0" xfId="13" applyFont="1" applyAlignment="1">
      <alignment horizontal="right" vertical="center"/>
    </xf>
    <xf numFmtId="207" fontId="84" fillId="0" borderId="35" xfId="13" applyFont="1" applyBorder="1" applyAlignment="1">
      <alignment horizontal="right" vertical="center"/>
    </xf>
    <xf numFmtId="207" fontId="84" fillId="5" borderId="40" xfId="13" applyFont="1" applyFill="1" applyBorder="1" applyAlignment="1">
      <alignment horizontal="right" vertical="center"/>
    </xf>
    <xf numFmtId="207" fontId="84" fillId="5" borderId="0" xfId="13" applyFont="1" applyFill="1" applyAlignment="1">
      <alignment horizontal="right" vertical="center"/>
    </xf>
    <xf numFmtId="184" fontId="79" fillId="0" borderId="0" xfId="14" applyNumberFormat="1" applyFont="1" applyFill="1" applyBorder="1" applyAlignment="1">
      <alignment horizontal="right" vertical="center"/>
    </xf>
    <xf numFmtId="207" fontId="79" fillId="0" borderId="35" xfId="13" applyFont="1" applyBorder="1" applyAlignment="1">
      <alignment horizontal="right" vertical="center"/>
    </xf>
    <xf numFmtId="207" fontId="79" fillId="16" borderId="24" xfId="13" applyFont="1" applyFill="1" applyBorder="1" applyAlignment="1">
      <alignment horizontal="right" wrapText="1"/>
    </xf>
    <xf numFmtId="9" fontId="55" fillId="5" borderId="24" xfId="14" applyFont="1" applyFill="1" applyBorder="1" applyAlignment="1">
      <alignment horizontal="right" wrapText="1"/>
    </xf>
    <xf numFmtId="9" fontId="55" fillId="0" borderId="24" xfId="14" applyFont="1" applyFill="1" applyBorder="1" applyAlignment="1">
      <alignment horizontal="right" wrapText="1"/>
    </xf>
    <xf numFmtId="9" fontId="105" fillId="16" borderId="24" xfId="14" applyFont="1" applyFill="1" applyBorder="1" applyAlignment="1">
      <alignment horizontal="right" wrapText="1"/>
    </xf>
    <xf numFmtId="9" fontId="55" fillId="16" borderId="24" xfId="14" applyFont="1" applyFill="1" applyBorder="1" applyAlignment="1">
      <alignment horizontal="right" wrapText="1"/>
    </xf>
    <xf numFmtId="207" fontId="79" fillId="0" borderId="43" xfId="13" applyFont="1" applyBorder="1" applyAlignment="1">
      <alignment horizontal="right" vertical="center"/>
    </xf>
    <xf numFmtId="184" fontId="79" fillId="5" borderId="24" xfId="14" applyNumberFormat="1" applyFont="1" applyFill="1" applyBorder="1" applyAlignment="1">
      <alignment horizontal="right" wrapText="1"/>
    </xf>
    <xf numFmtId="9" fontId="79" fillId="5" borderId="24" xfId="14" applyFont="1" applyFill="1" applyBorder="1" applyAlignment="1">
      <alignment horizontal="right" wrapText="1"/>
    </xf>
    <xf numFmtId="9" fontId="79" fillId="5" borderId="44" xfId="14" applyFont="1" applyFill="1" applyBorder="1" applyAlignment="1">
      <alignment horizontal="right" wrapText="1"/>
    </xf>
    <xf numFmtId="9" fontId="79" fillId="5" borderId="43" xfId="14" applyFont="1" applyFill="1" applyBorder="1" applyAlignment="1">
      <alignment horizontal="right" wrapText="1"/>
    </xf>
    <xf numFmtId="9" fontId="55" fillId="5" borderId="43" xfId="14" applyFont="1" applyFill="1" applyBorder="1" applyAlignment="1">
      <alignment horizontal="right" wrapText="1"/>
    </xf>
    <xf numFmtId="9" fontId="55" fillId="5" borderId="44" xfId="14" applyFont="1" applyFill="1" applyBorder="1" applyAlignment="1">
      <alignment horizontal="right" wrapText="1"/>
    </xf>
    <xf numFmtId="1" fontId="102" fillId="0" borderId="19" xfId="13" applyNumberFormat="1" applyFont="1" applyBorder="1" applyAlignment="1">
      <alignment horizontal="left" vertical="top" wrapText="1"/>
    </xf>
    <xf numFmtId="1" fontId="88" fillId="16" borderId="19" xfId="12" applyNumberFormat="1" applyFont="1" applyFill="1" applyBorder="1" applyAlignment="1">
      <alignment horizontal="right" wrapText="1"/>
    </xf>
    <xf numFmtId="1" fontId="88" fillId="5" borderId="19" xfId="12" applyNumberFormat="1" applyFont="1" applyFill="1" applyBorder="1" applyAlignment="1">
      <alignment horizontal="right" wrapText="1"/>
    </xf>
    <xf numFmtId="1" fontId="88" fillId="0" borderId="19" xfId="12" applyNumberFormat="1" applyFont="1" applyFill="1" applyBorder="1" applyAlignment="1">
      <alignment horizontal="right" wrapText="1"/>
    </xf>
    <xf numFmtId="1" fontId="88" fillId="16" borderId="19" xfId="13" applyNumberFormat="1" applyFont="1" applyFill="1" applyBorder="1" applyAlignment="1">
      <alignment horizontal="right" wrapText="1"/>
    </xf>
    <xf numFmtId="208" fontId="126" fillId="5" borderId="41" xfId="12" applyNumberFormat="1" applyFont="1" applyFill="1" applyBorder="1" applyAlignment="1">
      <alignment horizontal="right" vertical="center"/>
    </xf>
    <xf numFmtId="208" fontId="88" fillId="5" borderId="42" xfId="12" applyNumberFormat="1" applyFont="1" applyFill="1" applyBorder="1" applyAlignment="1">
      <alignment horizontal="right" wrapText="1"/>
    </xf>
    <xf numFmtId="208" fontId="88" fillId="5" borderId="41" xfId="12" applyNumberFormat="1" applyFont="1" applyFill="1" applyBorder="1" applyAlignment="1">
      <alignment horizontal="right" vertical="center"/>
    </xf>
    <xf numFmtId="208" fontId="102" fillId="5" borderId="19" xfId="12" applyNumberFormat="1" applyFont="1" applyFill="1" applyBorder="1" applyAlignment="1">
      <alignment horizontal="right" vertical="center"/>
    </xf>
    <xf numFmtId="208" fontId="102" fillId="5" borderId="41" xfId="12" applyNumberFormat="1" applyFont="1" applyFill="1" applyBorder="1" applyAlignment="1">
      <alignment horizontal="right" vertical="center"/>
    </xf>
    <xf numFmtId="208" fontId="102" fillId="0" borderId="0" xfId="12" applyNumberFormat="1" applyFont="1" applyFill="1" applyBorder="1" applyAlignment="1">
      <alignment horizontal="right" vertical="center"/>
    </xf>
    <xf numFmtId="208" fontId="102" fillId="5" borderId="0" xfId="12" applyNumberFormat="1" applyFont="1" applyFill="1" applyBorder="1" applyAlignment="1">
      <alignment horizontal="right" vertical="center"/>
    </xf>
    <xf numFmtId="208" fontId="102" fillId="5" borderId="35" xfId="12" applyNumberFormat="1" applyFont="1" applyFill="1" applyBorder="1" applyAlignment="1">
      <alignment horizontal="right" vertical="center"/>
    </xf>
    <xf numFmtId="208" fontId="102" fillId="5" borderId="40" xfId="12" applyNumberFormat="1" applyFont="1" applyFill="1" applyBorder="1" applyAlignment="1">
      <alignment horizontal="right" vertical="center"/>
    </xf>
    <xf numFmtId="1" fontId="126" fillId="0" borderId="0" xfId="13" applyNumberFormat="1" applyFont="1">
      <alignment vertical="center"/>
    </xf>
    <xf numFmtId="9" fontId="105" fillId="5" borderId="35" xfId="14" applyFont="1" applyFill="1" applyBorder="1" applyAlignment="1">
      <alignment horizontal="right" wrapText="1"/>
    </xf>
    <xf numFmtId="9" fontId="105" fillId="5" borderId="40" xfId="14" applyFont="1" applyFill="1" applyBorder="1" applyAlignment="1">
      <alignment horizontal="right" wrapText="1"/>
    </xf>
    <xf numFmtId="9" fontId="106" fillId="5" borderId="0" xfId="14" applyFont="1" applyFill="1" applyBorder="1" applyAlignment="1">
      <alignment horizontal="right" wrapText="1"/>
    </xf>
    <xf numFmtId="9" fontId="106" fillId="5" borderId="40" xfId="14" applyFont="1" applyFill="1" applyBorder="1" applyAlignment="1">
      <alignment horizontal="right" wrapText="1"/>
    </xf>
    <xf numFmtId="9" fontId="106" fillId="5" borderId="0" xfId="13" applyNumberFormat="1" applyFont="1" applyFill="1" applyAlignment="1">
      <alignment horizontal="right" vertical="center"/>
    </xf>
    <xf numFmtId="9" fontId="106" fillId="5" borderId="35" xfId="13" applyNumberFormat="1" applyFont="1" applyFill="1" applyBorder="1" applyAlignment="1">
      <alignment horizontal="right" vertical="center"/>
    </xf>
    <xf numFmtId="9" fontId="112" fillId="5" borderId="40" xfId="13" applyNumberFormat="1" applyFont="1" applyFill="1" applyBorder="1" applyAlignment="1">
      <alignment horizontal="right" vertical="center"/>
    </xf>
    <xf numFmtId="9" fontId="112" fillId="5" borderId="35" xfId="13" applyNumberFormat="1" applyFont="1" applyFill="1" applyBorder="1" applyAlignment="1">
      <alignment horizontal="right" vertical="center"/>
    </xf>
    <xf numFmtId="184" fontId="79" fillId="16" borderId="0" xfId="13" applyNumberFormat="1" applyFont="1" applyFill="1" applyAlignment="1">
      <alignment horizontal="right" wrapText="1"/>
    </xf>
    <xf numFmtId="9" fontId="79" fillId="0" borderId="0" xfId="13" applyNumberFormat="1" applyFont="1" applyAlignment="1">
      <alignment horizontal="right" wrapText="1"/>
    </xf>
    <xf numFmtId="9" fontId="84" fillId="16" borderId="0" xfId="13" applyNumberFormat="1" applyFont="1" applyFill="1" applyAlignment="1">
      <alignment horizontal="right" wrapText="1"/>
    </xf>
    <xf numFmtId="9" fontId="79" fillId="5" borderId="0" xfId="13" applyNumberFormat="1" applyFont="1" applyFill="1" applyAlignment="1">
      <alignment horizontal="right" wrapText="1"/>
    </xf>
    <xf numFmtId="9" fontId="84" fillId="5" borderId="0" xfId="13" applyNumberFormat="1" applyFont="1" applyFill="1" applyAlignment="1">
      <alignment horizontal="right" wrapText="1"/>
    </xf>
    <xf numFmtId="9" fontId="94" fillId="16" borderId="0" xfId="13" applyNumberFormat="1" applyFont="1" applyFill="1" applyAlignment="1">
      <alignment horizontal="right" wrapText="1"/>
    </xf>
    <xf numFmtId="9" fontId="94" fillId="0" borderId="0" xfId="13" applyNumberFormat="1" applyFont="1" applyAlignment="1">
      <alignment horizontal="right" wrapText="1"/>
    </xf>
    <xf numFmtId="207" fontId="79" fillId="5" borderId="40" xfId="13" applyFont="1" applyFill="1" applyBorder="1" applyAlignment="1">
      <alignment horizontal="right" vertical="center"/>
    </xf>
    <xf numFmtId="9" fontId="79" fillId="5" borderId="35" xfId="13" applyNumberFormat="1" applyFont="1" applyFill="1" applyBorder="1" applyAlignment="1">
      <alignment horizontal="right" wrapText="1"/>
    </xf>
    <xf numFmtId="9" fontId="79" fillId="5" borderId="40" xfId="13" applyNumberFormat="1" applyFont="1" applyFill="1" applyBorder="1" applyAlignment="1">
      <alignment horizontal="right" wrapText="1"/>
    </xf>
    <xf numFmtId="9" fontId="127" fillId="5" borderId="0" xfId="13" applyNumberFormat="1" applyFont="1" applyFill="1" applyAlignment="1">
      <alignment horizontal="right" wrapText="1"/>
    </xf>
    <xf numFmtId="9" fontId="127" fillId="5" borderId="40" xfId="13" applyNumberFormat="1" applyFont="1" applyFill="1" applyBorder="1" applyAlignment="1">
      <alignment horizontal="right" wrapText="1"/>
    </xf>
    <xf numFmtId="9" fontId="127" fillId="5" borderId="35" xfId="13" applyNumberFormat="1" applyFont="1" applyFill="1" applyBorder="1" applyAlignment="1">
      <alignment horizontal="right" wrapText="1"/>
    </xf>
    <xf numFmtId="10" fontId="77" fillId="16" borderId="0" xfId="13" applyNumberFormat="1" applyFont="1" applyFill="1" applyAlignment="1">
      <alignment horizontal="right" wrapText="1"/>
    </xf>
    <xf numFmtId="9" fontId="77" fillId="0" borderId="0" xfId="13" applyNumberFormat="1" applyFont="1" applyAlignment="1">
      <alignment horizontal="right" wrapText="1"/>
    </xf>
    <xf numFmtId="10" fontId="77" fillId="0" borderId="0" xfId="13" applyNumberFormat="1" applyFont="1" applyAlignment="1">
      <alignment horizontal="right" wrapText="1"/>
    </xf>
    <xf numFmtId="184" fontId="77" fillId="0" borderId="0" xfId="13" applyNumberFormat="1" applyFont="1" applyAlignment="1">
      <alignment horizontal="right" wrapText="1"/>
    </xf>
    <xf numFmtId="9" fontId="77" fillId="5" borderId="0" xfId="13" applyNumberFormat="1" applyFont="1" applyFill="1" applyAlignment="1">
      <alignment horizontal="right" wrapText="1"/>
    </xf>
    <xf numFmtId="10" fontId="77" fillId="5" borderId="0" xfId="13" applyNumberFormat="1" applyFont="1" applyFill="1" applyAlignment="1">
      <alignment horizontal="right" wrapText="1"/>
    </xf>
    <xf numFmtId="207" fontId="77" fillId="5" borderId="40" xfId="13" applyFont="1" applyFill="1" applyBorder="1" applyAlignment="1">
      <alignment horizontal="right" vertical="center"/>
    </xf>
    <xf numFmtId="207" fontId="77" fillId="5" borderId="0" xfId="13" applyFont="1" applyFill="1" applyAlignment="1">
      <alignment horizontal="right" vertical="center"/>
    </xf>
    <xf numFmtId="10" fontId="77" fillId="5" borderId="0" xfId="13" applyNumberFormat="1" applyFont="1" applyFill="1" applyAlignment="1">
      <alignment horizontal="right" vertical="center"/>
    </xf>
    <xf numFmtId="207" fontId="77" fillId="5" borderId="35" xfId="13" applyFont="1" applyFill="1" applyBorder="1" applyAlignment="1">
      <alignment horizontal="right" vertical="center"/>
    </xf>
    <xf numFmtId="207" fontId="102" fillId="0" borderId="0" xfId="13" applyFont="1" applyAlignment="1">
      <alignment horizontal="left" wrapText="1"/>
    </xf>
    <xf numFmtId="208" fontId="88" fillId="16" borderId="0" xfId="12" applyNumberFormat="1" applyFont="1" applyFill="1" applyAlignment="1">
      <alignment horizontal="right" wrapText="1"/>
    </xf>
    <xf numFmtId="208" fontId="88" fillId="0" borderId="0" xfId="12" applyNumberFormat="1" applyFont="1" applyFill="1" applyAlignment="1">
      <alignment horizontal="right" wrapText="1"/>
    </xf>
    <xf numFmtId="208" fontId="88" fillId="5" borderId="0" xfId="12" applyNumberFormat="1" applyFont="1" applyFill="1" applyAlignment="1">
      <alignment horizontal="right" wrapText="1"/>
    </xf>
    <xf numFmtId="208" fontId="102" fillId="0" borderId="0" xfId="12" applyNumberFormat="1" applyFont="1" applyFill="1" applyAlignment="1">
      <alignment horizontal="right" wrapText="1"/>
    </xf>
    <xf numFmtId="208" fontId="102" fillId="16" borderId="0" xfId="12" applyNumberFormat="1" applyFont="1" applyFill="1" applyAlignment="1">
      <alignment horizontal="right" wrapText="1"/>
    </xf>
    <xf numFmtId="192" fontId="102" fillId="0" borderId="0" xfId="12" applyNumberFormat="1" applyFont="1" applyFill="1" applyAlignment="1">
      <alignment horizontal="right" wrapText="1"/>
    </xf>
    <xf numFmtId="43" fontId="102" fillId="0" borderId="0" xfId="12" applyNumberFormat="1" applyFont="1" applyFill="1" applyAlignment="1">
      <alignment horizontal="right" wrapText="1"/>
    </xf>
    <xf numFmtId="207" fontId="108" fillId="5" borderId="40" xfId="13" applyFont="1" applyFill="1" applyBorder="1" applyAlignment="1">
      <alignment horizontal="right"/>
    </xf>
    <xf numFmtId="208" fontId="88" fillId="5" borderId="35" xfId="12" applyNumberFormat="1" applyFont="1" applyFill="1" applyBorder="1" applyAlignment="1">
      <alignment horizontal="right" wrapText="1"/>
    </xf>
    <xf numFmtId="208" fontId="102" fillId="5" borderId="0" xfId="12" applyNumberFormat="1" applyFont="1" applyFill="1" applyBorder="1" applyAlignment="1">
      <alignment horizontal="right"/>
    </xf>
    <xf numFmtId="208" fontId="102" fillId="5" borderId="40" xfId="12" applyNumberFormat="1" applyFont="1" applyFill="1" applyBorder="1" applyAlignment="1">
      <alignment horizontal="right"/>
    </xf>
    <xf numFmtId="208" fontId="102" fillId="5" borderId="35" xfId="12" applyNumberFormat="1" applyFont="1" applyFill="1" applyBorder="1" applyAlignment="1">
      <alignment horizontal="right"/>
    </xf>
    <xf numFmtId="207" fontId="108" fillId="0" borderId="0" xfId="13" applyFont="1" applyAlignment="1"/>
    <xf numFmtId="207" fontId="85" fillId="17" borderId="39" xfId="13" applyFont="1" applyFill="1" applyBorder="1" applyAlignment="1">
      <alignment horizontal="left" indent="2"/>
    </xf>
    <xf numFmtId="9" fontId="106" fillId="0" borderId="0" xfId="14" applyFont="1" applyFill="1" applyAlignment="1">
      <alignment horizontal="right" wrapText="1"/>
    </xf>
    <xf numFmtId="9" fontId="106" fillId="16" borderId="0" xfId="14" applyFont="1" applyFill="1" applyAlignment="1">
      <alignment horizontal="right" wrapText="1"/>
    </xf>
    <xf numFmtId="207" fontId="84" fillId="5" borderId="35" xfId="13" applyFont="1" applyFill="1" applyBorder="1" applyAlignment="1">
      <alignment horizontal="right" vertical="center"/>
    </xf>
    <xf numFmtId="184" fontId="79" fillId="5" borderId="0" xfId="14" applyNumberFormat="1" applyFont="1" applyFill="1" applyBorder="1" applyAlignment="1">
      <alignment horizontal="right" vertical="center"/>
    </xf>
    <xf numFmtId="207" fontId="79" fillId="5" borderId="35" xfId="13" applyFont="1" applyFill="1" applyBorder="1" applyAlignment="1">
      <alignment horizontal="right" vertical="center"/>
    </xf>
    <xf numFmtId="9" fontId="55" fillId="0" borderId="0" xfId="14" applyFont="1" applyFill="1" applyAlignment="1">
      <alignment horizontal="right" wrapText="1"/>
    </xf>
    <xf numFmtId="184" fontId="55" fillId="5" borderId="0" xfId="14" applyNumberFormat="1" applyFont="1" applyFill="1" applyBorder="1" applyAlignment="1">
      <alignment horizontal="right" wrapText="1"/>
    </xf>
    <xf numFmtId="9" fontId="55" fillId="5" borderId="35" xfId="14" applyFont="1" applyFill="1" applyBorder="1" applyAlignment="1">
      <alignment horizontal="right" wrapText="1"/>
    </xf>
    <xf numFmtId="9" fontId="55" fillId="5" borderId="40" xfId="14" applyFont="1" applyFill="1" applyBorder="1" applyAlignment="1">
      <alignment horizontal="right" wrapText="1"/>
    </xf>
    <xf numFmtId="9" fontId="106" fillId="5" borderId="35" xfId="14" applyFont="1" applyFill="1" applyBorder="1" applyAlignment="1">
      <alignment horizontal="right" wrapText="1"/>
    </xf>
    <xf numFmtId="184" fontId="77" fillId="16" borderId="0" xfId="13" applyNumberFormat="1" applyFont="1" applyFill="1" applyAlignment="1">
      <alignment horizontal="right" wrapText="1"/>
    </xf>
    <xf numFmtId="9" fontId="85" fillId="5" borderId="0" xfId="14" applyFont="1" applyFill="1" applyAlignment="1">
      <alignment horizontal="right" wrapText="1"/>
    </xf>
    <xf numFmtId="9" fontId="77" fillId="16" borderId="0" xfId="13" applyNumberFormat="1" applyFont="1" applyFill="1" applyAlignment="1">
      <alignment horizontal="right" wrapText="1"/>
    </xf>
    <xf numFmtId="9" fontId="85" fillId="5" borderId="0" xfId="13" applyNumberFormat="1" applyFont="1" applyFill="1" applyAlignment="1">
      <alignment horizontal="right" wrapText="1"/>
    </xf>
    <xf numFmtId="9" fontId="85" fillId="16" borderId="0" xfId="14" applyFont="1" applyFill="1" applyAlignment="1">
      <alignment horizontal="right" wrapText="1"/>
    </xf>
    <xf numFmtId="9" fontId="99" fillId="0" borderId="0" xfId="14" applyFont="1" applyFill="1" applyAlignment="1">
      <alignment horizontal="right" wrapText="1"/>
    </xf>
    <xf numFmtId="9" fontId="99" fillId="16" borderId="0" xfId="14" applyFont="1" applyFill="1" applyAlignment="1">
      <alignment horizontal="right" wrapText="1"/>
    </xf>
    <xf numFmtId="9" fontId="85" fillId="5" borderId="35" xfId="14" applyFont="1" applyFill="1" applyBorder="1" applyAlignment="1">
      <alignment horizontal="right" wrapText="1"/>
    </xf>
    <xf numFmtId="9" fontId="85" fillId="5" borderId="40" xfId="14" applyFont="1" applyFill="1" applyBorder="1" applyAlignment="1">
      <alignment horizontal="right" wrapText="1"/>
    </xf>
    <xf numFmtId="9" fontId="99" fillId="5" borderId="0" xfId="14" applyFont="1" applyFill="1" applyBorder="1" applyAlignment="1">
      <alignment horizontal="right" wrapText="1"/>
    </xf>
    <xf numFmtId="9" fontId="99" fillId="5" borderId="40" xfId="14" applyFont="1" applyFill="1" applyBorder="1" applyAlignment="1">
      <alignment horizontal="right" wrapText="1"/>
    </xf>
    <xf numFmtId="9" fontId="99" fillId="5" borderId="35" xfId="14" applyFont="1" applyFill="1" applyBorder="1" applyAlignment="1">
      <alignment horizontal="right" wrapText="1"/>
    </xf>
    <xf numFmtId="199" fontId="85" fillId="17" borderId="39" xfId="12" quotePrefix="1" applyNumberFormat="1" applyFont="1" applyFill="1" applyBorder="1" applyAlignment="1">
      <alignment horizontal="left" indent="1"/>
    </xf>
    <xf numFmtId="207" fontId="77" fillId="0" borderId="24" xfId="13" applyFont="1" applyBorder="1" applyAlignment="1">
      <alignment horizontal="left" vertical="center" wrapText="1" indent="1"/>
    </xf>
    <xf numFmtId="184" fontId="77" fillId="16" borderId="24" xfId="13" applyNumberFormat="1" applyFont="1" applyFill="1" applyBorder="1" applyAlignment="1">
      <alignment horizontal="right" wrapText="1"/>
    </xf>
    <xf numFmtId="9" fontId="77" fillId="16" borderId="24" xfId="13" applyNumberFormat="1" applyFont="1" applyFill="1" applyBorder="1" applyAlignment="1">
      <alignment horizontal="right" wrapText="1"/>
    </xf>
    <xf numFmtId="207" fontId="77" fillId="5" borderId="43" xfId="13" applyFont="1" applyFill="1" applyBorder="1" applyAlignment="1">
      <alignment horizontal="right" vertical="center"/>
    </xf>
    <xf numFmtId="9" fontId="99" fillId="5" borderId="24" xfId="14" applyFont="1" applyFill="1" applyBorder="1" applyAlignment="1">
      <alignment horizontal="right" wrapText="1"/>
    </xf>
    <xf numFmtId="9" fontId="99" fillId="5" borderId="43" xfId="14" applyFont="1" applyFill="1" applyBorder="1" applyAlignment="1">
      <alignment horizontal="right" wrapText="1"/>
    </xf>
    <xf numFmtId="9" fontId="99" fillId="5" borderId="44" xfId="14" applyFont="1" applyFill="1" applyBorder="1" applyAlignment="1">
      <alignment horizontal="right" wrapText="1"/>
    </xf>
    <xf numFmtId="207" fontId="103" fillId="0" borderId="0" xfId="13" applyFont="1" applyAlignment="1">
      <alignment horizontal="left" vertical="top" wrapText="1"/>
    </xf>
    <xf numFmtId="210" fontId="89" fillId="16" borderId="0" xfId="12" applyNumberFormat="1" applyFont="1" applyFill="1" applyAlignment="1">
      <alignment horizontal="right" wrapText="1"/>
    </xf>
    <xf numFmtId="208" fontId="89" fillId="5" borderId="0" xfId="13" applyNumberFormat="1" applyFont="1" applyFill="1" applyAlignment="1">
      <alignment horizontal="right" vertical="center"/>
    </xf>
    <xf numFmtId="208" fontId="89" fillId="0" borderId="0" xfId="13" applyNumberFormat="1" applyFont="1" applyAlignment="1">
      <alignment horizontal="right" vertical="center"/>
    </xf>
    <xf numFmtId="208" fontId="89" fillId="16" borderId="0" xfId="13" applyNumberFormat="1" applyFont="1" applyFill="1" applyAlignment="1">
      <alignment horizontal="right" vertical="center"/>
    </xf>
    <xf numFmtId="208" fontId="103" fillId="16" borderId="0" xfId="13" applyNumberFormat="1" applyFont="1" applyFill="1" applyAlignment="1">
      <alignment horizontal="right" vertical="center"/>
    </xf>
    <xf numFmtId="208" fontId="103" fillId="0" borderId="0" xfId="13" applyNumberFormat="1" applyFont="1" applyAlignment="1">
      <alignment horizontal="right" vertical="center"/>
    </xf>
    <xf numFmtId="207" fontId="125" fillId="5" borderId="40" xfId="13" applyFont="1" applyFill="1" applyBorder="1" applyAlignment="1">
      <alignment horizontal="right" vertical="center"/>
    </xf>
    <xf numFmtId="208" fontId="89" fillId="5" borderId="0" xfId="12" applyNumberFormat="1" applyFont="1" applyFill="1" applyBorder="1" applyAlignment="1">
      <alignment horizontal="right" wrapText="1"/>
    </xf>
    <xf numFmtId="208" fontId="89" fillId="5" borderId="35" xfId="12" applyNumberFormat="1" applyFont="1" applyFill="1" applyBorder="1" applyAlignment="1">
      <alignment horizontal="right" wrapText="1"/>
    </xf>
    <xf numFmtId="208" fontId="89" fillId="5" borderId="40" xfId="12" applyNumberFormat="1" applyFont="1" applyFill="1" applyBorder="1" applyAlignment="1">
      <alignment horizontal="right" vertical="center"/>
    </xf>
    <xf numFmtId="208" fontId="103" fillId="5" borderId="0" xfId="12" applyNumberFormat="1" applyFont="1" applyFill="1" applyBorder="1" applyAlignment="1">
      <alignment horizontal="right" vertical="center"/>
    </xf>
    <xf numFmtId="208" fontId="103" fillId="5" borderId="40" xfId="12" applyNumberFormat="1" applyFont="1" applyFill="1" applyBorder="1" applyAlignment="1">
      <alignment horizontal="right" vertical="center"/>
    </xf>
    <xf numFmtId="208" fontId="103" fillId="5" borderId="35" xfId="12" applyNumberFormat="1" applyFont="1" applyFill="1" applyBorder="1" applyAlignment="1">
      <alignment horizontal="right" vertical="center"/>
    </xf>
    <xf numFmtId="207" fontId="125" fillId="0" borderId="0" xfId="13" applyFont="1">
      <alignment vertical="center"/>
    </xf>
    <xf numFmtId="207" fontId="85" fillId="17" borderId="39" xfId="13" applyFont="1" applyFill="1" applyBorder="1" applyAlignment="1">
      <alignment horizontal="left"/>
    </xf>
    <xf numFmtId="184" fontId="79" fillId="0" borderId="0" xfId="14" applyNumberFormat="1" applyFont="1" applyFill="1" applyAlignment="1">
      <alignment horizontal="right" wrapText="1"/>
    </xf>
    <xf numFmtId="9" fontId="79" fillId="16" borderId="0" xfId="13" applyNumberFormat="1" applyFont="1" applyFill="1" applyAlignment="1">
      <alignment horizontal="right" wrapText="1"/>
    </xf>
    <xf numFmtId="9" fontId="127" fillId="16" borderId="0" xfId="13" applyNumberFormat="1" applyFont="1" applyFill="1" applyAlignment="1">
      <alignment horizontal="right" wrapText="1"/>
    </xf>
    <xf numFmtId="9" fontId="127" fillId="0" borderId="0" xfId="14" applyFont="1" applyFill="1" applyBorder="1" applyAlignment="1">
      <alignment horizontal="right" wrapText="1"/>
    </xf>
    <xf numFmtId="9" fontId="127" fillId="0" borderId="0" xfId="14" applyFont="1" applyFill="1" applyAlignment="1">
      <alignment horizontal="right" wrapText="1"/>
    </xf>
    <xf numFmtId="9" fontId="127" fillId="16" borderId="0" xfId="14" applyFont="1" applyFill="1" applyAlignment="1">
      <alignment horizontal="right" wrapText="1"/>
    </xf>
    <xf numFmtId="9" fontId="79" fillId="5" borderId="35" xfId="14" applyFont="1" applyFill="1" applyBorder="1" applyAlignment="1">
      <alignment horizontal="right" wrapText="1"/>
    </xf>
    <xf numFmtId="9" fontId="79" fillId="5" borderId="40" xfId="14" applyFont="1" applyFill="1" applyBorder="1" applyAlignment="1">
      <alignment horizontal="right" wrapText="1"/>
    </xf>
    <xf numFmtId="208" fontId="103" fillId="0" borderId="0" xfId="12" applyNumberFormat="1" applyFont="1" applyFill="1" applyBorder="1" applyAlignment="1">
      <alignment horizontal="right" wrapText="1"/>
    </xf>
    <xf numFmtId="208" fontId="103" fillId="16" borderId="0" xfId="12" applyNumberFormat="1" applyFont="1" applyFill="1" applyBorder="1" applyAlignment="1">
      <alignment horizontal="right" wrapText="1"/>
    </xf>
    <xf numFmtId="192" fontId="103" fillId="16" borderId="0" xfId="12" applyNumberFormat="1" applyFont="1" applyFill="1" applyBorder="1" applyAlignment="1">
      <alignment horizontal="right" wrapText="1"/>
    </xf>
    <xf numFmtId="207" fontId="107" fillId="5" borderId="40" xfId="13" applyFont="1" applyFill="1" applyBorder="1" applyAlignment="1">
      <alignment horizontal="right" vertical="center"/>
    </xf>
    <xf numFmtId="208" fontId="89" fillId="5" borderId="0" xfId="12" applyNumberFormat="1" applyFont="1" applyFill="1" applyBorder="1" applyAlignment="1">
      <alignment horizontal="right" vertical="center"/>
    </xf>
    <xf numFmtId="208" fontId="103" fillId="0" borderId="35" xfId="12" applyNumberFormat="1" applyFont="1" applyFill="1" applyBorder="1" applyAlignment="1">
      <alignment horizontal="right" wrapText="1"/>
    </xf>
    <xf numFmtId="208" fontId="103" fillId="0" borderId="40" xfId="12" applyNumberFormat="1" applyFont="1" applyFill="1" applyBorder="1" applyAlignment="1">
      <alignment horizontal="right" wrapText="1"/>
    </xf>
    <xf numFmtId="184" fontId="127" fillId="5" borderId="0" xfId="14" applyNumberFormat="1" applyFont="1" applyFill="1" applyBorder="1" applyAlignment="1">
      <alignment horizontal="right" vertical="center"/>
    </xf>
    <xf numFmtId="207" fontId="127" fillId="5" borderId="40" xfId="13" applyFont="1" applyFill="1" applyBorder="1" applyAlignment="1">
      <alignment horizontal="right" vertical="center"/>
    </xf>
    <xf numFmtId="207" fontId="127" fillId="5" borderId="0" xfId="13" applyFont="1" applyFill="1" applyAlignment="1">
      <alignment horizontal="right" vertical="center"/>
    </xf>
    <xf numFmtId="207" fontId="127" fillId="5" borderId="35" xfId="13" applyFont="1" applyFill="1" applyBorder="1" applyAlignment="1">
      <alignment horizontal="right" vertical="center"/>
    </xf>
    <xf numFmtId="184" fontId="79" fillId="5" borderId="0" xfId="14" applyNumberFormat="1" applyFont="1" applyFill="1" applyBorder="1" applyAlignment="1">
      <alignment horizontal="right" wrapText="1"/>
    </xf>
    <xf numFmtId="184" fontId="79" fillId="16" borderId="24" xfId="13" applyNumberFormat="1" applyFont="1" applyFill="1" applyBorder="1" applyAlignment="1">
      <alignment horizontal="right" wrapText="1"/>
    </xf>
    <xf numFmtId="9" fontId="79" fillId="16" borderId="24" xfId="14" applyFont="1" applyFill="1" applyBorder="1" applyAlignment="1">
      <alignment horizontal="right" wrapText="1"/>
    </xf>
    <xf numFmtId="9" fontId="84" fillId="5" borderId="24" xfId="14" applyFont="1" applyFill="1" applyBorder="1" applyAlignment="1">
      <alignment horizontal="right" wrapText="1"/>
    </xf>
    <xf numFmtId="9" fontId="106" fillId="0" borderId="24" xfId="14" applyFont="1" applyFill="1" applyBorder="1" applyAlignment="1">
      <alignment horizontal="right" wrapText="1"/>
    </xf>
    <xf numFmtId="9" fontId="106" fillId="16" borderId="24" xfId="14" applyFont="1" applyFill="1" applyBorder="1" applyAlignment="1">
      <alignment horizontal="right" wrapText="1"/>
    </xf>
    <xf numFmtId="207" fontId="79" fillId="5" borderId="43" xfId="13" applyFont="1" applyFill="1" applyBorder="1" applyAlignment="1">
      <alignment horizontal="right" vertical="center"/>
    </xf>
    <xf numFmtId="207" fontId="79" fillId="5" borderId="24" xfId="13" applyFont="1" applyFill="1" applyBorder="1" applyAlignment="1">
      <alignment horizontal="right" vertical="center"/>
    </xf>
    <xf numFmtId="207" fontId="79" fillId="5" borderId="44" xfId="13" applyFont="1" applyFill="1" applyBorder="1" applyAlignment="1">
      <alignment horizontal="right" vertical="center"/>
    </xf>
    <xf numFmtId="207" fontId="127" fillId="5" borderId="24" xfId="13" applyFont="1" applyFill="1" applyBorder="1" applyAlignment="1">
      <alignment horizontal="right" vertical="center"/>
    </xf>
    <xf numFmtId="207" fontId="127" fillId="5" borderId="43" xfId="13" applyFont="1" applyFill="1" applyBorder="1" applyAlignment="1">
      <alignment horizontal="right" vertical="center"/>
    </xf>
    <xf numFmtId="207" fontId="127" fillId="5" borderId="44" xfId="13" applyFont="1" applyFill="1" applyBorder="1" applyAlignment="1">
      <alignment horizontal="right" vertical="center"/>
    </xf>
    <xf numFmtId="207" fontId="128" fillId="0" borderId="19" xfId="13" applyFont="1" applyBorder="1" applyAlignment="1">
      <alignment horizontal="left" vertical="top" wrapText="1"/>
    </xf>
    <xf numFmtId="208" fontId="88" fillId="16" borderId="19" xfId="12" applyNumberFormat="1" applyFont="1" applyFill="1" applyBorder="1" applyAlignment="1">
      <alignment horizontal="right" vertical="center"/>
    </xf>
    <xf numFmtId="208" fontId="88" fillId="0" borderId="19" xfId="12" applyNumberFormat="1" applyFont="1" applyFill="1" applyBorder="1" applyAlignment="1">
      <alignment horizontal="right" vertical="center"/>
    </xf>
    <xf numFmtId="194" fontId="88" fillId="16" borderId="19" xfId="13" applyNumberFormat="1" applyFont="1" applyFill="1" applyBorder="1" applyAlignment="1">
      <alignment horizontal="right" vertical="center"/>
    </xf>
    <xf numFmtId="194" fontId="88" fillId="5" borderId="0" xfId="13" applyNumberFormat="1" applyFont="1" applyFill="1" applyAlignment="1">
      <alignment horizontal="right" vertical="center"/>
    </xf>
    <xf numFmtId="194" fontId="88" fillId="5" borderId="19" xfId="13" applyNumberFormat="1" applyFont="1" applyFill="1" applyBorder="1" applyAlignment="1">
      <alignment horizontal="right" vertical="center"/>
    </xf>
    <xf numFmtId="194" fontId="88" fillId="0" borderId="19" xfId="13" applyNumberFormat="1" applyFont="1" applyBorder="1" applyAlignment="1">
      <alignment horizontal="right" vertical="center"/>
    </xf>
    <xf numFmtId="208" fontId="102" fillId="0" borderId="40" xfId="12" applyNumberFormat="1" applyFont="1" applyFill="1" applyBorder="1" applyAlignment="1">
      <alignment horizontal="right" vertical="center"/>
    </xf>
    <xf numFmtId="208" fontId="88" fillId="0" borderId="42" xfId="12" applyNumberFormat="1" applyFont="1" applyFill="1" applyBorder="1" applyAlignment="1">
      <alignment horizontal="right" vertical="center"/>
    </xf>
    <xf numFmtId="208" fontId="88" fillId="0" borderId="41" xfId="12" applyNumberFormat="1" applyFont="1" applyFill="1" applyBorder="1" applyAlignment="1">
      <alignment horizontal="right" vertical="center"/>
    </xf>
    <xf numFmtId="194" fontId="88" fillId="0" borderId="41" xfId="13" applyNumberFormat="1" applyFont="1" applyBorder="1" applyAlignment="1">
      <alignment horizontal="right" vertical="center"/>
    </xf>
    <xf numFmtId="194" fontId="88" fillId="0" borderId="0" xfId="13" applyNumberFormat="1" applyFont="1" applyAlignment="1">
      <alignment horizontal="right" vertical="center"/>
    </xf>
    <xf numFmtId="194" fontId="88" fillId="0" borderId="35" xfId="13" applyNumberFormat="1" applyFont="1" applyBorder="1" applyAlignment="1">
      <alignment horizontal="right" vertical="center"/>
    </xf>
    <xf numFmtId="194" fontId="88" fillId="0" borderId="40" xfId="13" applyNumberFormat="1" applyFont="1" applyBorder="1" applyAlignment="1">
      <alignment horizontal="right" vertical="center"/>
    </xf>
    <xf numFmtId="207" fontId="111" fillId="0" borderId="0" xfId="13" applyFont="1">
      <alignment vertical="center"/>
    </xf>
    <xf numFmtId="207" fontId="110" fillId="0" borderId="0" xfId="13" quotePrefix="1" applyFont="1" applyAlignment="1">
      <alignment horizontal="left" vertical="top" wrapText="1"/>
    </xf>
    <xf numFmtId="208" fontId="110" fillId="16" borderId="0" xfId="12" applyNumberFormat="1" applyFont="1" applyFill="1" applyAlignment="1">
      <alignment horizontal="right" wrapText="1"/>
    </xf>
    <xf numFmtId="208" fontId="110" fillId="0" borderId="0" xfId="12" applyNumberFormat="1" applyFont="1" applyFill="1" applyAlignment="1">
      <alignment horizontal="right" wrapText="1"/>
    </xf>
    <xf numFmtId="208" fontId="110" fillId="5" borderId="0" xfId="12" applyNumberFormat="1" applyFont="1" applyFill="1" applyAlignment="1">
      <alignment horizontal="right" wrapText="1"/>
    </xf>
    <xf numFmtId="208" fontId="110" fillId="0" borderId="0" xfId="12" applyNumberFormat="1" applyFont="1" applyFill="1" applyBorder="1" applyAlignment="1">
      <alignment horizontal="right" wrapText="1"/>
    </xf>
    <xf numFmtId="208" fontId="110" fillId="16" borderId="0" xfId="12" applyNumberFormat="1" applyFont="1" applyFill="1" applyBorder="1" applyAlignment="1">
      <alignment horizontal="right" wrapText="1"/>
    </xf>
    <xf numFmtId="208" fontId="129" fillId="0" borderId="0" xfId="12" applyNumberFormat="1" applyFont="1" applyFill="1" applyBorder="1" applyAlignment="1">
      <alignment horizontal="right" wrapText="1"/>
    </xf>
    <xf numFmtId="208" fontId="110" fillId="0" borderId="40" xfId="12" applyNumberFormat="1" applyFont="1" applyFill="1" applyBorder="1" applyAlignment="1">
      <alignment horizontal="right" wrapText="1"/>
    </xf>
    <xf numFmtId="208" fontId="110" fillId="0" borderId="35" xfId="12" applyNumberFormat="1" applyFont="1" applyFill="1" applyBorder="1" applyAlignment="1">
      <alignment horizontal="right" wrapText="1"/>
    </xf>
    <xf numFmtId="207" fontId="80" fillId="0" borderId="0" xfId="13" applyFont="1">
      <alignment vertical="center"/>
    </xf>
    <xf numFmtId="9" fontId="84" fillId="0" borderId="0" xfId="14" applyFont="1" applyFill="1" applyAlignment="1">
      <alignment horizontal="right" wrapText="1"/>
    </xf>
    <xf numFmtId="9" fontId="94" fillId="16" borderId="0" xfId="14" applyFont="1" applyFill="1" applyAlignment="1">
      <alignment horizontal="right" wrapText="1"/>
    </xf>
    <xf numFmtId="9" fontId="94" fillId="0" borderId="0" xfId="14" applyFont="1" applyFill="1" applyAlignment="1">
      <alignment horizontal="right" wrapText="1"/>
    </xf>
    <xf numFmtId="9" fontId="79" fillId="0" borderId="0" xfId="14" applyFont="1" applyFill="1" applyBorder="1" applyAlignment="1">
      <alignment horizontal="right" vertical="center"/>
    </xf>
    <xf numFmtId="9" fontId="79" fillId="0" borderId="35" xfId="14" applyFont="1" applyFill="1" applyBorder="1" applyAlignment="1">
      <alignment horizontal="right" vertical="center"/>
    </xf>
    <xf numFmtId="9" fontId="79" fillId="0" borderId="40" xfId="14" applyFont="1" applyFill="1" applyBorder="1" applyAlignment="1">
      <alignment horizontal="right" vertical="center"/>
    </xf>
    <xf numFmtId="9" fontId="94" fillId="5" borderId="0" xfId="13" applyNumberFormat="1" applyFont="1" applyFill="1" applyAlignment="1">
      <alignment horizontal="right" vertical="center"/>
    </xf>
    <xf numFmtId="9" fontId="94" fillId="5" borderId="35" xfId="13" applyNumberFormat="1" applyFont="1" applyFill="1" applyBorder="1" applyAlignment="1">
      <alignment horizontal="right" vertical="center"/>
    </xf>
    <xf numFmtId="9" fontId="94" fillId="5" borderId="40" xfId="13" applyNumberFormat="1" applyFont="1" applyFill="1" applyBorder="1" applyAlignment="1">
      <alignment horizontal="right" vertical="center"/>
    </xf>
    <xf numFmtId="9" fontId="84" fillId="5" borderId="0" xfId="13" applyNumberFormat="1" applyFont="1" applyFill="1" applyAlignment="1">
      <alignment horizontal="right" vertical="center"/>
    </xf>
    <xf numFmtId="9" fontId="79" fillId="5" borderId="0" xfId="13" applyNumberFormat="1" applyFont="1" applyFill="1" applyAlignment="1">
      <alignment horizontal="right" vertical="center"/>
    </xf>
    <xf numFmtId="9" fontId="79" fillId="5" borderId="35" xfId="13" applyNumberFormat="1" applyFont="1" applyFill="1" applyBorder="1" applyAlignment="1">
      <alignment horizontal="right" vertical="center"/>
    </xf>
    <xf numFmtId="207" fontId="77" fillId="17" borderId="39" xfId="13" quotePrefix="1" applyFont="1" applyFill="1" applyBorder="1" applyAlignment="1">
      <alignment horizontal="left" indent="1"/>
    </xf>
    <xf numFmtId="207" fontId="79" fillId="0" borderId="0" xfId="13" applyFont="1" applyAlignment="1">
      <alignment horizontal="left" vertical="center" wrapText="1"/>
    </xf>
    <xf numFmtId="3" fontId="109" fillId="16" borderId="0" xfId="12" applyNumberFormat="1" applyFont="1" applyFill="1" applyAlignment="1">
      <alignment horizontal="right" wrapText="1"/>
    </xf>
    <xf numFmtId="3" fontId="79" fillId="16" borderId="0" xfId="14" applyNumberFormat="1" applyFont="1" applyFill="1" applyAlignment="1">
      <alignment horizontal="right" wrapText="1"/>
    </xf>
    <xf numFmtId="3" fontId="79" fillId="5" borderId="0" xfId="14" applyNumberFormat="1" applyFont="1" applyFill="1" applyAlignment="1">
      <alignment horizontal="right" wrapText="1"/>
    </xf>
    <xf numFmtId="3" fontId="84" fillId="5" borderId="0" xfId="13" applyNumberFormat="1" applyFont="1" applyFill="1" applyAlignment="1">
      <alignment horizontal="right" wrapText="1"/>
    </xf>
    <xf numFmtId="3" fontId="79" fillId="0" borderId="0" xfId="14" applyNumberFormat="1" applyFont="1" applyFill="1" applyAlignment="1">
      <alignment horizontal="right" wrapText="1"/>
    </xf>
    <xf numFmtId="3" fontId="79" fillId="0" borderId="40" xfId="13" applyNumberFormat="1" applyFont="1" applyBorder="1" applyAlignment="1">
      <alignment horizontal="right" vertical="center"/>
    </xf>
    <xf numFmtId="3" fontId="79" fillId="0" borderId="0" xfId="13" applyNumberFormat="1" applyFont="1" applyAlignment="1">
      <alignment horizontal="right" vertical="center"/>
    </xf>
    <xf numFmtId="3" fontId="79" fillId="0" borderId="0" xfId="14" applyNumberFormat="1" applyFont="1" applyFill="1" applyBorder="1" applyAlignment="1">
      <alignment horizontal="right" vertical="center"/>
    </xf>
    <xf numFmtId="3" fontId="79" fillId="0" borderId="35" xfId="14" applyNumberFormat="1" applyFont="1" applyFill="1" applyBorder="1" applyAlignment="1">
      <alignment horizontal="right" vertical="center"/>
    </xf>
    <xf numFmtId="3" fontId="79" fillId="0" borderId="40" xfId="14" applyNumberFormat="1" applyFont="1" applyFill="1" applyBorder="1" applyAlignment="1">
      <alignment horizontal="right" vertical="center"/>
    </xf>
    <xf numFmtId="3" fontId="84" fillId="5" borderId="0" xfId="13" applyNumberFormat="1" applyFont="1" applyFill="1" applyAlignment="1">
      <alignment horizontal="right" vertical="center"/>
    </xf>
    <xf numFmtId="3" fontId="84" fillId="5" borderId="35" xfId="13" applyNumberFormat="1" applyFont="1" applyFill="1" applyBorder="1" applyAlignment="1">
      <alignment horizontal="right" vertical="center"/>
    </xf>
    <xf numFmtId="3" fontId="84" fillId="5" borderId="40" xfId="13" applyNumberFormat="1" applyFont="1" applyFill="1" applyBorder="1" applyAlignment="1">
      <alignment horizontal="right" vertical="center"/>
    </xf>
    <xf numFmtId="212" fontId="79" fillId="16" borderId="0" xfId="13" applyNumberFormat="1" applyFont="1" applyFill="1" applyAlignment="1">
      <alignment horizontal="right" wrapText="1"/>
    </xf>
    <xf numFmtId="3" fontId="94" fillId="0" borderId="35" xfId="14" applyNumberFormat="1" applyFont="1" applyFill="1" applyBorder="1" applyAlignment="1">
      <alignment horizontal="right" vertical="center"/>
    </xf>
    <xf numFmtId="3" fontId="94" fillId="0" borderId="40" xfId="14" applyNumberFormat="1" applyFont="1" applyFill="1" applyBorder="1" applyAlignment="1">
      <alignment horizontal="right" vertical="center"/>
    </xf>
    <xf numFmtId="3" fontId="94" fillId="5" borderId="0" xfId="13" applyNumberFormat="1" applyFont="1" applyFill="1" applyAlignment="1">
      <alignment horizontal="right" vertical="center"/>
    </xf>
    <xf numFmtId="3" fontId="94" fillId="5" borderId="35" xfId="13" applyNumberFormat="1" applyFont="1" applyFill="1" applyBorder="1" applyAlignment="1">
      <alignment horizontal="right" vertical="center"/>
    </xf>
    <xf numFmtId="3" fontId="94" fillId="5" borderId="40" xfId="13" applyNumberFormat="1" applyFont="1" applyFill="1" applyBorder="1" applyAlignment="1">
      <alignment horizontal="right" vertical="center"/>
    </xf>
    <xf numFmtId="3" fontId="79" fillId="5" borderId="0" xfId="13" applyNumberFormat="1" applyFont="1" applyFill="1" applyAlignment="1">
      <alignment horizontal="right" vertical="center"/>
    </xf>
    <xf numFmtId="3" fontId="79" fillId="5" borderId="35" xfId="13" applyNumberFormat="1" applyFont="1" applyFill="1" applyBorder="1" applyAlignment="1">
      <alignment horizontal="right" vertical="center"/>
    </xf>
    <xf numFmtId="3" fontId="79" fillId="5" borderId="40" xfId="13" applyNumberFormat="1" applyFont="1" applyFill="1" applyBorder="1" applyAlignment="1">
      <alignment horizontal="right" vertical="center"/>
    </xf>
    <xf numFmtId="207" fontId="128" fillId="0" borderId="0" xfId="13" applyFont="1" applyAlignment="1">
      <alignment horizontal="left" wrapText="1"/>
    </xf>
    <xf numFmtId="207" fontId="88" fillId="16" borderId="0" xfId="13" applyFont="1" applyFill="1" applyAlignment="1">
      <alignment horizontal="right"/>
    </xf>
    <xf numFmtId="207" fontId="88" fillId="0" borderId="0" xfId="13" applyFont="1" applyAlignment="1">
      <alignment horizontal="right"/>
    </xf>
    <xf numFmtId="208" fontId="88" fillId="0" borderId="0" xfId="12" applyNumberFormat="1" applyFont="1" applyFill="1" applyAlignment="1">
      <alignment horizontal="right"/>
    </xf>
    <xf numFmtId="208" fontId="88" fillId="16" borderId="0" xfId="12" applyNumberFormat="1" applyFont="1" applyFill="1" applyAlignment="1">
      <alignment horizontal="right"/>
    </xf>
    <xf numFmtId="208" fontId="88" fillId="5" borderId="0" xfId="12" applyNumberFormat="1" applyFont="1" applyFill="1" applyAlignment="1">
      <alignment horizontal="right"/>
    </xf>
    <xf numFmtId="207" fontId="102" fillId="0" borderId="40" xfId="13" applyFont="1" applyBorder="1" applyAlignment="1">
      <alignment horizontal="right"/>
    </xf>
    <xf numFmtId="207" fontId="102" fillId="0" borderId="0" xfId="13" applyFont="1" applyAlignment="1">
      <alignment horizontal="right"/>
    </xf>
    <xf numFmtId="208" fontId="88" fillId="0" borderId="0" xfId="13" applyNumberFormat="1" applyFont="1" applyAlignment="1">
      <alignment horizontal="right"/>
    </xf>
    <xf numFmtId="208" fontId="88" fillId="0" borderId="35" xfId="13" applyNumberFormat="1" applyFont="1" applyBorder="1" applyAlignment="1">
      <alignment horizontal="right"/>
    </xf>
    <xf numFmtId="208" fontId="88" fillId="0" borderId="40" xfId="13" applyNumberFormat="1" applyFont="1" applyBorder="1" applyAlignment="1">
      <alignment horizontal="right"/>
    </xf>
    <xf numFmtId="194" fontId="88" fillId="0" borderId="0" xfId="13" applyNumberFormat="1" applyFont="1" applyAlignment="1">
      <alignment horizontal="right"/>
    </xf>
    <xf numFmtId="194" fontId="88" fillId="0" borderId="40" xfId="13" applyNumberFormat="1" applyFont="1" applyBorder="1" applyAlignment="1">
      <alignment horizontal="right"/>
    </xf>
    <xf numFmtId="3" fontId="88" fillId="0" borderId="0" xfId="13" applyNumberFormat="1" applyFont="1" applyAlignment="1">
      <alignment horizontal="right"/>
    </xf>
    <xf numFmtId="3" fontId="88" fillId="0" borderId="35" xfId="13" applyNumberFormat="1" applyFont="1" applyBorder="1" applyAlignment="1">
      <alignment horizontal="right"/>
    </xf>
    <xf numFmtId="3" fontId="88" fillId="0" borderId="40" xfId="13" applyNumberFormat="1" applyFont="1" applyBorder="1" applyAlignment="1">
      <alignment horizontal="right"/>
    </xf>
    <xf numFmtId="207" fontId="111" fillId="0" borderId="0" xfId="13" applyFont="1" applyAlignment="1"/>
    <xf numFmtId="207" fontId="77" fillId="17" borderId="39" xfId="13" applyFont="1" applyFill="1" applyBorder="1" applyAlignment="1">
      <alignment horizontal="left"/>
    </xf>
    <xf numFmtId="9" fontId="84" fillId="5" borderId="0" xfId="14" applyFont="1" applyFill="1" applyAlignment="1">
      <alignment horizontal="right" wrapText="1"/>
    </xf>
    <xf numFmtId="9" fontId="84" fillId="0" borderId="0" xfId="13" applyNumberFormat="1" applyFont="1" applyAlignment="1">
      <alignment horizontal="right" wrapText="1"/>
    </xf>
    <xf numFmtId="184" fontId="84" fillId="16" borderId="0" xfId="13" applyNumberFormat="1" applyFont="1" applyFill="1" applyAlignment="1">
      <alignment horizontal="right" wrapText="1"/>
    </xf>
    <xf numFmtId="184" fontId="84" fillId="16" borderId="0" xfId="14" applyNumberFormat="1" applyFont="1" applyFill="1" applyBorder="1" applyAlignment="1">
      <alignment horizontal="right" wrapText="1"/>
    </xf>
    <xf numFmtId="184" fontId="84" fillId="0" borderId="0" xfId="14" applyNumberFormat="1" applyFont="1" applyFill="1" applyBorder="1" applyAlignment="1">
      <alignment horizontal="right" wrapText="1"/>
    </xf>
    <xf numFmtId="9" fontId="93" fillId="5" borderId="0" xfId="13" applyNumberFormat="1" applyFont="1" applyFill="1" applyAlignment="1">
      <alignment horizontal="right" wrapText="1"/>
    </xf>
    <xf numFmtId="208" fontId="96" fillId="16" borderId="0" xfId="12" applyNumberFormat="1" applyFont="1" applyFill="1" applyBorder="1" applyAlignment="1">
      <alignment horizontal="right" wrapText="1"/>
    </xf>
    <xf numFmtId="208" fontId="96" fillId="0" borderId="0" xfId="12" applyNumberFormat="1" applyFont="1" applyFill="1" applyBorder="1" applyAlignment="1">
      <alignment horizontal="right" wrapText="1"/>
    </xf>
    <xf numFmtId="208" fontId="96" fillId="0" borderId="40" xfId="12" applyNumberFormat="1" applyFont="1" applyFill="1" applyBorder="1" applyAlignment="1">
      <alignment horizontal="right" wrapText="1"/>
    </xf>
    <xf numFmtId="208" fontId="96" fillId="0" borderId="35" xfId="12" applyNumberFormat="1" applyFont="1" applyFill="1" applyBorder="1" applyAlignment="1">
      <alignment horizontal="right" wrapText="1"/>
    </xf>
    <xf numFmtId="9" fontId="107" fillId="16" borderId="24" xfId="14" applyFont="1" applyFill="1" applyBorder="1" applyAlignment="1">
      <alignment horizontal="right" wrapText="1"/>
    </xf>
    <xf numFmtId="9" fontId="93" fillId="5" borderId="24" xfId="13" applyNumberFormat="1" applyFont="1" applyFill="1" applyBorder="1" applyAlignment="1">
      <alignment horizontal="right" wrapText="1"/>
    </xf>
    <xf numFmtId="9" fontId="94" fillId="16" borderId="24" xfId="13" applyNumberFormat="1" applyFont="1" applyFill="1" applyBorder="1" applyAlignment="1">
      <alignment horizontal="right" wrapText="1"/>
    </xf>
    <xf numFmtId="9" fontId="94" fillId="0" borderId="24" xfId="13" applyNumberFormat="1" applyFont="1" applyBorder="1" applyAlignment="1">
      <alignment horizontal="right" wrapText="1"/>
    </xf>
    <xf numFmtId="9" fontId="79" fillId="0" borderId="24" xfId="14" applyFont="1" applyFill="1" applyBorder="1" applyAlignment="1">
      <alignment horizontal="right" vertical="center"/>
    </xf>
    <xf numFmtId="9" fontId="79" fillId="0" borderId="44" xfId="14" applyFont="1" applyFill="1" applyBorder="1" applyAlignment="1">
      <alignment horizontal="right" vertical="center"/>
    </xf>
    <xf numFmtId="9" fontId="79" fillId="0" borderId="43" xfId="14" applyFont="1" applyFill="1" applyBorder="1" applyAlignment="1">
      <alignment horizontal="right" vertical="center"/>
    </xf>
    <xf numFmtId="9" fontId="94" fillId="0" borderId="43" xfId="13" applyNumberFormat="1" applyFont="1" applyBorder="1" applyAlignment="1">
      <alignment horizontal="right" wrapText="1"/>
    </xf>
    <xf numFmtId="9" fontId="94" fillId="0" borderId="44" xfId="13" applyNumberFormat="1" applyFont="1" applyBorder="1" applyAlignment="1">
      <alignment horizontal="right" wrapText="1"/>
    </xf>
    <xf numFmtId="207" fontId="130" fillId="0" borderId="19" xfId="13" applyFont="1" applyBorder="1" applyAlignment="1">
      <alignment horizontal="left" vertical="center"/>
    </xf>
    <xf numFmtId="207" fontId="103" fillId="16" borderId="0" xfId="13" applyFont="1" applyFill="1" applyAlignment="1">
      <alignment horizontal="right" vertical="center"/>
    </xf>
    <xf numFmtId="207" fontId="103" fillId="0" borderId="0" xfId="13" applyFont="1" applyAlignment="1">
      <alignment horizontal="right" vertical="center"/>
    </xf>
    <xf numFmtId="208" fontId="103" fillId="0" borderId="0" xfId="12" applyNumberFormat="1" applyFont="1" applyFill="1" applyBorder="1" applyAlignment="1">
      <alignment horizontal="right" vertical="center"/>
    </xf>
    <xf numFmtId="194" fontId="89" fillId="5" borderId="0" xfId="13" applyNumberFormat="1" applyFont="1" applyFill="1" applyAlignment="1">
      <alignment horizontal="right" vertical="center"/>
    </xf>
    <xf numFmtId="194" fontId="89" fillId="16" borderId="0" xfId="13" applyNumberFormat="1" applyFont="1" applyFill="1" applyAlignment="1">
      <alignment horizontal="right" vertical="center"/>
    </xf>
    <xf numFmtId="194" fontId="89" fillId="0" borderId="0" xfId="13" applyNumberFormat="1" applyFont="1" applyAlignment="1">
      <alignment horizontal="right" vertical="center"/>
    </xf>
    <xf numFmtId="207" fontId="103" fillId="0" borderId="40" xfId="13" applyFont="1" applyBorder="1" applyAlignment="1">
      <alignment horizontal="right" vertical="center"/>
    </xf>
    <xf numFmtId="208" fontId="89" fillId="0" borderId="35" xfId="12" applyNumberFormat="1" applyFont="1" applyFill="1" applyBorder="1" applyAlignment="1">
      <alignment horizontal="right" vertical="center"/>
    </xf>
    <xf numFmtId="208" fontId="89" fillId="0" borderId="40" xfId="12" applyNumberFormat="1" applyFont="1" applyFill="1" applyBorder="1" applyAlignment="1">
      <alignment horizontal="right" vertical="center"/>
    </xf>
    <xf numFmtId="194" fontId="89" fillId="0" borderId="40" xfId="13" applyNumberFormat="1" applyFont="1" applyBorder="1" applyAlignment="1">
      <alignment horizontal="right" vertical="center"/>
    </xf>
    <xf numFmtId="194" fontId="89" fillId="0" borderId="35" xfId="13" applyNumberFormat="1" applyFont="1" applyBorder="1" applyAlignment="1">
      <alignment horizontal="right" vertical="center"/>
    </xf>
    <xf numFmtId="207" fontId="106" fillId="0" borderId="0" xfId="13" applyFont="1">
      <alignment vertical="center"/>
    </xf>
    <xf numFmtId="194" fontId="109" fillId="16" borderId="0" xfId="14" applyNumberFormat="1" applyFont="1" applyFill="1" applyAlignment="1">
      <alignment horizontal="right" wrapText="1"/>
    </xf>
    <xf numFmtId="9" fontId="109" fillId="5" borderId="0" xfId="14" applyFont="1" applyFill="1" applyAlignment="1">
      <alignment horizontal="right" wrapText="1"/>
    </xf>
    <xf numFmtId="9" fontId="109" fillId="16" borderId="0" xfId="14" applyFont="1" applyFill="1" applyAlignment="1">
      <alignment horizontal="right" wrapText="1"/>
    </xf>
    <xf numFmtId="9" fontId="109" fillId="16" borderId="0" xfId="14" applyFont="1" applyFill="1" applyAlignment="1">
      <alignment horizontal="right" vertical="center"/>
    </xf>
    <xf numFmtId="9" fontId="109" fillId="16" borderId="0" xfId="14" applyFont="1" applyFill="1" applyBorder="1" applyAlignment="1">
      <alignment horizontal="right" vertical="center"/>
    </xf>
    <xf numFmtId="9" fontId="109" fillId="0" borderId="0" xfId="14" applyFont="1" applyFill="1" applyBorder="1" applyAlignment="1">
      <alignment horizontal="right" vertical="center"/>
    </xf>
    <xf numFmtId="207" fontId="109" fillId="0" borderId="40" xfId="13" applyFont="1" applyBorder="1" applyAlignment="1">
      <alignment horizontal="right" vertical="center"/>
    </xf>
    <xf numFmtId="207" fontId="109" fillId="0" borderId="0" xfId="13" applyFont="1" applyAlignment="1">
      <alignment horizontal="right" vertical="center"/>
    </xf>
    <xf numFmtId="9" fontId="109" fillId="0" borderId="35" xfId="14" applyFont="1" applyFill="1" applyBorder="1" applyAlignment="1">
      <alignment horizontal="right" vertical="center"/>
    </xf>
    <xf numFmtId="9" fontId="109" fillId="0" borderId="40" xfId="14" applyFont="1" applyFill="1" applyBorder="1" applyAlignment="1">
      <alignment horizontal="right" vertical="center"/>
    </xf>
    <xf numFmtId="207" fontId="109" fillId="0" borderId="0" xfId="13" applyFont="1">
      <alignment vertical="center"/>
    </xf>
    <xf numFmtId="207" fontId="128" fillId="0" borderId="0" xfId="13" applyFont="1" applyAlignment="1">
      <alignment horizontal="left" vertical="center" wrapText="1"/>
    </xf>
    <xf numFmtId="207" fontId="102" fillId="16" borderId="0" xfId="13" applyFont="1" applyFill="1" applyAlignment="1">
      <alignment horizontal="right" vertical="center"/>
    </xf>
    <xf numFmtId="207" fontId="102" fillId="0" borderId="0" xfId="13" applyFont="1" applyAlignment="1">
      <alignment horizontal="right" vertical="center"/>
    </xf>
    <xf numFmtId="208" fontId="102" fillId="0" borderId="0" xfId="13" applyNumberFormat="1" applyFont="1" applyAlignment="1">
      <alignment horizontal="right" vertical="center"/>
    </xf>
    <xf numFmtId="208" fontId="88" fillId="5" borderId="0" xfId="12" applyNumberFormat="1" applyFont="1" applyFill="1" applyAlignment="1">
      <alignment horizontal="right" vertical="center"/>
    </xf>
    <xf numFmtId="208" fontId="88" fillId="16" borderId="0" xfId="12" applyNumberFormat="1" applyFont="1" applyFill="1" applyAlignment="1">
      <alignment horizontal="right" vertical="center"/>
    </xf>
    <xf numFmtId="194" fontId="88" fillId="16" borderId="0" xfId="13" applyNumberFormat="1" applyFont="1" applyFill="1" applyAlignment="1">
      <alignment horizontal="right" vertical="center"/>
    </xf>
    <xf numFmtId="194" fontId="131" fillId="0" borderId="0" xfId="13" applyNumberFormat="1" applyFont="1" applyAlignment="1">
      <alignment horizontal="right" vertical="center"/>
    </xf>
    <xf numFmtId="194" fontId="131" fillId="16" borderId="0" xfId="13" applyNumberFormat="1" applyFont="1" applyFill="1" applyAlignment="1">
      <alignment horizontal="right" vertical="center"/>
    </xf>
    <xf numFmtId="207" fontId="102" fillId="0" borderId="40" xfId="13" applyFont="1" applyBorder="1" applyAlignment="1">
      <alignment horizontal="right" vertical="center"/>
    </xf>
    <xf numFmtId="208" fontId="88" fillId="0" borderId="35" xfId="13" applyNumberFormat="1" applyFont="1" applyBorder="1" applyAlignment="1">
      <alignment horizontal="right" vertical="center"/>
    </xf>
    <xf numFmtId="208" fontId="88" fillId="0" borderId="40" xfId="13" applyNumberFormat="1" applyFont="1" applyBorder="1" applyAlignment="1">
      <alignment horizontal="right" vertical="center"/>
    </xf>
    <xf numFmtId="208" fontId="88" fillId="0" borderId="0" xfId="13" applyNumberFormat="1" applyFont="1" applyAlignment="1">
      <alignment horizontal="right" vertical="center"/>
    </xf>
    <xf numFmtId="194" fontId="131" fillId="0" borderId="40" xfId="13" applyNumberFormat="1" applyFont="1" applyBorder="1" applyAlignment="1">
      <alignment horizontal="right" vertical="center"/>
    </xf>
    <xf numFmtId="194" fontId="131" fillId="0" borderId="35" xfId="13" applyNumberFormat="1" applyFont="1" applyBorder="1" applyAlignment="1">
      <alignment horizontal="right" vertical="center"/>
    </xf>
    <xf numFmtId="207" fontId="96" fillId="0" borderId="0" xfId="13" applyFont="1" applyAlignment="1">
      <alignment horizontal="left" vertical="top" wrapText="1"/>
    </xf>
    <xf numFmtId="9" fontId="107" fillId="16" borderId="0" xfId="14" applyFont="1" applyFill="1" applyAlignment="1">
      <alignment horizontal="right" wrapText="1"/>
    </xf>
    <xf numFmtId="194" fontId="107" fillId="5" borderId="0" xfId="14" applyNumberFormat="1" applyFont="1" applyFill="1" applyAlignment="1">
      <alignment horizontal="right" wrapText="1"/>
    </xf>
    <xf numFmtId="208" fontId="107" fillId="16" borderId="0" xfId="12" applyNumberFormat="1" applyFont="1" applyFill="1" applyAlignment="1">
      <alignment horizontal="right" wrapText="1"/>
    </xf>
    <xf numFmtId="208" fontId="107" fillId="5" borderId="0" xfId="12" applyNumberFormat="1" applyFont="1" applyFill="1" applyAlignment="1">
      <alignment horizontal="right" wrapText="1"/>
    </xf>
    <xf numFmtId="208" fontId="96" fillId="16" borderId="0" xfId="12" applyNumberFormat="1" applyFont="1" applyFill="1" applyAlignment="1">
      <alignment horizontal="right" wrapText="1"/>
    </xf>
    <xf numFmtId="208" fontId="96" fillId="0" borderId="0" xfId="12" applyNumberFormat="1" applyFont="1" applyFill="1" applyAlignment="1">
      <alignment horizontal="right" wrapText="1"/>
    </xf>
    <xf numFmtId="207" fontId="107" fillId="0" borderId="40" xfId="13" applyFont="1" applyBorder="1" applyAlignment="1">
      <alignment horizontal="right" vertical="center"/>
    </xf>
    <xf numFmtId="207" fontId="107" fillId="0" borderId="0" xfId="13" applyFont="1" applyAlignment="1">
      <alignment horizontal="right" vertical="center"/>
    </xf>
    <xf numFmtId="208" fontId="107" fillId="5" borderId="0" xfId="12" applyNumberFormat="1" applyFont="1" applyFill="1" applyBorder="1" applyAlignment="1">
      <alignment horizontal="right" wrapText="1"/>
    </xf>
    <xf numFmtId="208" fontId="107" fillId="5" borderId="35" xfId="12" applyNumberFormat="1" applyFont="1" applyFill="1" applyBorder="1" applyAlignment="1">
      <alignment horizontal="right" wrapText="1"/>
    </xf>
    <xf numFmtId="208" fontId="107" fillId="5" borderId="40" xfId="12" applyNumberFormat="1" applyFont="1" applyFill="1" applyBorder="1" applyAlignment="1">
      <alignment horizontal="right" wrapText="1"/>
    </xf>
    <xf numFmtId="208" fontId="96" fillId="5" borderId="0" xfId="12" applyNumberFormat="1" applyFont="1" applyFill="1" applyBorder="1" applyAlignment="1">
      <alignment horizontal="right" wrapText="1"/>
    </xf>
    <xf numFmtId="208" fontId="96" fillId="5" borderId="40" xfId="12" applyNumberFormat="1" applyFont="1" applyFill="1" applyBorder="1" applyAlignment="1">
      <alignment horizontal="right" wrapText="1"/>
    </xf>
    <xf numFmtId="208" fontId="96" fillId="5" borderId="35" xfId="12" applyNumberFormat="1" applyFont="1" applyFill="1" applyBorder="1" applyAlignment="1">
      <alignment horizontal="right" wrapText="1"/>
    </xf>
    <xf numFmtId="192" fontId="85" fillId="17" borderId="39" xfId="12" applyNumberFormat="1" applyFont="1" applyFill="1" applyBorder="1" applyAlignment="1">
      <alignment horizontal="left" indent="1"/>
    </xf>
    <xf numFmtId="194" fontId="79" fillId="5" borderId="0" xfId="14" applyNumberFormat="1" applyFont="1" applyFill="1" applyAlignment="1">
      <alignment horizontal="right" wrapText="1"/>
    </xf>
    <xf numFmtId="9" fontId="127" fillId="0" borderId="0" xfId="14" applyFont="1" applyFill="1" applyBorder="1" applyAlignment="1">
      <alignment horizontal="right" vertical="center"/>
    </xf>
    <xf numFmtId="9" fontId="127" fillId="0" borderId="40" xfId="14" applyFont="1" applyFill="1" applyBorder="1" applyAlignment="1">
      <alignment horizontal="right" vertical="center"/>
    </xf>
    <xf numFmtId="9" fontId="127" fillId="0" borderId="35" xfId="14" applyFont="1" applyFill="1" applyBorder="1" applyAlignment="1">
      <alignment horizontal="right" vertical="center"/>
    </xf>
    <xf numFmtId="194" fontId="79" fillId="5" borderId="24" xfId="14" applyNumberFormat="1" applyFont="1" applyFill="1" applyBorder="1" applyAlignment="1">
      <alignment horizontal="right" wrapText="1"/>
    </xf>
    <xf numFmtId="9" fontId="127" fillId="16" borderId="24" xfId="14" applyFont="1" applyFill="1" applyBorder="1" applyAlignment="1">
      <alignment horizontal="right" wrapText="1"/>
    </xf>
    <xf numFmtId="9" fontId="127" fillId="0" borderId="24" xfId="14" applyFont="1" applyFill="1" applyBorder="1" applyAlignment="1">
      <alignment horizontal="right" wrapText="1"/>
    </xf>
    <xf numFmtId="9" fontId="127" fillId="0" borderId="24" xfId="14" applyFont="1" applyFill="1" applyBorder="1" applyAlignment="1">
      <alignment horizontal="right" vertical="center"/>
    </xf>
    <xf numFmtId="9" fontId="127" fillId="0" borderId="43" xfId="14" applyFont="1" applyFill="1" applyBorder="1" applyAlignment="1">
      <alignment horizontal="right" vertical="center"/>
    </xf>
    <xf numFmtId="9" fontId="127" fillId="0" borderId="44" xfId="14" applyFont="1" applyFill="1" applyBorder="1" applyAlignment="1">
      <alignment horizontal="right" vertical="center"/>
    </xf>
    <xf numFmtId="207" fontId="107" fillId="0" borderId="19" xfId="13" applyFont="1" applyBorder="1" applyAlignment="1">
      <alignment horizontal="left" vertical="top" wrapText="1"/>
    </xf>
    <xf numFmtId="208" fontId="107" fillId="0" borderId="0" xfId="12" applyNumberFormat="1" applyFont="1" applyFill="1" applyAlignment="1">
      <alignment horizontal="right" wrapText="1"/>
    </xf>
    <xf numFmtId="213" fontId="107" fillId="16" borderId="0" xfId="14" applyNumberFormat="1" applyFont="1" applyFill="1" applyAlignment="1">
      <alignment horizontal="right" wrapText="1"/>
    </xf>
    <xf numFmtId="9" fontId="107" fillId="0" borderId="0" xfId="14" applyFont="1" applyFill="1" applyAlignment="1">
      <alignment horizontal="right" wrapText="1"/>
    </xf>
    <xf numFmtId="208" fontId="107" fillId="0" borderId="0" xfId="12" applyNumberFormat="1" applyFont="1" applyFill="1" applyBorder="1" applyAlignment="1">
      <alignment horizontal="right" wrapText="1"/>
    </xf>
    <xf numFmtId="208" fontId="107" fillId="5" borderId="40" xfId="12" applyNumberFormat="1" applyFont="1" applyFill="1" applyBorder="1" applyAlignment="1">
      <alignment horizontal="right" vertical="center"/>
    </xf>
    <xf numFmtId="208" fontId="107" fillId="5" borderId="0" xfId="12" applyNumberFormat="1" applyFont="1" applyFill="1" applyBorder="1" applyAlignment="1">
      <alignment horizontal="right" vertical="center"/>
    </xf>
    <xf numFmtId="210" fontId="107" fillId="5" borderId="0" xfId="12" applyNumberFormat="1" applyFont="1" applyFill="1" applyBorder="1" applyAlignment="1">
      <alignment horizontal="right" vertical="center"/>
    </xf>
    <xf numFmtId="199" fontId="107" fillId="0" borderId="35" xfId="12" applyNumberFormat="1" applyFont="1" applyFill="1" applyBorder="1" applyAlignment="1">
      <alignment horizontal="right" vertical="center"/>
    </xf>
    <xf numFmtId="210" fontId="107" fillId="0" borderId="40" xfId="12" applyNumberFormat="1" applyFont="1" applyFill="1" applyBorder="1" applyAlignment="1">
      <alignment horizontal="right" vertical="center"/>
    </xf>
    <xf numFmtId="208" fontId="107" fillId="0" borderId="0" xfId="12" applyNumberFormat="1" applyFont="1" applyFill="1" applyBorder="1" applyAlignment="1">
      <alignment horizontal="right" vertical="center"/>
    </xf>
    <xf numFmtId="207" fontId="107" fillId="0" borderId="35" xfId="13" applyFont="1" applyBorder="1" applyAlignment="1">
      <alignment horizontal="right" vertical="center"/>
    </xf>
    <xf numFmtId="208" fontId="107" fillId="16" borderId="0" xfId="12" applyNumberFormat="1" applyFont="1" applyFill="1" applyBorder="1" applyAlignment="1">
      <alignment horizontal="right" wrapText="1"/>
    </xf>
    <xf numFmtId="3" fontId="132" fillId="5" borderId="0" xfId="12" applyNumberFormat="1" applyFont="1" applyFill="1" applyBorder="1" applyAlignment="1">
      <alignment horizontal="right"/>
    </xf>
    <xf numFmtId="9" fontId="84" fillId="5" borderId="0" xfId="14" applyFont="1" applyFill="1" applyBorder="1" applyAlignment="1">
      <alignment horizontal="right" vertical="center"/>
    </xf>
    <xf numFmtId="207" fontId="86" fillId="5" borderId="0" xfId="13" applyFont="1" applyFill="1" applyAlignment="1">
      <alignment horizontal="left" vertical="top" wrapText="1"/>
    </xf>
    <xf numFmtId="9" fontId="93" fillId="5" borderId="0" xfId="14" applyFont="1" applyFill="1" applyBorder="1" applyAlignment="1">
      <alignment horizontal="right" vertical="center"/>
    </xf>
    <xf numFmtId="208" fontId="107" fillId="0" borderId="35" xfId="12" applyNumberFormat="1" applyFont="1" applyFill="1" applyBorder="1" applyAlignment="1">
      <alignment horizontal="right" vertical="center"/>
    </xf>
    <xf numFmtId="208" fontId="107" fillId="0" borderId="40" xfId="12" applyNumberFormat="1" applyFont="1" applyFill="1" applyBorder="1" applyAlignment="1">
      <alignment horizontal="right" vertical="center"/>
    </xf>
    <xf numFmtId="207" fontId="79" fillId="16" borderId="0" xfId="13" applyFont="1" applyFill="1" applyAlignment="1">
      <alignment horizontal="right" vertical="center"/>
    </xf>
    <xf numFmtId="210" fontId="79" fillId="0" borderId="0" xfId="12" applyNumberFormat="1" applyFont="1" applyFill="1" applyAlignment="1">
      <alignment horizontal="right" vertical="center"/>
    </xf>
    <xf numFmtId="213" fontId="79" fillId="16" borderId="0" xfId="13" applyNumberFormat="1" applyFont="1" applyFill="1" applyAlignment="1">
      <alignment horizontal="right" vertical="center"/>
    </xf>
    <xf numFmtId="9" fontId="133" fillId="5" borderId="0" xfId="14" applyFont="1" applyFill="1" applyBorder="1" applyAlignment="1">
      <alignment horizontal="right" vertical="center"/>
    </xf>
    <xf numFmtId="214" fontId="79" fillId="5" borderId="35" xfId="13" applyNumberFormat="1" applyFont="1" applyFill="1" applyBorder="1" applyAlignment="1">
      <alignment horizontal="right" vertical="center"/>
    </xf>
    <xf numFmtId="207" fontId="107" fillId="0" borderId="0" xfId="13" applyFont="1" applyAlignment="1">
      <alignment horizontal="left" vertical="top" wrapText="1" indent="1"/>
    </xf>
    <xf numFmtId="210" fontId="107" fillId="16" borderId="0" xfId="12" applyNumberFormat="1" applyFont="1" applyFill="1" applyAlignment="1">
      <alignment horizontal="right" wrapText="1"/>
    </xf>
    <xf numFmtId="9" fontId="133" fillId="0" borderId="0" xfId="14" applyFont="1" applyFill="1" applyAlignment="1">
      <alignment horizontal="right" vertical="center"/>
    </xf>
    <xf numFmtId="208" fontId="107" fillId="5" borderId="35" xfId="12" applyNumberFormat="1" applyFont="1" applyFill="1" applyBorder="1" applyAlignment="1">
      <alignment horizontal="right" vertical="center"/>
    </xf>
    <xf numFmtId="208" fontId="79" fillId="0" borderId="0" xfId="12" applyNumberFormat="1" applyFont="1" applyFill="1" applyBorder="1" applyAlignment="1">
      <alignment horizontal="right" vertical="center"/>
    </xf>
    <xf numFmtId="9" fontId="79" fillId="16" borderId="0" xfId="14" applyFont="1" applyFill="1" applyBorder="1" applyAlignment="1">
      <alignment horizontal="right" vertical="center"/>
    </xf>
    <xf numFmtId="9" fontId="133" fillId="0" borderId="0" xfId="14" applyFont="1" applyFill="1" applyBorder="1" applyAlignment="1">
      <alignment horizontal="right" vertical="center"/>
    </xf>
    <xf numFmtId="210" fontId="79" fillId="0" borderId="40" xfId="12" applyNumberFormat="1" applyFont="1" applyFill="1" applyBorder="1" applyAlignment="1">
      <alignment horizontal="right" vertical="center"/>
    </xf>
    <xf numFmtId="210" fontId="79" fillId="0" borderId="0" xfId="12" applyNumberFormat="1" applyFont="1" applyFill="1" applyBorder="1" applyAlignment="1">
      <alignment horizontal="right" vertical="center"/>
    </xf>
    <xf numFmtId="207" fontId="102" fillId="0" borderId="19" xfId="13" applyFont="1" applyBorder="1" applyAlignment="1">
      <alignment horizontal="left" vertical="center"/>
    </xf>
    <xf numFmtId="208" fontId="125" fillId="16" borderId="19" xfId="12" applyNumberFormat="1" applyFont="1" applyFill="1" applyBorder="1" applyAlignment="1">
      <alignment horizontal="right" wrapText="1"/>
    </xf>
    <xf numFmtId="9" fontId="79" fillId="16" borderId="19" xfId="13" applyNumberFormat="1" applyFont="1" applyFill="1" applyBorder="1" applyAlignment="1">
      <alignment horizontal="right" wrapText="1"/>
    </xf>
    <xf numFmtId="208" fontId="125" fillId="0" borderId="19" xfId="12" applyNumberFormat="1" applyFont="1" applyFill="1" applyBorder="1" applyAlignment="1">
      <alignment horizontal="right" wrapText="1"/>
    </xf>
    <xf numFmtId="9" fontId="55" fillId="0" borderId="19" xfId="14" applyFont="1" applyFill="1" applyBorder="1" applyAlignment="1">
      <alignment horizontal="right" wrapText="1"/>
    </xf>
    <xf numFmtId="184" fontId="55" fillId="16" borderId="19" xfId="14" applyNumberFormat="1" applyFont="1" applyFill="1" applyBorder="1" applyAlignment="1">
      <alignment horizontal="right" wrapText="1"/>
    </xf>
    <xf numFmtId="206" fontId="134" fillId="5" borderId="19" xfId="12" applyFont="1" applyFill="1" applyBorder="1" applyAlignment="1">
      <alignment horizontal="right" wrapText="1"/>
    </xf>
    <xf numFmtId="10" fontId="125" fillId="0" borderId="19" xfId="14" applyNumberFormat="1" applyFont="1" applyFill="1" applyBorder="1" applyAlignment="1">
      <alignment horizontal="right" wrapText="1"/>
    </xf>
    <xf numFmtId="10" fontId="125" fillId="16" borderId="19" xfId="14" applyNumberFormat="1" applyFont="1" applyFill="1" applyBorder="1" applyAlignment="1">
      <alignment horizontal="right" wrapText="1"/>
    </xf>
    <xf numFmtId="207" fontId="79" fillId="5" borderId="41" xfId="13" applyFont="1" applyFill="1" applyBorder="1" applyAlignment="1">
      <alignment horizontal="right" vertical="center"/>
    </xf>
    <xf numFmtId="207" fontId="79" fillId="5" borderId="19" xfId="13" applyFont="1" applyFill="1" applyBorder="1" applyAlignment="1">
      <alignment horizontal="right" vertical="center"/>
    </xf>
    <xf numFmtId="207" fontId="79" fillId="5" borderId="42" xfId="13" applyFont="1" applyFill="1" applyBorder="1" applyAlignment="1">
      <alignment horizontal="right" vertical="center"/>
    </xf>
    <xf numFmtId="210" fontId="79" fillId="0" borderId="19" xfId="12" applyNumberFormat="1" applyFont="1" applyFill="1" applyBorder="1" applyAlignment="1">
      <alignment horizontal="right" vertical="center"/>
    </xf>
    <xf numFmtId="207" fontId="135" fillId="0" borderId="0" xfId="13" applyFont="1" applyAlignment="1">
      <alignment horizontal="left" vertical="top" wrapText="1" indent="1"/>
    </xf>
    <xf numFmtId="10" fontId="136" fillId="16" borderId="0" xfId="14" applyNumberFormat="1" applyFont="1" applyFill="1" applyBorder="1" applyAlignment="1">
      <alignment horizontal="right" vertical="center" wrapText="1"/>
    </xf>
    <xf numFmtId="10" fontId="136" fillId="5" borderId="0" xfId="14" applyNumberFormat="1" applyFont="1" applyFill="1" applyBorder="1" applyAlignment="1">
      <alignment horizontal="right" vertical="center" wrapText="1"/>
    </xf>
    <xf numFmtId="10" fontId="136" fillId="0" borderId="0" xfId="14" applyNumberFormat="1" applyFont="1" applyFill="1" applyBorder="1" applyAlignment="1">
      <alignment horizontal="right" vertical="center" wrapText="1"/>
    </xf>
    <xf numFmtId="10" fontId="137" fillId="16" borderId="0" xfId="14" applyNumberFormat="1" applyFont="1" applyFill="1" applyBorder="1" applyAlignment="1">
      <alignment horizontal="right" vertical="center" wrapText="1"/>
    </xf>
    <xf numFmtId="10" fontId="137" fillId="5" borderId="0" xfId="14" applyNumberFormat="1" applyFont="1" applyFill="1" applyBorder="1" applyAlignment="1">
      <alignment horizontal="right" vertical="center" wrapText="1"/>
    </xf>
    <xf numFmtId="10" fontId="138" fillId="16" borderId="0" xfId="14" applyNumberFormat="1" applyFont="1" applyFill="1" applyBorder="1" applyAlignment="1">
      <alignment horizontal="right" vertical="center" wrapText="1"/>
    </xf>
    <xf numFmtId="10" fontId="138" fillId="0" borderId="0" xfId="14" applyNumberFormat="1" applyFont="1" applyFill="1" applyBorder="1" applyAlignment="1">
      <alignment horizontal="right" vertical="center" wrapText="1"/>
    </xf>
    <xf numFmtId="10" fontId="136" fillId="5" borderId="40" xfId="14" applyNumberFormat="1" applyFont="1" applyFill="1" applyBorder="1" applyAlignment="1">
      <alignment horizontal="right" vertical="center" wrapText="1"/>
    </xf>
    <xf numFmtId="10" fontId="136" fillId="5" borderId="35" xfId="14" applyNumberFormat="1" applyFont="1" applyFill="1" applyBorder="1" applyAlignment="1">
      <alignment horizontal="right" vertical="center" wrapText="1"/>
    </xf>
    <xf numFmtId="10" fontId="138" fillId="5" borderId="0" xfId="14" applyNumberFormat="1" applyFont="1" applyFill="1" applyBorder="1" applyAlignment="1">
      <alignment horizontal="right" vertical="center" wrapText="1"/>
    </xf>
    <xf numFmtId="10" fontId="138" fillId="5" borderId="40" xfId="14" applyNumberFormat="1" applyFont="1" applyFill="1" applyBorder="1" applyAlignment="1">
      <alignment horizontal="right" vertical="center" wrapText="1"/>
    </xf>
    <xf numFmtId="10" fontId="138" fillId="5" borderId="35" xfId="14" applyNumberFormat="1" applyFont="1" applyFill="1" applyBorder="1" applyAlignment="1">
      <alignment horizontal="right" vertical="center" wrapText="1"/>
    </xf>
    <xf numFmtId="207" fontId="136" fillId="0" borderId="0" xfId="13" applyFont="1">
      <alignment vertical="center"/>
    </xf>
    <xf numFmtId="10" fontId="116" fillId="5" borderId="24" xfId="14" applyNumberFormat="1" applyFont="1" applyFill="1" applyBorder="1" applyAlignment="1">
      <alignment horizontal="left" vertical="top" wrapText="1"/>
    </xf>
    <xf numFmtId="10" fontId="116" fillId="16" borderId="24" xfId="14" applyNumberFormat="1" applyFont="1" applyFill="1" applyBorder="1" applyAlignment="1">
      <alignment horizontal="right" wrapText="1"/>
    </xf>
    <xf numFmtId="10" fontId="116" fillId="5" borderId="24" xfId="14" applyNumberFormat="1" applyFont="1" applyFill="1" applyBorder="1" applyAlignment="1">
      <alignment horizontal="right" wrapText="1"/>
    </xf>
    <xf numFmtId="10" fontId="139" fillId="16" borderId="24" xfId="14" applyNumberFormat="1" applyFont="1" applyFill="1" applyBorder="1" applyAlignment="1">
      <alignment horizontal="right" wrapText="1"/>
    </xf>
    <xf numFmtId="10" fontId="139" fillId="0" borderId="24" xfId="14" applyNumberFormat="1" applyFont="1" applyFill="1" applyBorder="1" applyAlignment="1">
      <alignment horizontal="right" wrapText="1"/>
    </xf>
    <xf numFmtId="10" fontId="116" fillId="5" borderId="43" xfId="14" applyNumberFormat="1" applyFont="1" applyFill="1" applyBorder="1" applyAlignment="1">
      <alignment horizontal="right" wrapText="1"/>
    </xf>
    <xf numFmtId="10" fontId="116" fillId="5" borderId="44" xfId="14" applyNumberFormat="1" applyFont="1" applyFill="1" applyBorder="1" applyAlignment="1">
      <alignment horizontal="right" wrapText="1"/>
    </xf>
    <xf numFmtId="10" fontId="139" fillId="5" borderId="24" xfId="14" applyNumberFormat="1" applyFont="1" applyFill="1" applyBorder="1" applyAlignment="1">
      <alignment horizontal="right" wrapText="1"/>
    </xf>
    <xf numFmtId="10" fontId="139" fillId="5" borderId="43" xfId="14" applyNumberFormat="1" applyFont="1" applyFill="1" applyBorder="1" applyAlignment="1">
      <alignment horizontal="right" wrapText="1"/>
    </xf>
    <xf numFmtId="10" fontId="139" fillId="5" borderId="44" xfId="14" applyNumberFormat="1" applyFont="1" applyFill="1" applyBorder="1" applyAlignment="1">
      <alignment horizontal="right" wrapText="1"/>
    </xf>
    <xf numFmtId="10" fontId="116" fillId="0" borderId="0" xfId="14" applyNumberFormat="1" applyFont="1" applyFill="1" applyBorder="1">
      <alignment vertical="center"/>
    </xf>
    <xf numFmtId="10" fontId="116" fillId="0" borderId="0" xfId="14" applyNumberFormat="1" applyFont="1" applyFill="1">
      <alignment vertical="center"/>
    </xf>
    <xf numFmtId="207" fontId="89" fillId="5" borderId="0" xfId="13" applyFont="1" applyFill="1" applyAlignment="1">
      <alignment horizontal="left" vertical="top" wrapText="1"/>
    </xf>
    <xf numFmtId="184" fontId="103" fillId="16" borderId="0" xfId="14" applyNumberFormat="1" applyFont="1" applyFill="1" applyAlignment="1">
      <alignment horizontal="right" wrapText="1"/>
    </xf>
    <xf numFmtId="184" fontId="103" fillId="5" borderId="0" xfId="14" applyNumberFormat="1" applyFont="1" applyFill="1" applyAlignment="1">
      <alignment horizontal="right" wrapText="1"/>
    </xf>
    <xf numFmtId="10" fontId="103" fillId="16" borderId="0" xfId="14" applyNumberFormat="1" applyFont="1" applyFill="1" applyAlignment="1">
      <alignment horizontal="right" wrapText="1"/>
    </xf>
    <xf numFmtId="10" fontId="103" fillId="16" borderId="0" xfId="13" applyNumberFormat="1" applyFont="1" applyFill="1" applyAlignment="1">
      <alignment horizontal="right" wrapText="1"/>
    </xf>
    <xf numFmtId="10" fontId="103" fillId="0" borderId="0" xfId="13" applyNumberFormat="1" applyFont="1" applyAlignment="1">
      <alignment horizontal="right" wrapText="1"/>
    </xf>
    <xf numFmtId="184" fontId="103" fillId="5" borderId="40" xfId="14" applyNumberFormat="1" applyFont="1" applyFill="1" applyBorder="1" applyAlignment="1">
      <alignment horizontal="right" wrapText="1"/>
    </xf>
    <xf numFmtId="184" fontId="103" fillId="5" borderId="0" xfId="14" applyNumberFormat="1" applyFont="1" applyFill="1" applyBorder="1" applyAlignment="1">
      <alignment horizontal="right" wrapText="1"/>
    </xf>
    <xf numFmtId="184" fontId="103" fillId="5" borderId="35" xfId="14" applyNumberFormat="1" applyFont="1" applyFill="1" applyBorder="1" applyAlignment="1">
      <alignment horizontal="right" wrapText="1"/>
    </xf>
    <xf numFmtId="10" fontId="103" fillId="5" borderId="40" xfId="14" applyNumberFormat="1" applyFont="1" applyFill="1" applyBorder="1" applyAlignment="1">
      <alignment horizontal="right" wrapText="1"/>
    </xf>
    <xf numFmtId="10" fontId="103" fillId="5" borderId="0" xfId="14" applyNumberFormat="1" applyFont="1" applyFill="1" applyBorder="1" applyAlignment="1">
      <alignment horizontal="right" wrapText="1"/>
    </xf>
    <xf numFmtId="10" fontId="103" fillId="5" borderId="35" xfId="14" applyNumberFormat="1" applyFont="1" applyFill="1" applyBorder="1" applyAlignment="1">
      <alignment horizontal="right" wrapText="1"/>
    </xf>
    <xf numFmtId="207" fontId="89" fillId="0" borderId="0" xfId="13" applyFont="1">
      <alignment vertical="center"/>
    </xf>
    <xf numFmtId="184" fontId="103" fillId="16" borderId="0" xfId="14" applyNumberFormat="1" applyFont="1" applyFill="1" applyBorder="1" applyAlignment="1">
      <alignment horizontal="right" wrapText="1"/>
    </xf>
    <xf numFmtId="10" fontId="103" fillId="16" borderId="0" xfId="14" applyNumberFormat="1" applyFont="1" applyFill="1" applyBorder="1" applyAlignment="1">
      <alignment horizontal="right" wrapText="1"/>
    </xf>
    <xf numFmtId="10" fontId="103" fillId="0" borderId="0" xfId="14" applyNumberFormat="1" applyFont="1" applyFill="1" applyBorder="1" applyAlignment="1">
      <alignment horizontal="right" wrapText="1"/>
    </xf>
    <xf numFmtId="207" fontId="109" fillId="5" borderId="0" xfId="13" applyFont="1" applyFill="1" applyAlignment="1">
      <alignment horizontal="left" vertical="center" wrapText="1" indent="1"/>
    </xf>
    <xf numFmtId="184" fontId="109" fillId="16" borderId="0" xfId="14" applyNumberFormat="1" applyFont="1" applyFill="1" applyAlignment="1">
      <alignment horizontal="right" wrapText="1"/>
    </xf>
    <xf numFmtId="184" fontId="109" fillId="5" borderId="0" xfId="14" applyNumberFormat="1" applyFont="1" applyFill="1" applyAlignment="1">
      <alignment horizontal="right" wrapText="1"/>
    </xf>
    <xf numFmtId="184" fontId="109" fillId="16" borderId="0" xfId="13" applyNumberFormat="1" applyFont="1" applyFill="1" applyAlignment="1">
      <alignment horizontal="right" wrapText="1"/>
    </xf>
    <xf numFmtId="10" fontId="109" fillId="16" borderId="0" xfId="14" applyNumberFormat="1" applyFont="1" applyFill="1" applyAlignment="1">
      <alignment horizontal="right" wrapText="1"/>
    </xf>
    <xf numFmtId="10" fontId="139" fillId="16" borderId="0" xfId="14" applyNumberFormat="1" applyFont="1" applyFill="1" applyAlignment="1">
      <alignment horizontal="right" wrapText="1"/>
    </xf>
    <xf numFmtId="10" fontId="139" fillId="16" borderId="0" xfId="13" applyNumberFormat="1" applyFont="1" applyFill="1" applyAlignment="1">
      <alignment horizontal="right" wrapText="1"/>
    </xf>
    <xf numFmtId="10" fontId="139" fillId="0" borderId="0" xfId="13" applyNumberFormat="1" applyFont="1" applyAlignment="1">
      <alignment horizontal="right" wrapText="1"/>
    </xf>
    <xf numFmtId="10" fontId="109" fillId="0" borderId="40" xfId="14" applyNumberFormat="1" applyFont="1" applyFill="1" applyBorder="1" applyAlignment="1">
      <alignment horizontal="right" vertical="center"/>
    </xf>
    <xf numFmtId="10" fontId="109" fillId="0" borderId="0" xfId="14" applyNumberFormat="1" applyFont="1" applyFill="1" applyBorder="1" applyAlignment="1">
      <alignment horizontal="right" vertical="center"/>
    </xf>
    <xf numFmtId="10" fontId="109" fillId="0" borderId="35" xfId="14" applyNumberFormat="1" applyFont="1" applyFill="1" applyBorder="1" applyAlignment="1">
      <alignment horizontal="right" vertical="center"/>
    </xf>
    <xf numFmtId="10" fontId="139" fillId="0" borderId="0" xfId="14" applyNumberFormat="1" applyFont="1" applyFill="1" applyBorder="1" applyAlignment="1">
      <alignment horizontal="right" vertical="center"/>
    </xf>
    <xf numFmtId="10" fontId="139" fillId="0" borderId="40" xfId="14" applyNumberFormat="1" applyFont="1" applyFill="1" applyBorder="1" applyAlignment="1">
      <alignment horizontal="right" vertical="center"/>
    </xf>
    <xf numFmtId="10" fontId="139" fillId="0" borderId="35" xfId="14" applyNumberFormat="1" applyFont="1" applyFill="1" applyBorder="1" applyAlignment="1">
      <alignment horizontal="right" vertical="center"/>
    </xf>
    <xf numFmtId="184" fontId="140" fillId="16" borderId="0" xfId="14" applyNumberFormat="1" applyFont="1" applyFill="1" applyBorder="1" applyAlignment="1">
      <alignment horizontal="right" wrapText="1"/>
    </xf>
    <xf numFmtId="184" fontId="139" fillId="16" borderId="0" xfId="14" applyNumberFormat="1" applyFont="1" applyFill="1" applyBorder="1" applyAlignment="1">
      <alignment horizontal="right" wrapText="1"/>
    </xf>
    <xf numFmtId="184" fontId="139" fillId="5" borderId="0" xfId="14" applyNumberFormat="1" applyFont="1" applyFill="1" applyBorder="1" applyAlignment="1">
      <alignment horizontal="right" wrapText="1"/>
    </xf>
    <xf numFmtId="10" fontId="139" fillId="16" borderId="0" xfId="14" applyNumberFormat="1" applyFont="1" applyFill="1" applyBorder="1" applyAlignment="1">
      <alignment horizontal="right" wrapText="1"/>
    </xf>
    <xf numFmtId="10" fontId="139" fillId="0" borderId="0" xfId="14" applyNumberFormat="1" applyFont="1" applyFill="1" applyBorder="1" applyAlignment="1">
      <alignment horizontal="right" wrapText="1"/>
    </xf>
    <xf numFmtId="10" fontId="139" fillId="5" borderId="40" xfId="14" applyNumberFormat="1" applyFont="1" applyFill="1" applyBorder="1" applyAlignment="1">
      <alignment horizontal="right" wrapText="1"/>
    </xf>
    <xf numFmtId="10" fontId="139" fillId="5" borderId="0" xfId="14" applyNumberFormat="1" applyFont="1" applyFill="1" applyBorder="1" applyAlignment="1">
      <alignment horizontal="right" wrapText="1"/>
    </xf>
    <xf numFmtId="10" fontId="139" fillId="5" borderId="35" xfId="14" applyNumberFormat="1" applyFont="1" applyFill="1" applyBorder="1" applyAlignment="1">
      <alignment horizontal="right" wrapText="1"/>
    </xf>
    <xf numFmtId="207" fontId="140" fillId="0" borderId="0" xfId="13" applyFont="1">
      <alignment vertical="center"/>
    </xf>
    <xf numFmtId="207" fontId="105" fillId="0" borderId="19" xfId="13" applyFont="1" applyBorder="1">
      <alignment vertical="center"/>
    </xf>
    <xf numFmtId="207" fontId="105" fillId="16" borderId="19" xfId="13" applyFont="1" applyFill="1" applyBorder="1" applyAlignment="1">
      <alignment horizontal="right" vertical="center"/>
    </xf>
    <xf numFmtId="208" fontId="106" fillId="16" borderId="19" xfId="12" applyNumberFormat="1" applyFont="1" applyFill="1" applyBorder="1" applyAlignment="1">
      <alignment horizontal="right" vertical="center"/>
    </xf>
    <xf numFmtId="208" fontId="106" fillId="0" borderId="19" xfId="12" applyNumberFormat="1" applyFont="1" applyBorder="1" applyAlignment="1">
      <alignment horizontal="right" vertical="center"/>
    </xf>
    <xf numFmtId="208" fontId="106" fillId="0" borderId="19" xfId="12" applyNumberFormat="1" applyFont="1" applyFill="1" applyBorder="1" applyAlignment="1">
      <alignment horizontal="right" vertical="center"/>
    </xf>
    <xf numFmtId="208" fontId="106" fillId="0" borderId="41" xfId="12" applyNumberFormat="1" applyFont="1" applyBorder="1" applyAlignment="1">
      <alignment horizontal="right" vertical="center"/>
    </xf>
    <xf numFmtId="208" fontId="106" fillId="0" borderId="42" xfId="12" applyNumberFormat="1" applyFont="1" applyBorder="1" applyAlignment="1">
      <alignment horizontal="right" vertical="center"/>
    </xf>
    <xf numFmtId="207" fontId="105" fillId="0" borderId="0" xfId="13" applyFont="1" applyAlignment="1">
      <alignment horizontal="left" vertical="center" indent="1"/>
    </xf>
    <xf numFmtId="207" fontId="105" fillId="16" borderId="0" xfId="13" applyFont="1" applyFill="1" applyAlignment="1">
      <alignment horizontal="right" vertical="center"/>
    </xf>
    <xf numFmtId="9" fontId="139" fillId="16" borderId="0" xfId="14" applyFont="1" applyFill="1" applyBorder="1" applyAlignment="1">
      <alignment horizontal="right" vertical="center"/>
    </xf>
    <xf numFmtId="9" fontId="139" fillId="0" borderId="0" xfId="14" applyFont="1" applyBorder="1" applyAlignment="1">
      <alignment horizontal="right" vertical="center"/>
    </xf>
    <xf numFmtId="9" fontId="139" fillId="0" borderId="0" xfId="14" applyFont="1" applyFill="1" applyBorder="1" applyAlignment="1">
      <alignment horizontal="right" vertical="center"/>
    </xf>
    <xf numFmtId="9" fontId="139" fillId="0" borderId="40" xfId="14" applyFont="1" applyBorder="1" applyAlignment="1">
      <alignment horizontal="right" vertical="center"/>
    </xf>
    <xf numFmtId="9" fontId="139" fillId="0" borderId="35" xfId="14" applyFont="1" applyBorder="1" applyAlignment="1">
      <alignment horizontal="right" vertical="center"/>
    </xf>
    <xf numFmtId="208" fontId="106" fillId="16" borderId="0" xfId="12" applyNumberFormat="1" applyFont="1" applyFill="1" applyBorder="1" applyAlignment="1">
      <alignment horizontal="right" vertical="center"/>
    </xf>
    <xf numFmtId="208" fontId="106" fillId="0" borderId="0" xfId="12" applyNumberFormat="1" applyFont="1" applyBorder="1" applyAlignment="1">
      <alignment horizontal="right" vertical="center"/>
    </xf>
    <xf numFmtId="208" fontId="106" fillId="0" borderId="0" xfId="12" applyNumberFormat="1" applyFont="1" applyFill="1" applyBorder="1" applyAlignment="1">
      <alignment horizontal="right" vertical="center"/>
    </xf>
    <xf numFmtId="208" fontId="106" fillId="0" borderId="40" xfId="12" applyNumberFormat="1" applyFont="1" applyBorder="1" applyAlignment="1">
      <alignment horizontal="right" vertical="center"/>
    </xf>
    <xf numFmtId="208" fontId="106" fillId="0" borderId="35" xfId="12" applyNumberFormat="1" applyFont="1" applyBorder="1" applyAlignment="1">
      <alignment horizontal="right" vertical="center"/>
    </xf>
    <xf numFmtId="208" fontId="106" fillId="0" borderId="35" xfId="12" applyNumberFormat="1" applyFont="1" applyFill="1" applyBorder="1" applyAlignment="1">
      <alignment horizontal="right" vertical="center"/>
    </xf>
    <xf numFmtId="208" fontId="106" fillId="0" borderId="40" xfId="12" applyNumberFormat="1" applyFont="1" applyFill="1" applyBorder="1" applyAlignment="1">
      <alignment horizontal="right" vertical="center"/>
    </xf>
    <xf numFmtId="207" fontId="105" fillId="0" borderId="24" xfId="13" applyFont="1" applyBorder="1" applyAlignment="1">
      <alignment horizontal="left" vertical="center" indent="1"/>
    </xf>
    <xf numFmtId="207" fontId="105" fillId="16" borderId="24" xfId="13" applyFont="1" applyFill="1" applyBorder="1" applyAlignment="1">
      <alignment horizontal="right" vertical="center"/>
    </xf>
    <xf numFmtId="9" fontId="117" fillId="16" borderId="24" xfId="14" applyFont="1" applyFill="1" applyBorder="1" applyAlignment="1">
      <alignment horizontal="right" vertical="center"/>
    </xf>
    <xf numFmtId="9" fontId="117" fillId="0" borderId="24" xfId="14" applyFont="1" applyBorder="1" applyAlignment="1">
      <alignment horizontal="right" vertical="center"/>
    </xf>
    <xf numFmtId="9" fontId="117" fillId="0" borderId="24" xfId="14" applyFont="1" applyFill="1" applyBorder="1" applyAlignment="1">
      <alignment horizontal="right" vertical="center"/>
    </xf>
    <xf numFmtId="9" fontId="117" fillId="0" borderId="43" xfId="14" applyFont="1" applyBorder="1" applyAlignment="1">
      <alignment horizontal="right" vertical="center"/>
    </xf>
    <xf numFmtId="9" fontId="117" fillId="0" borderId="44" xfId="14" applyFont="1" applyBorder="1" applyAlignment="1">
      <alignment horizontal="right" vertical="center"/>
    </xf>
    <xf numFmtId="9" fontId="139" fillId="0" borderId="43" xfId="14" applyFont="1" applyBorder="1" applyAlignment="1">
      <alignment horizontal="right" vertical="center"/>
    </xf>
    <xf numFmtId="9" fontId="139" fillId="0" borderId="24" xfId="14" applyFont="1" applyBorder="1" applyAlignment="1">
      <alignment horizontal="right" vertical="center"/>
    </xf>
    <xf numFmtId="9" fontId="139" fillId="0" borderId="44" xfId="14" applyFont="1" applyBorder="1" applyAlignment="1">
      <alignment horizontal="right" vertical="center"/>
    </xf>
    <xf numFmtId="207" fontId="105" fillId="0" borderId="19" xfId="13" applyFont="1" applyBorder="1" applyAlignment="1">
      <alignment horizontal="left" vertical="center" wrapText="1"/>
    </xf>
    <xf numFmtId="10" fontId="141" fillId="16" borderId="19" xfId="14" applyNumberFormat="1" applyFont="1" applyFill="1" applyBorder="1" applyAlignment="1">
      <alignment horizontal="right" wrapText="1"/>
    </xf>
    <xf numFmtId="10" fontId="141" fillId="5" borderId="19" xfId="14" applyNumberFormat="1" applyFont="1" applyFill="1" applyBorder="1" applyAlignment="1">
      <alignment horizontal="right" wrapText="1"/>
    </xf>
    <xf numFmtId="10" fontId="141" fillId="0" borderId="19" xfId="14" applyNumberFormat="1" applyFont="1" applyFill="1" applyBorder="1" applyAlignment="1">
      <alignment horizontal="right" wrapText="1"/>
    </xf>
    <xf numFmtId="10" fontId="105" fillId="16" borderId="19" xfId="14" applyNumberFormat="1" applyFont="1" applyFill="1" applyBorder="1" applyAlignment="1">
      <alignment horizontal="right" wrapText="1"/>
    </xf>
    <xf numFmtId="10" fontId="55" fillId="5" borderId="19" xfId="13" applyNumberFormat="1" applyFont="1" applyFill="1" applyBorder="1" applyAlignment="1">
      <alignment horizontal="right" wrapText="1"/>
    </xf>
    <xf numFmtId="10" fontId="55" fillId="5" borderId="19" xfId="14" applyNumberFormat="1" applyFont="1" applyFill="1" applyBorder="1" applyAlignment="1">
      <alignment horizontal="right" wrapText="1"/>
    </xf>
    <xf numFmtId="10" fontId="55" fillId="16" borderId="19" xfId="14" applyNumberFormat="1" applyFont="1" applyFill="1" applyBorder="1" applyAlignment="1">
      <alignment horizontal="right" wrapText="1"/>
    </xf>
    <xf numFmtId="10" fontId="106" fillId="16" borderId="19" xfId="14" applyNumberFormat="1" applyFont="1" applyFill="1" applyBorder="1" applyAlignment="1">
      <alignment horizontal="right" wrapText="1"/>
    </xf>
    <xf numFmtId="10" fontId="106" fillId="0" borderId="19" xfId="14" applyNumberFormat="1" applyFont="1" applyFill="1" applyBorder="1" applyAlignment="1">
      <alignment horizontal="right" wrapText="1"/>
    </xf>
    <xf numFmtId="10" fontId="141" fillId="5" borderId="41" xfId="14" applyNumberFormat="1" applyFont="1" applyFill="1" applyBorder="1" applyAlignment="1">
      <alignment horizontal="right" wrapText="1"/>
    </xf>
    <xf numFmtId="10" fontId="55" fillId="5" borderId="42" xfId="14" applyNumberFormat="1" applyFont="1" applyFill="1" applyBorder="1" applyAlignment="1">
      <alignment horizontal="right" wrapText="1"/>
    </xf>
    <xf numFmtId="10" fontId="55" fillId="5" borderId="41" xfId="14" applyNumberFormat="1" applyFont="1" applyFill="1" applyBorder="1" applyAlignment="1">
      <alignment horizontal="right" wrapText="1"/>
    </xf>
    <xf numFmtId="10" fontId="55" fillId="5" borderId="0" xfId="14" applyNumberFormat="1" applyFont="1" applyFill="1" applyBorder="1" applyAlignment="1">
      <alignment horizontal="right" vertical="center"/>
    </xf>
    <xf numFmtId="10" fontId="55" fillId="5" borderId="35" xfId="14" applyNumberFormat="1" applyFont="1" applyFill="1" applyBorder="1" applyAlignment="1">
      <alignment horizontal="right" vertical="center"/>
    </xf>
    <xf numFmtId="10" fontId="55" fillId="5" borderId="40" xfId="14" applyNumberFormat="1" applyFont="1" applyFill="1" applyBorder="1" applyAlignment="1">
      <alignment horizontal="right" vertical="center"/>
    </xf>
    <xf numFmtId="207" fontId="55" fillId="0" borderId="0" xfId="13" applyFont="1">
      <alignment vertical="center"/>
    </xf>
    <xf numFmtId="207" fontId="105" fillId="0" borderId="0" xfId="13" applyFont="1" applyAlignment="1">
      <alignment horizontal="left" vertical="center" wrapText="1"/>
    </xf>
    <xf numFmtId="10" fontId="141" fillId="16" borderId="0" xfId="14" applyNumberFormat="1" applyFont="1" applyFill="1" applyBorder="1" applyAlignment="1">
      <alignment horizontal="right" wrapText="1"/>
    </xf>
    <xf numFmtId="10" fontId="55" fillId="0" borderId="0" xfId="14" applyNumberFormat="1" applyFont="1" applyFill="1" applyBorder="1" applyAlignment="1">
      <alignment horizontal="right" wrapText="1"/>
    </xf>
    <xf numFmtId="10" fontId="55" fillId="16" borderId="0" xfId="14" applyNumberFormat="1" applyFont="1" applyFill="1" applyBorder="1" applyAlignment="1">
      <alignment horizontal="right" wrapText="1"/>
    </xf>
    <xf numFmtId="10" fontId="105" fillId="5" borderId="0" xfId="13" applyNumberFormat="1" applyFont="1" applyFill="1" applyAlignment="1">
      <alignment horizontal="right" wrapText="1"/>
    </xf>
    <xf numFmtId="10" fontId="105" fillId="16" borderId="0" xfId="13" applyNumberFormat="1" applyFont="1" applyFill="1" applyAlignment="1">
      <alignment horizontal="right" wrapText="1"/>
    </xf>
    <xf numFmtId="10" fontId="106" fillId="16" borderId="0" xfId="13" applyNumberFormat="1" applyFont="1" applyFill="1" applyAlignment="1">
      <alignment horizontal="right" wrapText="1"/>
    </xf>
    <xf numFmtId="10" fontId="106" fillId="0" borderId="0" xfId="13" applyNumberFormat="1" applyFont="1" applyAlignment="1">
      <alignment horizontal="right" wrapText="1"/>
    </xf>
    <xf numFmtId="10" fontId="55" fillId="5" borderId="40" xfId="14" applyNumberFormat="1" applyFont="1" applyFill="1" applyBorder="1" applyAlignment="1">
      <alignment horizontal="right" wrapText="1"/>
    </xf>
    <xf numFmtId="10" fontId="55" fillId="5" borderId="0" xfId="14" applyNumberFormat="1" applyFont="1" applyFill="1" applyBorder="1" applyAlignment="1">
      <alignment horizontal="right" wrapText="1"/>
    </xf>
    <xf numFmtId="10" fontId="55" fillId="5" borderId="35" xfId="14" applyNumberFormat="1" applyFont="1" applyFill="1" applyBorder="1" applyAlignment="1">
      <alignment horizontal="right" wrapText="1"/>
    </xf>
    <xf numFmtId="10" fontId="55" fillId="5" borderId="0" xfId="13" applyNumberFormat="1" applyFont="1" applyFill="1" applyAlignment="1">
      <alignment horizontal="right" vertical="center"/>
    </xf>
    <xf numFmtId="10" fontId="55" fillId="5" borderId="35" xfId="13" applyNumberFormat="1" applyFont="1" applyFill="1" applyBorder="1" applyAlignment="1">
      <alignment horizontal="right" vertical="center"/>
    </xf>
    <xf numFmtId="10" fontId="55" fillId="5" borderId="40" xfId="13" applyNumberFormat="1" applyFont="1" applyFill="1" applyBorder="1" applyAlignment="1">
      <alignment horizontal="right" vertical="center"/>
    </xf>
    <xf numFmtId="207" fontId="85" fillId="5" borderId="0" xfId="13" quotePrefix="1" applyFont="1" applyFill="1" applyAlignment="1">
      <alignment horizontal="left" vertical="center" wrapText="1" indent="1"/>
    </xf>
    <xf numFmtId="10" fontId="142" fillId="16" borderId="0" xfId="14" applyNumberFormat="1" applyFont="1" applyFill="1" applyBorder="1" applyAlignment="1">
      <alignment horizontal="right" wrapText="1"/>
    </xf>
    <xf numFmtId="10" fontId="142" fillId="5" borderId="0" xfId="14" applyNumberFormat="1" applyFont="1" applyFill="1" applyBorder="1" applyAlignment="1">
      <alignment horizontal="right" wrapText="1"/>
    </xf>
    <xf numFmtId="10" fontId="142" fillId="0" borderId="0" xfId="14" applyNumberFormat="1" applyFont="1" applyFill="1" applyBorder="1" applyAlignment="1">
      <alignment horizontal="right" wrapText="1"/>
    </xf>
    <xf numFmtId="10" fontId="85" fillId="16" borderId="0" xfId="14" applyNumberFormat="1" applyFont="1" applyFill="1" applyBorder="1" applyAlignment="1">
      <alignment horizontal="right" wrapText="1"/>
    </xf>
    <xf numFmtId="10" fontId="85" fillId="0" borderId="0" xfId="14" applyNumberFormat="1" applyFont="1" applyFill="1" applyBorder="1" applyAlignment="1">
      <alignment horizontal="right" wrapText="1"/>
    </xf>
    <xf numFmtId="10" fontId="99" fillId="16" borderId="0" xfId="14" applyNumberFormat="1" applyFont="1" applyFill="1" applyBorder="1" applyAlignment="1">
      <alignment horizontal="right" wrapText="1"/>
    </xf>
    <xf numFmtId="10" fontId="99" fillId="0" borderId="0" xfId="14" applyNumberFormat="1" applyFont="1" applyFill="1" applyBorder="1" applyAlignment="1">
      <alignment horizontal="right" wrapText="1"/>
    </xf>
    <xf numFmtId="10" fontId="142" fillId="5" borderId="40" xfId="14" applyNumberFormat="1" applyFont="1" applyFill="1" applyBorder="1" applyAlignment="1">
      <alignment horizontal="right" wrapText="1"/>
    </xf>
    <xf numFmtId="10" fontId="85" fillId="5" borderId="0" xfId="14" applyNumberFormat="1" applyFont="1" applyFill="1" applyBorder="1" applyAlignment="1">
      <alignment horizontal="right" wrapText="1"/>
    </xf>
    <xf numFmtId="10" fontId="85" fillId="5" borderId="35" xfId="14" applyNumberFormat="1" applyFont="1" applyFill="1" applyBorder="1" applyAlignment="1">
      <alignment horizontal="right" wrapText="1"/>
    </xf>
    <xf numFmtId="10" fontId="85" fillId="5" borderId="40" xfId="14" applyNumberFormat="1" applyFont="1" applyFill="1" applyBorder="1" applyAlignment="1">
      <alignment horizontal="right" wrapText="1"/>
    </xf>
    <xf numFmtId="207" fontId="142" fillId="0" borderId="0" xfId="13" applyFont="1">
      <alignment vertical="center"/>
    </xf>
    <xf numFmtId="207" fontId="85" fillId="5" borderId="24" xfId="13" quotePrefix="1" applyFont="1" applyFill="1" applyBorder="1" applyAlignment="1">
      <alignment horizontal="left" vertical="center" wrapText="1" indent="1"/>
    </xf>
    <xf numFmtId="10" fontId="142" fillId="16" borderId="24" xfId="14" applyNumberFormat="1" applyFont="1" applyFill="1" applyBorder="1" applyAlignment="1">
      <alignment horizontal="right" wrapText="1"/>
    </xf>
    <xf numFmtId="10" fontId="142" fillId="5" borderId="24" xfId="14" applyNumberFormat="1" applyFont="1" applyFill="1" applyBorder="1" applyAlignment="1">
      <alignment horizontal="right" wrapText="1"/>
    </xf>
    <xf numFmtId="10" fontId="142" fillId="0" borderId="24" xfId="14" applyNumberFormat="1" applyFont="1" applyFill="1" applyBorder="1" applyAlignment="1">
      <alignment horizontal="right" wrapText="1"/>
    </xf>
    <xf numFmtId="10" fontId="85" fillId="16" borderId="24" xfId="14" applyNumberFormat="1" applyFont="1" applyFill="1" applyBorder="1" applyAlignment="1">
      <alignment horizontal="right" wrapText="1"/>
    </xf>
    <xf numFmtId="10" fontId="85" fillId="0" borderId="24" xfId="14" applyNumberFormat="1" applyFont="1" applyFill="1" applyBorder="1" applyAlignment="1">
      <alignment horizontal="right" wrapText="1"/>
    </xf>
    <xf numFmtId="10" fontId="99" fillId="16" borderId="24" xfId="14" applyNumberFormat="1" applyFont="1" applyFill="1" applyBorder="1" applyAlignment="1">
      <alignment horizontal="right" wrapText="1"/>
    </xf>
    <xf numFmtId="10" fontId="99" fillId="0" borderId="24" xfId="14" applyNumberFormat="1" applyFont="1" applyFill="1" applyBorder="1" applyAlignment="1">
      <alignment horizontal="right" wrapText="1"/>
    </xf>
    <xf numFmtId="10" fontId="142" fillId="5" borderId="43" xfId="14" applyNumberFormat="1" applyFont="1" applyFill="1" applyBorder="1" applyAlignment="1">
      <alignment horizontal="right" wrapText="1"/>
    </xf>
    <xf numFmtId="10" fontId="85" fillId="5" borderId="24" xfId="14" applyNumberFormat="1" applyFont="1" applyFill="1" applyBorder="1" applyAlignment="1">
      <alignment horizontal="right" wrapText="1"/>
    </xf>
    <xf numFmtId="10" fontId="85" fillId="5" borderId="44" xfId="14" applyNumberFormat="1" applyFont="1" applyFill="1" applyBorder="1" applyAlignment="1">
      <alignment horizontal="right" wrapText="1"/>
    </xf>
    <xf numFmtId="10" fontId="85" fillId="5" borderId="43" xfId="14" applyNumberFormat="1" applyFont="1" applyFill="1" applyBorder="1" applyAlignment="1">
      <alignment horizontal="right" wrapText="1"/>
    </xf>
    <xf numFmtId="207" fontId="143" fillId="0" borderId="0" xfId="13" applyFont="1" applyAlignment="1">
      <alignment horizontal="center"/>
    </xf>
    <xf numFmtId="206" fontId="105" fillId="16" borderId="0" xfId="12" applyFont="1" applyFill="1" applyAlignment="1">
      <alignment horizontal="right" vertical="center"/>
    </xf>
    <xf numFmtId="206" fontId="105" fillId="0" borderId="0" xfId="12" applyFont="1" applyAlignment="1">
      <alignment horizontal="right" vertical="center"/>
    </xf>
    <xf numFmtId="206" fontId="105" fillId="0" borderId="0" xfId="12" applyFont="1" applyFill="1" applyAlignment="1">
      <alignment horizontal="right" vertical="center"/>
    </xf>
    <xf numFmtId="206" fontId="105" fillId="0" borderId="40" xfId="12" applyFont="1" applyBorder="1" applyAlignment="1">
      <alignment horizontal="right" vertical="center"/>
    </xf>
    <xf numFmtId="206" fontId="105" fillId="0" borderId="0" xfId="12" applyFont="1" applyBorder="1" applyAlignment="1">
      <alignment horizontal="right" vertical="center"/>
    </xf>
    <xf numFmtId="206" fontId="105" fillId="0" borderId="35" xfId="12" applyFont="1" applyBorder="1" applyAlignment="1">
      <alignment horizontal="right" vertical="center"/>
    </xf>
    <xf numFmtId="1" fontId="105" fillId="16" borderId="0" xfId="13" applyNumberFormat="1" applyFont="1" applyFill="1" applyAlignment="1">
      <alignment horizontal="right" vertical="center"/>
    </xf>
    <xf numFmtId="1" fontId="105" fillId="16" borderId="0" xfId="12" applyNumberFormat="1" applyFont="1" applyFill="1" applyAlignment="1">
      <alignment horizontal="right" vertical="center"/>
    </xf>
    <xf numFmtId="1" fontId="105" fillId="0" borderId="0" xfId="12" applyNumberFormat="1" applyFont="1" applyAlignment="1">
      <alignment horizontal="right" vertical="center"/>
    </xf>
    <xf numFmtId="208" fontId="105" fillId="0" borderId="0" xfId="12" applyNumberFormat="1" applyFont="1" applyAlignment="1">
      <alignment horizontal="right" vertical="center"/>
    </xf>
    <xf numFmtId="208" fontId="105" fillId="16" borderId="0" xfId="12" applyNumberFormat="1" applyFont="1" applyFill="1" applyAlignment="1">
      <alignment horizontal="right" vertical="center"/>
    </xf>
    <xf numFmtId="208" fontId="105" fillId="0" borderId="0" xfId="12" applyNumberFormat="1" applyFont="1" applyFill="1" applyAlignment="1">
      <alignment horizontal="right" vertical="center"/>
    </xf>
    <xf numFmtId="3" fontId="105" fillId="0" borderId="0" xfId="12" applyNumberFormat="1" applyFont="1" applyAlignment="1">
      <alignment horizontal="right" vertical="center"/>
    </xf>
    <xf numFmtId="3" fontId="105" fillId="16" borderId="0" xfId="12" applyNumberFormat="1" applyFont="1" applyFill="1" applyAlignment="1">
      <alignment horizontal="right" vertical="center"/>
    </xf>
    <xf numFmtId="3" fontId="112" fillId="16" borderId="0" xfId="12" applyNumberFormat="1" applyFont="1" applyFill="1" applyAlignment="1">
      <alignment horizontal="right" vertical="center"/>
    </xf>
    <xf numFmtId="3" fontId="105" fillId="0" borderId="0" xfId="12" applyNumberFormat="1" applyFont="1" applyFill="1" applyAlignment="1">
      <alignment horizontal="right" vertical="center"/>
    </xf>
    <xf numFmtId="207" fontId="85" fillId="17" borderId="39" xfId="13" quotePrefix="1" applyFont="1" applyFill="1" applyBorder="1" applyAlignment="1">
      <alignment horizontal="left" indent="3"/>
    </xf>
    <xf numFmtId="207" fontId="1" fillId="16" borderId="0" xfId="13" applyFill="1" applyAlignment="1">
      <alignment horizontal="right" vertical="center"/>
    </xf>
    <xf numFmtId="207" fontId="1" fillId="0" borderId="0" xfId="13" applyAlignment="1">
      <alignment horizontal="right" vertical="center"/>
    </xf>
    <xf numFmtId="207" fontId="1" fillId="0" borderId="40" xfId="13" applyBorder="1" applyAlignment="1">
      <alignment horizontal="right" vertical="center"/>
    </xf>
    <xf numFmtId="207" fontId="1" fillId="0" borderId="35" xfId="13" applyBorder="1" applyAlignment="1">
      <alignment horizontal="right" vertical="center"/>
    </xf>
    <xf numFmtId="207" fontId="1" fillId="0" borderId="24" xfId="13" applyBorder="1" applyAlignment="1">
      <alignment horizontal="right" vertical="center"/>
    </xf>
    <xf numFmtId="207" fontId="1" fillId="0" borderId="44" xfId="13" applyBorder="1" applyAlignment="1">
      <alignment horizontal="right" vertical="center"/>
    </xf>
    <xf numFmtId="207" fontId="1" fillId="0" borderId="43" xfId="13" applyBorder="1" applyAlignment="1">
      <alignment horizontal="right" vertical="center"/>
    </xf>
    <xf numFmtId="207" fontId="1" fillId="0" borderId="0" xfId="13">
      <alignment vertical="center"/>
    </xf>
    <xf numFmtId="207" fontId="104" fillId="0" borderId="41" xfId="13" applyFont="1" applyBorder="1" applyAlignment="1">
      <alignment horizontal="left" vertical="top" wrapText="1"/>
    </xf>
    <xf numFmtId="207" fontId="104" fillId="16" borderId="19" xfId="13" applyFont="1" applyFill="1" applyBorder="1" applyAlignment="1">
      <alignment horizontal="right" vertical="center"/>
    </xf>
    <xf numFmtId="207" fontId="104" fillId="0" borderId="19" xfId="13" applyFont="1" applyBorder="1" applyAlignment="1">
      <alignment horizontal="right" vertical="center"/>
    </xf>
    <xf numFmtId="208" fontId="104" fillId="0" borderId="19" xfId="12" applyNumberFormat="1" applyFont="1" applyFill="1" applyBorder="1" applyAlignment="1">
      <alignment horizontal="right" vertical="center"/>
    </xf>
    <xf numFmtId="208" fontId="104" fillId="16" borderId="19" xfId="12" applyNumberFormat="1" applyFont="1" applyFill="1" applyBorder="1" applyAlignment="1">
      <alignment horizontal="right" vertical="center"/>
    </xf>
    <xf numFmtId="194" fontId="104" fillId="16" borderId="19" xfId="13" applyNumberFormat="1" applyFont="1" applyFill="1" applyBorder="1" applyAlignment="1">
      <alignment horizontal="right" vertical="center"/>
    </xf>
    <xf numFmtId="194" fontId="104" fillId="5" borderId="19" xfId="13" applyNumberFormat="1" applyFont="1" applyFill="1" applyBorder="1" applyAlignment="1">
      <alignment horizontal="right" vertical="center"/>
    </xf>
    <xf numFmtId="208" fontId="144" fillId="5" borderId="19" xfId="12" applyNumberFormat="1" applyFont="1" applyFill="1" applyBorder="1" applyAlignment="1">
      <alignment horizontal="right" vertical="center"/>
    </xf>
    <xf numFmtId="208" fontId="144" fillId="16" borderId="19" xfId="12" applyNumberFormat="1" applyFont="1" applyFill="1" applyBorder="1" applyAlignment="1">
      <alignment horizontal="right" vertical="center"/>
    </xf>
    <xf numFmtId="208" fontId="144" fillId="0" borderId="19" xfId="12" applyNumberFormat="1" applyFont="1" applyFill="1" applyBorder="1" applyAlignment="1">
      <alignment horizontal="right" vertical="center"/>
    </xf>
    <xf numFmtId="207" fontId="104" fillId="0" borderId="41" xfId="13" applyFont="1" applyBorder="1" applyAlignment="1">
      <alignment horizontal="right" vertical="center"/>
    </xf>
    <xf numFmtId="3" fontId="104" fillId="0" borderId="19" xfId="13" applyNumberFormat="1" applyFont="1" applyBorder="1" applyAlignment="1">
      <alignment horizontal="right" vertical="center"/>
    </xf>
    <xf numFmtId="3" fontId="104" fillId="0" borderId="42" xfId="12" applyNumberFormat="1" applyFont="1" applyFill="1" applyBorder="1" applyAlignment="1">
      <alignment horizontal="right" vertical="center"/>
    </xf>
    <xf numFmtId="3" fontId="104" fillId="0" borderId="41" xfId="12" applyNumberFormat="1" applyFont="1" applyFill="1" applyBorder="1" applyAlignment="1">
      <alignment horizontal="right" vertical="center"/>
    </xf>
    <xf numFmtId="3" fontId="104" fillId="0" borderId="41" xfId="13" applyNumberFormat="1" applyFont="1" applyBorder="1" applyAlignment="1">
      <alignment horizontal="right" vertical="center"/>
    </xf>
    <xf numFmtId="3" fontId="104" fillId="0" borderId="19" xfId="12" applyNumberFormat="1" applyFont="1" applyFill="1" applyBorder="1" applyAlignment="1">
      <alignment horizontal="right" vertical="center"/>
    </xf>
    <xf numFmtId="207" fontId="104" fillId="0" borderId="0" xfId="13" applyFont="1">
      <alignment vertical="center"/>
    </xf>
    <xf numFmtId="207" fontId="116" fillId="0" borderId="40" xfId="13" applyFont="1" applyBorder="1" applyAlignment="1">
      <alignment horizontal="left" vertical="top" wrapText="1"/>
    </xf>
    <xf numFmtId="207" fontId="117" fillId="16" borderId="0" xfId="13" applyFont="1" applyFill="1" applyAlignment="1">
      <alignment horizontal="right" vertical="center"/>
    </xf>
    <xf numFmtId="207" fontId="117" fillId="0" borderId="0" xfId="13" applyFont="1" applyAlignment="1">
      <alignment horizontal="right" vertical="center"/>
    </xf>
    <xf numFmtId="208" fontId="117" fillId="0" borderId="0" xfId="12" applyNumberFormat="1" applyFont="1" applyFill="1" applyBorder="1" applyAlignment="1">
      <alignment horizontal="right" vertical="center"/>
    </xf>
    <xf numFmtId="9" fontId="117" fillId="5" borderId="0" xfId="14" applyFont="1" applyFill="1" applyBorder="1" applyAlignment="1">
      <alignment horizontal="right" vertical="center"/>
    </xf>
    <xf numFmtId="9" fontId="117" fillId="16" borderId="0" xfId="14" applyFont="1" applyFill="1" applyBorder="1" applyAlignment="1">
      <alignment horizontal="right" vertical="center"/>
    </xf>
    <xf numFmtId="9" fontId="117" fillId="16" borderId="0" xfId="14" applyFont="1" applyFill="1" applyBorder="1" applyAlignment="1">
      <alignment horizontal="right" wrapText="1"/>
    </xf>
    <xf numFmtId="9" fontId="117" fillId="0" borderId="0" xfId="14" applyFont="1" applyFill="1" applyBorder="1" applyAlignment="1">
      <alignment horizontal="right" wrapText="1"/>
    </xf>
    <xf numFmtId="207" fontId="117" fillId="0" borderId="40" xfId="13" applyFont="1" applyBorder="1" applyAlignment="1">
      <alignment horizontal="right" vertical="center"/>
    </xf>
    <xf numFmtId="208" fontId="117" fillId="0" borderId="35" xfId="12" applyNumberFormat="1" applyFont="1" applyFill="1" applyBorder="1" applyAlignment="1">
      <alignment horizontal="right" vertical="center"/>
    </xf>
    <xf numFmtId="9" fontId="139" fillId="0" borderId="40" xfId="14" applyFont="1" applyFill="1" applyBorder="1" applyAlignment="1">
      <alignment horizontal="right" vertical="center"/>
    </xf>
    <xf numFmtId="9" fontId="139" fillId="0" borderId="35" xfId="14" applyFont="1" applyFill="1" applyBorder="1" applyAlignment="1">
      <alignment horizontal="right" vertical="center"/>
    </xf>
    <xf numFmtId="9" fontId="117" fillId="0" borderId="40" xfId="14" applyFont="1" applyFill="1" applyBorder="1" applyAlignment="1">
      <alignment horizontal="right" vertical="center"/>
    </xf>
    <xf numFmtId="9" fontId="117" fillId="0" borderId="35" xfId="14" applyFont="1" applyFill="1" applyBorder="1" applyAlignment="1">
      <alignment horizontal="right" vertical="center"/>
    </xf>
    <xf numFmtId="207" fontId="117" fillId="0" borderId="0" xfId="13" applyFont="1">
      <alignment vertical="center"/>
    </xf>
    <xf numFmtId="207" fontId="85" fillId="17" borderId="39" xfId="13" quotePrefix="1" applyFont="1" applyFill="1" applyBorder="1" applyAlignment="1">
      <alignment horizontal="left" indent="2"/>
    </xf>
    <xf numFmtId="207" fontId="116" fillId="16" borderId="0" xfId="13" applyFont="1" applyFill="1" applyAlignment="1">
      <alignment horizontal="right" vertical="center"/>
    </xf>
    <xf numFmtId="207" fontId="116" fillId="0" borderId="0" xfId="13" applyFont="1" applyAlignment="1">
      <alignment horizontal="right" vertical="center"/>
    </xf>
    <xf numFmtId="208" fontId="116" fillId="0" borderId="0" xfId="12" applyNumberFormat="1" applyFont="1" applyFill="1" applyBorder="1" applyAlignment="1">
      <alignment horizontal="right" vertical="center"/>
    </xf>
    <xf numFmtId="9" fontId="116" fillId="16" borderId="0" xfId="14" applyFont="1" applyFill="1" applyBorder="1" applyAlignment="1">
      <alignment horizontal="right" vertical="center"/>
    </xf>
    <xf numFmtId="9" fontId="139" fillId="5" borderId="0" xfId="14" applyFont="1" applyFill="1" applyBorder="1" applyAlignment="1">
      <alignment horizontal="right" vertical="center"/>
    </xf>
    <xf numFmtId="207" fontId="116" fillId="0" borderId="40" xfId="13" applyFont="1" applyBorder="1" applyAlignment="1">
      <alignment horizontal="right" vertical="center"/>
    </xf>
    <xf numFmtId="208" fontId="116" fillId="0" borderId="35" xfId="12" applyNumberFormat="1" applyFont="1" applyFill="1" applyBorder="1" applyAlignment="1">
      <alignment horizontal="right" vertical="center"/>
    </xf>
    <xf numFmtId="208" fontId="116" fillId="0" borderId="40" xfId="12" applyNumberFormat="1" applyFont="1" applyFill="1" applyBorder="1" applyAlignment="1">
      <alignment horizontal="right" vertical="center"/>
    </xf>
    <xf numFmtId="194" fontId="116" fillId="0" borderId="0" xfId="13" applyNumberFormat="1" applyFont="1" applyAlignment="1">
      <alignment horizontal="right" vertical="center"/>
    </xf>
    <xf numFmtId="194" fontId="116" fillId="0" borderId="40" xfId="13" applyNumberFormat="1" applyFont="1" applyBorder="1" applyAlignment="1">
      <alignment horizontal="right" vertical="center"/>
    </xf>
    <xf numFmtId="194" fontId="109" fillId="0" borderId="0" xfId="13" applyNumberFormat="1" applyFont="1" applyAlignment="1">
      <alignment horizontal="right" vertical="center"/>
    </xf>
    <xf numFmtId="194" fontId="116" fillId="0" borderId="35" xfId="13" applyNumberFormat="1" applyFont="1" applyBorder="1" applyAlignment="1">
      <alignment horizontal="right" vertical="center"/>
    </xf>
    <xf numFmtId="207" fontId="116" fillId="0" borderId="0" xfId="13" applyFont="1">
      <alignment vertical="center"/>
    </xf>
    <xf numFmtId="9" fontId="116" fillId="0" borderId="0" xfId="14" applyFont="1" applyFill="1" applyBorder="1" applyAlignment="1">
      <alignment horizontal="right" vertical="center"/>
    </xf>
    <xf numFmtId="9" fontId="117" fillId="0" borderId="0" xfId="14" applyFont="1" applyFill="1" applyBorder="1" applyAlignment="1">
      <alignment horizontal="right" vertical="center"/>
    </xf>
    <xf numFmtId="9" fontId="116" fillId="0" borderId="40" xfId="14" applyFont="1" applyFill="1" applyBorder="1" applyAlignment="1">
      <alignment horizontal="right" vertical="center"/>
    </xf>
    <xf numFmtId="9" fontId="116" fillId="0" borderId="35" xfId="14" applyFont="1" applyFill="1" applyBorder="1" applyAlignment="1">
      <alignment horizontal="right" vertical="center"/>
    </xf>
    <xf numFmtId="9" fontId="116" fillId="0" borderId="0" xfId="14" applyFont="1" applyFill="1" applyBorder="1">
      <alignment vertical="center"/>
    </xf>
    <xf numFmtId="9" fontId="116" fillId="0" borderId="0" xfId="14" applyFont="1" applyFill="1">
      <alignment vertical="center"/>
    </xf>
    <xf numFmtId="207" fontId="103" fillId="0" borderId="40" xfId="13" applyFont="1" applyBorder="1" applyAlignment="1">
      <alignment horizontal="left" vertical="top" wrapText="1"/>
    </xf>
    <xf numFmtId="207" fontId="89" fillId="16" borderId="0" xfId="13" applyFont="1" applyFill="1" applyAlignment="1">
      <alignment horizontal="right" vertical="center"/>
    </xf>
    <xf numFmtId="207" fontId="89" fillId="0" borderId="0" xfId="13" applyFont="1" applyAlignment="1">
      <alignment horizontal="right" vertical="center"/>
    </xf>
    <xf numFmtId="208" fontId="89" fillId="0" borderId="0" xfId="12" applyNumberFormat="1" applyFont="1" applyFill="1" applyBorder="1" applyAlignment="1">
      <alignment horizontal="right" vertical="center"/>
    </xf>
    <xf numFmtId="9" fontId="55" fillId="5" borderId="0" xfId="14" applyFont="1" applyFill="1" applyBorder="1" applyAlignment="1">
      <alignment horizontal="right" vertical="center"/>
    </xf>
    <xf numFmtId="208" fontId="103" fillId="16" borderId="0" xfId="12" applyNumberFormat="1" applyFont="1" applyFill="1" applyBorder="1" applyAlignment="1">
      <alignment horizontal="right" vertical="center"/>
    </xf>
    <xf numFmtId="208" fontId="103" fillId="16" borderId="0" xfId="12" quotePrefix="1" applyNumberFormat="1" applyFont="1" applyFill="1" applyBorder="1" applyAlignment="1">
      <alignment horizontal="right" vertical="center"/>
    </xf>
    <xf numFmtId="208" fontId="103" fillId="5" borderId="0" xfId="12" quotePrefix="1" applyNumberFormat="1" applyFont="1" applyFill="1" applyBorder="1" applyAlignment="1">
      <alignment horizontal="right" vertical="center"/>
    </xf>
    <xf numFmtId="208" fontId="103" fillId="0" borderId="0" xfId="12" quotePrefix="1" applyNumberFormat="1" applyFont="1" applyFill="1" applyBorder="1" applyAlignment="1">
      <alignment horizontal="right" vertical="center"/>
    </xf>
    <xf numFmtId="207" fontId="89" fillId="0" borderId="40" xfId="13" applyFont="1" applyBorder="1" applyAlignment="1">
      <alignment horizontal="right" vertical="center"/>
    </xf>
    <xf numFmtId="208" fontId="103" fillId="0" borderId="40" xfId="12" applyNumberFormat="1" applyFont="1" applyFill="1" applyBorder="1" applyAlignment="1">
      <alignment horizontal="right" vertical="center"/>
    </xf>
    <xf numFmtId="208" fontId="103" fillId="0" borderId="35" xfId="12" applyNumberFormat="1" applyFont="1" applyFill="1" applyBorder="1" applyAlignment="1">
      <alignment horizontal="right" vertical="center"/>
    </xf>
    <xf numFmtId="207" fontId="55" fillId="0" borderId="43" xfId="13" applyFont="1" applyBorder="1" applyAlignment="1">
      <alignment horizontal="left" vertical="top" wrapText="1"/>
    </xf>
    <xf numFmtId="207" fontId="55" fillId="16" borderId="24" xfId="13" applyFont="1" applyFill="1" applyBorder="1" applyAlignment="1">
      <alignment horizontal="right" vertical="center"/>
    </xf>
    <xf numFmtId="207" fontId="55" fillId="0" borderId="24" xfId="13" applyFont="1" applyBorder="1" applyAlignment="1">
      <alignment horizontal="right" vertical="center"/>
    </xf>
    <xf numFmtId="208" fontId="55" fillId="0" borderId="24" xfId="12" applyNumberFormat="1" applyFont="1" applyFill="1" applyBorder="1" applyAlignment="1">
      <alignment horizontal="right" vertical="center"/>
    </xf>
    <xf numFmtId="194" fontId="55" fillId="16" borderId="24" xfId="13" applyNumberFormat="1" applyFont="1" applyFill="1" applyBorder="1" applyAlignment="1">
      <alignment horizontal="right" vertical="center"/>
    </xf>
    <xf numFmtId="194" fontId="55" fillId="5" borderId="24" xfId="13" applyNumberFormat="1" applyFont="1" applyFill="1" applyBorder="1" applyAlignment="1">
      <alignment horizontal="right" vertical="center"/>
    </xf>
    <xf numFmtId="9" fontId="55" fillId="5" borderId="24" xfId="14" applyFont="1" applyFill="1" applyBorder="1" applyAlignment="1">
      <alignment horizontal="right" vertical="center"/>
    </xf>
    <xf numFmtId="208" fontId="55" fillId="16" borderId="24" xfId="12" applyNumberFormat="1" applyFont="1" applyFill="1" applyBorder="1" applyAlignment="1">
      <alignment horizontal="right" vertical="center"/>
    </xf>
    <xf numFmtId="208" fontId="55" fillId="16" borderId="24" xfId="12" quotePrefix="1" applyNumberFormat="1" applyFont="1" applyFill="1" applyBorder="1" applyAlignment="1">
      <alignment horizontal="right" vertical="center"/>
    </xf>
    <xf numFmtId="208" fontId="55" fillId="5" borderId="24" xfId="12" quotePrefix="1" applyNumberFormat="1" applyFont="1" applyFill="1" applyBorder="1" applyAlignment="1">
      <alignment horizontal="right" vertical="center"/>
    </xf>
    <xf numFmtId="9" fontId="106" fillId="5" borderId="24" xfId="14" quotePrefix="1" applyFont="1" applyFill="1" applyBorder="1" applyAlignment="1">
      <alignment horizontal="right" vertical="center"/>
    </xf>
    <xf numFmtId="9" fontId="106" fillId="16" borderId="24" xfId="14" quotePrefix="1" applyFont="1" applyFill="1" applyBorder="1" applyAlignment="1">
      <alignment horizontal="right" vertical="center"/>
    </xf>
    <xf numFmtId="9" fontId="106" fillId="0" borderId="24" xfId="14" quotePrefix="1" applyFont="1" applyFill="1" applyBorder="1" applyAlignment="1">
      <alignment horizontal="right" vertical="center"/>
    </xf>
    <xf numFmtId="207" fontId="106" fillId="0" borderId="43" xfId="13" applyFont="1" applyBorder="1" applyAlignment="1">
      <alignment horizontal="right" vertical="center"/>
    </xf>
    <xf numFmtId="207" fontId="106" fillId="0" borderId="24" xfId="13" applyFont="1" applyBorder="1" applyAlignment="1">
      <alignment horizontal="right" vertical="center"/>
    </xf>
    <xf numFmtId="208" fontId="106" fillId="0" borderId="44" xfId="12" applyNumberFormat="1" applyFont="1" applyFill="1" applyBorder="1" applyAlignment="1">
      <alignment horizontal="right" vertical="center"/>
    </xf>
    <xf numFmtId="208" fontId="106" fillId="0" borderId="43" xfId="12" applyNumberFormat="1" applyFont="1" applyFill="1" applyBorder="1" applyAlignment="1">
      <alignment horizontal="right" vertical="center"/>
    </xf>
    <xf numFmtId="208" fontId="106" fillId="0" borderId="24" xfId="12" applyNumberFormat="1" applyFont="1" applyFill="1" applyBorder="1" applyAlignment="1">
      <alignment horizontal="right" vertical="center"/>
    </xf>
    <xf numFmtId="9" fontId="139" fillId="0" borderId="43" xfId="14" applyFont="1" applyFill="1" applyBorder="1" applyAlignment="1">
      <alignment horizontal="right" vertical="center"/>
    </xf>
    <xf numFmtId="208" fontId="103" fillId="0" borderId="24" xfId="12" applyNumberFormat="1" applyFont="1" applyFill="1" applyBorder="1" applyAlignment="1">
      <alignment horizontal="right" vertical="center"/>
    </xf>
    <xf numFmtId="207" fontId="104" fillId="0" borderId="0" xfId="13" applyFont="1" applyAlignment="1">
      <alignment horizontal="left" vertical="top" wrapText="1"/>
    </xf>
    <xf numFmtId="207" fontId="104" fillId="16" borderId="0" xfId="13" applyFont="1" applyFill="1" applyAlignment="1">
      <alignment horizontal="right" vertical="center"/>
    </xf>
    <xf numFmtId="207" fontId="104" fillId="0" borderId="0" xfId="13" applyFont="1" applyAlignment="1">
      <alignment horizontal="right" vertical="center"/>
    </xf>
    <xf numFmtId="208" fontId="104" fillId="16" borderId="0" xfId="12" applyNumberFormat="1" applyFont="1" applyFill="1" applyBorder="1" applyAlignment="1">
      <alignment horizontal="right" vertical="center"/>
    </xf>
    <xf numFmtId="194" fontId="104" fillId="16" borderId="0" xfId="13" applyNumberFormat="1" applyFont="1" applyFill="1" applyAlignment="1">
      <alignment horizontal="right" vertical="center"/>
    </xf>
    <xf numFmtId="194" fontId="104" fillId="5" borderId="0" xfId="13" applyNumberFormat="1" applyFont="1" applyFill="1" applyAlignment="1">
      <alignment horizontal="right" vertical="center"/>
    </xf>
    <xf numFmtId="208" fontId="144" fillId="5" borderId="0" xfId="12" applyNumberFormat="1" applyFont="1" applyFill="1" applyBorder="1" applyAlignment="1">
      <alignment horizontal="right" vertical="center"/>
    </xf>
    <xf numFmtId="208" fontId="144" fillId="16" borderId="0" xfId="12" applyNumberFormat="1" applyFont="1" applyFill="1" applyBorder="1" applyAlignment="1">
      <alignment horizontal="right" vertical="center"/>
    </xf>
    <xf numFmtId="208" fontId="144" fillId="0" borderId="0" xfId="12" applyNumberFormat="1" applyFont="1" applyFill="1" applyBorder="1" applyAlignment="1">
      <alignment horizontal="right" vertical="center"/>
    </xf>
    <xf numFmtId="207" fontId="104" fillId="0" borderId="40" xfId="13" applyFont="1" applyBorder="1" applyAlignment="1">
      <alignment horizontal="right" vertical="center"/>
    </xf>
    <xf numFmtId="3" fontId="104" fillId="0" borderId="0" xfId="13" applyNumberFormat="1" applyFont="1" applyAlignment="1">
      <alignment horizontal="right" vertical="center"/>
    </xf>
    <xf numFmtId="3" fontId="104" fillId="0" borderId="35" xfId="12" applyNumberFormat="1" applyFont="1" applyFill="1" applyBorder="1" applyAlignment="1">
      <alignment horizontal="right" vertical="center"/>
    </xf>
    <xf numFmtId="3" fontId="104" fillId="0" borderId="40" xfId="12" applyNumberFormat="1" applyFont="1" applyFill="1" applyBorder="1" applyAlignment="1">
      <alignment horizontal="right" vertical="center"/>
    </xf>
    <xf numFmtId="3" fontId="104" fillId="0" borderId="40" xfId="13" applyNumberFormat="1" applyFont="1" applyBorder="1" applyAlignment="1">
      <alignment horizontal="right" vertical="center"/>
    </xf>
    <xf numFmtId="3" fontId="104" fillId="0" borderId="0" xfId="12" applyNumberFormat="1" applyFont="1" applyFill="1" applyBorder="1" applyAlignment="1">
      <alignment horizontal="right" vertical="center"/>
    </xf>
    <xf numFmtId="207" fontId="116" fillId="0" borderId="0" xfId="13" applyFont="1" applyAlignment="1">
      <alignment horizontal="left" vertical="top" wrapText="1"/>
    </xf>
    <xf numFmtId="9" fontId="145" fillId="16" borderId="0" xfId="14" applyFont="1" applyFill="1" applyBorder="1" applyAlignment="1">
      <alignment horizontal="right" vertical="center"/>
    </xf>
    <xf numFmtId="9" fontId="145" fillId="5" borderId="0" xfId="14" applyFont="1" applyFill="1" applyBorder="1" applyAlignment="1">
      <alignment horizontal="right" vertical="center"/>
    </xf>
    <xf numFmtId="9" fontId="145" fillId="16" borderId="0" xfId="14" applyFont="1" applyFill="1" applyBorder="1" applyAlignment="1">
      <alignment horizontal="right" wrapText="1"/>
    </xf>
    <xf numFmtId="9" fontId="145" fillId="0" borderId="0" xfId="14" applyFont="1" applyFill="1" applyBorder="1" applyAlignment="1">
      <alignment horizontal="right" wrapText="1"/>
    </xf>
    <xf numFmtId="207" fontId="102" fillId="0" borderId="19" xfId="13" applyFont="1" applyBorder="1" applyAlignment="1">
      <alignment horizontal="left" vertical="top" wrapText="1"/>
    </xf>
    <xf numFmtId="207" fontId="102" fillId="16" borderId="19" xfId="13" applyFont="1" applyFill="1" applyBorder="1" applyAlignment="1">
      <alignment horizontal="right" vertical="center"/>
    </xf>
    <xf numFmtId="207" fontId="102" fillId="0" borderId="19" xfId="13" applyFont="1" applyBorder="1" applyAlignment="1">
      <alignment horizontal="right" vertical="center"/>
    </xf>
    <xf numFmtId="208" fontId="102" fillId="0" borderId="19" xfId="12" applyNumberFormat="1" applyFont="1" applyFill="1" applyBorder="1" applyAlignment="1">
      <alignment horizontal="right" vertical="center"/>
    </xf>
    <xf numFmtId="3" fontId="102" fillId="16" borderId="19" xfId="13" applyNumberFormat="1" applyFont="1" applyFill="1" applyBorder="1" applyAlignment="1">
      <alignment horizontal="right" vertical="center"/>
    </xf>
    <xf numFmtId="3" fontId="88" fillId="5" borderId="19" xfId="13" applyNumberFormat="1" applyFont="1" applyFill="1" applyBorder="1" applyAlignment="1">
      <alignment horizontal="right" vertical="center"/>
    </xf>
    <xf numFmtId="3" fontId="88" fillId="16" borderId="19" xfId="13" applyNumberFormat="1" applyFont="1" applyFill="1" applyBorder="1" applyAlignment="1">
      <alignment horizontal="right" vertical="center"/>
    </xf>
    <xf numFmtId="3" fontId="88" fillId="0" borderId="19" xfId="13" applyNumberFormat="1" applyFont="1" applyBorder="1" applyAlignment="1">
      <alignment horizontal="right" vertical="center"/>
    </xf>
    <xf numFmtId="3" fontId="102" fillId="0" borderId="19" xfId="13" applyNumberFormat="1" applyFont="1" applyBorder="1" applyAlignment="1">
      <alignment horizontal="right" vertical="center"/>
    </xf>
    <xf numFmtId="3" fontId="103" fillId="0" borderId="41" xfId="13" applyNumberFormat="1" applyFont="1" applyBorder="1" applyAlignment="1">
      <alignment horizontal="right" vertical="center"/>
    </xf>
    <xf numFmtId="3" fontId="103" fillId="0" borderId="19" xfId="13" applyNumberFormat="1" applyFont="1" applyBorder="1" applyAlignment="1">
      <alignment horizontal="right" vertical="center"/>
    </xf>
    <xf numFmtId="3" fontId="103" fillId="0" borderId="42" xfId="12" applyNumberFormat="1" applyFont="1" applyFill="1" applyBorder="1" applyAlignment="1">
      <alignment horizontal="right" vertical="center"/>
    </xf>
    <xf numFmtId="3" fontId="86" fillId="0" borderId="41" xfId="12" applyNumberFormat="1" applyFont="1" applyFill="1" applyBorder="1" applyAlignment="1">
      <alignment horizontal="right" vertical="center"/>
    </xf>
    <xf numFmtId="3" fontId="86" fillId="0" borderId="19" xfId="13" applyNumberFormat="1" applyFont="1" applyBorder="1" applyAlignment="1">
      <alignment horizontal="right" vertical="center"/>
    </xf>
    <xf numFmtId="3" fontId="103" fillId="0" borderId="42" xfId="13" applyNumberFormat="1" applyFont="1" applyBorder="1" applyAlignment="1">
      <alignment horizontal="right" vertical="center"/>
    </xf>
    <xf numFmtId="207" fontId="55" fillId="16" borderId="0" xfId="13" applyFont="1" applyFill="1" applyAlignment="1">
      <alignment horizontal="right" vertical="center"/>
    </xf>
    <xf numFmtId="207" fontId="55" fillId="0" borderId="0" xfId="13" applyFont="1" applyAlignment="1">
      <alignment horizontal="right" vertical="center"/>
    </xf>
    <xf numFmtId="208" fontId="55" fillId="0" borderId="0" xfId="12" applyNumberFormat="1" applyFont="1" applyFill="1" applyBorder="1" applyAlignment="1">
      <alignment horizontal="right" vertical="center"/>
    </xf>
    <xf numFmtId="194" fontId="55" fillId="16" borderId="0" xfId="13" applyNumberFormat="1" applyFont="1" applyFill="1" applyAlignment="1">
      <alignment horizontal="right" vertical="center"/>
    </xf>
    <xf numFmtId="194" fontId="55" fillId="5" borderId="0" xfId="13" applyNumberFormat="1" applyFont="1" applyFill="1" applyAlignment="1">
      <alignment horizontal="right" vertical="center"/>
    </xf>
    <xf numFmtId="9" fontId="55" fillId="16" borderId="0" xfId="13" applyNumberFormat="1" applyFont="1" applyFill="1" applyAlignment="1">
      <alignment horizontal="right" vertical="center"/>
    </xf>
    <xf numFmtId="9" fontId="106" fillId="5" borderId="0" xfId="13" applyNumberFormat="1" applyFont="1" applyFill="1" applyAlignment="1">
      <alignment horizontal="right" wrapText="1"/>
    </xf>
    <xf numFmtId="9" fontId="106" fillId="16" borderId="0" xfId="13" applyNumberFormat="1" applyFont="1" applyFill="1" applyAlignment="1">
      <alignment horizontal="right" wrapText="1"/>
    </xf>
    <xf numFmtId="207" fontId="55" fillId="0" borderId="40" xfId="13" applyFont="1" applyBorder="1" applyAlignment="1">
      <alignment horizontal="right" vertical="center"/>
    </xf>
    <xf numFmtId="208" fontId="55" fillId="0" borderId="35" xfId="12" applyNumberFormat="1" applyFont="1" applyFill="1" applyBorder="1" applyAlignment="1">
      <alignment horizontal="right" vertical="center"/>
    </xf>
    <xf numFmtId="208" fontId="55" fillId="0" borderId="40" xfId="12" applyNumberFormat="1" applyFont="1" applyFill="1" applyBorder="1" applyAlignment="1">
      <alignment horizontal="right" vertical="center"/>
    </xf>
    <xf numFmtId="9" fontId="55" fillId="0" borderId="0" xfId="14" applyFont="1" applyFill="1" applyBorder="1" applyAlignment="1">
      <alignment horizontal="right" vertical="center"/>
    </xf>
    <xf numFmtId="9" fontId="106" fillId="0" borderId="0" xfId="14" applyFont="1" applyFill="1" applyBorder="1" applyAlignment="1">
      <alignment horizontal="right" vertical="center"/>
    </xf>
    <xf numFmtId="9" fontId="106" fillId="0" borderId="40" xfId="14" applyFont="1" applyFill="1" applyBorder="1" applyAlignment="1">
      <alignment horizontal="right" vertical="center"/>
    </xf>
    <xf numFmtId="9" fontId="106" fillId="0" borderId="35" xfId="14" applyFont="1" applyFill="1" applyBorder="1" applyAlignment="1">
      <alignment horizontal="right" vertical="center"/>
    </xf>
    <xf numFmtId="9" fontId="112" fillId="0" borderId="40" xfId="14" applyFont="1" applyFill="1" applyBorder="1" applyAlignment="1">
      <alignment horizontal="right" vertical="center"/>
    </xf>
    <xf numFmtId="9" fontId="112" fillId="0" borderId="35" xfId="14" applyFont="1" applyFill="1" applyBorder="1" applyAlignment="1">
      <alignment horizontal="right" vertical="center"/>
    </xf>
    <xf numFmtId="9" fontId="106" fillId="0" borderId="0" xfId="13" applyNumberFormat="1" applyFont="1" applyAlignment="1">
      <alignment horizontal="right" wrapText="1"/>
    </xf>
    <xf numFmtId="194" fontId="55" fillId="0" borderId="0" xfId="13" applyNumberFormat="1" applyFont="1" applyAlignment="1">
      <alignment horizontal="right" vertical="center"/>
    </xf>
    <xf numFmtId="194" fontId="106" fillId="0" borderId="0" xfId="13" applyNumberFormat="1" applyFont="1" applyAlignment="1">
      <alignment horizontal="right" vertical="center"/>
    </xf>
    <xf numFmtId="194" fontId="106" fillId="0" borderId="40" xfId="13" applyNumberFormat="1" applyFont="1" applyBorder="1" applyAlignment="1">
      <alignment horizontal="right" vertical="center"/>
    </xf>
    <xf numFmtId="194" fontId="55" fillId="0" borderId="35" xfId="13" applyNumberFormat="1" applyFont="1" applyBorder="1" applyAlignment="1">
      <alignment horizontal="right" vertical="center"/>
    </xf>
    <xf numFmtId="194" fontId="55" fillId="0" borderId="40" xfId="13" applyNumberFormat="1" applyFont="1" applyBorder="1" applyAlignment="1">
      <alignment horizontal="right" vertical="center"/>
    </xf>
    <xf numFmtId="207" fontId="146" fillId="0" borderId="0" xfId="13" applyFont="1" applyAlignment="1">
      <alignment horizontal="left" vertical="center" wrapText="1"/>
    </xf>
    <xf numFmtId="208" fontId="89" fillId="16" borderId="0" xfId="12" applyNumberFormat="1" applyFont="1" applyFill="1" applyBorder="1" applyAlignment="1">
      <alignment horizontal="right" vertical="center"/>
    </xf>
    <xf numFmtId="192" fontId="89" fillId="0" borderId="0" xfId="12" applyNumberFormat="1" applyFont="1" applyFill="1" applyBorder="1" applyAlignment="1">
      <alignment horizontal="right" vertical="center" wrapText="1"/>
    </xf>
    <xf numFmtId="208" fontId="103" fillId="0" borderId="0" xfId="12" applyNumberFormat="1" applyFont="1" applyFill="1" applyBorder="1" applyAlignment="1">
      <alignment horizontal="right" vertical="center" wrapText="1"/>
    </xf>
    <xf numFmtId="208" fontId="103" fillId="16" borderId="0" xfId="12" applyNumberFormat="1" applyFont="1" applyFill="1" applyBorder="1" applyAlignment="1">
      <alignment horizontal="right" vertical="center" wrapText="1"/>
    </xf>
    <xf numFmtId="9" fontId="55" fillId="16" borderId="0" xfId="14" applyFont="1" applyFill="1" applyBorder="1" applyAlignment="1">
      <alignment horizontal="right" vertical="center"/>
    </xf>
    <xf numFmtId="9" fontId="106" fillId="16" borderId="0" xfId="14" applyFont="1" applyFill="1" applyBorder="1" applyAlignment="1">
      <alignment horizontal="right" vertical="center"/>
    </xf>
    <xf numFmtId="9" fontId="112" fillId="16" borderId="0" xfId="14" applyFont="1" applyFill="1" applyBorder="1" applyAlignment="1">
      <alignment horizontal="right" vertical="center"/>
    </xf>
    <xf numFmtId="9" fontId="112" fillId="0" borderId="0" xfId="14" applyFont="1" applyFill="1" applyBorder="1" applyAlignment="1">
      <alignment horizontal="right" vertical="center"/>
    </xf>
    <xf numFmtId="9" fontId="55" fillId="0" borderId="40" xfId="14" applyFont="1" applyFill="1" applyBorder="1" applyAlignment="1">
      <alignment horizontal="right" vertical="center"/>
    </xf>
    <xf numFmtId="207" fontId="128" fillId="0" borderId="0" xfId="13" applyFont="1" applyAlignment="1">
      <alignment horizontal="left" vertical="top" wrapText="1"/>
    </xf>
    <xf numFmtId="192" fontId="89" fillId="0" borderId="0" xfId="12" applyNumberFormat="1" applyFont="1" applyFill="1" applyBorder="1" applyAlignment="1">
      <alignment horizontal="right" vertical="center"/>
    </xf>
    <xf numFmtId="192" fontId="89" fillId="16" borderId="0" xfId="12" applyNumberFormat="1" applyFont="1" applyFill="1" applyBorder="1" applyAlignment="1">
      <alignment horizontal="right" vertical="center"/>
    </xf>
    <xf numFmtId="207" fontId="97" fillId="17" borderId="39" xfId="13" quotePrefix="1" applyFont="1" applyFill="1" applyBorder="1" applyAlignment="1">
      <alignment horizontal="left" indent="2"/>
    </xf>
    <xf numFmtId="9" fontId="147" fillId="5" borderId="0" xfId="14" applyFont="1" applyFill="1" applyBorder="1" applyAlignment="1">
      <alignment horizontal="right" vertical="center"/>
    </xf>
    <xf numFmtId="206" fontId="104" fillId="16" borderId="0" xfId="12" applyFont="1" applyFill="1" applyBorder="1" applyAlignment="1">
      <alignment horizontal="right" vertical="center"/>
    </xf>
    <xf numFmtId="206" fontId="104" fillId="0" borderId="0" xfId="12" applyFont="1" applyFill="1" applyBorder="1" applyAlignment="1">
      <alignment horizontal="right" vertical="center"/>
    </xf>
    <xf numFmtId="215" fontId="104" fillId="0" borderId="0" xfId="13" applyNumberFormat="1" applyFont="1" applyAlignment="1">
      <alignment horizontal="right" vertical="center"/>
    </xf>
    <xf numFmtId="215" fontId="104" fillId="0" borderId="35" xfId="13" applyNumberFormat="1" applyFont="1" applyBorder="1" applyAlignment="1">
      <alignment horizontal="right" vertical="center"/>
    </xf>
    <xf numFmtId="215" fontId="104" fillId="0" borderId="40" xfId="13" applyNumberFormat="1" applyFont="1" applyBorder="1" applyAlignment="1">
      <alignment horizontal="right" vertical="center"/>
    </xf>
    <xf numFmtId="207" fontId="148" fillId="0" borderId="0" xfId="13" applyFont="1">
      <alignment vertical="center"/>
    </xf>
    <xf numFmtId="207" fontId="55" fillId="0" borderId="0" xfId="13" applyFont="1" applyAlignment="1">
      <alignment horizontal="left" vertical="top" wrapText="1" indent="1"/>
    </xf>
    <xf numFmtId="9" fontId="116" fillId="5" borderId="0" xfId="14" applyFont="1" applyFill="1" applyBorder="1" applyAlignment="1">
      <alignment horizontal="right" vertical="center"/>
    </xf>
    <xf numFmtId="9" fontId="55" fillId="0" borderId="35" xfId="14" applyFont="1" applyFill="1" applyBorder="1" applyAlignment="1">
      <alignment horizontal="right" vertical="center"/>
    </xf>
    <xf numFmtId="194" fontId="116" fillId="16" borderId="0" xfId="13" applyNumberFormat="1" applyFont="1" applyFill="1" applyAlignment="1">
      <alignment horizontal="right" vertical="center"/>
    </xf>
    <xf numFmtId="9" fontId="116" fillId="16" borderId="0" xfId="14" quotePrefix="1" applyFont="1" applyFill="1" applyBorder="1" applyAlignment="1">
      <alignment horizontal="right" vertical="center"/>
    </xf>
    <xf numFmtId="9" fontId="116" fillId="16" borderId="0" xfId="14" applyFont="1" applyFill="1" applyBorder="1" applyAlignment="1">
      <alignment horizontal="right" wrapText="1"/>
    </xf>
    <xf numFmtId="194" fontId="116" fillId="5" borderId="0" xfId="13" applyNumberFormat="1" applyFont="1" applyFill="1" applyAlignment="1">
      <alignment horizontal="right" vertical="center"/>
    </xf>
    <xf numFmtId="208" fontId="116" fillId="16" borderId="0" xfId="12" applyNumberFormat="1" applyFont="1" applyFill="1" applyBorder="1" applyAlignment="1">
      <alignment horizontal="right" vertical="center"/>
    </xf>
    <xf numFmtId="208" fontId="116" fillId="16" borderId="0" xfId="12" quotePrefix="1" applyNumberFormat="1" applyFont="1" applyFill="1" applyBorder="1" applyAlignment="1">
      <alignment horizontal="right" vertical="center"/>
    </xf>
    <xf numFmtId="208" fontId="116" fillId="16" borderId="0" xfId="12" applyNumberFormat="1" applyFont="1" applyFill="1" applyBorder="1" applyAlignment="1">
      <alignment horizontal="right" wrapText="1"/>
    </xf>
    <xf numFmtId="208" fontId="116" fillId="0" borderId="0" xfId="12" applyNumberFormat="1" applyFont="1" applyFill="1" applyBorder="1" applyAlignment="1">
      <alignment horizontal="right" wrapText="1"/>
    </xf>
    <xf numFmtId="216" fontId="116" fillId="0" borderId="40" xfId="12" applyNumberFormat="1" applyFont="1" applyFill="1" applyBorder="1" applyAlignment="1">
      <alignment horizontal="right" vertical="center"/>
    </xf>
    <xf numFmtId="207" fontId="55" fillId="0" borderId="24" xfId="13" applyFont="1" applyBorder="1" applyAlignment="1">
      <alignment horizontal="left" vertical="top" wrapText="1"/>
    </xf>
    <xf numFmtId="208" fontId="55" fillId="16" borderId="24" xfId="12" applyNumberFormat="1" applyFont="1" applyFill="1" applyBorder="1" applyAlignment="1">
      <alignment horizontal="right" wrapText="1"/>
    </xf>
    <xf numFmtId="208" fontId="55" fillId="0" borderId="24" xfId="12" applyNumberFormat="1" applyFont="1" applyFill="1" applyBorder="1" applyAlignment="1">
      <alignment horizontal="right" wrapText="1"/>
    </xf>
    <xf numFmtId="207" fontId="55" fillId="0" borderId="43" xfId="13" applyFont="1" applyBorder="1" applyAlignment="1">
      <alignment horizontal="right" vertical="center"/>
    </xf>
    <xf numFmtId="208" fontId="55" fillId="0" borderId="44" xfId="12" applyNumberFormat="1" applyFont="1" applyFill="1" applyBorder="1" applyAlignment="1">
      <alignment horizontal="right" vertical="center"/>
    </xf>
    <xf numFmtId="208" fontId="55" fillId="0" borderId="43" xfId="12" applyNumberFormat="1" applyFont="1" applyFill="1" applyBorder="1" applyAlignment="1">
      <alignment horizontal="right" vertical="center"/>
    </xf>
    <xf numFmtId="194" fontId="55" fillId="0" borderId="24" xfId="13" applyNumberFormat="1" applyFont="1" applyBorder="1" applyAlignment="1">
      <alignment horizontal="right" vertical="center"/>
    </xf>
    <xf numFmtId="194" fontId="55" fillId="0" borderId="43" xfId="13" applyNumberFormat="1" applyFont="1" applyBorder="1" applyAlignment="1">
      <alignment horizontal="right" vertical="center"/>
    </xf>
    <xf numFmtId="194" fontId="55" fillId="0" borderId="44" xfId="13" applyNumberFormat="1" applyFont="1" applyBorder="1" applyAlignment="1">
      <alignment horizontal="right" vertical="center"/>
    </xf>
    <xf numFmtId="208" fontId="89" fillId="16" borderId="0" xfId="12" applyNumberFormat="1" applyFont="1" applyFill="1" applyAlignment="1">
      <alignment horizontal="right" vertical="center"/>
    </xf>
    <xf numFmtId="208" fontId="89" fillId="16" borderId="0" xfId="12" quotePrefix="1" applyNumberFormat="1" applyFont="1" applyFill="1" applyAlignment="1">
      <alignment horizontal="right" vertical="center"/>
    </xf>
    <xf numFmtId="194" fontId="89" fillId="0" borderId="24" xfId="13" applyNumberFormat="1" applyFont="1" applyBorder="1" applyAlignment="1">
      <alignment horizontal="right" vertical="center"/>
    </xf>
    <xf numFmtId="194" fontId="89" fillId="0" borderId="44" xfId="13" applyNumberFormat="1" applyFont="1" applyBorder="1" applyAlignment="1">
      <alignment horizontal="right" vertical="center"/>
    </xf>
    <xf numFmtId="194" fontId="89" fillId="0" borderId="43" xfId="13" applyNumberFormat="1" applyFont="1" applyBorder="1" applyAlignment="1">
      <alignment horizontal="right" vertical="center"/>
    </xf>
    <xf numFmtId="207" fontId="99" fillId="17" borderId="39" xfId="13" quotePrefix="1" applyFont="1" applyFill="1" applyBorder="1" applyAlignment="1">
      <alignment horizontal="left" indent="1"/>
    </xf>
    <xf numFmtId="207" fontId="128" fillId="0" borderId="19" xfId="13" applyFont="1" applyBorder="1" applyAlignment="1">
      <alignment horizontal="left" vertical="top"/>
    </xf>
    <xf numFmtId="194" fontId="102" fillId="16" borderId="19" xfId="13" applyNumberFormat="1" applyFont="1" applyFill="1" applyBorder="1" applyAlignment="1">
      <alignment horizontal="right" vertical="center"/>
    </xf>
    <xf numFmtId="194" fontId="102" fillId="5" borderId="19" xfId="13" applyNumberFormat="1" applyFont="1" applyFill="1" applyBorder="1" applyAlignment="1">
      <alignment horizontal="right" vertical="center"/>
    </xf>
    <xf numFmtId="194" fontId="102" fillId="0" borderId="19" xfId="13" applyNumberFormat="1" applyFont="1" applyBorder="1" applyAlignment="1">
      <alignment horizontal="right" vertical="center"/>
    </xf>
    <xf numFmtId="207" fontId="103" fillId="0" borderId="41" xfId="13" applyFont="1" applyBorder="1" applyAlignment="1">
      <alignment horizontal="right" vertical="center"/>
    </xf>
    <xf numFmtId="207" fontId="103" fillId="0" borderId="19" xfId="13" applyFont="1" applyBorder="1" applyAlignment="1">
      <alignment horizontal="right" vertical="center"/>
    </xf>
    <xf numFmtId="208" fontId="103" fillId="0" borderId="42" xfId="12" applyNumberFormat="1" applyFont="1" applyFill="1" applyBorder="1" applyAlignment="1">
      <alignment horizontal="right" vertical="center"/>
    </xf>
    <xf numFmtId="208" fontId="103" fillId="0" borderId="41" xfId="12" applyNumberFormat="1" applyFont="1" applyFill="1" applyBorder="1" applyAlignment="1">
      <alignment horizontal="right" vertical="center"/>
    </xf>
    <xf numFmtId="194" fontId="103" fillId="0" borderId="19" xfId="13" applyNumberFormat="1" applyFont="1" applyBorder="1" applyAlignment="1">
      <alignment horizontal="right" vertical="center"/>
    </xf>
    <xf numFmtId="194" fontId="103" fillId="0" borderId="41" xfId="13" applyNumberFormat="1" applyFont="1" applyBorder="1" applyAlignment="1">
      <alignment horizontal="right" vertical="center"/>
    </xf>
    <xf numFmtId="194" fontId="103" fillId="0" borderId="0" xfId="13" applyNumberFormat="1" applyFont="1" applyAlignment="1">
      <alignment horizontal="right" vertical="center"/>
    </xf>
    <xf numFmtId="194" fontId="103" fillId="0" borderId="35" xfId="13" applyNumberFormat="1" applyFont="1" applyBorder="1" applyAlignment="1">
      <alignment horizontal="right" vertical="center"/>
    </xf>
    <xf numFmtId="194" fontId="103" fillId="0" borderId="40" xfId="13" applyNumberFormat="1" applyFont="1" applyBorder="1" applyAlignment="1">
      <alignment horizontal="right" vertical="center"/>
    </xf>
    <xf numFmtId="207" fontId="110" fillId="0" borderId="0" xfId="13" applyFont="1" applyAlignment="1">
      <alignment horizontal="left" vertical="center" wrapText="1"/>
    </xf>
    <xf numFmtId="194" fontId="102" fillId="16" borderId="0" xfId="13" applyNumberFormat="1" applyFont="1" applyFill="1" applyAlignment="1">
      <alignment horizontal="right" vertical="center"/>
    </xf>
    <xf numFmtId="194" fontId="102" fillId="5" borderId="0" xfId="13" applyNumberFormat="1" applyFont="1" applyFill="1" applyAlignment="1">
      <alignment horizontal="right" vertical="center"/>
    </xf>
    <xf numFmtId="194" fontId="102" fillId="0" borderId="0" xfId="13" applyNumberFormat="1" applyFont="1" applyAlignment="1">
      <alignment horizontal="right" vertical="center"/>
    </xf>
    <xf numFmtId="207" fontId="92" fillId="17" borderId="39" xfId="13" applyFont="1" applyFill="1" applyBorder="1" applyAlignment="1">
      <alignment horizontal="center" vertical="center"/>
    </xf>
    <xf numFmtId="207" fontId="86" fillId="0" borderId="0" xfId="13" applyFont="1" applyAlignment="1">
      <alignment horizontal="left" vertical="center" wrapText="1"/>
    </xf>
    <xf numFmtId="207" fontId="129" fillId="0" borderId="0" xfId="13" applyFont="1" applyAlignment="1">
      <alignment horizontal="left" vertical="top" wrapText="1" indent="1"/>
    </xf>
    <xf numFmtId="9" fontId="129" fillId="5" borderId="0" xfId="14" applyFont="1" applyFill="1" applyBorder="1" applyAlignment="1">
      <alignment horizontal="right" vertical="center"/>
    </xf>
    <xf numFmtId="210" fontId="89" fillId="16" borderId="0" xfId="12" applyNumberFormat="1" applyFont="1" applyFill="1" applyBorder="1" applyAlignment="1">
      <alignment horizontal="right" vertical="center"/>
    </xf>
    <xf numFmtId="178" fontId="89" fillId="0" borderId="40" xfId="13" applyNumberFormat="1" applyFont="1" applyBorder="1" applyAlignment="1">
      <alignment horizontal="right" vertical="center"/>
    </xf>
    <xf numFmtId="178" fontId="89" fillId="0" borderId="0" xfId="13" applyNumberFormat="1" applyFont="1" applyAlignment="1">
      <alignment horizontal="right" vertical="center"/>
    </xf>
    <xf numFmtId="178" fontId="89" fillId="0" borderId="35" xfId="12" applyNumberFormat="1" applyFont="1" applyFill="1" applyBorder="1" applyAlignment="1">
      <alignment horizontal="right" vertical="center"/>
    </xf>
    <xf numFmtId="178" fontId="89" fillId="0" borderId="40" xfId="12" applyNumberFormat="1" applyFont="1" applyFill="1" applyBorder="1" applyAlignment="1">
      <alignment horizontal="right" vertical="center"/>
    </xf>
    <xf numFmtId="178" fontId="89" fillId="0" borderId="35" xfId="13" applyNumberFormat="1" applyFont="1" applyBorder="1" applyAlignment="1">
      <alignment horizontal="right" vertical="center"/>
    </xf>
    <xf numFmtId="207" fontId="116" fillId="0" borderId="0" xfId="13" applyFont="1" applyAlignment="1">
      <alignment horizontal="left" vertical="top" wrapText="1" indent="2"/>
    </xf>
    <xf numFmtId="210" fontId="55" fillId="16" borderId="0" xfId="12" applyNumberFormat="1" applyFont="1" applyFill="1" applyBorder="1" applyAlignment="1">
      <alignment horizontal="right" vertical="center"/>
    </xf>
    <xf numFmtId="208" fontId="55" fillId="16" borderId="0" xfId="12" applyNumberFormat="1" applyFont="1" applyFill="1" applyBorder="1" applyAlignment="1">
      <alignment horizontal="right" vertical="center"/>
    </xf>
    <xf numFmtId="208" fontId="55" fillId="16" borderId="0" xfId="12" applyNumberFormat="1" applyFont="1" applyFill="1" applyBorder="1" applyAlignment="1">
      <alignment horizontal="right" wrapText="1"/>
    </xf>
    <xf numFmtId="208" fontId="55" fillId="0" borderId="0" xfId="12" applyNumberFormat="1" applyFont="1" applyFill="1" applyBorder="1" applyAlignment="1">
      <alignment horizontal="right" wrapText="1"/>
    </xf>
    <xf numFmtId="178" fontId="55" fillId="0" borderId="40" xfId="13" applyNumberFormat="1" applyFont="1" applyBorder="1" applyAlignment="1">
      <alignment horizontal="right" vertical="center"/>
    </xf>
    <xf numFmtId="178" fontId="55" fillId="0" borderId="0" xfId="13" applyNumberFormat="1" applyFont="1" applyAlignment="1">
      <alignment horizontal="right" vertical="center"/>
    </xf>
    <xf numFmtId="178" fontId="55" fillId="0" borderId="35" xfId="12" applyNumberFormat="1" applyFont="1" applyFill="1" applyBorder="1" applyAlignment="1">
      <alignment horizontal="right" vertical="center"/>
    </xf>
    <xf numFmtId="178" fontId="55" fillId="0" borderId="40" xfId="12" applyNumberFormat="1" applyFont="1" applyFill="1" applyBorder="1" applyAlignment="1">
      <alignment horizontal="right" vertical="center"/>
    </xf>
    <xf numFmtId="178" fontId="55" fillId="0" borderId="35" xfId="13" applyNumberFormat="1" applyFont="1" applyBorder="1" applyAlignment="1">
      <alignment horizontal="right" vertical="center"/>
    </xf>
    <xf numFmtId="207" fontId="116" fillId="0" borderId="0" xfId="13" applyFont="1" applyAlignment="1">
      <alignment horizontal="left" vertical="top" wrapText="1" indent="1"/>
    </xf>
    <xf numFmtId="178" fontId="55" fillId="0" borderId="0" xfId="14" applyNumberFormat="1" applyFont="1" applyFill="1" applyBorder="1" applyAlignment="1">
      <alignment horizontal="right" vertical="center"/>
    </xf>
    <xf numFmtId="178" fontId="55" fillId="0" borderId="40" xfId="14" applyNumberFormat="1" applyFont="1" applyFill="1" applyBorder="1" applyAlignment="1">
      <alignment horizontal="right" vertical="center"/>
    </xf>
    <xf numFmtId="178" fontId="55" fillId="0" borderId="35" xfId="14" applyNumberFormat="1" applyFont="1" applyFill="1" applyBorder="1" applyAlignment="1">
      <alignment horizontal="right" vertical="center"/>
    </xf>
    <xf numFmtId="178" fontId="55" fillId="0" borderId="0" xfId="12" applyNumberFormat="1" applyFont="1" applyFill="1" applyBorder="1" applyAlignment="1">
      <alignment horizontal="right" vertical="center"/>
    </xf>
    <xf numFmtId="207" fontId="86" fillId="0" borderId="0" xfId="13" applyFont="1" applyAlignment="1">
      <alignment horizontal="left" vertical="center" wrapText="1" indent="1"/>
    </xf>
    <xf numFmtId="207" fontId="108" fillId="0" borderId="0" xfId="13" applyFont="1" applyAlignment="1">
      <alignment horizontal="left" vertical="center" wrapText="1" indent="1"/>
    </xf>
    <xf numFmtId="9" fontId="102" fillId="0" borderId="0" xfId="14" applyFont="1" applyFill="1" applyBorder="1" applyAlignment="1">
      <alignment horizontal="right" vertical="center"/>
    </xf>
    <xf numFmtId="178" fontId="103" fillId="0" borderId="40" xfId="13" applyNumberFormat="1" applyFont="1" applyBorder="1" applyAlignment="1">
      <alignment horizontal="right" vertical="center"/>
    </xf>
    <xf numFmtId="178" fontId="103" fillId="0" borderId="0" xfId="13" applyNumberFormat="1" applyFont="1" applyAlignment="1">
      <alignment horizontal="right" vertical="center"/>
    </xf>
    <xf numFmtId="178" fontId="103" fillId="0" borderId="35" xfId="12" applyNumberFormat="1" applyFont="1" applyFill="1" applyBorder="1" applyAlignment="1">
      <alignment horizontal="right" vertical="center"/>
    </xf>
    <xf numFmtId="178" fontId="103" fillId="0" borderId="40" xfId="12" applyNumberFormat="1" applyFont="1" applyFill="1" applyBorder="1" applyAlignment="1">
      <alignment horizontal="right" vertical="center"/>
    </xf>
    <xf numFmtId="178" fontId="103" fillId="0" borderId="0" xfId="14" applyNumberFormat="1" applyFont="1" applyFill="1" applyBorder="1" applyAlignment="1">
      <alignment horizontal="right" vertical="center"/>
    </xf>
    <xf numFmtId="178" fontId="103" fillId="0" borderId="40" xfId="14" applyNumberFormat="1" applyFont="1" applyFill="1" applyBorder="1" applyAlignment="1">
      <alignment horizontal="right" vertical="center"/>
    </xf>
    <xf numFmtId="178" fontId="103" fillId="0" borderId="35" xfId="14" applyNumberFormat="1" applyFont="1" applyFill="1" applyBorder="1" applyAlignment="1">
      <alignment horizontal="right" vertical="center"/>
    </xf>
    <xf numFmtId="207" fontId="116" fillId="0" borderId="0" xfId="13" applyFont="1" applyAlignment="1">
      <alignment horizontal="left" vertical="top" indent="1"/>
    </xf>
    <xf numFmtId="3" fontId="105" fillId="0" borderId="0" xfId="13" applyNumberFormat="1" applyFont="1" applyAlignment="1">
      <alignment horizontal="right" vertical="center"/>
    </xf>
    <xf numFmtId="207" fontId="116" fillId="0" borderId="0" xfId="13" applyFont="1" applyAlignment="1">
      <alignment horizontal="left" vertical="top" indent="2"/>
    </xf>
    <xf numFmtId="210" fontId="129" fillId="5" borderId="0" xfId="12" applyNumberFormat="1" applyFont="1" applyFill="1" applyBorder="1" applyAlignment="1">
      <alignment horizontal="right" vertical="center"/>
    </xf>
    <xf numFmtId="210" fontId="89" fillId="0" borderId="0" xfId="12" applyNumberFormat="1" applyFont="1" applyFill="1" applyBorder="1" applyAlignment="1">
      <alignment horizontal="right" vertical="center"/>
    </xf>
    <xf numFmtId="4" fontId="89" fillId="0" borderId="0" xfId="13" applyNumberFormat="1" applyFont="1" applyAlignment="1">
      <alignment horizontal="right" vertical="center"/>
    </xf>
    <xf numFmtId="217" fontId="89" fillId="0" borderId="35" xfId="12" applyNumberFormat="1" applyFont="1" applyFill="1" applyBorder="1" applyAlignment="1">
      <alignment horizontal="right" vertical="center"/>
    </xf>
    <xf numFmtId="207" fontId="79" fillId="0" borderId="24" xfId="13" applyFont="1" applyBorder="1" applyAlignment="1">
      <alignment horizontal="left" vertical="center" wrapText="1" indent="1"/>
    </xf>
    <xf numFmtId="207" fontId="102" fillId="16" borderId="24" xfId="13" applyFont="1" applyFill="1" applyBorder="1" applyAlignment="1">
      <alignment horizontal="right" vertical="center"/>
    </xf>
    <xf numFmtId="207" fontId="102" fillId="0" borderId="24" xfId="13" applyFont="1" applyBorder="1" applyAlignment="1">
      <alignment horizontal="right" vertical="center"/>
    </xf>
    <xf numFmtId="208" fontId="102" fillId="0" borderId="24" xfId="12" applyNumberFormat="1" applyFont="1" applyFill="1" applyBorder="1" applyAlignment="1">
      <alignment horizontal="right" vertical="center"/>
    </xf>
    <xf numFmtId="194" fontId="102" fillId="16" borderId="24" xfId="13" applyNumberFormat="1" applyFont="1" applyFill="1" applyBorder="1" applyAlignment="1">
      <alignment horizontal="right" vertical="center"/>
    </xf>
    <xf numFmtId="194" fontId="102" fillId="5" borderId="24" xfId="13" applyNumberFormat="1" applyFont="1" applyFill="1" applyBorder="1" applyAlignment="1">
      <alignment horizontal="right" vertical="center"/>
    </xf>
    <xf numFmtId="9" fontId="55" fillId="16" borderId="24" xfId="14" applyFont="1" applyFill="1" applyBorder="1" applyAlignment="1">
      <alignment horizontal="right" vertical="center"/>
    </xf>
    <xf numFmtId="9" fontId="55" fillId="0" borderId="24" xfId="14" applyFont="1" applyFill="1" applyBorder="1" applyAlignment="1">
      <alignment horizontal="right" vertical="center"/>
    </xf>
    <xf numFmtId="194" fontId="102" fillId="0" borderId="24" xfId="13" applyNumberFormat="1" applyFont="1" applyBorder="1" applyAlignment="1">
      <alignment horizontal="right" vertical="center"/>
    </xf>
    <xf numFmtId="207" fontId="103" fillId="0" borderId="43" xfId="13" applyFont="1" applyBorder="1" applyAlignment="1">
      <alignment horizontal="right" vertical="center"/>
    </xf>
    <xf numFmtId="207" fontId="103" fillId="0" borderId="24" xfId="13" applyFont="1" applyBorder="1" applyAlignment="1">
      <alignment horizontal="right" vertical="center"/>
    </xf>
    <xf numFmtId="208" fontId="103" fillId="0" borderId="44" xfId="12" applyNumberFormat="1" applyFont="1" applyFill="1" applyBorder="1" applyAlignment="1">
      <alignment horizontal="right" vertical="center"/>
    </xf>
    <xf numFmtId="208" fontId="103" fillId="0" borderId="43" xfId="12" applyNumberFormat="1" applyFont="1" applyFill="1" applyBorder="1" applyAlignment="1">
      <alignment horizontal="right" vertical="center"/>
    </xf>
    <xf numFmtId="194" fontId="103" fillId="0" borderId="24" xfId="13" applyNumberFormat="1" applyFont="1" applyBorder="1" applyAlignment="1">
      <alignment horizontal="right" vertical="center"/>
    </xf>
    <xf numFmtId="9" fontId="103" fillId="0" borderId="43" xfId="14" applyFont="1" applyFill="1" applyBorder="1" applyAlignment="1">
      <alignment horizontal="right" vertical="center"/>
    </xf>
    <xf numFmtId="194" fontId="103" fillId="0" borderId="44" xfId="13" applyNumberFormat="1" applyFont="1" applyBorder="1" applyAlignment="1">
      <alignment horizontal="right" vertical="center"/>
    </xf>
    <xf numFmtId="194" fontId="103" fillId="0" borderId="43" xfId="13" applyNumberFormat="1" applyFont="1" applyBorder="1" applyAlignment="1">
      <alignment horizontal="right" vertical="center"/>
    </xf>
    <xf numFmtId="194" fontId="103" fillId="16" borderId="0" xfId="13" applyNumberFormat="1" applyFont="1" applyFill="1" applyAlignment="1">
      <alignment horizontal="right" vertical="center"/>
    </xf>
    <xf numFmtId="194" fontId="103" fillId="5" borderId="0" xfId="13" applyNumberFormat="1" applyFont="1" applyFill="1" applyAlignment="1">
      <alignment horizontal="right" vertical="center"/>
    </xf>
    <xf numFmtId="9" fontId="103" fillId="0" borderId="41" xfId="14" applyFont="1" applyFill="1" applyBorder="1" applyAlignment="1">
      <alignment horizontal="right" vertical="center"/>
    </xf>
    <xf numFmtId="207" fontId="86" fillId="16" borderId="0" xfId="13" applyFont="1" applyFill="1" applyAlignment="1">
      <alignment horizontal="right" vertical="center"/>
    </xf>
    <xf numFmtId="207" fontId="86" fillId="0" borderId="0" xfId="13" applyFont="1" applyAlignment="1">
      <alignment horizontal="right" vertical="center"/>
    </xf>
    <xf numFmtId="194" fontId="86" fillId="16" borderId="0" xfId="13" applyNumberFormat="1" applyFont="1" applyFill="1" applyAlignment="1">
      <alignment horizontal="right" vertical="center"/>
    </xf>
    <xf numFmtId="194" fontId="86" fillId="5" borderId="0" xfId="13" applyNumberFormat="1" applyFont="1" applyFill="1" applyAlignment="1">
      <alignment horizontal="right" vertical="center"/>
    </xf>
    <xf numFmtId="9" fontId="105" fillId="16" borderId="0" xfId="14" applyFont="1" applyFill="1" applyBorder="1" applyAlignment="1">
      <alignment horizontal="right" vertical="center"/>
    </xf>
    <xf numFmtId="194" fontId="86" fillId="0" borderId="0" xfId="13" applyNumberFormat="1" applyFont="1" applyAlignment="1">
      <alignment horizontal="right" vertical="center"/>
    </xf>
    <xf numFmtId="194" fontId="105" fillId="16" borderId="0" xfId="13" applyNumberFormat="1" applyFont="1" applyFill="1" applyAlignment="1">
      <alignment horizontal="right" vertical="center"/>
    </xf>
    <xf numFmtId="207" fontId="86" fillId="0" borderId="40" xfId="13" applyFont="1" applyBorder="1" applyAlignment="1">
      <alignment horizontal="right" vertical="center"/>
    </xf>
    <xf numFmtId="208" fontId="86" fillId="0" borderId="35" xfId="12" applyNumberFormat="1" applyFont="1" applyFill="1" applyBorder="1" applyAlignment="1">
      <alignment horizontal="right" vertical="center"/>
    </xf>
    <xf numFmtId="208" fontId="105" fillId="0" borderId="40" xfId="12" applyNumberFormat="1" applyFont="1" applyFill="1" applyBorder="1" applyAlignment="1">
      <alignment horizontal="right" vertical="center"/>
    </xf>
    <xf numFmtId="194" fontId="105" fillId="0" borderId="0" xfId="13" applyNumberFormat="1" applyFont="1" applyAlignment="1">
      <alignment horizontal="right" vertical="center"/>
    </xf>
    <xf numFmtId="194" fontId="105" fillId="0" borderId="40" xfId="13" applyNumberFormat="1" applyFont="1" applyBorder="1" applyAlignment="1">
      <alignment horizontal="right" vertical="center"/>
    </xf>
    <xf numFmtId="194" fontId="86" fillId="0" borderId="35" xfId="13" applyNumberFormat="1" applyFont="1" applyBorder="1" applyAlignment="1">
      <alignment horizontal="right" vertical="center"/>
    </xf>
    <xf numFmtId="194" fontId="86" fillId="0" borderId="40" xfId="13" applyNumberFormat="1" applyFont="1" applyBorder="1" applyAlignment="1">
      <alignment horizontal="right" vertical="center"/>
    </xf>
    <xf numFmtId="207" fontId="150" fillId="17" borderId="39" xfId="13" applyFont="1" applyFill="1" applyBorder="1" applyAlignment="1">
      <alignment horizontal="center" vertical="center"/>
    </xf>
    <xf numFmtId="9" fontId="103" fillId="16" borderId="0" xfId="14" applyFont="1" applyFill="1" applyBorder="1" applyAlignment="1">
      <alignment horizontal="right" vertical="center"/>
    </xf>
    <xf numFmtId="9" fontId="103" fillId="0" borderId="0" xfId="14" applyFont="1" applyFill="1" applyBorder="1" applyAlignment="1">
      <alignment horizontal="right" vertical="center"/>
    </xf>
    <xf numFmtId="207" fontId="77" fillId="17" borderId="39" xfId="13" applyFont="1" applyFill="1" applyBorder="1" applyAlignment="1">
      <alignment horizontal="left" vertical="center"/>
    </xf>
    <xf numFmtId="207" fontId="79" fillId="5" borderId="0" xfId="13" applyFont="1" applyFill="1" applyAlignment="1">
      <alignment horizontal="left"/>
    </xf>
    <xf numFmtId="10" fontId="79" fillId="16" borderId="0" xfId="13" applyNumberFormat="1" applyFont="1" applyFill="1" applyAlignment="1">
      <alignment horizontal="right"/>
    </xf>
    <xf numFmtId="218" fontId="79" fillId="16" borderId="0" xfId="13" applyNumberFormat="1" applyFont="1" applyFill="1" applyAlignment="1">
      <alignment horizontal="right" wrapText="1"/>
    </xf>
    <xf numFmtId="10" fontId="79" fillId="16" borderId="0" xfId="13" applyNumberFormat="1" applyFont="1" applyFill="1" applyAlignment="1">
      <alignment horizontal="right" wrapText="1"/>
    </xf>
    <xf numFmtId="10" fontId="79" fillId="0" borderId="0" xfId="13" applyNumberFormat="1" applyFont="1" applyAlignment="1">
      <alignment horizontal="right" wrapText="1"/>
    </xf>
    <xf numFmtId="10" fontId="79" fillId="0" borderId="0" xfId="13" applyNumberFormat="1" applyFont="1" applyAlignment="1">
      <alignment horizontal="right"/>
    </xf>
    <xf numFmtId="9" fontId="79" fillId="0" borderId="0" xfId="13" applyNumberFormat="1" applyFont="1" applyAlignment="1">
      <alignment horizontal="right"/>
    </xf>
    <xf numFmtId="208" fontId="79" fillId="0" borderId="40" xfId="12" applyNumberFormat="1" applyFont="1" applyFill="1" applyBorder="1" applyAlignment="1">
      <alignment horizontal="right" vertical="center"/>
    </xf>
    <xf numFmtId="207" fontId="79" fillId="5" borderId="0" xfId="13" applyFont="1" applyFill="1" applyAlignment="1">
      <alignment horizontal="left" wrapText="1" indent="1"/>
    </xf>
    <xf numFmtId="208" fontId="79" fillId="0" borderId="0" xfId="12" applyNumberFormat="1" applyFont="1" applyFill="1" applyAlignment="1">
      <alignment horizontal="right" wrapText="1"/>
    </xf>
    <xf numFmtId="212" fontId="79" fillId="0" borderId="35" xfId="13" applyNumberFormat="1" applyFont="1" applyBorder="1" applyAlignment="1">
      <alignment horizontal="right" vertical="center"/>
    </xf>
    <xf numFmtId="212" fontId="79" fillId="0" borderId="40" xfId="13" applyNumberFormat="1" applyFont="1" applyBorder="1" applyAlignment="1">
      <alignment horizontal="right" vertical="center"/>
    </xf>
    <xf numFmtId="212" fontId="79" fillId="0" borderId="0" xfId="13" applyNumberFormat="1" applyFont="1" applyAlignment="1">
      <alignment horizontal="right" vertical="center"/>
    </xf>
    <xf numFmtId="210" fontId="107" fillId="0" borderId="0" xfId="12" applyNumberFormat="1" applyFont="1" applyFill="1" applyBorder="1" applyAlignment="1">
      <alignment horizontal="right" vertical="center"/>
    </xf>
    <xf numFmtId="10" fontId="79" fillId="0" borderId="40" xfId="14" applyNumberFormat="1" applyFont="1" applyFill="1" applyBorder="1" applyAlignment="1">
      <alignment horizontal="right" vertical="center"/>
    </xf>
    <xf numFmtId="10" fontId="79" fillId="0" borderId="0" xfId="14" applyNumberFormat="1" applyFont="1" applyFill="1" applyBorder="1" applyAlignment="1">
      <alignment horizontal="right" vertical="center"/>
    </xf>
    <xf numFmtId="207" fontId="79" fillId="5" borderId="24" xfId="13" applyFont="1" applyFill="1" applyBorder="1" applyAlignment="1">
      <alignment horizontal="left" vertical="center"/>
    </xf>
    <xf numFmtId="10" fontId="79" fillId="16" borderId="24" xfId="13" applyNumberFormat="1" applyFont="1" applyFill="1" applyBorder="1" applyAlignment="1">
      <alignment horizontal="right"/>
    </xf>
    <xf numFmtId="9" fontId="79" fillId="0" borderId="24" xfId="13" applyNumberFormat="1" applyFont="1" applyBorder="1" applyAlignment="1">
      <alignment horizontal="right"/>
    </xf>
    <xf numFmtId="10" fontId="79" fillId="0" borderId="24" xfId="13" applyNumberFormat="1" applyFont="1" applyBorder="1" applyAlignment="1">
      <alignment horizontal="right"/>
    </xf>
    <xf numFmtId="208" fontId="79" fillId="0" borderId="43" xfId="12" applyNumberFormat="1" applyFont="1" applyFill="1" applyBorder="1" applyAlignment="1">
      <alignment horizontal="right" vertical="center"/>
    </xf>
    <xf numFmtId="207" fontId="79" fillId="0" borderId="44" xfId="13" applyFont="1" applyBorder="1" applyAlignment="1">
      <alignment horizontal="right" vertical="center"/>
    </xf>
    <xf numFmtId="207" fontId="79" fillId="5" borderId="0" xfId="13" applyFont="1" applyFill="1" applyAlignment="1">
      <alignment horizontal="left" vertical="center"/>
    </xf>
    <xf numFmtId="207" fontId="77" fillId="17" borderId="33" xfId="13" applyFont="1" applyFill="1" applyBorder="1" applyAlignment="1">
      <alignment horizontal="left" indent="1"/>
    </xf>
    <xf numFmtId="207" fontId="85" fillId="0" borderId="0" xfId="13" applyFont="1" applyAlignment="1">
      <alignment horizontal="left" indent="1"/>
    </xf>
    <xf numFmtId="207" fontId="151" fillId="5" borderId="0" xfId="13" applyFont="1" applyFill="1" applyAlignment="1">
      <alignment horizontal="left" indent="1"/>
    </xf>
    <xf numFmtId="207" fontId="152" fillId="5" borderId="0" xfId="13" applyFont="1" applyFill="1" applyAlignment="1">
      <alignment horizontal="left" vertical="center"/>
    </xf>
    <xf numFmtId="10" fontId="153" fillId="5" borderId="0" xfId="13" applyNumberFormat="1" applyFont="1" applyFill="1" applyAlignment="1">
      <alignment horizontal="right"/>
    </xf>
    <xf numFmtId="9" fontId="153" fillId="5" borderId="0" xfId="13" applyNumberFormat="1" applyFont="1" applyFill="1" applyAlignment="1">
      <alignment horizontal="right"/>
    </xf>
    <xf numFmtId="208" fontId="153" fillId="5" borderId="0" xfId="12" applyNumberFormat="1" applyFont="1" applyFill="1" applyBorder="1" applyAlignment="1">
      <alignment horizontal="right" vertical="center"/>
    </xf>
    <xf numFmtId="208" fontId="153" fillId="5" borderId="40" xfId="12" applyNumberFormat="1" applyFont="1" applyFill="1" applyBorder="1" applyAlignment="1">
      <alignment horizontal="right" vertical="center"/>
    </xf>
    <xf numFmtId="207" fontId="153" fillId="5" borderId="0" xfId="13" applyFont="1" applyFill="1" applyAlignment="1">
      <alignment horizontal="right" vertical="center"/>
    </xf>
    <xf numFmtId="207" fontId="153" fillId="5" borderId="35" xfId="13" applyFont="1" applyFill="1" applyBorder="1" applyAlignment="1">
      <alignment horizontal="right" vertical="center"/>
    </xf>
    <xf numFmtId="207" fontId="153" fillId="5" borderId="40" xfId="13" applyFont="1" applyFill="1" applyBorder="1" applyAlignment="1">
      <alignment horizontal="right" vertical="center"/>
    </xf>
    <xf numFmtId="207" fontId="153" fillId="5" borderId="0" xfId="13" applyFont="1" applyFill="1">
      <alignment vertical="center"/>
    </xf>
    <xf numFmtId="207" fontId="154" fillId="5" borderId="0" xfId="16" applyFont="1" applyFill="1" applyAlignment="1">
      <alignment horizontal="left"/>
    </xf>
    <xf numFmtId="207" fontId="154" fillId="5" borderId="0" xfId="16" applyFont="1" applyFill="1" applyAlignment="1">
      <alignment horizontal="right"/>
    </xf>
    <xf numFmtId="207" fontId="155" fillId="5" borderId="0" xfId="16" applyFont="1" applyFill="1" applyAlignment="1">
      <alignment horizontal="right"/>
    </xf>
    <xf numFmtId="207" fontId="154" fillId="5" borderId="36" xfId="16" applyFont="1" applyFill="1" applyBorder="1" applyAlignment="1">
      <alignment horizontal="right"/>
    </xf>
    <xf numFmtId="207" fontId="154" fillId="5" borderId="37" xfId="16" applyFont="1" applyFill="1" applyBorder="1" applyAlignment="1">
      <alignment horizontal="right"/>
    </xf>
    <xf numFmtId="207" fontId="154" fillId="5" borderId="38" xfId="16" applyFont="1" applyFill="1" applyBorder="1" applyAlignment="1">
      <alignment horizontal="right"/>
    </xf>
    <xf numFmtId="207" fontId="156" fillId="5" borderId="0" xfId="13" applyFont="1" applyFill="1">
      <alignment vertical="center"/>
    </xf>
    <xf numFmtId="207" fontId="151" fillId="5" borderId="32" xfId="13" applyFont="1" applyFill="1" applyBorder="1" applyAlignment="1">
      <alignment horizontal="left" indent="1"/>
    </xf>
    <xf numFmtId="207" fontId="154" fillId="5" borderId="0" xfId="13" applyFont="1" applyFill="1" applyAlignment="1">
      <alignment horizontal="left" vertical="top" wrapText="1"/>
    </xf>
    <xf numFmtId="208" fontId="157" fillId="5" borderId="0" xfId="12" applyNumberFormat="1" applyFont="1" applyFill="1" applyBorder="1" applyAlignment="1">
      <alignment horizontal="right"/>
    </xf>
    <xf numFmtId="208" fontId="157" fillId="5" borderId="40" xfId="12" applyNumberFormat="1" applyFont="1" applyFill="1" applyBorder="1" applyAlignment="1">
      <alignment horizontal="right" wrapText="1"/>
    </xf>
    <xf numFmtId="208" fontId="157" fillId="5" borderId="0" xfId="12" applyNumberFormat="1" applyFont="1" applyFill="1" applyBorder="1" applyAlignment="1">
      <alignment horizontal="right" wrapText="1"/>
    </xf>
    <xf numFmtId="208" fontId="157" fillId="5" borderId="0" xfId="12" applyNumberFormat="1" applyFont="1" applyFill="1" applyBorder="1" applyAlignment="1">
      <alignment horizontal="right" vertical="center"/>
    </xf>
    <xf numFmtId="208" fontId="157" fillId="5" borderId="35" xfId="12" applyNumberFormat="1" applyFont="1" applyFill="1" applyBorder="1" applyAlignment="1">
      <alignment horizontal="right"/>
    </xf>
    <xf numFmtId="208" fontId="157" fillId="5" borderId="40" xfId="12" applyNumberFormat="1" applyFont="1" applyFill="1" applyBorder="1" applyAlignment="1">
      <alignment horizontal="right"/>
    </xf>
    <xf numFmtId="207" fontId="157" fillId="5" borderId="0" xfId="13" applyFont="1" applyFill="1">
      <alignment vertical="center"/>
    </xf>
    <xf numFmtId="207" fontId="151" fillId="5" borderId="39" xfId="13" applyFont="1" applyFill="1" applyBorder="1" applyAlignment="1">
      <alignment horizontal="left" indent="1"/>
    </xf>
    <xf numFmtId="207" fontId="158" fillId="5" borderId="0" xfId="13" applyFont="1" applyFill="1" applyAlignment="1">
      <alignment horizontal="left" vertical="top" wrapText="1"/>
    </xf>
    <xf numFmtId="207" fontId="153" fillId="5" borderId="0" xfId="13" applyFont="1" applyFill="1" applyAlignment="1">
      <alignment horizontal="right" wrapText="1"/>
    </xf>
    <xf numFmtId="3" fontId="153" fillId="5" borderId="0" xfId="13" applyNumberFormat="1" applyFont="1" applyFill="1" applyAlignment="1">
      <alignment horizontal="right" wrapText="1"/>
    </xf>
    <xf numFmtId="208" fontId="153" fillId="5" borderId="0" xfId="12" applyNumberFormat="1" applyFont="1" applyFill="1" applyBorder="1" applyAlignment="1">
      <alignment horizontal="right" wrapText="1"/>
    </xf>
    <xf numFmtId="208" fontId="153" fillId="5" borderId="0" xfId="12" applyNumberFormat="1" applyFont="1" applyFill="1" applyAlignment="1">
      <alignment horizontal="right" vertical="center"/>
    </xf>
    <xf numFmtId="208" fontId="153" fillId="5" borderId="40" xfId="12" applyNumberFormat="1" applyFont="1" applyFill="1" applyBorder="1" applyAlignment="1">
      <alignment horizontal="right" wrapText="1"/>
    </xf>
    <xf numFmtId="208" fontId="153" fillId="5" borderId="35" xfId="12" applyNumberFormat="1" applyFont="1" applyFill="1" applyBorder="1" applyAlignment="1">
      <alignment horizontal="right"/>
    </xf>
    <xf numFmtId="208" fontId="153" fillId="5" borderId="40" xfId="12" applyNumberFormat="1" applyFont="1" applyFill="1" applyBorder="1" applyAlignment="1">
      <alignment horizontal="right"/>
    </xf>
    <xf numFmtId="208" fontId="153" fillId="5" borderId="0" xfId="12" applyNumberFormat="1" applyFont="1" applyFill="1" applyBorder="1" applyAlignment="1">
      <alignment horizontal="right"/>
    </xf>
    <xf numFmtId="207" fontId="155" fillId="5" borderId="0" xfId="13" applyFont="1" applyFill="1" applyAlignment="1">
      <alignment horizontal="left" vertical="top" wrapText="1"/>
    </xf>
    <xf numFmtId="208" fontId="153" fillId="5" borderId="35" xfId="12" applyNumberFormat="1" applyFont="1" applyFill="1" applyBorder="1" applyAlignment="1">
      <alignment horizontal="right" vertical="center"/>
    </xf>
    <xf numFmtId="207" fontId="158" fillId="5" borderId="0" xfId="13" quotePrefix="1" applyFont="1" applyFill="1" applyAlignment="1">
      <alignment horizontal="left" vertical="top" wrapText="1" indent="2"/>
    </xf>
    <xf numFmtId="3" fontId="158" fillId="5" borderId="0" xfId="13" applyNumberFormat="1" applyFont="1" applyFill="1" applyAlignment="1">
      <alignment horizontal="right" wrapText="1"/>
    </xf>
    <xf numFmtId="208" fontId="158" fillId="5" borderId="40" xfId="12" applyNumberFormat="1" applyFont="1" applyFill="1" applyBorder="1" applyAlignment="1">
      <alignment horizontal="right" wrapText="1"/>
    </xf>
    <xf numFmtId="208" fontId="158" fillId="5" borderId="0" xfId="12" applyNumberFormat="1" applyFont="1" applyFill="1" applyBorder="1" applyAlignment="1">
      <alignment horizontal="right" wrapText="1"/>
    </xf>
    <xf numFmtId="208" fontId="158" fillId="5" borderId="0" xfId="12" applyNumberFormat="1" applyFont="1" applyFill="1" applyBorder="1" applyAlignment="1">
      <alignment horizontal="right" vertical="center"/>
    </xf>
    <xf numFmtId="208" fontId="158" fillId="5" borderId="35" xfId="12" applyNumberFormat="1" applyFont="1" applyFill="1" applyBorder="1" applyAlignment="1">
      <alignment horizontal="right"/>
    </xf>
    <xf numFmtId="208" fontId="158" fillId="5" borderId="35" xfId="12" applyNumberFormat="1" applyFont="1" applyFill="1" applyBorder="1" applyAlignment="1">
      <alignment horizontal="right" wrapText="1"/>
    </xf>
    <xf numFmtId="207" fontId="158" fillId="5" borderId="0" xfId="13" applyFont="1" applyFill="1">
      <alignment vertical="center"/>
    </xf>
    <xf numFmtId="207" fontId="159" fillId="5" borderId="39" xfId="13" applyFont="1" applyFill="1" applyBorder="1" applyAlignment="1">
      <alignment horizontal="left" indent="1"/>
    </xf>
    <xf numFmtId="207" fontId="155" fillId="5" borderId="0" xfId="13" quotePrefix="1" applyFont="1" applyFill="1" applyAlignment="1">
      <alignment horizontal="left" vertical="top" wrapText="1" indent="3"/>
    </xf>
    <xf numFmtId="3" fontId="152" fillId="5" borderId="0" xfId="13" applyNumberFormat="1" applyFont="1" applyFill="1" applyAlignment="1">
      <alignment horizontal="right" wrapText="1"/>
    </xf>
    <xf numFmtId="208" fontId="152" fillId="5" borderId="40" xfId="12" applyNumberFormat="1" applyFont="1" applyFill="1" applyBorder="1" applyAlignment="1">
      <alignment horizontal="right" wrapText="1"/>
    </xf>
    <xf numFmtId="208" fontId="152" fillId="5" borderId="0" xfId="12" applyNumberFormat="1" applyFont="1" applyFill="1" applyBorder="1" applyAlignment="1">
      <alignment horizontal="right" wrapText="1"/>
    </xf>
    <xf numFmtId="208" fontId="152" fillId="5" borderId="0" xfId="12" applyNumberFormat="1" applyFont="1" applyFill="1" applyBorder="1" applyAlignment="1">
      <alignment horizontal="right" vertical="center"/>
    </xf>
    <xf numFmtId="208" fontId="152" fillId="5" borderId="35" xfId="12" applyNumberFormat="1" applyFont="1" applyFill="1" applyBorder="1" applyAlignment="1">
      <alignment horizontal="right" vertical="center"/>
    </xf>
    <xf numFmtId="208" fontId="152" fillId="5" borderId="40" xfId="12" applyNumberFormat="1" applyFont="1" applyFill="1" applyBorder="1" applyAlignment="1">
      <alignment horizontal="right" vertical="center"/>
    </xf>
    <xf numFmtId="208" fontId="152" fillId="5" borderId="35" xfId="12" applyNumberFormat="1" applyFont="1" applyFill="1" applyBorder="1" applyAlignment="1">
      <alignment horizontal="right" wrapText="1"/>
    </xf>
    <xf numFmtId="207" fontId="152" fillId="5" borderId="0" xfId="13" applyFont="1" applyFill="1">
      <alignment vertical="center"/>
    </xf>
    <xf numFmtId="207" fontId="159" fillId="5" borderId="39" xfId="13" applyFont="1" applyFill="1" applyBorder="1" applyAlignment="1">
      <alignment horizontal="left"/>
    </xf>
    <xf numFmtId="207" fontId="155" fillId="5" borderId="40" xfId="13" quotePrefix="1" applyFont="1" applyFill="1" applyBorder="1" applyAlignment="1">
      <alignment horizontal="left" vertical="top" wrapText="1" indent="3"/>
    </xf>
    <xf numFmtId="207" fontId="158" fillId="5" borderId="40" xfId="13" quotePrefix="1" applyFont="1" applyFill="1" applyBorder="1" applyAlignment="1">
      <alignment horizontal="left" vertical="top" wrapText="1" indent="3"/>
    </xf>
    <xf numFmtId="3" fontId="151" fillId="5" borderId="0" xfId="13" applyNumberFormat="1" applyFont="1" applyFill="1" applyAlignment="1">
      <alignment horizontal="right" wrapText="1"/>
    </xf>
    <xf numFmtId="208" fontId="151" fillId="5" borderId="0" xfId="12" applyNumberFormat="1" applyFont="1" applyFill="1" applyBorder="1" applyAlignment="1">
      <alignment horizontal="right" wrapText="1"/>
    </xf>
    <xf numFmtId="9" fontId="158" fillId="5" borderId="0" xfId="14" applyFont="1" applyFill="1" applyAlignment="1">
      <alignment horizontal="left" vertical="center"/>
    </xf>
    <xf numFmtId="207" fontId="151" fillId="5" borderId="45" xfId="13" applyFont="1" applyFill="1" applyBorder="1" applyAlignment="1">
      <alignment horizontal="left" indent="2"/>
    </xf>
    <xf numFmtId="207" fontId="160" fillId="5" borderId="40" xfId="13" quotePrefix="1" applyFont="1" applyFill="1" applyBorder="1" applyAlignment="1">
      <alignment horizontal="left" vertical="top" indent="5"/>
    </xf>
    <xf numFmtId="208" fontId="153" fillId="5" borderId="0" xfId="12" applyNumberFormat="1" applyFont="1" applyFill="1">
      <alignment vertical="center"/>
    </xf>
    <xf numFmtId="207" fontId="151" fillId="5" borderId="39" xfId="13" applyFont="1" applyFill="1" applyBorder="1" applyAlignment="1">
      <alignment horizontal="left" indent="2"/>
    </xf>
    <xf numFmtId="207" fontId="160" fillId="5" borderId="40" xfId="13" quotePrefix="1" applyFont="1" applyFill="1" applyBorder="1" applyAlignment="1">
      <alignment horizontal="left" vertical="top" wrapText="1" indent="6"/>
    </xf>
    <xf numFmtId="9" fontId="151" fillId="5" borderId="0" xfId="14" applyFont="1" applyFill="1" applyBorder="1" applyAlignment="1">
      <alignment horizontal="right" wrapText="1"/>
    </xf>
    <xf numFmtId="9" fontId="153" fillId="5" borderId="0" xfId="14" applyFont="1" applyFill="1" applyBorder="1" applyAlignment="1">
      <alignment horizontal="right" wrapText="1"/>
    </xf>
    <xf numFmtId="9" fontId="153" fillId="5" borderId="40" xfId="14" applyFont="1" applyFill="1" applyBorder="1" applyAlignment="1">
      <alignment horizontal="right" wrapText="1"/>
    </xf>
    <xf numFmtId="9" fontId="153" fillId="5" borderId="35" xfId="14" applyFont="1" applyFill="1" applyBorder="1" applyAlignment="1">
      <alignment horizontal="right" wrapText="1"/>
    </xf>
    <xf numFmtId="9" fontId="153" fillId="5" borderId="40" xfId="14" applyFont="1" applyFill="1" applyBorder="1" applyAlignment="1">
      <alignment horizontal="right"/>
    </xf>
    <xf numFmtId="9" fontId="153" fillId="5" borderId="35" xfId="14" applyFont="1" applyFill="1" applyBorder="1" applyAlignment="1">
      <alignment horizontal="right"/>
    </xf>
    <xf numFmtId="192" fontId="151" fillId="5" borderId="39" xfId="12" applyNumberFormat="1" applyFont="1" applyFill="1" applyBorder="1" applyAlignment="1">
      <alignment horizontal="left" indent="2"/>
    </xf>
    <xf numFmtId="207" fontId="160" fillId="5" borderId="40" xfId="13" quotePrefix="1" applyFont="1" applyFill="1" applyBorder="1" applyAlignment="1">
      <alignment horizontal="left" vertical="top" wrapText="1" indent="5"/>
    </xf>
    <xf numFmtId="9" fontId="153" fillId="5" borderId="0" xfId="14" applyFont="1" applyFill="1" applyBorder="1" applyAlignment="1">
      <alignment horizontal="right"/>
    </xf>
    <xf numFmtId="9" fontId="153" fillId="5" borderId="0" xfId="14" applyFont="1" applyFill="1">
      <alignment vertical="center"/>
    </xf>
    <xf numFmtId="207" fontId="151" fillId="5" borderId="46" xfId="13" applyFont="1" applyFill="1" applyBorder="1" applyAlignment="1">
      <alignment horizontal="left" indent="2"/>
    </xf>
    <xf numFmtId="207" fontId="155" fillId="5" borderId="0" xfId="13" applyFont="1" applyFill="1" applyAlignment="1">
      <alignment horizontal="left" vertical="top"/>
    </xf>
    <xf numFmtId="208" fontId="152" fillId="5" borderId="35" xfId="12" applyNumberFormat="1" applyFont="1" applyFill="1" applyBorder="1" applyAlignment="1">
      <alignment horizontal="right"/>
    </xf>
    <xf numFmtId="208" fontId="152" fillId="5" borderId="40" xfId="12" applyNumberFormat="1" applyFont="1" applyFill="1" applyBorder="1" applyAlignment="1">
      <alignment horizontal="right"/>
    </xf>
    <xf numFmtId="208" fontId="152" fillId="5" borderId="0" xfId="12" applyNumberFormat="1" applyFont="1" applyFill="1" applyBorder="1" applyAlignment="1">
      <alignment horizontal="right"/>
    </xf>
    <xf numFmtId="207" fontId="155" fillId="5" borderId="0" xfId="13" applyFont="1" applyFill="1" applyAlignment="1">
      <alignment horizontal="left" vertical="center"/>
    </xf>
    <xf numFmtId="207" fontId="155" fillId="5" borderId="0" xfId="13" applyFont="1" applyFill="1" applyAlignment="1">
      <alignment horizontal="right" vertical="center"/>
    </xf>
    <xf numFmtId="212" fontId="152" fillId="5" borderId="0" xfId="13" applyNumberFormat="1" applyFont="1" applyFill="1">
      <alignment vertical="center"/>
    </xf>
    <xf numFmtId="207" fontId="158" fillId="5" borderId="40" xfId="13" quotePrefix="1" applyFont="1" applyFill="1" applyBorder="1" applyAlignment="1">
      <alignment horizontal="left" vertical="center" wrapText="1" indent="2"/>
    </xf>
    <xf numFmtId="3" fontId="153" fillId="5" borderId="0" xfId="13" applyNumberFormat="1" applyFont="1" applyFill="1" applyAlignment="1">
      <alignment horizontal="right" vertical="center" wrapText="1"/>
    </xf>
    <xf numFmtId="208" fontId="153" fillId="5" borderId="0" xfId="12" applyNumberFormat="1" applyFont="1" applyFill="1" applyBorder="1" applyAlignment="1">
      <alignment horizontal="right" vertical="center" wrapText="1"/>
    </xf>
    <xf numFmtId="208" fontId="153" fillId="5" borderId="40" xfId="12" applyNumberFormat="1" applyFont="1" applyFill="1" applyBorder="1" applyAlignment="1">
      <alignment horizontal="right" vertical="center" wrapText="1"/>
    </xf>
    <xf numFmtId="9" fontId="153" fillId="5" borderId="0" xfId="14" applyFont="1" applyFill="1" applyBorder="1" applyAlignment="1">
      <alignment vertical="center"/>
    </xf>
    <xf numFmtId="207" fontId="151" fillId="5" borderId="0" xfId="13" applyFont="1" applyFill="1" applyAlignment="1">
      <alignment horizontal="left" indent="4"/>
    </xf>
    <xf numFmtId="207" fontId="151" fillId="5" borderId="0" xfId="13" applyFont="1" applyFill="1" applyAlignment="1">
      <alignment horizontal="right"/>
    </xf>
    <xf numFmtId="208" fontId="151" fillId="5" borderId="0" xfId="12" applyNumberFormat="1" applyFont="1" applyFill="1" applyBorder="1" applyAlignment="1">
      <alignment horizontal="right"/>
    </xf>
    <xf numFmtId="3" fontId="151" fillId="5" borderId="0" xfId="13" applyNumberFormat="1" applyFont="1" applyFill="1" applyAlignment="1">
      <alignment horizontal="right"/>
    </xf>
    <xf numFmtId="3" fontId="153" fillId="5" borderId="0" xfId="13" applyNumberFormat="1" applyFont="1" applyFill="1" applyAlignment="1">
      <alignment horizontal="right"/>
    </xf>
    <xf numFmtId="207" fontId="151" fillId="5" borderId="0" xfId="13" applyFont="1" applyFill="1" applyAlignment="1">
      <alignment horizontal="left"/>
    </xf>
    <xf numFmtId="207" fontId="151" fillId="5" borderId="0" xfId="13" applyFont="1" applyFill="1" applyAlignment="1">
      <alignment horizontal="left" wrapText="1" indent="5"/>
    </xf>
    <xf numFmtId="207" fontId="151" fillId="5" borderId="0" xfId="13" applyFont="1" applyFill="1" applyAlignment="1">
      <alignment horizontal="right" wrapText="1"/>
    </xf>
    <xf numFmtId="207" fontId="151" fillId="5" borderId="39" xfId="13" applyFont="1" applyFill="1" applyBorder="1" applyAlignment="1">
      <alignment horizontal="left"/>
    </xf>
    <xf numFmtId="207" fontId="151" fillId="5" borderId="0" xfId="13" applyFont="1" applyFill="1" applyAlignment="1">
      <alignment horizontal="left" vertical="top" wrapText="1" indent="5"/>
    </xf>
    <xf numFmtId="9" fontId="153" fillId="5" borderId="0" xfId="14" applyFont="1" applyFill="1" applyBorder="1" applyAlignment="1">
      <alignment horizontal="right" vertical="center"/>
    </xf>
    <xf numFmtId="207" fontId="151" fillId="5" borderId="0" xfId="13" applyFont="1" applyFill="1" applyAlignment="1">
      <alignment horizontal="left" vertical="center" indent="1"/>
    </xf>
    <xf numFmtId="207" fontId="151" fillId="5" borderId="0" xfId="13" applyFont="1" applyFill="1" applyAlignment="1">
      <alignment horizontal="left" vertical="top" wrapText="1" indent="4"/>
    </xf>
    <xf numFmtId="207" fontId="151" fillId="5" borderId="40" xfId="13" applyFont="1" applyFill="1" applyBorder="1" applyAlignment="1">
      <alignment horizontal="left" vertical="top" wrapText="1" indent="5"/>
    </xf>
    <xf numFmtId="207" fontId="151" fillId="5" borderId="46" xfId="13" applyFont="1" applyFill="1" applyBorder="1" applyAlignment="1">
      <alignment horizontal="left" indent="1"/>
    </xf>
    <xf numFmtId="9" fontId="152" fillId="5" borderId="0" xfId="14" applyFont="1" applyFill="1" applyBorder="1" applyAlignment="1">
      <alignment horizontal="right" vertical="center"/>
    </xf>
    <xf numFmtId="207" fontId="158" fillId="5" borderId="0" xfId="13" quotePrefix="1" applyFont="1" applyFill="1" applyAlignment="1">
      <alignment horizontal="left" vertical="center" wrapText="1" indent="2"/>
    </xf>
    <xf numFmtId="207" fontId="160" fillId="5" borderId="0" xfId="13" quotePrefix="1" applyFont="1" applyFill="1" applyAlignment="1">
      <alignment horizontal="left" vertical="top" wrapText="1" indent="3"/>
    </xf>
    <xf numFmtId="208" fontId="151" fillId="5" borderId="0" xfId="12" applyNumberFormat="1" applyFont="1" applyFill="1" applyAlignment="1">
      <alignment horizontal="right" vertical="center"/>
    </xf>
    <xf numFmtId="9" fontId="151" fillId="5" borderId="0" xfId="14" applyFont="1" applyFill="1" applyAlignment="1">
      <alignment horizontal="right" wrapText="1"/>
    </xf>
    <xf numFmtId="9" fontId="153" fillId="5" borderId="0" xfId="14" applyFont="1" applyFill="1" applyAlignment="1">
      <alignment horizontal="right" wrapText="1"/>
    </xf>
    <xf numFmtId="207" fontId="151" fillId="5" borderId="0" xfId="13" applyFont="1" applyFill="1">
      <alignment vertical="center"/>
    </xf>
    <xf numFmtId="9" fontId="151" fillId="5" borderId="0" xfId="14" applyFont="1" applyFill="1" applyAlignment="1">
      <alignment horizontal="right" vertical="center"/>
    </xf>
    <xf numFmtId="208" fontId="151" fillId="5" borderId="0" xfId="12" applyNumberFormat="1" applyFont="1" applyFill="1" applyAlignment="1">
      <alignment horizontal="right" wrapText="1"/>
    </xf>
    <xf numFmtId="207" fontId="152" fillId="5" borderId="0" xfId="13" applyFont="1" applyFill="1" applyAlignment="1">
      <alignment horizontal="right" wrapText="1"/>
    </xf>
    <xf numFmtId="207" fontId="152" fillId="5" borderId="40" xfId="13" applyFont="1" applyFill="1" applyBorder="1" applyAlignment="1">
      <alignment horizontal="right" wrapText="1"/>
    </xf>
    <xf numFmtId="208" fontId="155" fillId="5" borderId="0" xfId="12" applyNumberFormat="1" applyFont="1" applyFill="1" applyBorder="1" applyAlignment="1">
      <alignment horizontal="right" vertical="center"/>
    </xf>
    <xf numFmtId="208" fontId="155" fillId="5" borderId="35" xfId="12" applyNumberFormat="1" applyFont="1" applyFill="1" applyBorder="1" applyAlignment="1">
      <alignment horizontal="right"/>
    </xf>
    <xf numFmtId="3" fontId="152" fillId="5" borderId="40" xfId="13" applyNumberFormat="1" applyFont="1" applyFill="1" applyBorder="1" applyAlignment="1">
      <alignment horizontal="right" wrapText="1"/>
    </xf>
    <xf numFmtId="193" fontId="152" fillId="5" borderId="0" xfId="12" applyNumberFormat="1" applyFont="1" applyFill="1" applyBorder="1" applyAlignment="1">
      <alignment horizontal="right" wrapText="1"/>
    </xf>
    <xf numFmtId="192" fontId="152" fillId="5" borderId="0" xfId="12" applyNumberFormat="1" applyFont="1" applyFill="1" applyBorder="1" applyAlignment="1">
      <alignment horizontal="right" wrapText="1"/>
    </xf>
    <xf numFmtId="207" fontId="160" fillId="5" borderId="40" xfId="13" applyFont="1" applyFill="1" applyBorder="1" applyAlignment="1">
      <alignment horizontal="left" vertical="top" wrapText="1" indent="1"/>
    </xf>
    <xf numFmtId="206" fontId="153" fillId="5" borderId="0" xfId="12" applyFont="1" applyFill="1" applyBorder="1" applyAlignment="1">
      <alignment horizontal="right" wrapText="1"/>
    </xf>
    <xf numFmtId="207" fontId="153" fillId="5" borderId="40" xfId="13" applyFont="1" applyFill="1" applyBorder="1" applyAlignment="1">
      <alignment horizontal="right" wrapText="1"/>
    </xf>
    <xf numFmtId="3" fontId="153" fillId="5" borderId="0" xfId="13" applyNumberFormat="1" applyFont="1" applyFill="1" applyAlignment="1">
      <alignment horizontal="right" vertical="center"/>
    </xf>
    <xf numFmtId="3" fontId="153" fillId="5" borderId="35" xfId="13" applyNumberFormat="1" applyFont="1" applyFill="1" applyBorder="1" applyAlignment="1">
      <alignment horizontal="right"/>
    </xf>
    <xf numFmtId="3" fontId="153" fillId="5" borderId="40" xfId="13" applyNumberFormat="1" applyFont="1" applyFill="1" applyBorder="1" applyAlignment="1">
      <alignment horizontal="right"/>
    </xf>
    <xf numFmtId="207" fontId="160" fillId="5" borderId="43" xfId="13" applyFont="1" applyFill="1" applyBorder="1" applyAlignment="1">
      <alignment horizontal="left" vertical="top" wrapText="1" indent="1"/>
    </xf>
    <xf numFmtId="207" fontId="153" fillId="5" borderId="24" xfId="13" applyFont="1" applyFill="1" applyBorder="1" applyAlignment="1">
      <alignment horizontal="right" wrapText="1"/>
    </xf>
    <xf numFmtId="3" fontId="153" fillId="5" borderId="24" xfId="13" applyNumberFormat="1" applyFont="1" applyFill="1" applyBorder="1" applyAlignment="1">
      <alignment horizontal="right" wrapText="1"/>
    </xf>
    <xf numFmtId="206" fontId="153" fillId="5" borderId="24" xfId="12" applyFont="1" applyFill="1" applyBorder="1" applyAlignment="1">
      <alignment horizontal="right" wrapText="1"/>
    </xf>
    <xf numFmtId="9" fontId="155" fillId="5" borderId="43" xfId="14" applyFont="1" applyFill="1" applyBorder="1" applyAlignment="1">
      <alignment horizontal="right" wrapText="1"/>
    </xf>
    <xf numFmtId="3" fontId="153" fillId="5" borderId="24" xfId="13" applyNumberFormat="1" applyFont="1" applyFill="1" applyBorder="1" applyAlignment="1">
      <alignment horizontal="right" vertical="center"/>
    </xf>
    <xf numFmtId="3" fontId="153" fillId="5" borderId="44" xfId="13" applyNumberFormat="1" applyFont="1" applyFill="1" applyBorder="1" applyAlignment="1">
      <alignment horizontal="right"/>
    </xf>
    <xf numFmtId="3" fontId="153" fillId="5" borderId="43" xfId="13" applyNumberFormat="1" applyFont="1" applyFill="1" applyBorder="1" applyAlignment="1">
      <alignment horizontal="right"/>
    </xf>
    <xf numFmtId="208" fontId="153" fillId="5" borderId="24" xfId="12" applyNumberFormat="1" applyFont="1" applyFill="1" applyBorder="1" applyAlignment="1">
      <alignment horizontal="right" wrapText="1"/>
    </xf>
    <xf numFmtId="208" fontId="153" fillId="5" borderId="43" xfId="12" applyNumberFormat="1" applyFont="1" applyFill="1" applyBorder="1" applyAlignment="1">
      <alignment horizontal="right"/>
    </xf>
    <xf numFmtId="208" fontId="153" fillId="5" borderId="44" xfId="12" applyNumberFormat="1" applyFont="1" applyFill="1" applyBorder="1" applyAlignment="1">
      <alignment horizontal="right"/>
    </xf>
    <xf numFmtId="207" fontId="161" fillId="5" borderId="40" xfId="13" applyFont="1" applyFill="1" applyBorder="1" applyAlignment="1">
      <alignment horizontal="left" vertical="top" wrapText="1"/>
    </xf>
    <xf numFmtId="207" fontId="161" fillId="5" borderId="0" xfId="13" applyFont="1" applyFill="1" applyAlignment="1">
      <alignment horizontal="right" wrapText="1"/>
    </xf>
    <xf numFmtId="3" fontId="161" fillId="5" borderId="0" xfId="13" applyNumberFormat="1" applyFont="1" applyFill="1" applyAlignment="1">
      <alignment horizontal="right" wrapText="1"/>
    </xf>
    <xf numFmtId="184" fontId="161" fillId="5" borderId="0" xfId="14" applyNumberFormat="1" applyFont="1" applyFill="1" applyBorder="1" applyAlignment="1">
      <alignment horizontal="right" wrapText="1"/>
    </xf>
    <xf numFmtId="3" fontId="161" fillId="5" borderId="0" xfId="14" applyNumberFormat="1" applyFont="1" applyFill="1" applyBorder="1" applyAlignment="1">
      <alignment horizontal="right" wrapText="1"/>
    </xf>
    <xf numFmtId="3" fontId="161" fillId="5" borderId="40" xfId="12" applyNumberFormat="1" applyFont="1" applyFill="1" applyBorder="1" applyAlignment="1">
      <alignment horizontal="right" wrapText="1"/>
    </xf>
    <xf numFmtId="3" fontId="161" fillId="5" borderId="0" xfId="12" applyNumberFormat="1" applyFont="1" applyFill="1" applyBorder="1" applyAlignment="1">
      <alignment horizontal="right" wrapText="1"/>
    </xf>
    <xf numFmtId="3" fontId="161" fillId="5" borderId="0" xfId="12" applyNumberFormat="1" applyFont="1" applyFill="1" applyBorder="1" applyAlignment="1">
      <alignment horizontal="right" vertical="center"/>
    </xf>
    <xf numFmtId="3" fontId="161" fillId="5" borderId="35" xfId="12" applyNumberFormat="1" applyFont="1" applyFill="1" applyBorder="1" applyAlignment="1">
      <alignment horizontal="right"/>
    </xf>
    <xf numFmtId="3" fontId="161" fillId="5" borderId="40" xfId="12" applyNumberFormat="1" applyFont="1" applyFill="1" applyBorder="1" applyAlignment="1">
      <alignment horizontal="right"/>
    </xf>
    <xf numFmtId="3" fontId="161" fillId="5" borderId="40" xfId="14" applyNumberFormat="1" applyFont="1" applyFill="1" applyBorder="1" applyAlignment="1">
      <alignment horizontal="right" wrapText="1"/>
    </xf>
    <xf numFmtId="3" fontId="161" fillId="5" borderId="35" xfId="14" applyNumberFormat="1" applyFont="1" applyFill="1" applyBorder="1" applyAlignment="1">
      <alignment horizontal="right" wrapText="1"/>
    </xf>
    <xf numFmtId="9" fontId="162" fillId="5" borderId="0" xfId="14" applyFont="1" applyFill="1" applyBorder="1">
      <alignment vertical="center"/>
    </xf>
    <xf numFmtId="207" fontId="161" fillId="5" borderId="0" xfId="13" applyFont="1" applyFill="1">
      <alignment vertical="center"/>
    </xf>
    <xf numFmtId="192" fontId="151" fillId="5" borderId="39" xfId="12" applyNumberFormat="1" applyFont="1" applyFill="1" applyBorder="1" applyAlignment="1">
      <alignment horizontal="left"/>
    </xf>
    <xf numFmtId="207" fontId="162" fillId="5" borderId="40" xfId="13" applyFont="1" applyFill="1" applyBorder="1" applyAlignment="1">
      <alignment horizontal="left" vertical="top" indent="1"/>
    </xf>
    <xf numFmtId="207" fontId="162" fillId="5" borderId="0" xfId="13" applyFont="1" applyFill="1" applyAlignment="1">
      <alignment horizontal="right" wrapText="1"/>
    </xf>
    <xf numFmtId="3" fontId="162" fillId="5" borderId="0" xfId="13" applyNumberFormat="1" applyFont="1" applyFill="1" applyAlignment="1">
      <alignment horizontal="right" wrapText="1"/>
    </xf>
    <xf numFmtId="184" fontId="162" fillId="5" borderId="0" xfId="14" applyNumberFormat="1" applyFont="1" applyFill="1" applyBorder="1" applyAlignment="1">
      <alignment horizontal="right" wrapText="1"/>
    </xf>
    <xf numFmtId="3" fontId="162" fillId="5" borderId="0" xfId="14" applyNumberFormat="1" applyFont="1" applyFill="1" applyBorder="1" applyAlignment="1">
      <alignment horizontal="right" wrapText="1"/>
    </xf>
    <xf numFmtId="9" fontId="162" fillId="5" borderId="0" xfId="14" applyFont="1" applyFill="1" applyBorder="1" applyAlignment="1">
      <alignment horizontal="right" wrapText="1"/>
    </xf>
    <xf numFmtId="9" fontId="162" fillId="5" borderId="40" xfId="14" applyFont="1" applyFill="1" applyBorder="1" applyAlignment="1">
      <alignment horizontal="right" wrapText="1"/>
    </xf>
    <xf numFmtId="9" fontId="162" fillId="5" borderId="0" xfId="14" applyFont="1" applyFill="1" applyBorder="1" applyAlignment="1">
      <alignment horizontal="right" vertical="center"/>
    </xf>
    <xf numFmtId="9" fontId="162" fillId="5" borderId="35" xfId="14" applyFont="1" applyFill="1" applyBorder="1" applyAlignment="1">
      <alignment horizontal="right"/>
    </xf>
    <xf numFmtId="9" fontId="162" fillId="5" borderId="40" xfId="14" applyFont="1" applyFill="1" applyBorder="1" applyAlignment="1">
      <alignment horizontal="right"/>
    </xf>
    <xf numFmtId="9" fontId="162" fillId="5" borderId="35" xfId="14" applyFont="1" applyFill="1" applyBorder="1" applyAlignment="1">
      <alignment horizontal="right" wrapText="1"/>
    </xf>
    <xf numFmtId="207" fontId="162" fillId="5" borderId="0" xfId="13" applyFont="1" applyFill="1">
      <alignment vertical="center"/>
    </xf>
    <xf numFmtId="208" fontId="161" fillId="5" borderId="0" xfId="12" applyNumberFormat="1" applyFont="1" applyFill="1" applyBorder="1" applyAlignment="1">
      <alignment horizontal="left" vertical="top" wrapText="1"/>
    </xf>
    <xf numFmtId="208" fontId="161" fillId="5" borderId="0" xfId="12" applyNumberFormat="1" applyFont="1" applyFill="1" applyBorder="1" applyAlignment="1">
      <alignment horizontal="right" wrapText="1"/>
    </xf>
    <xf numFmtId="192" fontId="161" fillId="5" borderId="0" xfId="12" applyNumberFormat="1" applyFont="1" applyFill="1" applyBorder="1" applyAlignment="1">
      <alignment horizontal="right" wrapText="1"/>
    </xf>
    <xf numFmtId="208" fontId="161" fillId="5" borderId="40" xfId="12" applyNumberFormat="1" applyFont="1" applyFill="1" applyBorder="1" applyAlignment="1">
      <alignment horizontal="right" wrapText="1"/>
    </xf>
    <xf numFmtId="208" fontId="161" fillId="5" borderId="0" xfId="12" applyNumberFormat="1" applyFont="1" applyFill="1" applyBorder="1" applyAlignment="1">
      <alignment horizontal="right" vertical="center"/>
    </xf>
    <xf numFmtId="208" fontId="161" fillId="5" borderId="35" xfId="12" applyNumberFormat="1" applyFont="1" applyFill="1" applyBorder="1" applyAlignment="1">
      <alignment horizontal="right"/>
    </xf>
    <xf numFmtId="208" fontId="161" fillId="5" borderId="40" xfId="12" applyNumberFormat="1" applyFont="1" applyFill="1" applyBorder="1" applyAlignment="1">
      <alignment horizontal="right"/>
    </xf>
    <xf numFmtId="208" fontId="161" fillId="5" borderId="35" xfId="12" applyNumberFormat="1" applyFont="1" applyFill="1" applyBorder="1" applyAlignment="1">
      <alignment horizontal="right" wrapText="1"/>
    </xf>
    <xf numFmtId="208" fontId="161" fillId="5" borderId="0" xfId="12" applyNumberFormat="1" applyFont="1" applyFill="1" applyBorder="1">
      <alignment vertical="center"/>
    </xf>
    <xf numFmtId="208" fontId="161" fillId="5" borderId="0" xfId="12" applyNumberFormat="1" applyFont="1" applyFill="1">
      <alignment vertical="center"/>
    </xf>
    <xf numFmtId="207" fontId="163" fillId="5" borderId="0" xfId="13" applyFont="1" applyFill="1" applyAlignment="1">
      <alignment horizontal="left" vertical="top"/>
    </xf>
    <xf numFmtId="207" fontId="163" fillId="5" borderId="0" xfId="13" applyFont="1" applyFill="1" applyAlignment="1">
      <alignment horizontal="right" wrapText="1"/>
    </xf>
    <xf numFmtId="3" fontId="163" fillId="5" borderId="0" xfId="13" applyNumberFormat="1" applyFont="1" applyFill="1" applyAlignment="1">
      <alignment horizontal="right" wrapText="1"/>
    </xf>
    <xf numFmtId="184" fontId="163" fillId="5" borderId="0" xfId="14" applyNumberFormat="1" applyFont="1" applyFill="1" applyBorder="1" applyAlignment="1">
      <alignment horizontal="right" wrapText="1"/>
    </xf>
    <xf numFmtId="208" fontId="163" fillId="5" borderId="40" xfId="12" applyNumberFormat="1" applyFont="1" applyFill="1" applyBorder="1" applyAlignment="1">
      <alignment horizontal="right" wrapText="1"/>
    </xf>
    <xf numFmtId="208" fontId="163" fillId="5" borderId="0" xfId="12" applyNumberFormat="1" applyFont="1" applyFill="1" applyBorder="1" applyAlignment="1">
      <alignment horizontal="right" wrapText="1"/>
    </xf>
    <xf numFmtId="208" fontId="163" fillId="5" borderId="0" xfId="12" applyNumberFormat="1" applyFont="1" applyFill="1" applyBorder="1" applyAlignment="1">
      <alignment horizontal="right" vertical="center"/>
    </xf>
    <xf numFmtId="208" fontId="163" fillId="5" borderId="35" xfId="12" applyNumberFormat="1" applyFont="1" applyFill="1" applyBorder="1" applyAlignment="1">
      <alignment horizontal="right"/>
    </xf>
    <xf numFmtId="208" fontId="163" fillId="5" borderId="40" xfId="12" applyNumberFormat="1" applyFont="1" applyFill="1" applyBorder="1" applyAlignment="1">
      <alignment horizontal="right"/>
    </xf>
    <xf numFmtId="184" fontId="163" fillId="5" borderId="40" xfId="14" applyNumberFormat="1" applyFont="1" applyFill="1" applyBorder="1" applyAlignment="1">
      <alignment horizontal="right" wrapText="1"/>
    </xf>
    <xf numFmtId="184" fontId="163" fillId="5" borderId="35" xfId="14" applyNumberFormat="1" applyFont="1" applyFill="1" applyBorder="1" applyAlignment="1">
      <alignment horizontal="right" wrapText="1"/>
    </xf>
    <xf numFmtId="207" fontId="163" fillId="5" borderId="0" xfId="13" applyFont="1" applyFill="1">
      <alignment vertical="center"/>
    </xf>
    <xf numFmtId="192" fontId="151" fillId="5" borderId="39" xfId="12" applyNumberFormat="1" applyFont="1" applyFill="1" applyBorder="1" applyAlignment="1">
      <alignment horizontal="left" indent="1"/>
    </xf>
    <xf numFmtId="207" fontId="162" fillId="5" borderId="0" xfId="13" applyFont="1" applyFill="1" applyAlignment="1">
      <alignment horizontal="left" vertical="top" indent="1"/>
    </xf>
    <xf numFmtId="208" fontId="162" fillId="5" borderId="40" xfId="12" applyNumberFormat="1" applyFont="1" applyFill="1" applyBorder="1" applyAlignment="1">
      <alignment horizontal="right" wrapText="1"/>
    </xf>
    <xf numFmtId="208" fontId="162" fillId="5" borderId="0" xfId="12" applyNumberFormat="1" applyFont="1" applyFill="1" applyBorder="1" applyAlignment="1">
      <alignment horizontal="right" wrapText="1"/>
    </xf>
    <xf numFmtId="208" fontId="162" fillId="5" borderId="0" xfId="12" applyNumberFormat="1" applyFont="1" applyFill="1" applyBorder="1" applyAlignment="1">
      <alignment horizontal="right" vertical="center"/>
    </xf>
    <xf numFmtId="208" fontId="162" fillId="5" borderId="35" xfId="12" applyNumberFormat="1" applyFont="1" applyFill="1" applyBorder="1" applyAlignment="1">
      <alignment horizontal="right"/>
    </xf>
    <xf numFmtId="208" fontId="162" fillId="5" borderId="40" xfId="12" applyNumberFormat="1" applyFont="1" applyFill="1" applyBorder="1" applyAlignment="1">
      <alignment horizontal="right"/>
    </xf>
    <xf numFmtId="207" fontId="161" fillId="5" borderId="0" xfId="13" applyFont="1" applyFill="1" applyAlignment="1">
      <alignment horizontal="left" vertical="top"/>
    </xf>
    <xf numFmtId="3" fontId="162" fillId="5" borderId="40" xfId="14" applyNumberFormat="1" applyFont="1" applyFill="1" applyBorder="1" applyAlignment="1">
      <alignment horizontal="right"/>
    </xf>
    <xf numFmtId="3" fontId="162" fillId="5" borderId="40" xfId="14" applyNumberFormat="1" applyFont="1" applyFill="1" applyBorder="1" applyAlignment="1">
      <alignment horizontal="right" wrapText="1"/>
    </xf>
    <xf numFmtId="3" fontId="162" fillId="5" borderId="35" xfId="14" applyNumberFormat="1" applyFont="1" applyFill="1" applyBorder="1" applyAlignment="1">
      <alignment horizontal="right" wrapText="1"/>
    </xf>
    <xf numFmtId="207" fontId="164" fillId="5" borderId="0" xfId="13" applyFont="1" applyFill="1" applyAlignment="1">
      <alignment horizontal="left" vertical="top"/>
    </xf>
    <xf numFmtId="219" fontId="155" fillId="5" borderId="19" xfId="13" applyNumberFormat="1" applyFont="1" applyFill="1" applyBorder="1" applyAlignment="1">
      <alignment horizontal="left" vertical="top" wrapText="1" indent="1"/>
    </xf>
    <xf numFmtId="219" fontId="154" fillId="5" borderId="19" xfId="13" applyNumberFormat="1" applyFont="1" applyFill="1" applyBorder="1" applyAlignment="1">
      <alignment horizontal="right" wrapText="1"/>
    </xf>
    <xf numFmtId="219" fontId="154" fillId="5" borderId="19" xfId="12" applyNumberFormat="1" applyFont="1" applyFill="1" applyBorder="1" applyAlignment="1">
      <alignment horizontal="right" wrapText="1"/>
    </xf>
    <xf numFmtId="219" fontId="152" fillId="5" borderId="19" xfId="12" applyNumberFormat="1" applyFont="1" applyFill="1" applyBorder="1" applyAlignment="1">
      <alignment horizontal="right" wrapText="1"/>
    </xf>
    <xf numFmtId="219" fontId="152" fillId="5" borderId="19" xfId="14" applyNumberFormat="1" applyFont="1" applyFill="1" applyBorder="1" applyAlignment="1">
      <alignment horizontal="right" wrapText="1"/>
    </xf>
    <xf numFmtId="219" fontId="154" fillId="5" borderId="41" xfId="12" applyNumberFormat="1" applyFont="1" applyFill="1" applyBorder="1" applyAlignment="1">
      <alignment horizontal="right" wrapText="1"/>
    </xf>
    <xf numFmtId="219" fontId="154" fillId="5" borderId="19" xfId="12" applyNumberFormat="1" applyFont="1" applyFill="1" applyBorder="1" applyAlignment="1">
      <alignment horizontal="right" vertical="center"/>
    </xf>
    <xf numFmtId="219" fontId="154" fillId="5" borderId="42" xfId="12" applyNumberFormat="1" applyFont="1" applyFill="1" applyBorder="1" applyAlignment="1">
      <alignment horizontal="right"/>
    </xf>
    <xf numFmtId="219" fontId="154" fillId="5" borderId="41" xfId="12" applyNumberFormat="1" applyFont="1" applyFill="1" applyBorder="1" applyAlignment="1">
      <alignment horizontal="right"/>
    </xf>
    <xf numFmtId="219" fontId="152" fillId="5" borderId="41" xfId="12" applyNumberFormat="1" applyFont="1" applyFill="1" applyBorder="1" applyAlignment="1">
      <alignment horizontal="right" wrapText="1"/>
    </xf>
    <xf numFmtId="219" fontId="152" fillId="5" borderId="42" xfId="12" applyNumberFormat="1" applyFont="1" applyFill="1" applyBorder="1" applyAlignment="1">
      <alignment horizontal="right" wrapText="1"/>
    </xf>
    <xf numFmtId="219" fontId="154" fillId="5" borderId="0" xfId="13" applyNumberFormat="1" applyFont="1" applyFill="1">
      <alignment vertical="center"/>
    </xf>
    <xf numFmtId="207" fontId="160" fillId="5" borderId="0" xfId="13" applyFont="1" applyFill="1" applyAlignment="1">
      <alignment horizontal="left" vertical="top" wrapText="1" indent="3"/>
    </xf>
    <xf numFmtId="207" fontId="165" fillId="5" borderId="0" xfId="13" applyFont="1" applyFill="1" applyAlignment="1">
      <alignment horizontal="right" wrapText="1"/>
    </xf>
    <xf numFmtId="3" fontId="165" fillId="5" borderId="0" xfId="13" applyNumberFormat="1" applyFont="1" applyFill="1" applyAlignment="1">
      <alignment horizontal="right" wrapText="1"/>
    </xf>
    <xf numFmtId="206" fontId="165" fillId="5" borderId="0" xfId="12" applyFont="1" applyFill="1" applyBorder="1" applyAlignment="1">
      <alignment horizontal="right" wrapText="1"/>
    </xf>
    <xf numFmtId="208" fontId="165" fillId="5" borderId="40" xfId="12" applyNumberFormat="1" applyFont="1" applyFill="1" applyBorder="1" applyAlignment="1">
      <alignment horizontal="right" wrapText="1"/>
    </xf>
    <xf numFmtId="208" fontId="165" fillId="5" borderId="0" xfId="12" applyNumberFormat="1" applyFont="1" applyFill="1" applyBorder="1" applyAlignment="1">
      <alignment horizontal="right" wrapText="1"/>
    </xf>
    <xf numFmtId="208" fontId="165" fillId="5" borderId="0" xfId="12" applyNumberFormat="1" applyFont="1" applyFill="1" applyBorder="1" applyAlignment="1">
      <alignment horizontal="right" vertical="center"/>
    </xf>
    <xf numFmtId="208" fontId="165" fillId="5" borderId="35" xfId="12" applyNumberFormat="1" applyFont="1" applyFill="1" applyBorder="1" applyAlignment="1">
      <alignment horizontal="right"/>
    </xf>
    <xf numFmtId="208" fontId="165" fillId="5" borderId="40" xfId="12" applyNumberFormat="1" applyFont="1" applyFill="1" applyBorder="1" applyAlignment="1">
      <alignment horizontal="right"/>
    </xf>
    <xf numFmtId="9" fontId="151" fillId="5" borderId="35" xfId="14" applyFont="1" applyFill="1" applyBorder="1" applyAlignment="1">
      <alignment horizontal="right" wrapText="1"/>
    </xf>
    <xf numFmtId="9" fontId="151" fillId="5" borderId="40" xfId="14" applyFont="1" applyFill="1" applyBorder="1" applyAlignment="1">
      <alignment horizontal="right" wrapText="1"/>
    </xf>
    <xf numFmtId="207" fontId="165" fillId="5" borderId="0" xfId="13" applyFont="1" applyFill="1">
      <alignment vertical="center"/>
    </xf>
    <xf numFmtId="219" fontId="155" fillId="5" borderId="0" xfId="13" applyNumberFormat="1" applyFont="1" applyFill="1" applyAlignment="1">
      <alignment horizontal="left" vertical="top" wrapText="1" indent="1"/>
    </xf>
    <xf numFmtId="219" fontId="153" fillId="5" borderId="0" xfId="13" applyNumberFormat="1" applyFont="1" applyFill="1" applyAlignment="1">
      <alignment horizontal="right" wrapText="1"/>
    </xf>
    <xf numFmtId="219" fontId="153" fillId="5" borderId="0" xfId="12" applyNumberFormat="1" applyFont="1" applyFill="1" applyBorder="1" applyAlignment="1">
      <alignment horizontal="right" wrapText="1"/>
    </xf>
    <xf numFmtId="219" fontId="152" fillId="5" borderId="0" xfId="13" applyNumberFormat="1" applyFont="1" applyFill="1" applyAlignment="1">
      <alignment horizontal="right" wrapText="1"/>
    </xf>
    <xf numFmtId="219" fontId="152" fillId="5" borderId="0" xfId="12" applyNumberFormat="1" applyFont="1" applyFill="1" applyBorder="1" applyAlignment="1">
      <alignment horizontal="right" wrapText="1"/>
    </xf>
    <xf numFmtId="219" fontId="153" fillId="5" borderId="40" xfId="13" applyNumberFormat="1" applyFont="1" applyFill="1" applyBorder="1" applyAlignment="1">
      <alignment horizontal="right" wrapText="1"/>
    </xf>
    <xf numFmtId="219" fontId="153" fillId="5" borderId="0" xfId="13" applyNumberFormat="1" applyFont="1" applyFill="1" applyAlignment="1">
      <alignment horizontal="right" vertical="center"/>
    </xf>
    <xf numFmtId="219" fontId="153" fillId="5" borderId="35" xfId="13" applyNumberFormat="1" applyFont="1" applyFill="1" applyBorder="1" applyAlignment="1">
      <alignment horizontal="right"/>
    </xf>
    <xf numFmtId="219" fontId="153" fillId="5" borderId="40" xfId="13" applyNumberFormat="1" applyFont="1" applyFill="1" applyBorder="1" applyAlignment="1">
      <alignment horizontal="right"/>
    </xf>
    <xf numFmtId="219" fontId="152" fillId="5" borderId="40" xfId="12" applyNumberFormat="1" applyFont="1" applyFill="1" applyBorder="1" applyAlignment="1">
      <alignment horizontal="right" wrapText="1"/>
    </xf>
    <xf numFmtId="219" fontId="152" fillId="5" borderId="35" xfId="12" applyNumberFormat="1" applyFont="1" applyFill="1" applyBorder="1" applyAlignment="1">
      <alignment horizontal="right" wrapText="1"/>
    </xf>
    <xf numFmtId="219" fontId="153" fillId="5" borderId="0" xfId="13" applyNumberFormat="1" applyFont="1" applyFill="1">
      <alignment vertical="center"/>
    </xf>
    <xf numFmtId="219" fontId="160" fillId="5" borderId="0" xfId="13" applyNumberFormat="1" applyFont="1" applyFill="1" applyAlignment="1">
      <alignment horizontal="left" vertical="top" indent="3"/>
    </xf>
    <xf numFmtId="219" fontId="151" fillId="5" borderId="0" xfId="13" applyNumberFormat="1" applyFont="1" applyFill="1" applyAlignment="1">
      <alignment horizontal="right" wrapText="1"/>
    </xf>
    <xf numFmtId="219" fontId="151" fillId="5" borderId="0" xfId="12" applyNumberFormat="1" applyFont="1" applyFill="1" applyBorder="1" applyAlignment="1">
      <alignment horizontal="right" wrapText="1"/>
    </xf>
    <xf numFmtId="219" fontId="151" fillId="5" borderId="40" xfId="13" applyNumberFormat="1" applyFont="1" applyFill="1" applyBorder="1" applyAlignment="1">
      <alignment horizontal="right" wrapText="1"/>
    </xf>
    <xf numFmtId="219" fontId="151" fillId="5" borderId="0" xfId="13" applyNumberFormat="1" applyFont="1" applyFill="1" applyAlignment="1">
      <alignment horizontal="right" vertical="center"/>
    </xf>
    <xf numFmtId="219" fontId="151" fillId="5" borderId="35" xfId="13" applyNumberFormat="1" applyFont="1" applyFill="1" applyBorder="1" applyAlignment="1">
      <alignment horizontal="right"/>
    </xf>
    <xf numFmtId="219" fontId="151" fillId="5" borderId="40" xfId="13" applyNumberFormat="1" applyFont="1" applyFill="1" applyBorder="1" applyAlignment="1">
      <alignment horizontal="right"/>
    </xf>
    <xf numFmtId="219" fontId="151" fillId="5" borderId="35" xfId="12" applyNumberFormat="1" applyFont="1" applyFill="1" applyBorder="1" applyAlignment="1">
      <alignment horizontal="right" wrapText="1"/>
    </xf>
    <xf numFmtId="219" fontId="151" fillId="5" borderId="40" xfId="12" applyNumberFormat="1" applyFont="1" applyFill="1" applyBorder="1" applyAlignment="1">
      <alignment horizontal="right" wrapText="1"/>
    </xf>
    <xf numFmtId="219" fontId="151" fillId="5" borderId="0" xfId="13" applyNumberFormat="1" applyFont="1" applyFill="1">
      <alignment vertical="center"/>
    </xf>
    <xf numFmtId="207" fontId="160" fillId="5" borderId="0" xfId="13" applyFont="1" applyFill="1" applyAlignment="1">
      <alignment horizontal="left" vertical="top" wrapText="1" indent="5"/>
    </xf>
    <xf numFmtId="219" fontId="160" fillId="5" borderId="0" xfId="13" applyNumberFormat="1" applyFont="1" applyFill="1" applyAlignment="1">
      <alignment horizontal="left" vertical="top" wrapText="1" indent="3"/>
    </xf>
    <xf numFmtId="206" fontId="151" fillId="5" borderId="0" xfId="12" applyFont="1" applyFill="1" applyBorder="1" applyAlignment="1">
      <alignment horizontal="right" wrapText="1"/>
    </xf>
    <xf numFmtId="208" fontId="151" fillId="5" borderId="40" xfId="13" applyNumberFormat="1" applyFont="1" applyFill="1" applyBorder="1" applyAlignment="1">
      <alignment horizontal="right" wrapText="1"/>
    </xf>
    <xf numFmtId="208" fontId="151" fillId="5" borderId="35" xfId="12" applyNumberFormat="1" applyFont="1" applyFill="1" applyBorder="1" applyAlignment="1">
      <alignment horizontal="right" wrapText="1"/>
    </xf>
    <xf numFmtId="208" fontId="151" fillId="5" borderId="40" xfId="12" applyNumberFormat="1" applyFont="1" applyFill="1" applyBorder="1" applyAlignment="1">
      <alignment horizontal="right" wrapText="1"/>
    </xf>
    <xf numFmtId="3" fontId="153" fillId="5" borderId="0" xfId="14" applyNumberFormat="1" applyFont="1" applyFill="1" applyBorder="1" applyAlignment="1">
      <alignment horizontal="right" wrapText="1"/>
    </xf>
    <xf numFmtId="1" fontId="151" fillId="5" borderId="40" xfId="13" applyNumberFormat="1" applyFont="1" applyFill="1" applyBorder="1" applyAlignment="1">
      <alignment horizontal="right" wrapText="1"/>
    </xf>
    <xf numFmtId="207" fontId="151" fillId="5" borderId="40" xfId="13" applyFont="1" applyFill="1" applyBorder="1" applyAlignment="1">
      <alignment horizontal="right" wrapText="1"/>
    </xf>
    <xf numFmtId="3" fontId="151" fillId="5" borderId="0" xfId="13" applyNumberFormat="1" applyFont="1" applyFill="1" applyAlignment="1">
      <alignment horizontal="right" vertical="center"/>
    </xf>
    <xf numFmtId="3" fontId="151" fillId="5" borderId="35" xfId="13" applyNumberFormat="1" applyFont="1" applyFill="1" applyBorder="1" applyAlignment="1">
      <alignment horizontal="right"/>
    </xf>
    <xf numFmtId="3" fontId="151" fillId="5" borderId="40" xfId="13" applyNumberFormat="1" applyFont="1" applyFill="1" applyBorder="1" applyAlignment="1">
      <alignment horizontal="right"/>
    </xf>
    <xf numFmtId="3" fontId="151" fillId="5" borderId="40" xfId="13" applyNumberFormat="1" applyFont="1" applyFill="1" applyBorder="1" applyAlignment="1">
      <alignment horizontal="right" wrapText="1"/>
    </xf>
    <xf numFmtId="9" fontId="151" fillId="5" borderId="0" xfId="14" applyFont="1" applyFill="1" applyBorder="1" applyAlignment="1">
      <alignment horizontal="right" vertical="center"/>
    </xf>
    <xf numFmtId="9" fontId="151" fillId="5" borderId="35" xfId="14" applyFont="1" applyFill="1" applyBorder="1" applyAlignment="1">
      <alignment horizontal="right" vertical="center"/>
    </xf>
    <xf numFmtId="9" fontId="151" fillId="5" borderId="40" xfId="14" applyFont="1" applyFill="1" applyBorder="1" applyAlignment="1">
      <alignment horizontal="right" vertical="center"/>
    </xf>
    <xf numFmtId="207" fontId="155" fillId="5" borderId="0" xfId="13" applyFont="1" applyFill="1" applyAlignment="1">
      <alignment horizontal="left" vertical="top" wrapText="1" indent="1"/>
    </xf>
    <xf numFmtId="206" fontId="152" fillId="5" borderId="0" xfId="12" applyFont="1" applyFill="1" applyBorder="1" applyAlignment="1">
      <alignment horizontal="right" wrapText="1"/>
    </xf>
    <xf numFmtId="3" fontId="152" fillId="5" borderId="0" xfId="13" applyNumberFormat="1" applyFont="1" applyFill="1" applyAlignment="1">
      <alignment horizontal="right" vertical="center"/>
    </xf>
    <xf numFmtId="3" fontId="152" fillId="5" borderId="35" xfId="13" applyNumberFormat="1" applyFont="1" applyFill="1" applyBorder="1" applyAlignment="1">
      <alignment horizontal="right"/>
    </xf>
    <xf numFmtId="3" fontId="152" fillId="5" borderId="40" xfId="13" applyNumberFormat="1" applyFont="1" applyFill="1" applyBorder="1" applyAlignment="1">
      <alignment horizontal="right"/>
    </xf>
    <xf numFmtId="208" fontId="152" fillId="5" borderId="40" xfId="13" applyNumberFormat="1" applyFont="1" applyFill="1" applyBorder="1" applyAlignment="1">
      <alignment horizontal="right" wrapText="1"/>
    </xf>
    <xf numFmtId="207" fontId="160" fillId="5" borderId="24" xfId="13" applyFont="1" applyFill="1" applyBorder="1" applyAlignment="1">
      <alignment horizontal="left" vertical="top" wrapText="1" indent="3"/>
    </xf>
    <xf numFmtId="9" fontId="153" fillId="5" borderId="24" xfId="14" applyFont="1" applyFill="1" applyBorder="1" applyAlignment="1">
      <alignment horizontal="right" wrapText="1"/>
    </xf>
    <xf numFmtId="207" fontId="153" fillId="5" borderId="43" xfId="13" applyFont="1" applyFill="1" applyBorder="1" applyAlignment="1">
      <alignment horizontal="right" wrapText="1"/>
    </xf>
    <xf numFmtId="9" fontId="153" fillId="5" borderId="43" xfId="14" applyFont="1" applyFill="1" applyBorder="1" applyAlignment="1">
      <alignment horizontal="right" wrapText="1"/>
    </xf>
    <xf numFmtId="9" fontId="153" fillId="5" borderId="24" xfId="14" applyFont="1" applyFill="1" applyBorder="1" applyAlignment="1">
      <alignment horizontal="right"/>
    </xf>
    <xf numFmtId="9" fontId="153" fillId="5" borderId="44" xfId="14" applyFont="1" applyFill="1" applyBorder="1" applyAlignment="1">
      <alignment horizontal="right"/>
    </xf>
    <xf numFmtId="9" fontId="153" fillId="5" borderId="44" xfId="14" applyFont="1" applyFill="1" applyBorder="1" applyAlignment="1">
      <alignment horizontal="right" wrapText="1"/>
    </xf>
    <xf numFmtId="207" fontId="161" fillId="5" borderId="40" xfId="13" applyFont="1" applyFill="1" applyBorder="1" applyAlignment="1">
      <alignment horizontal="right" wrapText="1"/>
    </xf>
    <xf numFmtId="3" fontId="161" fillId="5" borderId="0" xfId="13" applyNumberFormat="1" applyFont="1" applyFill="1" applyAlignment="1">
      <alignment horizontal="right" vertical="center"/>
    </xf>
    <xf numFmtId="3" fontId="161" fillId="5" borderId="35" xfId="13" applyNumberFormat="1" applyFont="1" applyFill="1" applyBorder="1" applyAlignment="1">
      <alignment horizontal="right"/>
    </xf>
    <xf numFmtId="3" fontId="161" fillId="5" borderId="40" xfId="13" applyNumberFormat="1" applyFont="1" applyFill="1" applyBorder="1" applyAlignment="1">
      <alignment horizontal="right"/>
    </xf>
    <xf numFmtId="207" fontId="160" fillId="5" borderId="0" xfId="13" applyFont="1" applyFill="1" applyAlignment="1">
      <alignment horizontal="left" vertical="top"/>
    </xf>
    <xf numFmtId="207" fontId="158" fillId="5" borderId="0" xfId="13" applyFont="1" applyFill="1" applyAlignment="1">
      <alignment horizontal="right" wrapText="1"/>
    </xf>
    <xf numFmtId="206" fontId="158" fillId="5" borderId="0" xfId="12" applyFont="1" applyFill="1" applyBorder="1" applyAlignment="1">
      <alignment horizontal="right" wrapText="1"/>
    </xf>
    <xf numFmtId="9" fontId="158" fillId="5" borderId="0" xfId="14" applyFont="1" applyFill="1" applyBorder="1" applyAlignment="1">
      <alignment horizontal="right" wrapText="1"/>
    </xf>
    <xf numFmtId="9" fontId="158" fillId="5" borderId="0" xfId="14" applyFont="1" applyFill="1" applyBorder="1" applyAlignment="1">
      <alignment horizontal="right" vertical="center" wrapText="1"/>
    </xf>
    <xf numFmtId="207" fontId="158" fillId="5" borderId="40" xfId="13" applyFont="1" applyFill="1" applyBorder="1" applyAlignment="1">
      <alignment horizontal="right" wrapText="1"/>
    </xf>
    <xf numFmtId="3" fontId="158" fillId="5" borderId="0" xfId="13" applyNumberFormat="1" applyFont="1" applyFill="1" applyAlignment="1">
      <alignment horizontal="right" vertical="center"/>
    </xf>
    <xf numFmtId="3" fontId="158" fillId="5" borderId="35" xfId="13" applyNumberFormat="1" applyFont="1" applyFill="1" applyBorder="1" applyAlignment="1">
      <alignment horizontal="right"/>
    </xf>
    <xf numFmtId="3" fontId="158" fillId="5" borderId="40" xfId="13" applyNumberFormat="1" applyFont="1" applyFill="1" applyBorder="1" applyAlignment="1">
      <alignment horizontal="right"/>
    </xf>
    <xf numFmtId="9" fontId="158" fillId="5" borderId="40" xfId="14" applyFont="1" applyFill="1" applyBorder="1" applyAlignment="1">
      <alignment horizontal="right" vertical="center" wrapText="1"/>
    </xf>
    <xf numFmtId="9" fontId="158" fillId="5" borderId="0" xfId="14" applyFont="1" applyFill="1" applyBorder="1" applyAlignment="1">
      <alignment horizontal="right" vertical="center"/>
    </xf>
    <xf numFmtId="9" fontId="158" fillId="5" borderId="35" xfId="14" applyFont="1" applyFill="1" applyBorder="1" applyAlignment="1">
      <alignment horizontal="right" vertical="center" wrapText="1"/>
    </xf>
    <xf numFmtId="207" fontId="161" fillId="5" borderId="0" xfId="13" applyFont="1" applyFill="1" applyAlignment="1">
      <alignment horizontal="left" vertical="top" wrapText="1"/>
    </xf>
    <xf numFmtId="208" fontId="161" fillId="5" borderId="40" xfId="12" applyNumberFormat="1" applyFont="1" applyFill="1" applyBorder="1" applyAlignment="1">
      <alignment horizontal="right" vertical="center"/>
    </xf>
    <xf numFmtId="3" fontId="161" fillId="5" borderId="35" xfId="13" applyNumberFormat="1" applyFont="1" applyFill="1" applyBorder="1" applyAlignment="1">
      <alignment horizontal="right" wrapText="1"/>
    </xf>
    <xf numFmtId="3" fontId="161" fillId="5" borderId="40" xfId="13" applyNumberFormat="1" applyFont="1" applyFill="1" applyBorder="1" applyAlignment="1">
      <alignment horizontal="right" wrapText="1"/>
    </xf>
    <xf numFmtId="207" fontId="158" fillId="5" borderId="0" xfId="13" applyFont="1" applyFill="1" applyAlignment="1">
      <alignment horizontal="left" vertical="top" wrapText="1" indent="1"/>
    </xf>
    <xf numFmtId="207" fontId="160" fillId="5" borderId="0" xfId="13" applyFont="1" applyFill="1" applyAlignment="1">
      <alignment horizontal="left" vertical="top" wrapText="1" indent="1"/>
    </xf>
    <xf numFmtId="207" fontId="163" fillId="5" borderId="0" xfId="13" applyFont="1" applyFill="1" applyAlignment="1">
      <alignment horizontal="left" vertical="top" wrapText="1"/>
    </xf>
    <xf numFmtId="207" fontId="163" fillId="5" borderId="40" xfId="13" applyFont="1" applyFill="1" applyBorder="1" applyAlignment="1">
      <alignment horizontal="right" wrapText="1"/>
    </xf>
    <xf numFmtId="3" fontId="163" fillId="5" borderId="0" xfId="13" applyNumberFormat="1" applyFont="1" applyFill="1" applyAlignment="1">
      <alignment horizontal="right" vertical="center"/>
    </xf>
    <xf numFmtId="3" fontId="163" fillId="5" borderId="35" xfId="13" applyNumberFormat="1" applyFont="1" applyFill="1" applyBorder="1" applyAlignment="1">
      <alignment horizontal="right"/>
    </xf>
    <xf numFmtId="184" fontId="163" fillId="5" borderId="40" xfId="14" applyNumberFormat="1" applyFont="1" applyFill="1" applyBorder="1" applyAlignment="1">
      <alignment horizontal="right"/>
    </xf>
    <xf numFmtId="184" fontId="151" fillId="5" borderId="0" xfId="14" applyNumberFormat="1" applyFont="1" applyFill="1" applyBorder="1" applyAlignment="1">
      <alignment horizontal="right" wrapText="1"/>
    </xf>
    <xf numFmtId="208" fontId="153" fillId="5" borderId="35" xfId="12" applyNumberFormat="1" applyFont="1" applyFill="1" applyBorder="1" applyAlignment="1">
      <alignment horizontal="right" wrapText="1"/>
    </xf>
    <xf numFmtId="207" fontId="166" fillId="5" borderId="39" xfId="13" applyFont="1" applyFill="1" applyBorder="1" applyAlignment="1">
      <alignment horizontal="center" vertical="center"/>
    </xf>
    <xf numFmtId="208" fontId="153" fillId="5" borderId="0" xfId="12" applyNumberFormat="1" applyFont="1" applyFill="1" applyAlignment="1">
      <alignment horizontal="right" wrapText="1"/>
    </xf>
    <xf numFmtId="207" fontId="155" fillId="5" borderId="19" xfId="13" applyFont="1" applyFill="1" applyBorder="1" applyAlignment="1">
      <alignment horizontal="left" vertical="top" wrapText="1"/>
    </xf>
    <xf numFmtId="208" fontId="152" fillId="5" borderId="19" xfId="12" applyNumberFormat="1" applyFont="1" applyFill="1" applyBorder="1" applyAlignment="1">
      <alignment horizontal="right" wrapText="1"/>
    </xf>
    <xf numFmtId="3" fontId="152" fillId="5" borderId="19" xfId="13" applyNumberFormat="1" applyFont="1" applyFill="1" applyBorder="1" applyAlignment="1">
      <alignment horizontal="right" wrapText="1"/>
    </xf>
    <xf numFmtId="184" fontId="152" fillId="5" borderId="19" xfId="14" applyNumberFormat="1" applyFont="1" applyFill="1" applyBorder="1" applyAlignment="1">
      <alignment horizontal="right" wrapText="1"/>
    </xf>
    <xf numFmtId="207" fontId="152" fillId="5" borderId="41" xfId="13" applyFont="1" applyFill="1" applyBorder="1" applyAlignment="1">
      <alignment horizontal="right" wrapText="1"/>
    </xf>
    <xf numFmtId="207" fontId="152" fillId="5" borderId="19" xfId="13" applyFont="1" applyFill="1" applyBorder="1" applyAlignment="1">
      <alignment horizontal="right" wrapText="1"/>
    </xf>
    <xf numFmtId="3" fontId="152" fillId="5" borderId="19" xfId="13" applyNumberFormat="1" applyFont="1" applyFill="1" applyBorder="1" applyAlignment="1">
      <alignment horizontal="right" vertical="center"/>
    </xf>
    <xf numFmtId="3" fontId="152" fillId="5" borderId="42" xfId="13" applyNumberFormat="1" applyFont="1" applyFill="1" applyBorder="1" applyAlignment="1">
      <alignment horizontal="right"/>
    </xf>
    <xf numFmtId="3" fontId="152" fillId="5" borderId="41" xfId="13" applyNumberFormat="1" applyFont="1" applyFill="1" applyBorder="1" applyAlignment="1">
      <alignment horizontal="right"/>
    </xf>
    <xf numFmtId="184" fontId="152" fillId="5" borderId="41" xfId="14" applyNumberFormat="1" applyFont="1" applyFill="1" applyBorder="1" applyAlignment="1">
      <alignment horizontal="right" vertical="center"/>
    </xf>
    <xf numFmtId="184" fontId="152" fillId="5" borderId="19" xfId="14" applyNumberFormat="1" applyFont="1" applyFill="1" applyBorder="1" applyAlignment="1">
      <alignment horizontal="right" vertical="center"/>
    </xf>
    <xf numFmtId="184" fontId="152" fillId="5" borderId="42" xfId="14" applyNumberFormat="1" applyFont="1" applyFill="1" applyBorder="1" applyAlignment="1">
      <alignment horizontal="right" vertical="center"/>
    </xf>
    <xf numFmtId="184" fontId="153" fillId="5" borderId="0" xfId="14" applyNumberFormat="1" applyFont="1" applyFill="1" applyBorder="1" applyAlignment="1">
      <alignment horizontal="right" wrapText="1"/>
    </xf>
    <xf numFmtId="184" fontId="153" fillId="5" borderId="40" xfId="14" applyNumberFormat="1" applyFont="1" applyFill="1" applyBorder="1" applyAlignment="1">
      <alignment horizontal="right" vertical="center"/>
    </xf>
    <xf numFmtId="184" fontId="153" fillId="5" borderId="0" xfId="14" applyNumberFormat="1" applyFont="1" applyFill="1" applyBorder="1" applyAlignment="1">
      <alignment horizontal="right" vertical="center"/>
    </xf>
    <xf numFmtId="184" fontId="153" fillId="5" borderId="35" xfId="14" applyNumberFormat="1" applyFont="1" applyFill="1" applyBorder="1" applyAlignment="1">
      <alignment horizontal="right" vertical="center"/>
    </xf>
    <xf numFmtId="184" fontId="151" fillId="5" borderId="40" xfId="14" applyNumberFormat="1" applyFont="1" applyFill="1" applyBorder="1" applyAlignment="1">
      <alignment horizontal="right" vertical="center"/>
    </xf>
    <xf numFmtId="184" fontId="151" fillId="5" borderId="0" xfId="14" applyNumberFormat="1" applyFont="1" applyFill="1" applyBorder="1" applyAlignment="1">
      <alignment horizontal="right" vertical="center"/>
    </xf>
    <xf numFmtId="184" fontId="151" fillId="5" borderId="35" xfId="14" applyNumberFormat="1" applyFont="1" applyFill="1" applyBorder="1" applyAlignment="1">
      <alignment horizontal="right" vertical="center"/>
    </xf>
    <xf numFmtId="184" fontId="151" fillId="5" borderId="35" xfId="14" applyNumberFormat="1" applyFont="1" applyFill="1" applyBorder="1" applyAlignment="1">
      <alignment horizontal="right" wrapText="1"/>
    </xf>
    <xf numFmtId="184" fontId="151" fillId="5" borderId="40" xfId="14" applyNumberFormat="1" applyFont="1" applyFill="1" applyBorder="1" applyAlignment="1">
      <alignment horizontal="right" wrapText="1"/>
    </xf>
    <xf numFmtId="207" fontId="158" fillId="5" borderId="24" xfId="13" applyFont="1" applyFill="1" applyBorder="1" applyAlignment="1">
      <alignment horizontal="left" vertical="top" wrapText="1"/>
    </xf>
    <xf numFmtId="184" fontId="153" fillId="5" borderId="24" xfId="14" applyNumberFormat="1" applyFont="1" applyFill="1" applyBorder="1" applyAlignment="1">
      <alignment horizontal="right" wrapText="1"/>
    </xf>
    <xf numFmtId="184" fontId="153" fillId="5" borderId="43" xfId="14" applyNumberFormat="1" applyFont="1" applyFill="1" applyBorder="1" applyAlignment="1">
      <alignment horizontal="right" vertical="center"/>
    </xf>
    <xf numFmtId="184" fontId="153" fillId="5" borderId="24" xfId="14" applyNumberFormat="1" applyFont="1" applyFill="1" applyBorder="1" applyAlignment="1">
      <alignment horizontal="right" vertical="center"/>
    </xf>
    <xf numFmtId="184" fontId="153" fillId="5" borderId="44" xfId="14" applyNumberFormat="1" applyFont="1" applyFill="1" applyBorder="1" applyAlignment="1">
      <alignment horizontal="right" vertical="center"/>
    </xf>
    <xf numFmtId="207" fontId="156" fillId="5" borderId="0" xfId="13" applyFont="1" applyFill="1" applyAlignment="1">
      <alignment horizontal="left" vertical="top" wrapText="1"/>
    </xf>
    <xf numFmtId="208" fontId="167" fillId="5" borderId="0" xfId="12" applyNumberFormat="1" applyFont="1" applyFill="1" applyBorder="1" applyAlignment="1">
      <alignment horizontal="right"/>
    </xf>
    <xf numFmtId="208" fontId="167" fillId="5" borderId="40" xfId="12" applyNumberFormat="1" applyFont="1" applyFill="1" applyBorder="1" applyAlignment="1">
      <alignment horizontal="right" wrapText="1"/>
    </xf>
    <xf numFmtId="208" fontId="167" fillId="5" borderId="0" xfId="12" applyNumberFormat="1" applyFont="1" applyFill="1" applyBorder="1" applyAlignment="1">
      <alignment horizontal="right" wrapText="1"/>
    </xf>
    <xf numFmtId="208" fontId="167" fillId="5" borderId="0" xfId="12" applyNumberFormat="1" applyFont="1" applyFill="1" applyBorder="1" applyAlignment="1">
      <alignment horizontal="right" vertical="center"/>
    </xf>
    <xf numFmtId="208" fontId="167" fillId="5" borderId="35" xfId="12" applyNumberFormat="1" applyFont="1" applyFill="1" applyBorder="1" applyAlignment="1">
      <alignment horizontal="right"/>
    </xf>
    <xf numFmtId="208" fontId="158" fillId="5" borderId="40" xfId="12" applyNumberFormat="1" applyFont="1" applyFill="1" applyBorder="1" applyAlignment="1">
      <alignment horizontal="right"/>
    </xf>
    <xf numFmtId="208" fontId="158" fillId="5" borderId="0" xfId="12" applyNumberFormat="1" applyFont="1" applyFill="1" applyBorder="1" applyAlignment="1">
      <alignment horizontal="right"/>
    </xf>
    <xf numFmtId="207" fontId="167" fillId="5" borderId="0" xfId="13" applyFont="1" applyFill="1">
      <alignment vertical="center"/>
    </xf>
    <xf numFmtId="184" fontId="162" fillId="5" borderId="0" xfId="14" applyNumberFormat="1" applyFont="1" applyFill="1" applyAlignment="1">
      <alignment horizontal="left" vertical="top" wrapText="1"/>
    </xf>
    <xf numFmtId="184" fontId="159" fillId="5" borderId="0" xfId="14" applyNumberFormat="1" applyFont="1" applyFill="1" applyAlignment="1">
      <alignment horizontal="right" wrapText="1"/>
    </xf>
    <xf numFmtId="184" fontId="159" fillId="5" borderId="0" xfId="14" applyNumberFormat="1" applyFont="1" applyFill="1" applyBorder="1" applyAlignment="1">
      <alignment horizontal="right" wrapText="1"/>
    </xf>
    <xf numFmtId="184" fontId="159" fillId="5" borderId="0" xfId="14" applyNumberFormat="1" applyFont="1" applyFill="1" applyBorder="1" applyAlignment="1">
      <alignment horizontal="right"/>
    </xf>
    <xf numFmtId="184" fontId="159" fillId="5" borderId="40" xfId="14" applyNumberFormat="1" applyFont="1" applyFill="1" applyBorder="1" applyAlignment="1">
      <alignment horizontal="right" wrapText="1"/>
    </xf>
    <xf numFmtId="184" fontId="159" fillId="5" borderId="35" xfId="14" applyNumberFormat="1" applyFont="1" applyFill="1" applyBorder="1" applyAlignment="1">
      <alignment horizontal="right"/>
    </xf>
    <xf numFmtId="184" fontId="159" fillId="5" borderId="40" xfId="14" applyNumberFormat="1" applyFont="1" applyFill="1" applyBorder="1" applyAlignment="1">
      <alignment horizontal="right"/>
    </xf>
    <xf numFmtId="184" fontId="159" fillId="5" borderId="0" xfId="14" applyNumberFormat="1" applyFont="1" applyFill="1" applyBorder="1">
      <alignment vertical="center"/>
    </xf>
    <xf numFmtId="184" fontId="159" fillId="5" borderId="0" xfId="14" applyNumberFormat="1" applyFont="1" applyFill="1">
      <alignment vertical="center"/>
    </xf>
    <xf numFmtId="220" fontId="153" fillId="5" borderId="0" xfId="13" applyNumberFormat="1" applyFont="1" applyFill="1" applyAlignment="1">
      <alignment horizontal="right" wrapText="1"/>
    </xf>
    <xf numFmtId="220" fontId="153" fillId="5" borderId="40" xfId="13" applyNumberFormat="1" applyFont="1" applyFill="1" applyBorder="1" applyAlignment="1">
      <alignment horizontal="right" wrapText="1"/>
    </xf>
    <xf numFmtId="220" fontId="153" fillId="5" borderId="0" xfId="13" applyNumberFormat="1" applyFont="1" applyFill="1" applyAlignment="1">
      <alignment horizontal="right" vertical="center"/>
    </xf>
    <xf numFmtId="220" fontId="153" fillId="5" borderId="35" xfId="13" applyNumberFormat="1" applyFont="1" applyFill="1" applyBorder="1" applyAlignment="1">
      <alignment horizontal="right"/>
    </xf>
    <xf numFmtId="220" fontId="153" fillId="5" borderId="40" xfId="13" applyNumberFormat="1" applyFont="1" applyFill="1" applyBorder="1" applyAlignment="1">
      <alignment horizontal="right"/>
    </xf>
    <xf numFmtId="220" fontId="153" fillId="5" borderId="0" xfId="13" applyNumberFormat="1" applyFont="1" applyFill="1" applyAlignment="1">
      <alignment horizontal="right"/>
    </xf>
    <xf numFmtId="220" fontId="153" fillId="5" borderId="0" xfId="12" applyNumberFormat="1" applyFont="1" applyFill="1" applyBorder="1" applyAlignment="1">
      <alignment horizontal="right" vertical="center"/>
    </xf>
    <xf numFmtId="220" fontId="153" fillId="5" borderId="40" xfId="12" applyNumberFormat="1" applyFont="1" applyFill="1" applyBorder="1" applyAlignment="1">
      <alignment horizontal="right" vertical="center"/>
    </xf>
    <xf numFmtId="220" fontId="153" fillId="5" borderId="35" xfId="12" applyNumberFormat="1" applyFont="1" applyFill="1" applyBorder="1" applyAlignment="1">
      <alignment horizontal="right" vertical="center"/>
    </xf>
    <xf numFmtId="192" fontId="157" fillId="5" borderId="0" xfId="12" applyNumberFormat="1" applyFont="1" applyFill="1" applyBorder="1" applyAlignment="1">
      <alignment horizontal="right"/>
    </xf>
    <xf numFmtId="207" fontId="151" fillId="5" borderId="45" xfId="13" applyFont="1" applyFill="1" applyBorder="1" applyAlignment="1">
      <alignment horizontal="left"/>
    </xf>
    <xf numFmtId="207" fontId="151" fillId="5" borderId="19" xfId="13" applyFont="1" applyFill="1" applyBorder="1" applyAlignment="1">
      <alignment horizontal="left" vertical="top" wrapText="1" indent="1"/>
    </xf>
    <xf numFmtId="207" fontId="151" fillId="5" borderId="19" xfId="13" applyFont="1" applyFill="1" applyBorder="1" applyAlignment="1">
      <alignment horizontal="right" wrapText="1"/>
    </xf>
    <xf numFmtId="3" fontId="151" fillId="5" borderId="19" xfId="13" applyNumberFormat="1" applyFont="1" applyFill="1" applyBorder="1" applyAlignment="1">
      <alignment horizontal="right" wrapText="1"/>
    </xf>
    <xf numFmtId="37" fontId="151" fillId="5" borderId="19" xfId="13" applyNumberFormat="1" applyFont="1" applyFill="1" applyBorder="1" applyAlignment="1">
      <alignment horizontal="right" wrapText="1"/>
    </xf>
    <xf numFmtId="37" fontId="151" fillId="5" borderId="41" xfId="13" applyNumberFormat="1" applyFont="1" applyFill="1" applyBorder="1" applyAlignment="1">
      <alignment horizontal="right" wrapText="1"/>
    </xf>
    <xf numFmtId="37" fontId="151" fillId="5" borderId="19" xfId="13" applyNumberFormat="1" applyFont="1" applyFill="1" applyBorder="1" applyAlignment="1">
      <alignment horizontal="right" vertical="center"/>
    </xf>
    <xf numFmtId="37" fontId="151" fillId="5" borderId="42" xfId="13" applyNumberFormat="1" applyFont="1" applyFill="1" applyBorder="1" applyAlignment="1">
      <alignment horizontal="right"/>
    </xf>
    <xf numFmtId="37" fontId="151" fillId="5" borderId="41" xfId="13" applyNumberFormat="1" applyFont="1" applyFill="1" applyBorder="1" applyAlignment="1">
      <alignment horizontal="right"/>
    </xf>
    <xf numFmtId="37" fontId="151" fillId="5" borderId="19" xfId="13" applyNumberFormat="1" applyFont="1" applyFill="1" applyBorder="1" applyAlignment="1">
      <alignment horizontal="right"/>
    </xf>
    <xf numFmtId="37" fontId="151" fillId="5" borderId="19" xfId="12" applyNumberFormat="1" applyFont="1" applyFill="1" applyBorder="1" applyAlignment="1">
      <alignment horizontal="right" vertical="center"/>
    </xf>
    <xf numFmtId="37" fontId="151" fillId="5" borderId="41" xfId="12" applyNumberFormat="1" applyFont="1" applyFill="1" applyBorder="1" applyAlignment="1">
      <alignment horizontal="right" vertical="center"/>
    </xf>
    <xf numFmtId="37" fontId="151" fillId="5" borderId="42" xfId="12" applyNumberFormat="1" applyFont="1" applyFill="1" applyBorder="1" applyAlignment="1">
      <alignment horizontal="right" vertical="center"/>
    </xf>
    <xf numFmtId="207" fontId="159" fillId="5" borderId="0" xfId="13" applyFont="1" applyFill="1" applyAlignment="1">
      <alignment horizontal="left" vertical="top" wrapText="1" indent="1"/>
    </xf>
    <xf numFmtId="207" fontId="159" fillId="5" borderId="0" xfId="13" applyFont="1" applyFill="1" applyAlignment="1">
      <alignment horizontal="right" wrapText="1"/>
    </xf>
    <xf numFmtId="3" fontId="159" fillId="5" borderId="0" xfId="13" applyNumberFormat="1" applyFont="1" applyFill="1" applyAlignment="1">
      <alignment horizontal="right" wrapText="1"/>
    </xf>
    <xf numFmtId="37" fontId="159" fillId="5" borderId="0" xfId="13" applyNumberFormat="1" applyFont="1" applyFill="1" applyAlignment="1">
      <alignment horizontal="right" wrapText="1"/>
    </xf>
    <xf numFmtId="37" fontId="159" fillId="5" borderId="40" xfId="13" applyNumberFormat="1" applyFont="1" applyFill="1" applyBorder="1" applyAlignment="1">
      <alignment horizontal="right" wrapText="1"/>
    </xf>
    <xf numFmtId="37" fontId="159" fillId="5" borderId="0" xfId="13" applyNumberFormat="1" applyFont="1" applyFill="1" applyAlignment="1">
      <alignment horizontal="right" vertical="center"/>
    </xf>
    <xf numFmtId="37" fontId="159" fillId="5" borderId="35" xfId="13" applyNumberFormat="1" applyFont="1" applyFill="1" applyBorder="1" applyAlignment="1">
      <alignment horizontal="right"/>
    </xf>
    <xf numFmtId="37" fontId="159" fillId="5" borderId="40" xfId="13" applyNumberFormat="1" applyFont="1" applyFill="1" applyBorder="1" applyAlignment="1">
      <alignment horizontal="right"/>
    </xf>
    <xf numFmtId="37" fontId="159" fillId="5" borderId="0" xfId="13" applyNumberFormat="1" applyFont="1" applyFill="1" applyAlignment="1">
      <alignment horizontal="right"/>
    </xf>
    <xf numFmtId="37" fontId="159" fillId="5" borderId="35" xfId="13" applyNumberFormat="1" applyFont="1" applyFill="1" applyBorder="1" applyAlignment="1">
      <alignment horizontal="right" wrapText="1"/>
    </xf>
    <xf numFmtId="207" fontId="159" fillId="5" borderId="0" xfId="13" applyFont="1" applyFill="1">
      <alignment vertical="center"/>
    </xf>
    <xf numFmtId="9" fontId="151" fillId="5" borderId="0" xfId="14" applyFont="1" applyFill="1" applyBorder="1" applyAlignment="1">
      <alignment horizontal="left" vertical="top" wrapText="1" indent="2"/>
    </xf>
    <xf numFmtId="9" fontId="159" fillId="5" borderId="0" xfId="14" applyFont="1" applyFill="1" applyBorder="1" applyAlignment="1">
      <alignment horizontal="right" wrapText="1"/>
    </xf>
    <xf numFmtId="9" fontId="159" fillId="5" borderId="40" xfId="14" applyFont="1" applyFill="1" applyBorder="1" applyAlignment="1">
      <alignment horizontal="right" wrapText="1"/>
    </xf>
    <xf numFmtId="9" fontId="159" fillId="5" borderId="0" xfId="14" applyFont="1" applyFill="1" applyBorder="1" applyAlignment="1">
      <alignment horizontal="right" vertical="center"/>
    </xf>
    <xf numFmtId="9" fontId="159" fillId="5" borderId="35" xfId="14" applyFont="1" applyFill="1" applyBorder="1" applyAlignment="1">
      <alignment horizontal="right"/>
    </xf>
    <xf numFmtId="9" fontId="151" fillId="5" borderId="40" xfId="14" applyFont="1" applyFill="1" applyBorder="1" applyAlignment="1">
      <alignment horizontal="right"/>
    </xf>
    <xf numFmtId="9" fontId="151" fillId="5" borderId="0" xfId="14" applyFont="1" applyFill="1" applyBorder="1" applyAlignment="1">
      <alignment horizontal="right"/>
    </xf>
    <xf numFmtId="9" fontId="159" fillId="5" borderId="0" xfId="14" applyFont="1" applyFill="1" applyBorder="1">
      <alignment vertical="center"/>
    </xf>
    <xf numFmtId="9" fontId="159" fillId="5" borderId="0" xfId="14" applyFont="1" applyFill="1">
      <alignment vertical="center"/>
    </xf>
    <xf numFmtId="207" fontId="159" fillId="5" borderId="0" xfId="13" applyFont="1" applyFill="1" applyAlignment="1">
      <alignment horizontal="left" vertical="top" wrapText="1" indent="2"/>
    </xf>
    <xf numFmtId="37" fontId="151" fillId="5" borderId="0" xfId="13" applyNumberFormat="1" applyFont="1" applyFill="1" applyAlignment="1">
      <alignment horizontal="right" wrapText="1"/>
    </xf>
    <xf numFmtId="37" fontId="151" fillId="5" borderId="40" xfId="13" applyNumberFormat="1" applyFont="1" applyFill="1" applyBorder="1" applyAlignment="1">
      <alignment horizontal="right" wrapText="1"/>
    </xf>
    <xf numFmtId="37" fontId="151" fillId="5" borderId="0" xfId="13" applyNumberFormat="1" applyFont="1" applyFill="1" applyAlignment="1">
      <alignment horizontal="right" vertical="center"/>
    </xf>
    <xf numFmtId="37" fontId="151" fillId="5" borderId="35" xfId="13" applyNumberFormat="1" applyFont="1" applyFill="1" applyBorder="1" applyAlignment="1">
      <alignment horizontal="right"/>
    </xf>
    <xf numFmtId="37" fontId="151" fillId="5" borderId="40" xfId="13" applyNumberFormat="1" applyFont="1" applyFill="1" applyBorder="1" applyAlignment="1">
      <alignment horizontal="right"/>
    </xf>
    <xf numFmtId="37" fontId="151" fillId="5" borderId="0" xfId="13" applyNumberFormat="1" applyFont="1" applyFill="1" applyAlignment="1">
      <alignment horizontal="right"/>
    </xf>
    <xf numFmtId="37" fontId="151" fillId="5" borderId="0" xfId="12" applyNumberFormat="1" applyFont="1" applyFill="1" applyBorder="1" applyAlignment="1">
      <alignment horizontal="right" vertical="center"/>
    </xf>
    <xf numFmtId="37" fontId="151" fillId="5" borderId="35" xfId="12" applyNumberFormat="1" applyFont="1" applyFill="1" applyBorder="1" applyAlignment="1">
      <alignment horizontal="right" vertical="center"/>
    </xf>
    <xf numFmtId="37" fontId="151" fillId="5" borderId="40" xfId="12" applyNumberFormat="1" applyFont="1" applyFill="1" applyBorder="1" applyAlignment="1">
      <alignment horizontal="right" vertical="center"/>
    </xf>
    <xf numFmtId="207" fontId="151" fillId="5" borderId="0" xfId="13" applyFont="1" applyFill="1" applyAlignment="1">
      <alignment horizontal="left" vertical="top" wrapText="1" indent="2"/>
    </xf>
    <xf numFmtId="220" fontId="151" fillId="5" borderId="40" xfId="13" applyNumberFormat="1" applyFont="1" applyFill="1" applyBorder="1" applyAlignment="1">
      <alignment horizontal="right" wrapText="1"/>
    </xf>
    <xf numFmtId="220" fontId="151" fillId="5" borderId="0" xfId="13" applyNumberFormat="1" applyFont="1" applyFill="1" applyAlignment="1">
      <alignment horizontal="right" wrapText="1"/>
    </xf>
    <xf numFmtId="220" fontId="151" fillId="5" borderId="0" xfId="13" applyNumberFormat="1" applyFont="1" applyFill="1" applyAlignment="1">
      <alignment horizontal="right" vertical="center"/>
    </xf>
    <xf numFmtId="220" fontId="151" fillId="5" borderId="35" xfId="13" applyNumberFormat="1" applyFont="1" applyFill="1" applyBorder="1" applyAlignment="1">
      <alignment horizontal="right"/>
    </xf>
    <xf numFmtId="220" fontId="151" fillId="5" borderId="40" xfId="13" applyNumberFormat="1" applyFont="1" applyFill="1" applyBorder="1" applyAlignment="1">
      <alignment horizontal="right"/>
    </xf>
    <xf numFmtId="220" fontId="151" fillId="5" borderId="0" xfId="13" applyNumberFormat="1" applyFont="1" applyFill="1" applyAlignment="1">
      <alignment horizontal="right"/>
    </xf>
    <xf numFmtId="220" fontId="151" fillId="5" borderId="0" xfId="14" applyNumberFormat="1" applyFont="1" applyFill="1" applyBorder="1" applyAlignment="1">
      <alignment horizontal="right" vertical="center"/>
    </xf>
    <xf numFmtId="220" fontId="151" fillId="5" borderId="40" xfId="14" applyNumberFormat="1" applyFont="1" applyFill="1" applyBorder="1" applyAlignment="1">
      <alignment horizontal="right" vertical="center"/>
    </xf>
    <xf numFmtId="220" fontId="151" fillId="5" borderId="35" xfId="14" applyNumberFormat="1" applyFont="1" applyFill="1" applyBorder="1" applyAlignment="1">
      <alignment horizontal="right" vertical="center"/>
    </xf>
    <xf numFmtId="9" fontId="151" fillId="5" borderId="35" xfId="14" applyFont="1" applyFill="1" applyBorder="1" applyAlignment="1">
      <alignment horizontal="right"/>
    </xf>
    <xf numFmtId="9" fontId="151" fillId="5" borderId="0" xfId="14" applyFont="1" applyFill="1" applyBorder="1">
      <alignment vertical="center"/>
    </xf>
    <xf numFmtId="9" fontId="151" fillId="5" borderId="0" xfId="14" applyFont="1" applyFill="1">
      <alignment vertical="center"/>
    </xf>
    <xf numFmtId="37" fontId="151" fillId="5" borderId="40" xfId="12" applyNumberFormat="1" applyFont="1" applyFill="1" applyBorder="1" applyAlignment="1">
      <alignment horizontal="right"/>
    </xf>
    <xf numFmtId="37" fontId="151" fillId="5" borderId="35" xfId="12" applyNumberFormat="1" applyFont="1" applyFill="1" applyBorder="1" applyAlignment="1">
      <alignment horizontal="right"/>
    </xf>
    <xf numFmtId="207" fontId="151" fillId="5" borderId="0" xfId="13" applyFont="1" applyFill="1" applyAlignment="1"/>
    <xf numFmtId="208" fontId="159" fillId="5" borderId="0" xfId="12" applyNumberFormat="1" applyFont="1" applyFill="1" applyBorder="1" applyAlignment="1">
      <alignment horizontal="right" wrapText="1"/>
    </xf>
    <xf numFmtId="208" fontId="159" fillId="5" borderId="40" xfId="12" applyNumberFormat="1" applyFont="1" applyFill="1" applyBorder="1" applyAlignment="1">
      <alignment horizontal="right" wrapText="1"/>
    </xf>
    <xf numFmtId="208" fontId="159" fillId="5" borderId="0" xfId="12" applyNumberFormat="1" applyFont="1" applyFill="1" applyBorder="1" applyAlignment="1">
      <alignment horizontal="right" vertical="center"/>
    </xf>
    <xf numFmtId="208" fontId="159" fillId="5" borderId="35" xfId="12" applyNumberFormat="1" applyFont="1" applyFill="1" applyBorder="1" applyAlignment="1">
      <alignment horizontal="right"/>
    </xf>
    <xf numFmtId="208" fontId="159" fillId="5" borderId="40" xfId="12" applyNumberFormat="1" applyFont="1" applyFill="1" applyBorder="1" applyAlignment="1">
      <alignment horizontal="right"/>
    </xf>
    <xf numFmtId="208" fontId="159" fillId="5" borderId="0" xfId="12" applyNumberFormat="1" applyFont="1" applyFill="1" applyBorder="1" applyAlignment="1">
      <alignment horizontal="right"/>
    </xf>
    <xf numFmtId="208" fontId="159" fillId="5" borderId="35" xfId="12" applyNumberFormat="1" applyFont="1" applyFill="1" applyBorder="1" applyAlignment="1">
      <alignment horizontal="right" wrapText="1"/>
    </xf>
    <xf numFmtId="9" fontId="159" fillId="5" borderId="40" xfId="14" applyFont="1" applyFill="1" applyBorder="1" applyAlignment="1">
      <alignment horizontal="right"/>
    </xf>
    <xf numFmtId="9" fontId="159" fillId="5" borderId="40" xfId="14" applyFont="1" applyFill="1" applyBorder="1" applyAlignment="1">
      <alignment horizontal="right" vertical="center"/>
    </xf>
    <xf numFmtId="9" fontId="159" fillId="5" borderId="35" xfId="14" applyFont="1" applyFill="1" applyBorder="1" applyAlignment="1">
      <alignment horizontal="right" vertical="center"/>
    </xf>
    <xf numFmtId="208" fontId="159" fillId="5" borderId="0" xfId="14" applyNumberFormat="1" applyFont="1" applyFill="1" applyBorder="1" applyAlignment="1">
      <alignment horizontal="right" wrapText="1"/>
    </xf>
    <xf numFmtId="3" fontId="159" fillId="5" borderId="0" xfId="14" applyNumberFormat="1" applyFont="1" applyFill="1" applyBorder="1" applyAlignment="1">
      <alignment horizontal="right" wrapText="1"/>
    </xf>
    <xf numFmtId="3" fontId="159" fillId="5" borderId="0" xfId="12" applyNumberFormat="1" applyFont="1" applyFill="1" applyBorder="1" applyAlignment="1">
      <alignment wrapText="1"/>
    </xf>
    <xf numFmtId="9" fontId="151" fillId="5" borderId="24" xfId="14" applyFont="1" applyFill="1" applyBorder="1" applyAlignment="1">
      <alignment horizontal="left" vertical="top" wrapText="1" indent="2"/>
    </xf>
    <xf numFmtId="9" fontId="159" fillId="5" borderId="24" xfId="14" applyFont="1" applyFill="1" applyBorder="1" applyAlignment="1">
      <alignment horizontal="right" wrapText="1"/>
    </xf>
    <xf numFmtId="9" fontId="151" fillId="5" borderId="24" xfId="14" applyFont="1" applyFill="1" applyBorder="1" applyAlignment="1">
      <alignment horizontal="right" wrapText="1"/>
    </xf>
    <xf numFmtId="9" fontId="159" fillId="5" borderId="43" xfId="14" applyFont="1" applyFill="1" applyBorder="1" applyAlignment="1">
      <alignment horizontal="right" wrapText="1"/>
    </xf>
    <xf numFmtId="9" fontId="159" fillId="5" borderId="24" xfId="14" applyFont="1" applyFill="1" applyBorder="1" applyAlignment="1">
      <alignment horizontal="right" vertical="center"/>
    </xf>
    <xf numFmtId="9" fontId="159" fillId="5" borderId="44" xfId="14" applyFont="1" applyFill="1" applyBorder="1" applyAlignment="1">
      <alignment horizontal="right"/>
    </xf>
    <xf numFmtId="9" fontId="159" fillId="5" borderId="43" xfId="14" applyFont="1" applyFill="1" applyBorder="1" applyAlignment="1">
      <alignment horizontal="right"/>
    </xf>
    <xf numFmtId="9" fontId="159" fillId="5" borderId="43" xfId="14" applyFont="1" applyFill="1" applyBorder="1" applyAlignment="1">
      <alignment horizontal="right" vertical="center"/>
    </xf>
    <xf numFmtId="9" fontId="151" fillId="5" borderId="24" xfId="14" applyFont="1" applyFill="1" applyBorder="1" applyAlignment="1">
      <alignment horizontal="right" vertical="center"/>
    </xf>
    <xf numFmtId="9" fontId="151" fillId="5" borderId="44" xfId="14" applyFont="1" applyFill="1" applyBorder="1" applyAlignment="1">
      <alignment horizontal="right" vertical="center"/>
    </xf>
    <xf numFmtId="9" fontId="151" fillId="5" borderId="43" xfId="14" applyFont="1" applyFill="1" applyBorder="1" applyAlignment="1">
      <alignment horizontal="right" vertical="center"/>
    </xf>
    <xf numFmtId="210" fontId="153" fillId="5" borderId="0" xfId="12" applyNumberFormat="1" applyFont="1" applyFill="1" applyBorder="1" applyAlignment="1">
      <alignment horizontal="right" wrapText="1"/>
    </xf>
    <xf numFmtId="207" fontId="158" fillId="5" borderId="0" xfId="13" applyFont="1" applyFill="1" applyAlignment="1">
      <alignment horizontal="left" wrapText="1"/>
    </xf>
    <xf numFmtId="207" fontId="153" fillId="5" borderId="0" xfId="13" applyFont="1" applyFill="1" applyAlignment="1"/>
    <xf numFmtId="207" fontId="162" fillId="5" borderId="0" xfId="13" applyFont="1" applyFill="1" applyAlignment="1">
      <alignment horizontal="left" vertical="top" wrapText="1"/>
    </xf>
    <xf numFmtId="184" fontId="159" fillId="5" borderId="0" xfId="14" applyNumberFormat="1" applyFont="1" applyFill="1" applyBorder="1" applyAlignment="1">
      <alignment horizontal="right" vertical="center"/>
    </xf>
    <xf numFmtId="9" fontId="159" fillId="5" borderId="0" xfId="14" applyFont="1" applyFill="1" applyBorder="1" applyAlignment="1">
      <alignment horizontal="right"/>
    </xf>
    <xf numFmtId="9" fontId="152" fillId="5" borderId="0" xfId="14" applyFont="1" applyFill="1" applyBorder="1" applyAlignment="1">
      <alignment horizontal="right" wrapText="1"/>
    </xf>
    <xf numFmtId="207" fontId="158" fillId="5" borderId="41" xfId="13" quotePrefix="1" applyFont="1" applyFill="1" applyBorder="1" applyAlignment="1">
      <alignment horizontal="left" vertical="top" wrapText="1" indent="1"/>
    </xf>
    <xf numFmtId="207" fontId="153" fillId="5" borderId="19" xfId="13" applyFont="1" applyFill="1" applyBorder="1" applyAlignment="1">
      <alignment horizontal="right" wrapText="1"/>
    </xf>
    <xf numFmtId="3" fontId="153" fillId="5" borderId="19" xfId="13" applyNumberFormat="1" applyFont="1" applyFill="1" applyBorder="1" applyAlignment="1">
      <alignment horizontal="right" wrapText="1"/>
    </xf>
    <xf numFmtId="9" fontId="153" fillId="5" borderId="19" xfId="14" applyFont="1" applyFill="1" applyBorder="1" applyAlignment="1">
      <alignment horizontal="right" wrapText="1"/>
    </xf>
    <xf numFmtId="208" fontId="153" fillId="5" borderId="19" xfId="12" applyNumberFormat="1" applyFont="1" applyFill="1" applyBorder="1" applyAlignment="1">
      <alignment horizontal="right" wrapText="1"/>
    </xf>
    <xf numFmtId="208" fontId="153" fillId="5" borderId="41" xfId="12" applyNumberFormat="1" applyFont="1" applyFill="1" applyBorder="1" applyAlignment="1">
      <alignment horizontal="right" wrapText="1"/>
    </xf>
    <xf numFmtId="208" fontId="153" fillId="5" borderId="19" xfId="12" applyNumberFormat="1" applyFont="1" applyFill="1" applyBorder="1" applyAlignment="1">
      <alignment horizontal="right" vertical="center"/>
    </xf>
    <xf numFmtId="208" fontId="153" fillId="5" borderId="42" xfId="12" applyNumberFormat="1" applyFont="1" applyFill="1" applyBorder="1" applyAlignment="1">
      <alignment horizontal="right"/>
    </xf>
    <xf numFmtId="208" fontId="153" fillId="5" borderId="41" xfId="12" applyNumberFormat="1" applyFont="1" applyFill="1" applyBorder="1" applyAlignment="1">
      <alignment horizontal="right"/>
    </xf>
    <xf numFmtId="208" fontId="153" fillId="5" borderId="19" xfId="12" applyNumberFormat="1" applyFont="1" applyFill="1" applyBorder="1" applyAlignment="1">
      <alignment horizontal="right"/>
    </xf>
    <xf numFmtId="208" fontId="153" fillId="5" borderId="41" xfId="12" applyNumberFormat="1" applyFont="1" applyFill="1" applyBorder="1" applyAlignment="1">
      <alignment horizontal="right" vertical="center"/>
    </xf>
    <xf numFmtId="208" fontId="153" fillId="5" borderId="42" xfId="12" applyNumberFormat="1" applyFont="1" applyFill="1" applyBorder="1" applyAlignment="1">
      <alignment horizontal="right" vertical="center"/>
    </xf>
    <xf numFmtId="207" fontId="155" fillId="5" borderId="0" xfId="13" applyFont="1" applyFill="1" applyAlignment="1">
      <alignment horizontal="left" vertical="top" wrapText="1" indent="2"/>
    </xf>
    <xf numFmtId="207" fontId="158" fillId="5" borderId="0" xfId="13" applyFont="1" applyFill="1" applyAlignment="1">
      <alignment horizontal="left" vertical="top" wrapText="1" indent="3"/>
    </xf>
    <xf numFmtId="9" fontId="153" fillId="5" borderId="40" xfId="14" applyFont="1" applyFill="1" applyBorder="1" applyAlignment="1">
      <alignment horizontal="right" vertical="center"/>
    </xf>
    <xf numFmtId="9" fontId="153" fillId="5" borderId="35" xfId="14" applyFont="1" applyFill="1" applyBorder="1" applyAlignment="1">
      <alignment horizontal="right" vertical="center"/>
    </xf>
    <xf numFmtId="207" fontId="158" fillId="5" borderId="0" xfId="13" applyFont="1" applyFill="1" applyAlignment="1">
      <alignment horizontal="left" vertical="top" wrapText="1" indent="2"/>
    </xf>
    <xf numFmtId="207" fontId="158" fillId="5" borderId="0" xfId="13" quotePrefix="1" applyFont="1" applyFill="1" applyAlignment="1">
      <alignment horizontal="left" vertical="top" wrapText="1" indent="1"/>
    </xf>
    <xf numFmtId="3" fontId="153" fillId="5" borderId="0" xfId="12" applyNumberFormat="1" applyFont="1" applyFill="1" applyBorder="1" applyAlignment="1">
      <alignment wrapText="1"/>
    </xf>
    <xf numFmtId="3" fontId="153" fillId="5" borderId="40" xfId="14" applyNumberFormat="1" applyFont="1" applyFill="1" applyBorder="1" applyAlignment="1">
      <alignment horizontal="right"/>
    </xf>
    <xf numFmtId="3" fontId="153" fillId="5" borderId="0" xfId="14" applyNumberFormat="1" applyFont="1" applyFill="1" applyBorder="1" applyAlignment="1">
      <alignment horizontal="right"/>
    </xf>
    <xf numFmtId="9" fontId="158" fillId="5" borderId="0" xfId="14" applyFont="1" applyFill="1" applyBorder="1" applyAlignment="1">
      <alignment horizontal="left" vertical="top" wrapText="1" indent="1"/>
    </xf>
    <xf numFmtId="9" fontId="153" fillId="5" borderId="0" xfId="14" applyFont="1" applyFill="1" applyBorder="1">
      <alignment vertical="center"/>
    </xf>
    <xf numFmtId="9" fontId="158" fillId="5" borderId="24" xfId="14" applyFont="1" applyFill="1" applyBorder="1" applyAlignment="1">
      <alignment horizontal="left" vertical="top" wrapText="1" indent="1"/>
    </xf>
    <xf numFmtId="9" fontId="153" fillId="5" borderId="24" xfId="14" applyFont="1" applyFill="1" applyBorder="1" applyAlignment="1">
      <alignment wrapText="1"/>
    </xf>
    <xf numFmtId="9" fontId="153" fillId="5" borderId="24" xfId="14" applyFont="1" applyFill="1" applyBorder="1" applyAlignment="1">
      <alignment horizontal="right" vertical="center"/>
    </xf>
    <xf numFmtId="9" fontId="153" fillId="5" borderId="43" xfId="14" applyFont="1" applyFill="1" applyBorder="1" applyAlignment="1">
      <alignment horizontal="right"/>
    </xf>
    <xf numFmtId="207" fontId="157" fillId="5" borderId="0" xfId="13" applyFont="1" applyFill="1" applyAlignment="1">
      <alignment horizontal="right" wrapText="1"/>
    </xf>
    <xf numFmtId="3" fontId="157" fillId="5" borderId="0" xfId="13" applyNumberFormat="1" applyFont="1" applyFill="1" applyAlignment="1">
      <alignment horizontal="right" wrapText="1"/>
    </xf>
    <xf numFmtId="9" fontId="162" fillId="5" borderId="0" xfId="14" applyFont="1" applyFill="1" applyAlignment="1">
      <alignment horizontal="left" vertical="top" wrapText="1"/>
    </xf>
    <xf numFmtId="9" fontId="159" fillId="5" borderId="0" xfId="14" applyFont="1" applyFill="1" applyAlignment="1">
      <alignment horizontal="right" wrapText="1"/>
    </xf>
    <xf numFmtId="207" fontId="168" fillId="5" borderId="0" xfId="13" applyFont="1" applyFill="1" applyAlignment="1">
      <alignment horizontal="left" vertical="top" wrapText="1"/>
    </xf>
    <xf numFmtId="220" fontId="151" fillId="5" borderId="40" xfId="12" applyNumberFormat="1" applyFont="1" applyFill="1" applyBorder="1" applyAlignment="1">
      <alignment horizontal="right" wrapText="1"/>
    </xf>
    <xf numFmtId="220" fontId="151" fillId="5" borderId="0" xfId="12" applyNumberFormat="1" applyFont="1" applyFill="1" applyBorder="1" applyAlignment="1">
      <alignment horizontal="right" wrapText="1"/>
    </xf>
    <xf numFmtId="220" fontId="151" fillId="5" borderId="0" xfId="12" applyNumberFormat="1" applyFont="1" applyFill="1" applyBorder="1" applyAlignment="1">
      <alignment horizontal="right" vertical="center"/>
    </xf>
    <xf numFmtId="220" fontId="151" fillId="5" borderId="35" xfId="12" applyNumberFormat="1" applyFont="1" applyFill="1" applyBorder="1" applyAlignment="1">
      <alignment horizontal="right"/>
    </xf>
    <xf numFmtId="220" fontId="151" fillId="5" borderId="40" xfId="12" applyNumberFormat="1" applyFont="1" applyFill="1" applyBorder="1" applyAlignment="1">
      <alignment horizontal="right" vertical="center"/>
    </xf>
    <xf numFmtId="220" fontId="151" fillId="5" borderId="35" xfId="12" applyNumberFormat="1" applyFont="1" applyFill="1" applyBorder="1" applyAlignment="1">
      <alignment horizontal="right" vertical="center"/>
    </xf>
    <xf numFmtId="207" fontId="169" fillId="5" borderId="0" xfId="13" applyFont="1" applyFill="1" applyAlignment="1">
      <alignment horizontal="left" vertical="top" wrapText="1"/>
    </xf>
    <xf numFmtId="220" fontId="157" fillId="5" borderId="0" xfId="13" applyNumberFormat="1" applyFont="1" applyFill="1" applyAlignment="1">
      <alignment horizontal="right"/>
    </xf>
    <xf numFmtId="207" fontId="170" fillId="5" borderId="0" xfId="13" applyFont="1" applyFill="1" applyAlignment="1">
      <alignment vertical="top" wrapText="1"/>
    </xf>
    <xf numFmtId="220" fontId="151" fillId="5" borderId="0" xfId="14" applyNumberFormat="1" applyFont="1" applyFill="1" applyBorder="1" applyAlignment="1">
      <alignment horizontal="right" wrapText="1"/>
    </xf>
    <xf numFmtId="208" fontId="151" fillId="5" borderId="0" xfId="12" applyNumberFormat="1" applyFont="1" applyFill="1" applyBorder="1" applyAlignment="1">
      <alignment horizontal="right" vertical="center"/>
    </xf>
    <xf numFmtId="208" fontId="151" fillId="5" borderId="35" xfId="12" applyNumberFormat="1" applyFont="1" applyFill="1" applyBorder="1" applyAlignment="1">
      <alignment horizontal="right"/>
    </xf>
    <xf numFmtId="208" fontId="151" fillId="5" borderId="40" xfId="12" applyNumberFormat="1" applyFont="1" applyFill="1" applyBorder="1" applyAlignment="1">
      <alignment horizontal="right" vertical="center"/>
    </xf>
    <xf numFmtId="208" fontId="151" fillId="5" borderId="35" xfId="12" applyNumberFormat="1" applyFont="1" applyFill="1" applyBorder="1" applyAlignment="1">
      <alignment horizontal="right" vertical="center"/>
    </xf>
    <xf numFmtId="9" fontId="155" fillId="5" borderId="0" xfId="14" applyFont="1" applyFill="1" applyAlignment="1">
      <alignment horizontal="left" vertical="top" wrapText="1" indent="1"/>
    </xf>
    <xf numFmtId="9" fontId="152" fillId="5" borderId="0" xfId="14" applyFont="1" applyFill="1" applyAlignment="1">
      <alignment horizontal="right" wrapText="1"/>
    </xf>
    <xf numFmtId="9" fontId="152" fillId="5" borderId="40" xfId="14" applyFont="1" applyFill="1" applyBorder="1" applyAlignment="1">
      <alignment horizontal="right" wrapText="1"/>
    </xf>
    <xf numFmtId="9" fontId="152" fillId="5" borderId="35" xfId="14" applyFont="1" applyFill="1" applyBorder="1" applyAlignment="1">
      <alignment horizontal="right"/>
    </xf>
    <xf numFmtId="9" fontId="152" fillId="5" borderId="40" xfId="14" applyFont="1" applyFill="1" applyBorder="1" applyAlignment="1">
      <alignment horizontal="right"/>
    </xf>
    <xf numFmtId="9" fontId="152" fillId="5" borderId="0" xfId="14" applyFont="1" applyFill="1" applyBorder="1" applyAlignment="1">
      <alignment horizontal="right"/>
    </xf>
    <xf numFmtId="9" fontId="152" fillId="5" borderId="0" xfId="14" applyFont="1" applyFill="1" applyBorder="1">
      <alignment vertical="center"/>
    </xf>
    <xf numFmtId="9" fontId="152" fillId="5" borderId="0" xfId="14" applyFont="1" applyFill="1">
      <alignment vertical="center"/>
    </xf>
    <xf numFmtId="207" fontId="171" fillId="5" borderId="0" xfId="13" applyFont="1" applyFill="1" applyAlignment="1">
      <alignment horizontal="left" vertical="top" wrapText="1"/>
    </xf>
    <xf numFmtId="208" fontId="171" fillId="5" borderId="0" xfId="12" applyNumberFormat="1" applyFont="1" applyFill="1" applyBorder="1" applyAlignment="1">
      <alignment horizontal="right" wrapText="1"/>
    </xf>
    <xf numFmtId="208" fontId="171" fillId="5" borderId="0" xfId="12" applyNumberFormat="1" applyFont="1" applyFill="1" applyAlignment="1">
      <alignment horizontal="right" wrapText="1"/>
    </xf>
    <xf numFmtId="208" fontId="171" fillId="5" borderId="40" xfId="12" applyNumberFormat="1" applyFont="1" applyFill="1" applyBorder="1" applyAlignment="1">
      <alignment horizontal="right" wrapText="1"/>
    </xf>
    <xf numFmtId="208" fontId="171" fillId="5" borderId="0" xfId="12" applyNumberFormat="1" applyFont="1" applyFill="1" applyBorder="1" applyAlignment="1">
      <alignment horizontal="right" vertical="center"/>
    </xf>
    <xf numFmtId="208" fontId="171" fillId="5" borderId="35" xfId="12" applyNumberFormat="1" applyFont="1" applyFill="1" applyBorder="1" applyAlignment="1">
      <alignment horizontal="right"/>
    </xf>
    <xf numFmtId="208" fontId="171" fillId="5" borderId="40" xfId="12" applyNumberFormat="1" applyFont="1" applyFill="1" applyBorder="1" applyAlignment="1">
      <alignment horizontal="right"/>
    </xf>
    <xf numFmtId="208" fontId="171" fillId="5" borderId="0" xfId="12" applyNumberFormat="1" applyFont="1" applyFill="1" applyBorder="1" applyAlignment="1">
      <alignment horizontal="right"/>
    </xf>
    <xf numFmtId="207" fontId="171" fillId="5" borderId="0" xfId="13" applyFont="1" applyFill="1">
      <alignment vertical="center"/>
    </xf>
    <xf numFmtId="207" fontId="172" fillId="5" borderId="0" xfId="13" applyFont="1" applyFill="1" applyAlignment="1">
      <alignment horizontal="left" vertical="top" wrapText="1"/>
    </xf>
    <xf numFmtId="9" fontId="173" fillId="5" borderId="0" xfId="14" applyFont="1" applyFill="1" applyBorder="1" applyAlignment="1">
      <alignment horizontal="right" wrapText="1"/>
    </xf>
    <xf numFmtId="9" fontId="173" fillId="5" borderId="40" xfId="14" applyFont="1" applyFill="1" applyBorder="1" applyAlignment="1">
      <alignment horizontal="right" wrapText="1"/>
    </xf>
    <xf numFmtId="9" fontId="173" fillId="5" borderId="35" xfId="14" applyFont="1" applyFill="1" applyBorder="1" applyAlignment="1">
      <alignment horizontal="right" wrapText="1"/>
    </xf>
    <xf numFmtId="207" fontId="173" fillId="5" borderId="0" xfId="13" applyFont="1" applyFill="1">
      <alignment vertical="center"/>
    </xf>
    <xf numFmtId="208" fontId="173" fillId="5" borderId="0" xfId="12" applyNumberFormat="1" applyFont="1" applyFill="1" applyBorder="1" applyAlignment="1">
      <alignment horizontal="right" wrapText="1"/>
    </xf>
    <xf numFmtId="208" fontId="173" fillId="5" borderId="40" xfId="12" applyNumberFormat="1" applyFont="1" applyFill="1" applyBorder="1" applyAlignment="1">
      <alignment horizontal="right" wrapText="1"/>
    </xf>
    <xf numFmtId="208" fontId="173" fillId="5" borderId="35" xfId="12" applyNumberFormat="1" applyFont="1" applyFill="1" applyBorder="1" applyAlignment="1">
      <alignment horizontal="right" wrapText="1"/>
    </xf>
    <xf numFmtId="207" fontId="155" fillId="5" borderId="24" xfId="13" applyFont="1" applyFill="1" applyBorder="1" applyAlignment="1">
      <alignment horizontal="left" vertical="top" wrapText="1"/>
    </xf>
    <xf numFmtId="3" fontId="155" fillId="5" borderId="24" xfId="13" applyNumberFormat="1" applyFont="1" applyFill="1" applyBorder="1" applyAlignment="1">
      <alignment horizontal="right" wrapText="1"/>
    </xf>
    <xf numFmtId="208" fontId="155" fillId="5" borderId="24" xfId="12" applyNumberFormat="1" applyFont="1" applyFill="1" applyBorder="1" applyAlignment="1">
      <alignment horizontal="right" wrapText="1"/>
    </xf>
    <xf numFmtId="208" fontId="155" fillId="5" borderId="43" xfId="12" applyNumberFormat="1" applyFont="1" applyFill="1" applyBorder="1" applyAlignment="1">
      <alignment horizontal="right" wrapText="1"/>
    </xf>
    <xf numFmtId="208" fontId="155" fillId="5" borderId="24" xfId="12" applyNumberFormat="1" applyFont="1" applyFill="1" applyBorder="1" applyAlignment="1">
      <alignment horizontal="right" vertical="center"/>
    </xf>
    <xf numFmtId="208" fontId="155" fillId="5" borderId="44" xfId="12" applyNumberFormat="1" applyFont="1" applyFill="1" applyBorder="1" applyAlignment="1">
      <alignment horizontal="right"/>
    </xf>
    <xf numFmtId="208" fontId="155" fillId="5" borderId="44" xfId="12" applyNumberFormat="1" applyFont="1" applyFill="1" applyBorder="1" applyAlignment="1">
      <alignment horizontal="right" wrapText="1"/>
    </xf>
    <xf numFmtId="207" fontId="155" fillId="5" borderId="24" xfId="13" applyFont="1" applyFill="1" applyBorder="1">
      <alignment vertical="center"/>
    </xf>
    <xf numFmtId="207" fontId="153" fillId="5" borderId="0" xfId="13" applyFont="1" applyFill="1" applyAlignment="1">
      <alignment horizontal="left" wrapText="1"/>
    </xf>
    <xf numFmtId="207" fontId="152" fillId="5" borderId="0" xfId="13" applyFont="1" applyFill="1" applyAlignment="1">
      <alignment horizontal="left" vertical="top" wrapText="1"/>
    </xf>
    <xf numFmtId="208" fontId="152" fillId="5" borderId="0" xfId="12" applyNumberFormat="1" applyFont="1" applyFill="1" applyAlignment="1">
      <alignment horizontal="right" wrapText="1"/>
    </xf>
    <xf numFmtId="207" fontId="153" fillId="5" borderId="0" xfId="13" applyFont="1" applyFill="1" applyAlignment="1">
      <alignment horizontal="left" vertical="top" wrapText="1"/>
    </xf>
    <xf numFmtId="207" fontId="153" fillId="5" borderId="0" xfId="13" applyFont="1" applyFill="1" applyAlignment="1">
      <alignment horizontal="left" vertical="top"/>
    </xf>
    <xf numFmtId="208" fontId="153" fillId="5" borderId="0" xfId="12" applyNumberFormat="1" applyFont="1" applyFill="1" applyAlignment="1">
      <alignment horizontal="right"/>
    </xf>
    <xf numFmtId="207" fontId="152" fillId="5" borderId="24" xfId="13" applyFont="1" applyFill="1" applyBorder="1" applyAlignment="1">
      <alignment horizontal="left" vertical="top" wrapText="1"/>
    </xf>
    <xf numFmtId="208" fontId="152" fillId="5" borderId="24" xfId="12" applyNumberFormat="1" applyFont="1" applyFill="1" applyBorder="1" applyAlignment="1">
      <alignment horizontal="right" wrapText="1"/>
    </xf>
    <xf numFmtId="208" fontId="152" fillId="5" borderId="43" xfId="12" applyNumberFormat="1" applyFont="1" applyFill="1" applyBorder="1" applyAlignment="1">
      <alignment horizontal="right" wrapText="1"/>
    </xf>
    <xf numFmtId="208" fontId="152" fillId="5" borderId="24" xfId="12" applyNumberFormat="1" applyFont="1" applyFill="1" applyBorder="1" applyAlignment="1">
      <alignment horizontal="right" vertical="center"/>
    </xf>
    <xf numFmtId="208" fontId="152" fillId="5" borderId="44" xfId="12" applyNumberFormat="1" applyFont="1" applyFill="1" applyBorder="1" applyAlignment="1">
      <alignment horizontal="right"/>
    </xf>
    <xf numFmtId="208" fontId="152" fillId="5" borderId="43" xfId="12" applyNumberFormat="1" applyFont="1" applyFill="1" applyBorder="1" applyAlignment="1">
      <alignment horizontal="right"/>
    </xf>
    <xf numFmtId="208" fontId="152" fillId="5" borderId="43" xfId="12" applyNumberFormat="1" applyFont="1" applyFill="1" applyBorder="1" applyAlignment="1">
      <alignment horizontal="right" vertical="center"/>
    </xf>
    <xf numFmtId="208" fontId="152" fillId="5" borderId="44" xfId="12" applyNumberFormat="1" applyFont="1" applyFill="1" applyBorder="1" applyAlignment="1">
      <alignment horizontal="right" vertical="center"/>
    </xf>
    <xf numFmtId="207" fontId="152" fillId="5" borderId="24" xfId="13" applyFont="1" applyFill="1" applyBorder="1">
      <alignment vertical="center"/>
    </xf>
    <xf numFmtId="207" fontId="152" fillId="5" borderId="0" xfId="13" applyFont="1" applyFill="1" applyAlignment="1">
      <alignment horizontal="left" vertical="top"/>
    </xf>
    <xf numFmtId="208" fontId="152" fillId="5" borderId="0" xfId="12" applyNumberFormat="1" applyFont="1" applyFill="1" applyAlignment="1">
      <alignment horizontal="right" vertical="center"/>
    </xf>
    <xf numFmtId="208" fontId="153" fillId="5" borderId="43" xfId="12" applyNumberFormat="1" applyFont="1" applyFill="1" applyBorder="1" applyAlignment="1">
      <alignment horizontal="right" wrapText="1"/>
    </xf>
    <xf numFmtId="208" fontId="153" fillId="5" borderId="24" xfId="12" applyNumberFormat="1" applyFont="1" applyFill="1" applyBorder="1" applyAlignment="1">
      <alignment horizontal="right" vertical="center"/>
    </xf>
    <xf numFmtId="208" fontId="153" fillId="5" borderId="24" xfId="12" applyNumberFormat="1" applyFont="1" applyFill="1" applyBorder="1" applyAlignment="1">
      <alignment horizontal="right"/>
    </xf>
    <xf numFmtId="208" fontId="153" fillId="5" borderId="43" xfId="12" applyNumberFormat="1" applyFont="1" applyFill="1" applyBorder="1" applyAlignment="1">
      <alignment horizontal="right" vertical="center"/>
    </xf>
    <xf numFmtId="208" fontId="153" fillId="5" borderId="44" xfId="12" applyNumberFormat="1" applyFont="1" applyFill="1" applyBorder="1" applyAlignment="1">
      <alignment horizontal="right" vertical="center"/>
    </xf>
    <xf numFmtId="207" fontId="153" fillId="5" borderId="19" xfId="13" applyFont="1" applyFill="1" applyBorder="1" applyAlignment="1">
      <alignment horizontal="left" vertical="center"/>
    </xf>
    <xf numFmtId="208" fontId="153" fillId="5" borderId="19" xfId="12" applyNumberFormat="1" applyFont="1" applyFill="1" applyBorder="1" applyAlignment="1">
      <alignment horizontal="right" vertical="center" wrapText="1"/>
    </xf>
    <xf numFmtId="207" fontId="152" fillId="5" borderId="0" xfId="13" applyFont="1" applyFill="1" applyAlignment="1">
      <alignment horizontal="left" vertical="top" wrapText="1" indent="1"/>
    </xf>
    <xf numFmtId="221" fontId="152" fillId="5" borderId="0" xfId="13" applyNumberFormat="1" applyFont="1" applyFill="1">
      <alignment vertical="center"/>
    </xf>
    <xf numFmtId="207" fontId="153" fillId="5" borderId="0" xfId="13" applyFont="1" applyFill="1" applyAlignment="1">
      <alignment horizontal="left" vertical="top" wrapText="1" indent="1"/>
    </xf>
    <xf numFmtId="207" fontId="153" fillId="5" borderId="24" xfId="13" applyFont="1" applyFill="1" applyBorder="1" applyAlignment="1">
      <alignment horizontal="left" vertical="top" wrapText="1" indent="1"/>
    </xf>
    <xf numFmtId="207" fontId="153" fillId="5" borderId="24" xfId="13" applyFont="1" applyFill="1" applyBorder="1" applyAlignment="1">
      <alignment horizontal="left" vertical="top" wrapText="1"/>
    </xf>
    <xf numFmtId="212" fontId="153" fillId="5" borderId="24" xfId="12" applyNumberFormat="1" applyFont="1" applyFill="1" applyBorder="1" applyAlignment="1">
      <alignment horizontal="right" vertical="center"/>
    </xf>
    <xf numFmtId="208" fontId="153" fillId="5" borderId="0" xfId="13" applyNumberFormat="1" applyFont="1" applyFill="1" applyAlignment="1">
      <alignment horizontal="right" vertical="center"/>
    </xf>
    <xf numFmtId="206" fontId="153" fillId="5" borderId="0" xfId="12" applyFont="1" applyFill="1" applyAlignment="1">
      <alignment horizontal="right" vertical="center"/>
    </xf>
    <xf numFmtId="206" fontId="153" fillId="5" borderId="0" xfId="12" applyFont="1" applyFill="1" applyBorder="1" applyAlignment="1">
      <alignment horizontal="right" vertical="center"/>
    </xf>
    <xf numFmtId="206" fontId="153" fillId="5" borderId="40" xfId="12" applyFont="1" applyFill="1" applyBorder="1" applyAlignment="1">
      <alignment horizontal="right" wrapText="1"/>
    </xf>
    <xf numFmtId="206" fontId="153" fillId="5" borderId="35" xfId="12" applyFont="1" applyFill="1" applyBorder="1" applyAlignment="1">
      <alignment horizontal="right" vertical="center"/>
    </xf>
    <xf numFmtId="206" fontId="153" fillId="5" borderId="40" xfId="12" applyFont="1" applyFill="1" applyBorder="1" applyAlignment="1">
      <alignment horizontal="right" vertical="center"/>
    </xf>
    <xf numFmtId="208" fontId="152" fillId="5" borderId="0" xfId="12" applyNumberFormat="1" applyFont="1" applyFill="1" applyAlignment="1">
      <alignment horizontal="right"/>
    </xf>
    <xf numFmtId="192" fontId="152" fillId="5" borderId="0" xfId="12" applyNumberFormat="1" applyFont="1" applyFill="1" applyBorder="1" applyAlignment="1">
      <alignment horizontal="right" vertical="center"/>
    </xf>
    <xf numFmtId="207" fontId="153" fillId="5" borderId="19" xfId="13" applyFont="1" applyFill="1" applyBorder="1">
      <alignment vertical="center"/>
    </xf>
    <xf numFmtId="207" fontId="153" fillId="5" borderId="19" xfId="13" applyFont="1" applyFill="1" applyBorder="1" applyAlignment="1">
      <alignment horizontal="right" vertical="center"/>
    </xf>
    <xf numFmtId="10" fontId="153" fillId="5" borderId="19" xfId="14" applyNumberFormat="1" applyFont="1" applyFill="1" applyBorder="1" applyAlignment="1">
      <alignment horizontal="right" vertical="center"/>
    </xf>
    <xf numFmtId="184" fontId="153" fillId="5" borderId="19" xfId="14" applyNumberFormat="1" applyFont="1" applyFill="1" applyBorder="1" applyAlignment="1">
      <alignment horizontal="right" vertical="center"/>
    </xf>
    <xf numFmtId="207" fontId="174" fillId="5" borderId="0" xfId="13" applyFont="1" applyFill="1" applyAlignment="1">
      <alignment horizontal="left" vertical="top" wrapText="1" indent="1"/>
    </xf>
    <xf numFmtId="208" fontId="174" fillId="5" borderId="0" xfId="12" applyNumberFormat="1" applyFont="1" applyFill="1" applyBorder="1" applyAlignment="1">
      <alignment horizontal="right" vertical="center"/>
    </xf>
    <xf numFmtId="208" fontId="174" fillId="5" borderId="40" xfId="12" applyNumberFormat="1" applyFont="1" applyFill="1" applyBorder="1" applyAlignment="1">
      <alignment horizontal="right" vertical="center"/>
    </xf>
    <xf numFmtId="208" fontId="174" fillId="5" borderId="35" xfId="12" applyNumberFormat="1" applyFont="1" applyFill="1" applyBorder="1" applyAlignment="1">
      <alignment horizontal="right" vertical="center"/>
    </xf>
    <xf numFmtId="207" fontId="174" fillId="5" borderId="0" xfId="13" applyFont="1" applyFill="1">
      <alignment vertical="center"/>
    </xf>
    <xf numFmtId="207" fontId="153" fillId="5" borderId="0" xfId="13" applyFont="1" applyFill="1" applyAlignment="1">
      <alignment horizontal="left" vertical="top" wrapText="1" indent="2"/>
    </xf>
    <xf numFmtId="207" fontId="153" fillId="5" borderId="0" xfId="13" applyFont="1" applyFill="1" applyAlignment="1">
      <alignment horizontal="left" vertical="top" indent="1"/>
    </xf>
    <xf numFmtId="208" fontId="152" fillId="5" borderId="0" xfId="12" applyNumberFormat="1" applyFont="1" applyFill="1" applyBorder="1">
      <alignment vertical="center"/>
    </xf>
    <xf numFmtId="208" fontId="152" fillId="5" borderId="0" xfId="12" applyNumberFormat="1" applyFont="1" applyFill="1">
      <alignment vertical="center"/>
    </xf>
    <xf numFmtId="208" fontId="153" fillId="5" borderId="0" xfId="12" applyNumberFormat="1" applyFont="1" applyFill="1" applyBorder="1">
      <alignment vertical="center"/>
    </xf>
    <xf numFmtId="206" fontId="152" fillId="5" borderId="0" xfId="12" applyFont="1" applyFill="1" applyAlignment="1">
      <alignment horizontal="right" vertical="center"/>
    </xf>
    <xf numFmtId="206" fontId="152" fillId="5" borderId="0" xfId="12" applyFont="1" applyFill="1" applyBorder="1" applyAlignment="1">
      <alignment horizontal="right" vertical="center"/>
    </xf>
    <xf numFmtId="206" fontId="152" fillId="5" borderId="40" xfId="12" applyFont="1" applyFill="1" applyBorder="1" applyAlignment="1">
      <alignment horizontal="right" vertical="center"/>
    </xf>
    <xf numFmtId="206" fontId="152" fillId="5" borderId="35" xfId="12" applyFont="1" applyFill="1" applyBorder="1" applyAlignment="1">
      <alignment horizontal="right" vertical="center"/>
    </xf>
    <xf numFmtId="207" fontId="152" fillId="5" borderId="0" xfId="13" applyFont="1" applyFill="1" applyAlignment="1">
      <alignment horizontal="left" vertical="center" indent="1"/>
    </xf>
    <xf numFmtId="222" fontId="152" fillId="5" borderId="0" xfId="12" applyNumberFormat="1" applyFont="1" applyFill="1" applyBorder="1" applyAlignment="1">
      <alignment horizontal="right" vertical="center"/>
    </xf>
    <xf numFmtId="222" fontId="152" fillId="5" borderId="40" xfId="12" applyNumberFormat="1" applyFont="1" applyFill="1" applyBorder="1" applyAlignment="1">
      <alignment horizontal="right" vertical="center"/>
    </xf>
    <xf numFmtId="222" fontId="152" fillId="5" borderId="35" xfId="12" applyNumberFormat="1" applyFont="1" applyFill="1" applyBorder="1" applyAlignment="1">
      <alignment horizontal="right" vertical="center"/>
    </xf>
    <xf numFmtId="207" fontId="168" fillId="5" borderId="0" xfId="16" applyFont="1" applyFill="1" applyAlignment="1">
      <alignment horizontal="center"/>
    </xf>
    <xf numFmtId="184" fontId="153" fillId="5" borderId="0" xfId="14" applyNumberFormat="1" applyFont="1" applyFill="1" applyAlignment="1">
      <alignment horizontal="right" wrapText="1"/>
    </xf>
    <xf numFmtId="184" fontId="153" fillId="5" borderId="40" xfId="14" applyNumberFormat="1" applyFont="1" applyFill="1" applyBorder="1" applyAlignment="1">
      <alignment horizontal="right" wrapText="1"/>
    </xf>
    <xf numFmtId="184" fontId="153" fillId="5" borderId="35" xfId="14" applyNumberFormat="1" applyFont="1" applyFill="1" applyBorder="1" applyAlignment="1">
      <alignment horizontal="right" wrapText="1"/>
    </xf>
    <xf numFmtId="207" fontId="153" fillId="5" borderId="0" xfId="13" quotePrefix="1" applyFont="1" applyFill="1" applyAlignment="1">
      <alignment horizontal="left" vertical="top" wrapText="1" indent="1"/>
    </xf>
    <xf numFmtId="184" fontId="153" fillId="5" borderId="0" xfId="13" applyNumberFormat="1" applyFont="1" applyFill="1" applyAlignment="1">
      <alignment horizontal="right" wrapText="1"/>
    </xf>
    <xf numFmtId="207" fontId="153" fillId="5" borderId="0" xfId="13" quotePrefix="1" applyFont="1" applyFill="1" applyAlignment="1">
      <alignment horizontal="left" vertical="top" wrapText="1" indent="3"/>
    </xf>
    <xf numFmtId="9" fontId="153" fillId="5" borderId="0" xfId="13" applyNumberFormat="1" applyFont="1" applyFill="1" applyAlignment="1">
      <alignment horizontal="right" wrapText="1"/>
    </xf>
    <xf numFmtId="184" fontId="153" fillId="5" borderId="0" xfId="13" applyNumberFormat="1" applyFont="1" applyFill="1" applyAlignment="1">
      <alignment horizontal="right" vertical="center"/>
    </xf>
    <xf numFmtId="184" fontId="153" fillId="5" borderId="35" xfId="13" applyNumberFormat="1" applyFont="1" applyFill="1" applyBorder="1" applyAlignment="1">
      <alignment horizontal="right" vertical="center"/>
    </xf>
    <xf numFmtId="184" fontId="153" fillId="5" borderId="40" xfId="13" applyNumberFormat="1" applyFont="1" applyFill="1" applyBorder="1" applyAlignment="1">
      <alignment horizontal="right" vertical="center"/>
    </xf>
    <xf numFmtId="184" fontId="153" fillId="5" borderId="0" xfId="13" applyNumberFormat="1" applyFont="1" applyFill="1" applyAlignment="1">
      <alignment horizontal="right"/>
    </xf>
    <xf numFmtId="184" fontId="153" fillId="5" borderId="35" xfId="13" applyNumberFormat="1" applyFont="1" applyFill="1" applyBorder="1" applyAlignment="1">
      <alignment horizontal="right"/>
    </xf>
    <xf numFmtId="184" fontId="153" fillId="5" borderId="40" xfId="13" applyNumberFormat="1" applyFont="1" applyFill="1" applyBorder="1" applyAlignment="1">
      <alignment horizontal="right"/>
    </xf>
    <xf numFmtId="184" fontId="153" fillId="5" borderId="0" xfId="14" applyNumberFormat="1" applyFont="1" applyFill="1" applyAlignment="1">
      <alignment horizontal="right" vertical="center"/>
    </xf>
    <xf numFmtId="184" fontId="152" fillId="5" borderId="0" xfId="14" applyNumberFormat="1" applyFont="1" applyFill="1" applyAlignment="1">
      <alignment horizontal="right" wrapText="1"/>
    </xf>
    <xf numFmtId="184" fontId="152" fillId="5" borderId="0" xfId="14" applyNumberFormat="1" applyFont="1" applyFill="1" applyBorder="1" applyAlignment="1">
      <alignment horizontal="right" vertical="center"/>
    </xf>
    <xf numFmtId="184" fontId="152" fillId="5" borderId="0" xfId="13" applyNumberFormat="1" applyFont="1" applyFill="1" applyAlignment="1">
      <alignment horizontal="right" wrapText="1"/>
    </xf>
    <xf numFmtId="184" fontId="152" fillId="5" borderId="0" xfId="13" applyNumberFormat="1" applyFont="1" applyFill="1" applyAlignment="1">
      <alignment horizontal="right" vertical="center"/>
    </xf>
    <xf numFmtId="184" fontId="152" fillId="5" borderId="40" xfId="14" applyNumberFormat="1" applyFont="1" applyFill="1" applyBorder="1" applyAlignment="1">
      <alignment horizontal="right" vertical="center"/>
    </xf>
    <xf numFmtId="184" fontId="152" fillId="5" borderId="35" xfId="14" applyNumberFormat="1" applyFont="1" applyFill="1" applyBorder="1" applyAlignment="1">
      <alignment horizontal="right" vertical="center"/>
    </xf>
    <xf numFmtId="184" fontId="152" fillId="5" borderId="0" xfId="14" applyNumberFormat="1" applyFont="1" applyFill="1" applyAlignment="1">
      <alignment horizontal="right" vertical="center"/>
    </xf>
    <xf numFmtId="207" fontId="166" fillId="5" borderId="0" xfId="13" applyFont="1" applyFill="1" applyAlignment="1">
      <alignment horizontal="left" vertical="top" wrapText="1"/>
    </xf>
    <xf numFmtId="9" fontId="153" fillId="5" borderId="0" xfId="14" applyFont="1" applyFill="1" applyAlignment="1">
      <alignment horizontal="right" vertical="center"/>
    </xf>
    <xf numFmtId="207" fontId="152" fillId="5" borderId="0" xfId="13" quotePrefix="1" applyFont="1" applyFill="1" applyAlignment="1">
      <alignment horizontal="left" vertical="top" wrapText="1" indent="1"/>
    </xf>
    <xf numFmtId="9" fontId="152" fillId="5" borderId="0" xfId="14" applyFont="1" applyFill="1" applyAlignment="1">
      <alignment horizontal="right" vertical="center"/>
    </xf>
    <xf numFmtId="9" fontId="152" fillId="5" borderId="35" xfId="14" applyFont="1" applyFill="1" applyBorder="1" applyAlignment="1">
      <alignment horizontal="right" vertical="center"/>
    </xf>
    <xf numFmtId="9" fontId="152" fillId="5" borderId="40" xfId="14" applyFont="1" applyFill="1" applyBorder="1" applyAlignment="1">
      <alignment horizontal="right" vertical="center"/>
    </xf>
    <xf numFmtId="9" fontId="158" fillId="5" borderId="0" xfId="14" applyFont="1" applyFill="1" applyAlignment="1">
      <alignment horizontal="right" wrapText="1"/>
    </xf>
    <xf numFmtId="9" fontId="158" fillId="5" borderId="40" xfId="14" applyFont="1" applyFill="1" applyBorder="1" applyAlignment="1">
      <alignment horizontal="right" wrapText="1"/>
    </xf>
    <xf numFmtId="9" fontId="158" fillId="5" borderId="35" xfId="14" applyFont="1" applyFill="1" applyBorder="1" applyAlignment="1">
      <alignment horizontal="right" wrapText="1"/>
    </xf>
    <xf numFmtId="9" fontId="158" fillId="5" borderId="0" xfId="13" applyNumberFormat="1" applyFont="1" applyFill="1" applyAlignment="1">
      <alignment horizontal="right" vertical="center"/>
    </xf>
    <xf numFmtId="207" fontId="155" fillId="5" borderId="0" xfId="13" quotePrefix="1" applyFont="1" applyFill="1" applyAlignment="1">
      <alignment horizontal="left" indent="2"/>
    </xf>
    <xf numFmtId="9" fontId="155" fillId="5" borderId="0" xfId="14" applyFont="1" applyFill="1" applyAlignment="1">
      <alignment horizontal="right"/>
    </xf>
    <xf numFmtId="9" fontId="155" fillId="5" borderId="0" xfId="14" applyFont="1" applyFill="1" applyAlignment="1">
      <alignment horizontal="right" vertical="center"/>
    </xf>
    <xf numFmtId="9" fontId="155" fillId="5" borderId="40" xfId="14" applyFont="1" applyFill="1" applyBorder="1" applyAlignment="1">
      <alignment horizontal="right" vertical="center"/>
    </xf>
    <xf numFmtId="9" fontId="155" fillId="5" borderId="0" xfId="14" applyFont="1" applyFill="1" applyBorder="1" applyAlignment="1">
      <alignment horizontal="right" vertical="center"/>
    </xf>
    <xf numFmtId="9" fontId="155" fillId="5" borderId="35" xfId="14" applyFont="1" applyFill="1" applyBorder="1" applyAlignment="1">
      <alignment horizontal="right" vertical="center"/>
    </xf>
    <xf numFmtId="9" fontId="155" fillId="5" borderId="40" xfId="14" applyFont="1" applyFill="1" applyBorder="1" applyAlignment="1">
      <alignment horizontal="right"/>
    </xf>
    <xf numFmtId="9" fontId="155" fillId="5" borderId="0" xfId="14" applyFont="1" applyFill="1" applyBorder="1" applyAlignment="1">
      <alignment horizontal="right"/>
    </xf>
    <xf numFmtId="207" fontId="155" fillId="5" borderId="0" xfId="13" applyFont="1" applyFill="1" applyAlignment="1"/>
    <xf numFmtId="207" fontId="153" fillId="5" borderId="0" xfId="13" quotePrefix="1" applyFont="1" applyFill="1" applyAlignment="1">
      <alignment horizontal="left" wrapText="1" indent="2"/>
    </xf>
    <xf numFmtId="9" fontId="153" fillId="5" borderId="0" xfId="13" applyNumberFormat="1" applyFont="1" applyFill="1" applyAlignment="1">
      <alignment horizontal="right" vertical="center"/>
    </xf>
    <xf numFmtId="9" fontId="153" fillId="5" borderId="35" xfId="13" applyNumberFormat="1" applyFont="1" applyFill="1" applyBorder="1" applyAlignment="1">
      <alignment horizontal="right" vertical="center"/>
    </xf>
    <xf numFmtId="9" fontId="153" fillId="5" borderId="40" xfId="13" applyNumberFormat="1" applyFont="1" applyFill="1" applyBorder="1" applyAlignment="1">
      <alignment horizontal="right" vertical="center"/>
    </xf>
    <xf numFmtId="207" fontId="152" fillId="5" borderId="0" xfId="13" applyFont="1" applyFill="1" applyAlignment="1">
      <alignment horizontal="right" vertical="center"/>
    </xf>
    <xf numFmtId="9" fontId="152" fillId="5" borderId="0" xfId="13" applyNumberFormat="1" applyFont="1" applyFill="1" applyAlignment="1">
      <alignment horizontal="right" vertical="center"/>
    </xf>
    <xf numFmtId="207" fontId="152" fillId="5" borderId="40" xfId="13" applyFont="1" applyFill="1" applyBorder="1" applyAlignment="1">
      <alignment horizontal="right" vertical="center"/>
    </xf>
    <xf numFmtId="207" fontId="152" fillId="5" borderId="0" xfId="13" applyFont="1" applyFill="1" applyAlignment="1">
      <alignment horizontal="left" wrapText="1"/>
    </xf>
    <xf numFmtId="9" fontId="152" fillId="5" borderId="0" xfId="14" applyFont="1" applyFill="1" applyAlignment="1">
      <alignment horizontal="right"/>
    </xf>
    <xf numFmtId="9" fontId="152" fillId="5" borderId="0" xfId="13" applyNumberFormat="1" applyFont="1" applyFill="1" applyAlignment="1">
      <alignment horizontal="right"/>
    </xf>
    <xf numFmtId="207" fontId="152" fillId="5" borderId="40" xfId="13" applyFont="1" applyFill="1" applyBorder="1" applyAlignment="1">
      <alignment horizontal="right"/>
    </xf>
    <xf numFmtId="9" fontId="153" fillId="5" borderId="40" xfId="13" applyNumberFormat="1" applyFont="1" applyFill="1" applyBorder="1" applyAlignment="1">
      <alignment horizontal="right"/>
    </xf>
    <xf numFmtId="207" fontId="152" fillId="5" borderId="0" xfId="13" applyFont="1" applyFill="1" applyAlignment="1"/>
    <xf numFmtId="9" fontId="153" fillId="5" borderId="35" xfId="13" applyNumberFormat="1" applyFont="1" applyFill="1" applyBorder="1" applyAlignment="1">
      <alignment horizontal="right"/>
    </xf>
    <xf numFmtId="9" fontId="155" fillId="5" borderId="0" xfId="14" applyFont="1" applyFill="1" applyAlignment="1">
      <alignment horizontal="right" wrapText="1"/>
    </xf>
    <xf numFmtId="9" fontId="155" fillId="5" borderId="0" xfId="13" applyNumberFormat="1" applyFont="1" applyFill="1" applyAlignment="1">
      <alignment horizontal="right" vertical="center"/>
    </xf>
    <xf numFmtId="184" fontId="155" fillId="5" borderId="0" xfId="14" applyNumberFormat="1" applyFont="1" applyFill="1" applyAlignment="1">
      <alignment horizontal="right" wrapText="1"/>
    </xf>
    <xf numFmtId="9" fontId="155" fillId="5" borderId="0" xfId="14" applyFont="1" applyFill="1" applyBorder="1" applyAlignment="1">
      <alignment horizontal="right" wrapText="1"/>
    </xf>
    <xf numFmtId="3" fontId="155" fillId="5" borderId="40" xfId="13" applyNumberFormat="1" applyFont="1" applyFill="1" applyBorder="1" applyAlignment="1">
      <alignment horizontal="right" wrapText="1"/>
    </xf>
    <xf numFmtId="207" fontId="155" fillId="5" borderId="0" xfId="13" applyFont="1" applyFill="1">
      <alignment vertical="center"/>
    </xf>
    <xf numFmtId="3" fontId="153" fillId="5" borderId="40" xfId="13" applyNumberFormat="1" applyFont="1" applyFill="1" applyBorder="1" applyAlignment="1">
      <alignment horizontal="right" wrapText="1"/>
    </xf>
    <xf numFmtId="3" fontId="155" fillId="5" borderId="40" xfId="13" applyNumberFormat="1" applyFont="1" applyFill="1" applyBorder="1" applyAlignment="1">
      <alignment horizontal="right" vertical="center"/>
    </xf>
    <xf numFmtId="3" fontId="152" fillId="5" borderId="40" xfId="13" applyNumberFormat="1" applyFont="1" applyFill="1" applyBorder="1" applyAlignment="1">
      <alignment horizontal="right" vertical="center"/>
    </xf>
    <xf numFmtId="3" fontId="153" fillId="5" borderId="40" xfId="13" applyNumberFormat="1" applyFont="1" applyFill="1" applyBorder="1" applyAlignment="1">
      <alignment horizontal="right" vertical="center"/>
    </xf>
    <xf numFmtId="4" fontId="152" fillId="5" borderId="40" xfId="13" applyNumberFormat="1" applyFont="1" applyFill="1" applyBorder="1" applyAlignment="1">
      <alignment horizontal="right" vertical="center"/>
    </xf>
    <xf numFmtId="207" fontId="153" fillId="5" borderId="0" xfId="13" quotePrefix="1" applyFont="1" applyFill="1" applyAlignment="1">
      <alignment horizontal="left" vertical="top" wrapText="1" indent="2"/>
    </xf>
    <xf numFmtId="207" fontId="152" fillId="5" borderId="35" xfId="13" applyFont="1" applyFill="1" applyBorder="1" applyAlignment="1">
      <alignment horizontal="right" vertical="center"/>
    </xf>
    <xf numFmtId="3" fontId="152" fillId="5" borderId="35" xfId="13" applyNumberFormat="1" applyFont="1" applyFill="1" applyBorder="1" applyAlignment="1">
      <alignment horizontal="right" vertical="center"/>
    </xf>
    <xf numFmtId="207" fontId="151" fillId="5" borderId="33" xfId="13" applyFont="1" applyFill="1" applyBorder="1" applyAlignment="1">
      <alignment horizontal="left"/>
    </xf>
    <xf numFmtId="207" fontId="153" fillId="5" borderId="47" xfId="13" applyFont="1" applyFill="1" applyBorder="1">
      <alignment vertical="center"/>
    </xf>
    <xf numFmtId="207" fontId="152" fillId="5" borderId="47" xfId="13" applyFont="1" applyFill="1" applyBorder="1" applyAlignment="1">
      <alignment horizontal="right" vertical="center"/>
    </xf>
    <xf numFmtId="9" fontId="153" fillId="5" borderId="47" xfId="14" applyFont="1" applyFill="1" applyBorder="1" applyAlignment="1">
      <alignment horizontal="right" vertical="center"/>
    </xf>
    <xf numFmtId="4" fontId="152" fillId="5" borderId="48" xfId="13" applyNumberFormat="1" applyFont="1" applyFill="1" applyBorder="1" applyAlignment="1">
      <alignment horizontal="right" vertical="center"/>
    </xf>
    <xf numFmtId="4" fontId="152" fillId="5" borderId="47" xfId="13" applyNumberFormat="1" applyFont="1" applyFill="1" applyBorder="1" applyAlignment="1">
      <alignment horizontal="right" vertical="center"/>
    </xf>
    <xf numFmtId="4" fontId="152" fillId="5" borderId="49" xfId="13" applyNumberFormat="1" applyFont="1" applyFill="1" applyBorder="1" applyAlignment="1">
      <alignment horizontal="right" vertical="center"/>
    </xf>
    <xf numFmtId="207" fontId="152" fillId="5" borderId="47" xfId="13" applyFont="1" applyFill="1" applyBorder="1" applyAlignment="1">
      <alignment horizontal="left" vertical="top" wrapText="1"/>
    </xf>
    <xf numFmtId="184" fontId="153" fillId="5" borderId="47" xfId="14" applyNumberFormat="1" applyFont="1" applyFill="1" applyBorder="1" applyAlignment="1">
      <alignment horizontal="right" wrapText="1"/>
    </xf>
    <xf numFmtId="9" fontId="153" fillId="5" borderId="47" xfId="14" applyFont="1" applyFill="1" applyBorder="1" applyAlignment="1">
      <alignment horizontal="right" wrapText="1"/>
    </xf>
    <xf numFmtId="9" fontId="153" fillId="5" borderId="48" xfId="14" applyFont="1" applyFill="1" applyBorder="1" applyAlignment="1">
      <alignment horizontal="right" wrapText="1"/>
    </xf>
    <xf numFmtId="9" fontId="153" fillId="5" borderId="49" xfId="14" applyFont="1" applyFill="1" applyBorder="1" applyAlignment="1">
      <alignment horizontal="right" wrapText="1"/>
    </xf>
    <xf numFmtId="9" fontId="153" fillId="5" borderId="37" xfId="14" applyFont="1" applyFill="1" applyBorder="1" applyAlignment="1">
      <alignment horizontal="right" wrapText="1"/>
    </xf>
    <xf numFmtId="206" fontId="152" fillId="5" borderId="47" xfId="12" applyFont="1" applyFill="1" applyBorder="1" applyAlignment="1">
      <alignment horizontal="left" vertical="top" wrapText="1"/>
    </xf>
    <xf numFmtId="206" fontId="152" fillId="5" borderId="47" xfId="12" applyFont="1" applyFill="1" applyBorder="1" applyAlignment="1">
      <alignment horizontal="right" wrapText="1"/>
    </xf>
    <xf numFmtId="206" fontId="152" fillId="5" borderId="0" xfId="12" applyFont="1" applyFill="1" applyBorder="1">
      <alignment vertical="center"/>
    </xf>
    <xf numFmtId="206" fontId="152" fillId="5" borderId="0" xfId="12" applyFont="1" applyFill="1">
      <alignment vertical="center"/>
    </xf>
    <xf numFmtId="207" fontId="159" fillId="5" borderId="0" xfId="13" applyFont="1" applyFill="1" applyAlignment="1">
      <alignment horizontal="left" vertical="center"/>
    </xf>
    <xf numFmtId="207" fontId="154" fillId="5" borderId="40" xfId="16" applyFont="1" applyFill="1" applyBorder="1" applyAlignment="1">
      <alignment horizontal="right"/>
    </xf>
    <xf numFmtId="207" fontId="152" fillId="5" borderId="32" xfId="13" applyFont="1" applyFill="1" applyBorder="1">
      <alignment vertical="center"/>
    </xf>
    <xf numFmtId="207" fontId="175" fillId="5" borderId="0" xfId="13" applyFont="1" applyFill="1" applyAlignment="1">
      <alignment vertical="center" wrapText="1"/>
    </xf>
    <xf numFmtId="207" fontId="153" fillId="5" borderId="0" xfId="13" applyFont="1" applyFill="1" applyAlignment="1">
      <alignment horizontal="right"/>
    </xf>
    <xf numFmtId="3" fontId="152" fillId="5" borderId="0" xfId="12" applyNumberFormat="1" applyFont="1" applyFill="1" applyAlignment="1">
      <alignment horizontal="right" wrapText="1"/>
    </xf>
    <xf numFmtId="3" fontId="152" fillId="5" borderId="0" xfId="12" applyNumberFormat="1" applyFont="1" applyFill="1" applyBorder="1" applyAlignment="1">
      <alignment horizontal="right" wrapText="1"/>
    </xf>
    <xf numFmtId="3" fontId="153" fillId="5" borderId="0" xfId="12" applyNumberFormat="1" applyFont="1" applyFill="1" applyBorder="1" applyAlignment="1">
      <alignment horizontal="right" wrapText="1"/>
    </xf>
    <xf numFmtId="3" fontId="153" fillId="5" borderId="0" xfId="12" applyNumberFormat="1" applyFont="1" applyFill="1" applyAlignment="1">
      <alignment horizontal="right" wrapText="1"/>
    </xf>
    <xf numFmtId="3" fontId="153" fillId="5" borderId="0" xfId="12" applyNumberFormat="1" applyFont="1" applyFill="1" applyAlignment="1">
      <alignment horizontal="right" vertical="center"/>
    </xf>
    <xf numFmtId="3" fontId="153" fillId="5" borderId="0" xfId="12" applyNumberFormat="1" applyFont="1" applyFill="1" applyBorder="1" applyAlignment="1">
      <alignment horizontal="right" vertical="center"/>
    </xf>
    <xf numFmtId="192" fontId="151" fillId="5" borderId="33" xfId="12" applyNumberFormat="1" applyFont="1" applyFill="1" applyBorder="1" applyAlignment="1">
      <alignment horizontal="left" indent="1"/>
    </xf>
    <xf numFmtId="192" fontId="151" fillId="5" borderId="0" xfId="12" applyNumberFormat="1" applyFont="1" applyFill="1" applyBorder="1" applyAlignment="1">
      <alignment horizontal="left"/>
    </xf>
    <xf numFmtId="208" fontId="153" fillId="5" borderId="0" xfId="12" applyNumberFormat="1" applyFont="1" applyFill="1" applyAlignment="1">
      <alignment horizontal="left"/>
    </xf>
    <xf numFmtId="208" fontId="153" fillId="5" borderId="0" xfId="12" applyNumberFormat="1" applyFont="1" applyFill="1" applyAlignment="1">
      <alignment horizontal="left" vertical="top"/>
    </xf>
    <xf numFmtId="208" fontId="153" fillId="5" borderId="0" xfId="12" applyNumberFormat="1" applyFont="1" applyFill="1" applyAlignment="1">
      <alignment horizontal="left" wrapText="1"/>
    </xf>
    <xf numFmtId="208" fontId="153" fillId="5" borderId="0" xfId="12" applyNumberFormat="1" applyFont="1" applyFill="1" applyBorder="1" applyAlignment="1">
      <alignment horizontal="left" wrapText="1"/>
    </xf>
    <xf numFmtId="208" fontId="153" fillId="5" borderId="47" xfId="12" applyNumberFormat="1" applyFont="1" applyFill="1" applyBorder="1" applyAlignment="1">
      <alignment horizontal="left" wrapText="1"/>
    </xf>
    <xf numFmtId="207" fontId="153" fillId="5" borderId="47" xfId="13" applyFont="1" applyFill="1" applyBorder="1" applyAlignment="1">
      <alignment horizontal="right" vertical="center"/>
    </xf>
    <xf numFmtId="207" fontId="153" fillId="5" borderId="48" xfId="13" applyFont="1" applyFill="1" applyBorder="1" applyAlignment="1">
      <alignment horizontal="right" vertical="center"/>
    </xf>
    <xf numFmtId="207" fontId="153" fillId="5" borderId="49" xfId="13" applyFont="1" applyFill="1" applyBorder="1" applyAlignment="1">
      <alignment horizontal="right" vertical="center"/>
    </xf>
    <xf numFmtId="192" fontId="151" fillId="5" borderId="32" xfId="12" applyNumberFormat="1" applyFont="1" applyFill="1" applyBorder="1" applyAlignment="1">
      <alignment horizontal="left" indent="1"/>
    </xf>
    <xf numFmtId="192" fontId="151" fillId="5" borderId="39" xfId="12" quotePrefix="1" applyNumberFormat="1" applyFont="1" applyFill="1" applyBorder="1" applyAlignment="1">
      <alignment horizontal="left" indent="1"/>
    </xf>
    <xf numFmtId="208" fontId="153" fillId="5" borderId="0" xfId="13" applyNumberFormat="1" applyFont="1" applyFill="1">
      <alignment vertical="center"/>
    </xf>
    <xf numFmtId="192" fontId="151" fillId="5" borderId="39" xfId="12" applyNumberFormat="1" applyFont="1" applyFill="1" applyBorder="1" applyAlignment="1">
      <alignment horizontal="left" indent="3"/>
    </xf>
    <xf numFmtId="208" fontId="153" fillId="5" borderId="0" xfId="17" applyNumberFormat="1" applyFont="1" applyFill="1" applyAlignment="1">
      <alignment horizontal="right" vertical="center"/>
    </xf>
    <xf numFmtId="208" fontId="154" fillId="5" borderId="24" xfId="12" applyNumberFormat="1" applyFont="1" applyFill="1" applyBorder="1" applyAlignment="1">
      <alignment horizontal="left" vertical="top"/>
    </xf>
    <xf numFmtId="208" fontId="154" fillId="5" borderId="24" xfId="12" applyNumberFormat="1" applyFont="1" applyFill="1" applyBorder="1" applyAlignment="1">
      <alignment horizontal="right" vertical="center"/>
    </xf>
    <xf numFmtId="208" fontId="154" fillId="5" borderId="24" xfId="12" applyNumberFormat="1" applyFont="1" applyFill="1" applyBorder="1" applyAlignment="1">
      <alignment horizontal="right" wrapText="1"/>
    </xf>
    <xf numFmtId="208" fontId="154" fillId="5" borderId="24" xfId="17" applyNumberFormat="1" applyFont="1" applyFill="1" applyBorder="1" applyAlignment="1">
      <alignment horizontal="right" vertical="center"/>
    </xf>
    <xf numFmtId="208" fontId="154" fillId="5" borderId="43" xfId="12" applyNumberFormat="1" applyFont="1" applyFill="1" applyBorder="1" applyAlignment="1">
      <alignment horizontal="right" wrapText="1"/>
    </xf>
    <xf numFmtId="208" fontId="154" fillId="5" borderId="43" xfId="12" applyNumberFormat="1" applyFont="1" applyFill="1" applyBorder="1" applyAlignment="1">
      <alignment horizontal="right" vertical="center"/>
    </xf>
    <xf numFmtId="208" fontId="154" fillId="5" borderId="44" xfId="12" applyNumberFormat="1" applyFont="1" applyFill="1" applyBorder="1" applyAlignment="1">
      <alignment horizontal="right" vertical="center"/>
    </xf>
    <xf numFmtId="208" fontId="154" fillId="5" borderId="0" xfId="12" applyNumberFormat="1" applyFont="1" applyFill="1" applyBorder="1">
      <alignment vertical="center"/>
    </xf>
    <xf numFmtId="208" fontId="154" fillId="5" borderId="0" xfId="12" applyNumberFormat="1" applyFont="1" applyFill="1">
      <alignment vertical="center"/>
    </xf>
    <xf numFmtId="207" fontId="176" fillId="5" borderId="0" xfId="13" applyFont="1" applyFill="1" applyAlignment="1">
      <alignment horizontal="left" vertical="top"/>
    </xf>
    <xf numFmtId="208" fontId="176" fillId="5" borderId="0" xfId="12" applyNumberFormat="1" applyFont="1" applyFill="1" applyAlignment="1">
      <alignment horizontal="right" vertical="center"/>
    </xf>
    <xf numFmtId="208" fontId="176" fillId="5" borderId="0" xfId="12" applyNumberFormat="1" applyFont="1" applyFill="1" applyAlignment="1">
      <alignment horizontal="right" wrapText="1"/>
    </xf>
    <xf numFmtId="208" fontId="176" fillId="5" borderId="0" xfId="17" applyNumberFormat="1" applyFont="1" applyFill="1" applyAlignment="1">
      <alignment horizontal="right" vertical="center"/>
    </xf>
    <xf numFmtId="208" fontId="176" fillId="5" borderId="0" xfId="12" applyNumberFormat="1" applyFont="1" applyFill="1" applyBorder="1" applyAlignment="1">
      <alignment horizontal="right" vertical="center"/>
    </xf>
    <xf numFmtId="208" fontId="176" fillId="5" borderId="40" xfId="12" applyNumberFormat="1" applyFont="1" applyFill="1" applyBorder="1" applyAlignment="1">
      <alignment horizontal="right" wrapText="1"/>
    </xf>
    <xf numFmtId="208" fontId="176" fillId="5" borderId="0" xfId="12" applyNumberFormat="1" applyFont="1" applyFill="1" applyBorder="1" applyAlignment="1">
      <alignment horizontal="right" wrapText="1"/>
    </xf>
    <xf numFmtId="208" fontId="176" fillId="5" borderId="40" xfId="12" applyNumberFormat="1" applyFont="1" applyFill="1" applyBorder="1" applyAlignment="1">
      <alignment horizontal="right" vertical="center"/>
    </xf>
    <xf numFmtId="208" fontId="176" fillId="5" borderId="35" xfId="12" applyNumberFormat="1" applyFont="1" applyFill="1" applyBorder="1" applyAlignment="1">
      <alignment horizontal="right" vertical="center"/>
    </xf>
    <xf numFmtId="207" fontId="176" fillId="5" borderId="0" xfId="13" applyFont="1" applyFill="1">
      <alignment vertical="center"/>
    </xf>
    <xf numFmtId="208" fontId="168" fillId="5" borderId="0" xfId="17" applyNumberFormat="1" applyFont="1" applyFill="1" applyAlignment="1">
      <alignment horizontal="right" vertical="center"/>
    </xf>
    <xf numFmtId="207" fontId="153" fillId="5" borderId="0" xfId="13" quotePrefix="1" applyFont="1" applyFill="1" applyAlignment="1">
      <alignment horizontal="left" vertical="top"/>
    </xf>
    <xf numFmtId="207" fontId="151" fillId="5" borderId="0" xfId="13" quotePrefix="1" applyFont="1" applyFill="1" applyAlignment="1">
      <alignment horizontal="left" vertical="top" indent="1"/>
    </xf>
    <xf numFmtId="208" fontId="151" fillId="5" borderId="0" xfId="17" applyNumberFormat="1" applyFont="1" applyFill="1" applyAlignment="1">
      <alignment horizontal="right" vertical="center"/>
    </xf>
    <xf numFmtId="208" fontId="152" fillId="5" borderId="0" xfId="17" applyNumberFormat="1" applyFont="1" applyFill="1" applyAlignment="1">
      <alignment horizontal="right" vertical="center"/>
    </xf>
    <xf numFmtId="207" fontId="152" fillId="5" borderId="24" xfId="13" applyFont="1" applyFill="1" applyBorder="1" applyAlignment="1">
      <alignment horizontal="left" vertical="top"/>
    </xf>
    <xf numFmtId="208" fontId="152" fillId="5" borderId="24" xfId="17" applyNumberFormat="1" applyFont="1" applyFill="1" applyBorder="1" applyAlignment="1">
      <alignment horizontal="right" vertical="center"/>
    </xf>
    <xf numFmtId="3" fontId="153" fillId="5" borderId="35" xfId="13" applyNumberFormat="1" applyFont="1" applyFill="1" applyBorder="1" applyAlignment="1">
      <alignment horizontal="right" vertical="center"/>
    </xf>
    <xf numFmtId="192" fontId="151" fillId="5" borderId="33" xfId="12" applyNumberFormat="1" applyFont="1" applyFill="1" applyBorder="1" applyAlignment="1">
      <alignment horizontal="left"/>
    </xf>
    <xf numFmtId="3" fontId="153" fillId="5" borderId="48" xfId="13" applyNumberFormat="1" applyFont="1" applyFill="1" applyBorder="1" applyAlignment="1">
      <alignment horizontal="right" wrapText="1"/>
    </xf>
    <xf numFmtId="3" fontId="153" fillId="5" borderId="47" xfId="13" applyNumberFormat="1" applyFont="1" applyFill="1" applyBorder="1" applyAlignment="1">
      <alignment horizontal="right" wrapText="1"/>
    </xf>
    <xf numFmtId="208" fontId="153" fillId="5" borderId="47" xfId="12" applyNumberFormat="1" applyFont="1" applyFill="1" applyBorder="1" applyAlignment="1">
      <alignment horizontal="right" vertical="center"/>
    </xf>
    <xf numFmtId="208" fontId="153" fillId="5" borderId="48" xfId="12" applyNumberFormat="1" applyFont="1" applyFill="1" applyBorder="1" applyAlignment="1">
      <alignment horizontal="right" vertical="center"/>
    </xf>
    <xf numFmtId="208" fontId="153" fillId="5" borderId="49" xfId="12" applyNumberFormat="1" applyFont="1" applyFill="1" applyBorder="1" applyAlignment="1">
      <alignment horizontal="right" vertical="center"/>
    </xf>
    <xf numFmtId="207" fontId="151" fillId="5" borderId="0" xfId="13" applyFont="1" applyFill="1" applyAlignment="1">
      <alignment horizontal="left" vertical="center"/>
    </xf>
    <xf numFmtId="184" fontId="153" fillId="5" borderId="0" xfId="14" applyNumberFormat="1" applyFont="1" applyFill="1" applyBorder="1" applyAlignment="1"/>
    <xf numFmtId="10" fontId="153" fillId="5" borderId="0" xfId="14" applyNumberFormat="1" applyFont="1" applyFill="1" applyBorder="1" applyAlignment="1">
      <alignment horizontal="right" vertical="center"/>
    </xf>
    <xf numFmtId="10" fontId="153" fillId="5" borderId="0" xfId="13" applyNumberFormat="1" applyFont="1" applyFill="1" applyAlignment="1">
      <alignment horizontal="right" vertical="center"/>
    </xf>
    <xf numFmtId="3" fontId="153" fillId="5" borderId="0" xfId="14" applyNumberFormat="1" applyFont="1" applyFill="1" applyBorder="1" applyAlignment="1">
      <alignment horizontal="right" vertical="center"/>
    </xf>
    <xf numFmtId="208" fontId="155" fillId="5" borderId="19" xfId="12" applyNumberFormat="1" applyFont="1" applyFill="1" applyBorder="1" applyAlignment="1">
      <alignment horizontal="left" vertical="center"/>
    </xf>
    <xf numFmtId="208" fontId="155" fillId="5" borderId="19" xfId="12" applyNumberFormat="1" applyFont="1" applyFill="1" applyBorder="1" applyAlignment="1">
      <alignment horizontal="right" vertical="center"/>
    </xf>
    <xf numFmtId="208" fontId="155" fillId="5" borderId="18" xfId="12" applyNumberFormat="1" applyFont="1" applyFill="1" applyBorder="1" applyAlignment="1">
      <alignment horizontal="right" vertical="center"/>
    </xf>
    <xf numFmtId="208" fontId="155" fillId="5" borderId="20" xfId="12" applyNumberFormat="1" applyFont="1" applyFill="1" applyBorder="1" applyAlignment="1">
      <alignment horizontal="right" vertical="center"/>
    </xf>
    <xf numFmtId="208" fontId="155" fillId="5" borderId="0" xfId="12" applyNumberFormat="1" applyFont="1" applyFill="1" applyBorder="1">
      <alignment vertical="center"/>
    </xf>
    <xf numFmtId="208" fontId="155" fillId="5" borderId="0" xfId="12" applyNumberFormat="1" applyFont="1" applyFill="1">
      <alignment vertical="center"/>
    </xf>
    <xf numFmtId="207" fontId="153" fillId="5" borderId="0" xfId="13" applyFont="1" applyFill="1" applyAlignment="1">
      <alignment horizontal="left" vertical="center" indent="1"/>
    </xf>
    <xf numFmtId="2" fontId="153" fillId="5" borderId="0" xfId="13" applyNumberFormat="1" applyFont="1" applyFill="1" applyAlignment="1">
      <alignment horizontal="right" vertical="center"/>
    </xf>
    <xf numFmtId="223" fontId="153" fillId="5" borderId="0" xfId="13" applyNumberFormat="1" applyFont="1" applyFill="1" applyAlignment="1">
      <alignment horizontal="right" vertical="center"/>
    </xf>
    <xf numFmtId="9" fontId="153" fillId="5" borderId="21" xfId="14" applyFont="1" applyFill="1" applyBorder="1" applyAlignment="1">
      <alignment horizontal="right" vertical="center"/>
    </xf>
    <xf numFmtId="9" fontId="153" fillId="5" borderId="22" xfId="14" applyFont="1" applyFill="1" applyBorder="1" applyAlignment="1">
      <alignment horizontal="right" vertical="center"/>
    </xf>
    <xf numFmtId="208" fontId="155" fillId="5" borderId="0" xfId="12" applyNumberFormat="1" applyFont="1" applyFill="1" applyBorder="1" applyAlignment="1">
      <alignment horizontal="left" vertical="center"/>
    </xf>
    <xf numFmtId="192" fontId="155" fillId="5" borderId="0" xfId="12" applyNumberFormat="1" applyFont="1" applyFill="1" applyBorder="1" applyAlignment="1">
      <alignment horizontal="right" vertical="center"/>
    </xf>
    <xf numFmtId="208" fontId="155" fillId="5" borderId="21" xfId="12" applyNumberFormat="1" applyFont="1" applyFill="1" applyBorder="1" applyAlignment="1">
      <alignment horizontal="right" vertical="center"/>
    </xf>
    <xf numFmtId="208" fontId="155" fillId="5" borderId="22" xfId="12" applyNumberFormat="1" applyFont="1" applyFill="1" applyBorder="1" applyAlignment="1">
      <alignment horizontal="right" vertical="center"/>
    </xf>
    <xf numFmtId="223" fontId="153" fillId="5" borderId="21" xfId="13" applyNumberFormat="1" applyFont="1" applyFill="1" applyBorder="1" applyAlignment="1">
      <alignment horizontal="right" vertical="center"/>
    </xf>
    <xf numFmtId="223" fontId="153" fillId="5" borderId="22" xfId="13" applyNumberFormat="1" applyFont="1" applyFill="1" applyBorder="1" applyAlignment="1">
      <alignment horizontal="right" vertical="center"/>
    </xf>
    <xf numFmtId="208" fontId="152" fillId="5" borderId="21" xfId="12" applyNumberFormat="1" applyFont="1" applyFill="1" applyBorder="1" applyAlignment="1">
      <alignment horizontal="right" vertical="center"/>
    </xf>
    <xf numFmtId="208" fontId="152" fillId="5" borderId="22" xfId="12" applyNumberFormat="1" applyFont="1" applyFill="1" applyBorder="1" applyAlignment="1">
      <alignment horizontal="right" vertical="center"/>
    </xf>
    <xf numFmtId="2" fontId="152" fillId="5" borderId="0" xfId="13" applyNumberFormat="1" applyFont="1" applyFill="1" applyAlignment="1">
      <alignment horizontal="right" vertical="center"/>
    </xf>
    <xf numFmtId="223" fontId="152" fillId="5" borderId="0" xfId="13" applyNumberFormat="1" applyFont="1" applyFill="1" applyAlignment="1">
      <alignment horizontal="right" vertical="center"/>
    </xf>
    <xf numFmtId="223" fontId="152" fillId="5" borderId="21" xfId="13" applyNumberFormat="1" applyFont="1" applyFill="1" applyBorder="1" applyAlignment="1">
      <alignment horizontal="right" vertical="center"/>
    </xf>
    <xf numFmtId="223" fontId="152" fillId="5" borderId="22" xfId="13" applyNumberFormat="1" applyFont="1" applyFill="1" applyBorder="1" applyAlignment="1">
      <alignment horizontal="right" vertical="center"/>
    </xf>
    <xf numFmtId="207" fontId="153" fillId="5" borderId="24" xfId="13" applyFont="1" applyFill="1" applyBorder="1" applyAlignment="1">
      <alignment horizontal="left" vertical="center" indent="1"/>
    </xf>
    <xf numFmtId="207" fontId="153" fillId="5" borderId="24" xfId="13" applyFont="1" applyFill="1" applyBorder="1" applyAlignment="1">
      <alignment horizontal="right" vertical="center"/>
    </xf>
    <xf numFmtId="2" fontId="153" fillId="5" borderId="24" xfId="13" applyNumberFormat="1" applyFont="1" applyFill="1" applyBorder="1" applyAlignment="1">
      <alignment horizontal="right" vertical="center"/>
    </xf>
    <xf numFmtId="223" fontId="153" fillId="5" borderId="24" xfId="13" applyNumberFormat="1" applyFont="1" applyFill="1" applyBorder="1" applyAlignment="1">
      <alignment horizontal="right" vertical="center"/>
    </xf>
    <xf numFmtId="9" fontId="153" fillId="5" borderId="23" xfId="14" applyFont="1" applyFill="1" applyBorder="1" applyAlignment="1">
      <alignment horizontal="right" vertical="center"/>
    </xf>
    <xf numFmtId="9" fontId="153" fillId="5" borderId="25" xfId="14" applyFont="1" applyFill="1" applyBorder="1" applyAlignment="1">
      <alignment horizontal="right" vertical="center"/>
    </xf>
    <xf numFmtId="207" fontId="158" fillId="5" borderId="0" xfId="13" applyFont="1" applyFill="1" applyAlignment="1">
      <alignment horizontal="left" vertical="center"/>
    </xf>
    <xf numFmtId="192" fontId="77" fillId="5" borderId="0" xfId="12" applyNumberFormat="1" applyFont="1" applyFill="1" applyBorder="1" applyAlignment="1">
      <alignment horizontal="left"/>
    </xf>
    <xf numFmtId="207" fontId="79" fillId="5" borderId="0" xfId="13" applyFont="1" applyFill="1">
      <alignment vertical="center"/>
    </xf>
    <xf numFmtId="207" fontId="55" fillId="5" borderId="0" xfId="13" applyFont="1" applyFill="1" applyAlignment="1">
      <alignment horizontal="left" vertical="center"/>
    </xf>
    <xf numFmtId="177" fontId="22" fillId="3" borderId="0" xfId="0" applyNumberFormat="1" applyFont="1" applyFill="1" applyBorder="1" applyAlignment="1">
      <alignment horizontal="right"/>
    </xf>
    <xf numFmtId="187" fontId="22" fillId="3" borderId="0" xfId="0" applyNumberFormat="1" applyFont="1" applyFill="1" applyBorder="1" applyAlignment="1">
      <alignment horizontal="right"/>
    </xf>
    <xf numFmtId="184" fontId="51" fillId="5" borderId="0" xfId="10" applyNumberFormat="1" applyFont="1" applyFill="1" applyBorder="1" applyAlignment="1"/>
    <xf numFmtId="192" fontId="15" fillId="5" borderId="0" xfId="7" applyNumberFormat="1" applyFont="1" applyFill="1" applyBorder="1" applyAlignment="1"/>
    <xf numFmtId="3" fontId="56" fillId="5" borderId="0" xfId="8" applyNumberFormat="1" applyFont="1" applyFill="1" applyBorder="1"/>
    <xf numFmtId="9" fontId="36" fillId="3" borderId="0" xfId="1" applyFont="1" applyFill="1" applyBorder="1" applyAlignment="1">
      <alignment horizontal="right"/>
    </xf>
    <xf numFmtId="9" fontId="22" fillId="3" borderId="0" xfId="1" applyFont="1" applyFill="1" applyBorder="1" applyAlignment="1">
      <alignment horizontal="right"/>
    </xf>
    <xf numFmtId="187" fontId="11" fillId="3" borderId="0" xfId="0" applyNumberFormat="1" applyFont="1" applyFill="1" applyBorder="1" applyAlignment="1">
      <alignment horizontal="right"/>
    </xf>
    <xf numFmtId="9" fontId="11" fillId="3" borderId="0" xfId="1" applyFont="1" applyFill="1" applyBorder="1" applyAlignment="1">
      <alignment horizontal="right"/>
    </xf>
    <xf numFmtId="0" fontId="22" fillId="0" borderId="0" xfId="0" applyNumberFormat="1" applyFont="1"/>
    <xf numFmtId="187" fontId="15" fillId="3" borderId="0" xfId="0" applyNumberFormat="1" applyFont="1" applyFill="1" applyBorder="1" applyAlignment="1">
      <alignment horizontal="right"/>
    </xf>
    <xf numFmtId="177" fontId="56" fillId="0" borderId="0" xfId="0" applyNumberFormat="1" applyFont="1" applyFill="1" applyBorder="1" applyAlignment="1">
      <alignment horizontal="right"/>
    </xf>
    <xf numFmtId="224" fontId="22" fillId="2" borderId="0" xfId="0" applyNumberFormat="1" applyFont="1" applyFill="1" applyBorder="1" applyAlignment="1">
      <alignment horizontal="right"/>
    </xf>
    <xf numFmtId="177" fontId="15" fillId="3" borderId="0" xfId="0" applyNumberFormat="1" applyFont="1" applyFill="1" applyBorder="1" applyAlignment="1">
      <alignment horizontal="right"/>
    </xf>
    <xf numFmtId="225" fontId="15" fillId="0" borderId="0" xfId="2" applyNumberFormat="1" applyFont="1" applyFill="1" applyBorder="1" applyAlignment="1">
      <alignment horizontal="right" vertical="center"/>
    </xf>
    <xf numFmtId="225" fontId="15" fillId="0" borderId="13" xfId="2" applyNumberFormat="1" applyFont="1" applyFill="1" applyBorder="1" applyAlignment="1">
      <alignment horizontal="right" vertical="center"/>
    </xf>
    <xf numFmtId="198" fontId="22" fillId="5" borderId="0" xfId="8" applyNumberFormat="1" applyFont="1" applyFill="1" applyBorder="1"/>
    <xf numFmtId="198" fontId="22" fillId="5" borderId="0" xfId="8" applyNumberFormat="1" applyFont="1" applyFill="1" applyBorder="1" applyAlignment="1">
      <alignment horizontal="right"/>
    </xf>
    <xf numFmtId="198" fontId="24" fillId="5" borderId="0" xfId="8" applyNumberFormat="1" applyFont="1" applyFill="1" applyBorder="1"/>
    <xf numFmtId="198" fontId="26" fillId="5" borderId="0" xfId="8" applyNumberFormat="1" applyFont="1" applyFill="1" applyBorder="1"/>
    <xf numFmtId="192" fontId="19" fillId="11" borderId="0" xfId="8" applyNumberFormat="1" applyFont="1" applyFill="1" applyBorder="1"/>
    <xf numFmtId="3" fontId="19" fillId="11" borderId="0" xfId="8" applyNumberFormat="1" applyFont="1" applyFill="1" applyBorder="1"/>
    <xf numFmtId="43" fontId="23" fillId="5" borderId="0" xfId="7" applyFont="1" applyFill="1" applyBorder="1" applyAlignment="1">
      <alignment horizontal="right"/>
    </xf>
    <xf numFmtId="9" fontId="23" fillId="5" borderId="0" xfId="10" applyFont="1" applyFill="1" applyBorder="1" applyAlignment="1">
      <alignment horizontal="right"/>
    </xf>
    <xf numFmtId="43" fontId="22" fillId="5" borderId="0" xfId="7" applyFont="1" applyFill="1" applyBorder="1" applyAlignment="1">
      <alignment horizontal="left" indent="2"/>
    </xf>
    <xf numFmtId="3" fontId="26" fillId="5" borderId="0" xfId="8" applyNumberFormat="1" applyFont="1" applyFill="1" applyBorder="1" applyAlignment="1">
      <alignment horizontal="center"/>
    </xf>
    <xf numFmtId="3" fontId="22" fillId="5" borderId="0" xfId="8" applyNumberFormat="1" applyFont="1" applyFill="1" applyBorder="1" applyAlignment="1">
      <alignment horizontal="right"/>
    </xf>
    <xf numFmtId="43" fontId="22" fillId="12" borderId="0" xfId="7" applyFont="1" applyFill="1" applyBorder="1" applyAlignment="1"/>
    <xf numFmtId="3" fontId="22" fillId="10" borderId="0" xfId="8" applyNumberFormat="1" applyFont="1" applyFill="1" applyBorder="1"/>
    <xf numFmtId="43" fontId="59" fillId="5" borderId="0" xfId="7" applyFont="1" applyFill="1" applyBorder="1" applyAlignment="1">
      <alignment horizontal="left" indent="3"/>
    </xf>
    <xf numFmtId="192" fontId="26" fillId="5" borderId="0" xfId="7" applyNumberFormat="1" applyFont="1" applyFill="1" applyBorder="1" applyAlignment="1"/>
    <xf numFmtId="192" fontId="59" fillId="5" borderId="0" xfId="10" applyNumberFormat="1" applyFont="1" applyFill="1" applyBorder="1" applyAlignment="1"/>
    <xf numFmtId="43" fontId="15" fillId="5" borderId="0" xfId="7" applyFont="1" applyFill="1" applyBorder="1" applyAlignment="1">
      <alignment horizontal="left"/>
    </xf>
    <xf numFmtId="9" fontId="60" fillId="5" borderId="0" xfId="10" applyFont="1" applyFill="1" applyBorder="1" applyAlignment="1">
      <alignment horizontal="center"/>
    </xf>
    <xf numFmtId="0" fontId="16" fillId="5" borderId="0" xfId="8" applyFont="1" applyFill="1" applyBorder="1"/>
    <xf numFmtId="43" fontId="22" fillId="5" borderId="0" xfId="7" applyFont="1" applyFill="1" applyBorder="1" applyAlignment="1">
      <alignment horizontal="right"/>
    </xf>
    <xf numFmtId="43" fontId="15" fillId="5" borderId="0" xfId="7" applyFont="1" applyFill="1" applyBorder="1" applyAlignment="1">
      <alignment horizontal="left" indent="2"/>
    </xf>
    <xf numFmtId="0" fontId="23" fillId="5" borderId="0" xfId="10" applyNumberFormat="1" applyFont="1" applyFill="1" applyBorder="1" applyAlignment="1"/>
    <xf numFmtId="9" fontId="23" fillId="10" borderId="0" xfId="10" applyFont="1" applyFill="1" applyBorder="1" applyAlignment="1"/>
    <xf numFmtId="43" fontId="15" fillId="5" borderId="0" xfId="7" applyFont="1" applyFill="1" applyBorder="1" applyAlignment="1">
      <alignment horizontal="center"/>
    </xf>
    <xf numFmtId="192" fontId="67" fillId="5" borderId="0" xfId="7" applyNumberFormat="1" applyFont="1" applyFill="1" applyBorder="1" applyAlignment="1">
      <alignment horizontal="center"/>
    </xf>
    <xf numFmtId="192" fontId="67" fillId="5" borderId="0" xfId="7" applyNumberFormat="1" applyFont="1" applyFill="1" applyBorder="1" applyAlignment="1">
      <alignment horizontal="right"/>
    </xf>
    <xf numFmtId="192" fontId="23" fillId="5" borderId="0" xfId="7" applyNumberFormat="1" applyFont="1" applyFill="1" applyBorder="1" applyAlignment="1">
      <alignment horizontal="center"/>
    </xf>
    <xf numFmtId="192" fontId="23" fillId="5" borderId="0" xfId="7" applyNumberFormat="1" applyFont="1" applyFill="1" applyBorder="1" applyAlignment="1"/>
    <xf numFmtId="43" fontId="36" fillId="5" borderId="0" xfId="7" applyFont="1" applyFill="1" applyBorder="1" applyAlignment="1">
      <alignment horizontal="center"/>
    </xf>
    <xf numFmtId="192" fontId="15" fillId="5" borderId="0" xfId="7" applyNumberFormat="1" applyFont="1" applyFill="1" applyBorder="1" applyAlignment="1">
      <alignment horizontal="right"/>
    </xf>
    <xf numFmtId="192" fontId="24" fillId="5" borderId="0" xfId="7" applyNumberFormat="1" applyFont="1" applyFill="1" applyBorder="1" applyAlignment="1"/>
    <xf numFmtId="0" fontId="15" fillId="5" borderId="0" xfId="7" applyNumberFormat="1" applyFont="1" applyFill="1" applyBorder="1" applyAlignment="1"/>
    <xf numFmtId="192" fontId="15" fillId="10" borderId="0" xfId="7" applyNumberFormat="1" applyFont="1" applyFill="1" applyBorder="1" applyAlignment="1"/>
    <xf numFmtId="9" fontId="15" fillId="5" borderId="0" xfId="10" applyFont="1" applyFill="1" applyBorder="1" applyAlignment="1"/>
    <xf numFmtId="43" fontId="36" fillId="5" borderId="0" xfId="7" applyFont="1" applyFill="1" applyBorder="1" applyAlignment="1">
      <alignment horizontal="left" indent="1"/>
    </xf>
    <xf numFmtId="3" fontId="15" fillId="5" borderId="0" xfId="8" applyNumberFormat="1" applyFont="1" applyFill="1" applyBorder="1"/>
    <xf numFmtId="3" fontId="15" fillId="10" borderId="0" xfId="8" applyNumberFormat="1" applyFont="1" applyFill="1" applyBorder="1"/>
    <xf numFmtId="43" fontId="26" fillId="5" borderId="0" xfId="7" applyFont="1" applyFill="1" applyBorder="1" applyAlignment="1">
      <alignment horizontal="left" indent="3"/>
    </xf>
    <xf numFmtId="3" fontId="60" fillId="5" borderId="0" xfId="10" applyNumberFormat="1" applyFont="1" applyFill="1" applyBorder="1" applyAlignment="1"/>
    <xf numFmtId="43" fontId="60" fillId="5" borderId="0" xfId="7" applyFont="1" applyFill="1" applyBorder="1" applyAlignment="1"/>
    <xf numFmtId="9" fontId="60" fillId="5" borderId="0" xfId="10" applyFont="1" applyFill="1" applyBorder="1" applyAlignment="1">
      <alignment horizontal="right"/>
    </xf>
    <xf numFmtId="3" fontId="23" fillId="5" borderId="0" xfId="10" applyNumberFormat="1" applyFont="1" applyFill="1" applyBorder="1" applyAlignment="1"/>
    <xf numFmtId="3" fontId="23" fillId="5" borderId="0" xfId="10" applyNumberFormat="1" applyFont="1" applyFill="1" applyBorder="1" applyAlignment="1">
      <alignment horizontal="right"/>
    </xf>
    <xf numFmtId="3" fontId="59" fillId="5" borderId="0" xfId="10" applyNumberFormat="1" applyFont="1" applyFill="1" applyBorder="1" applyAlignment="1"/>
    <xf numFmtId="9" fontId="26" fillId="5" borderId="0" xfId="10" applyFont="1" applyFill="1" applyBorder="1" applyAlignment="1"/>
    <xf numFmtId="43" fontId="59" fillId="5" borderId="0" xfId="7" applyFont="1" applyFill="1" applyBorder="1" applyAlignment="1">
      <alignment horizontal="left" indent="2"/>
    </xf>
    <xf numFmtId="3" fontId="15" fillId="5" borderId="0" xfId="8" applyNumberFormat="1" applyFont="1" applyFill="1" applyBorder="1" applyAlignment="1">
      <alignment horizontal="center"/>
    </xf>
    <xf numFmtId="3" fontId="15" fillId="5" borderId="0" xfId="8" applyNumberFormat="1" applyFont="1" applyFill="1" applyBorder="1" applyAlignment="1">
      <alignment horizontal="right"/>
    </xf>
    <xf numFmtId="184" fontId="23" fillId="5" borderId="0" xfId="10" applyNumberFormat="1" applyFont="1" applyFill="1" applyBorder="1" applyAlignment="1"/>
    <xf numFmtId="184" fontId="59" fillId="5" borderId="0" xfId="10" applyNumberFormat="1" applyFont="1" applyFill="1" applyBorder="1" applyAlignment="1"/>
    <xf numFmtId="9" fontId="51" fillId="5" borderId="0" xfId="10" applyFont="1" applyFill="1" applyBorder="1" applyAlignment="1">
      <alignment horizontal="right"/>
    </xf>
    <xf numFmtId="3" fontId="66" fillId="5" borderId="0" xfId="8" applyNumberFormat="1" applyFont="1" applyFill="1" applyBorder="1"/>
    <xf numFmtId="1" fontId="66" fillId="5" borderId="0" xfId="7" applyNumberFormat="1" applyFont="1" applyFill="1" applyBorder="1" applyAlignment="1"/>
    <xf numFmtId="3" fontId="69" fillId="5" borderId="0" xfId="8" applyNumberFormat="1" applyFont="1" applyFill="1" applyBorder="1"/>
    <xf numFmtId="3" fontId="70" fillId="5" borderId="0" xfId="8" applyNumberFormat="1" applyFont="1" applyFill="1" applyBorder="1"/>
    <xf numFmtId="9" fontId="71" fillId="5" borderId="0" xfId="10" applyFont="1" applyFill="1" applyBorder="1" applyAlignment="1"/>
    <xf numFmtId="43" fontId="26" fillId="5" borderId="0" xfId="7" applyFont="1" applyFill="1" applyBorder="1" applyAlignment="1">
      <alignment horizontal="center"/>
    </xf>
    <xf numFmtId="192" fontId="56" fillId="5" borderId="0" xfId="7" applyNumberFormat="1" applyFont="1" applyFill="1" applyBorder="1" applyAlignment="1"/>
    <xf numFmtId="193" fontId="15" fillId="5" borderId="0" xfId="7" applyNumberFormat="1" applyFont="1" applyFill="1" applyBorder="1" applyAlignment="1"/>
    <xf numFmtId="43" fontId="22" fillId="13" borderId="0" xfId="7" applyFont="1" applyFill="1" applyAlignment="1"/>
    <xf numFmtId="0" fontId="22" fillId="13" borderId="0" xfId="8" applyFont="1" applyFill="1"/>
    <xf numFmtId="3" fontId="22" fillId="13" borderId="0" xfId="8" applyNumberFormat="1" applyFont="1" applyFill="1"/>
    <xf numFmtId="43" fontId="22" fillId="18" borderId="0" xfId="7" applyFont="1" applyFill="1" applyAlignment="1">
      <alignment horizontal="left" indent="1"/>
    </xf>
    <xf numFmtId="0" fontId="22" fillId="18" borderId="0" xfId="8" applyFont="1" applyFill="1"/>
    <xf numFmtId="3" fontId="22" fillId="18" borderId="0" xfId="8" applyNumberFormat="1" applyFont="1" applyFill="1"/>
    <xf numFmtId="43" fontId="36" fillId="13" borderId="0" xfId="7" applyFont="1" applyFill="1" applyAlignment="1"/>
    <xf numFmtId="0" fontId="36" fillId="13" borderId="0" xfId="8" applyFont="1" applyFill="1"/>
    <xf numFmtId="3" fontId="36" fillId="13" borderId="0" xfId="8" applyNumberFormat="1" applyFont="1" applyFill="1"/>
    <xf numFmtId="0" fontId="36" fillId="4" borderId="0" xfId="8" applyFont="1" applyFill="1"/>
    <xf numFmtId="3" fontId="19" fillId="4" borderId="0" xfId="8" applyNumberFormat="1" applyFont="1" applyFill="1"/>
    <xf numFmtId="3" fontId="19" fillId="13" borderId="0" xfId="8" applyNumberFormat="1" applyFont="1" applyFill="1"/>
    <xf numFmtId="3" fontId="15" fillId="18" borderId="0" xfId="8" applyNumberFormat="1" applyFont="1" applyFill="1"/>
    <xf numFmtId="3" fontId="15" fillId="0" borderId="0" xfId="8" applyNumberFormat="1" applyFont="1" applyFill="1" applyBorder="1"/>
    <xf numFmtId="3" fontId="16" fillId="5" borderId="0" xfId="8" applyNumberFormat="1" applyFont="1" applyFill="1" applyBorder="1"/>
    <xf numFmtId="3" fontId="22" fillId="5" borderId="0" xfId="7" applyNumberFormat="1" applyFont="1" applyFill="1" applyBorder="1" applyAlignment="1"/>
    <xf numFmtId="3" fontId="36" fillId="5" borderId="0" xfId="7" applyNumberFormat="1" applyFont="1" applyFill="1" applyBorder="1" applyAlignment="1"/>
    <xf numFmtId="43" fontId="19" fillId="5" borderId="0" xfId="7" applyFont="1" applyFill="1" applyAlignment="1"/>
    <xf numFmtId="3" fontId="19" fillId="5" borderId="0" xfId="8" applyNumberFormat="1" applyFont="1" applyFill="1" applyAlignment="1">
      <alignment horizontal="right"/>
    </xf>
    <xf numFmtId="3" fontId="15" fillId="13" borderId="0" xfId="8" applyNumberFormat="1" applyFont="1" applyFill="1"/>
    <xf numFmtId="3" fontId="19" fillId="5" borderId="0" xfId="8" applyNumberFormat="1" applyFont="1" applyFill="1" applyBorder="1"/>
    <xf numFmtId="184" fontId="59" fillId="5" borderId="0" xfId="10" applyNumberFormat="1" applyFont="1" applyFill="1" applyAlignment="1"/>
    <xf numFmtId="184" fontId="60" fillId="5" borderId="0" xfId="10" applyNumberFormat="1" applyFont="1" applyFill="1" applyBorder="1" applyAlignment="1"/>
    <xf numFmtId="184" fontId="64" fillId="5" borderId="0" xfId="10" applyNumberFormat="1" applyFont="1" applyFill="1" applyBorder="1" applyAlignment="1"/>
    <xf numFmtId="43" fontId="59" fillId="5" borderId="0" xfId="7" applyFont="1" applyFill="1" applyBorder="1" applyAlignment="1">
      <alignment horizontal="left" indent="4"/>
    </xf>
    <xf numFmtId="43" fontId="26" fillId="5" borderId="0" xfId="7" applyFont="1" applyFill="1" applyAlignment="1">
      <alignment horizontal="left" indent="5"/>
    </xf>
    <xf numFmtId="183" fontId="19" fillId="5" borderId="0" xfId="8" applyNumberFormat="1" applyFont="1" applyFill="1" applyAlignment="1">
      <alignment horizontal="center"/>
    </xf>
    <xf numFmtId="183" fontId="19" fillId="5" borderId="0" xfId="8" applyNumberFormat="1" applyFont="1" applyFill="1" applyAlignment="1">
      <alignment horizontal="right"/>
    </xf>
    <xf numFmtId="3" fontId="36" fillId="5" borderId="19" xfId="8" applyNumberFormat="1" applyFont="1" applyFill="1" applyBorder="1" applyAlignment="1">
      <alignment horizontal="right"/>
    </xf>
    <xf numFmtId="3" fontId="36" fillId="5" borderId="19" xfId="8" applyNumberFormat="1" applyFont="1" applyFill="1" applyBorder="1"/>
    <xf numFmtId="3" fontId="26" fillId="5" borderId="19" xfId="8" applyNumberFormat="1" applyFont="1" applyFill="1" applyBorder="1"/>
    <xf numFmtId="43" fontId="60" fillId="5" borderId="0" xfId="7" applyFont="1" applyFill="1" applyBorder="1" applyAlignment="1">
      <alignment horizontal="left" indent="1"/>
    </xf>
    <xf numFmtId="184" fontId="59" fillId="5" borderId="0" xfId="8" applyNumberFormat="1" applyFont="1" applyFill="1" applyBorder="1"/>
    <xf numFmtId="43" fontId="180" fillId="5" borderId="0" xfId="7" applyFont="1" applyFill="1" applyBorder="1" applyAlignment="1">
      <alignment horizontal="center"/>
    </xf>
    <xf numFmtId="192" fontId="15" fillId="5" borderId="0" xfId="7" applyNumberFormat="1" applyFont="1" applyFill="1" applyBorder="1" applyAlignment="1">
      <alignment horizontal="left"/>
    </xf>
    <xf numFmtId="184" fontId="56" fillId="5" borderId="0" xfId="10" applyNumberFormat="1" applyFont="1" applyFill="1" applyBorder="1" applyAlignment="1"/>
    <xf numFmtId="43" fontId="59" fillId="5" borderId="0" xfId="7" applyFont="1" applyFill="1" applyBorder="1" applyAlignment="1"/>
    <xf numFmtId="0" fontId="36" fillId="5" borderId="19" xfId="8" applyFont="1" applyFill="1" applyBorder="1"/>
    <xf numFmtId="184" fontId="22" fillId="5" borderId="0" xfId="8" applyNumberFormat="1" applyFont="1" applyFill="1" applyBorder="1"/>
    <xf numFmtId="183" fontId="36" fillId="3" borderId="0" xfId="0" quotePrefix="1" applyNumberFormat="1" applyFont="1" applyFill="1" applyBorder="1" applyAlignment="1" applyProtection="1">
      <alignment horizontal="center"/>
    </xf>
    <xf numFmtId="187" fontId="36" fillId="2" borderId="0" xfId="0" applyNumberFormat="1" applyFont="1" applyFill="1" applyBorder="1" applyAlignment="1">
      <alignment horizontal="right"/>
    </xf>
    <xf numFmtId="187" fontId="15" fillId="5" borderId="0" xfId="0" quotePrefix="1" applyNumberFormat="1" applyFont="1" applyFill="1" applyBorder="1" applyAlignment="1">
      <alignment horizontal="right"/>
    </xf>
    <xf numFmtId="186" fontId="15" fillId="3" borderId="0" xfId="0" quotePrefix="1" applyNumberFormat="1" applyFont="1" applyFill="1" applyBorder="1" applyAlignment="1">
      <alignment horizontal="right"/>
    </xf>
    <xf numFmtId="186" fontId="22" fillId="3" borderId="0" xfId="0" quotePrefix="1" applyNumberFormat="1" applyFont="1" applyFill="1" applyBorder="1" applyAlignment="1">
      <alignment horizontal="right"/>
    </xf>
    <xf numFmtId="186" fontId="22" fillId="3" borderId="0" xfId="0" applyNumberFormat="1" applyFont="1" applyFill="1" applyBorder="1" applyAlignment="1">
      <alignment horizontal="right"/>
    </xf>
    <xf numFmtId="187" fontId="22" fillId="3" borderId="0" xfId="0" applyNumberFormat="1" applyFont="1" applyFill="1"/>
    <xf numFmtId="177" fontId="36" fillId="4" borderId="0" xfId="0" applyNumberFormat="1" applyFont="1" applyFill="1" applyBorder="1" applyAlignment="1">
      <alignment horizontal="right"/>
    </xf>
    <xf numFmtId="9" fontId="23" fillId="0" borderId="23" xfId="3" applyNumberFormat="1" applyFont="1" applyFill="1" applyBorder="1" applyAlignment="1">
      <alignment horizontal="left" vertical="center"/>
    </xf>
    <xf numFmtId="43" fontId="23" fillId="5" borderId="0" xfId="7" applyFont="1" applyFill="1" applyBorder="1" applyAlignment="1">
      <alignment horizontal="left" indent="1"/>
    </xf>
    <xf numFmtId="0" fontId="23" fillId="5" borderId="0" xfId="8" applyFont="1" applyFill="1" applyBorder="1"/>
    <xf numFmtId="9" fontId="23" fillId="5" borderId="0" xfId="8" applyNumberFormat="1" applyFont="1" applyFill="1" applyBorder="1"/>
    <xf numFmtId="0" fontId="23" fillId="5" borderId="0" xfId="8" applyFont="1" applyFill="1" applyBorder="1" applyAlignment="1">
      <alignment horizontal="right"/>
    </xf>
    <xf numFmtId="202" fontId="23" fillId="5" borderId="0" xfId="8" applyNumberFormat="1" applyFont="1" applyFill="1" applyBorder="1"/>
    <xf numFmtId="203" fontId="19" fillId="5" borderId="0" xfId="8" applyNumberFormat="1" applyFont="1" applyFill="1" applyBorder="1"/>
    <xf numFmtId="203" fontId="15" fillId="5" borderId="0" xfId="8" applyNumberFormat="1" applyFont="1" applyFill="1" applyBorder="1"/>
    <xf numFmtId="43" fontId="15" fillId="5" borderId="0" xfId="7" applyFont="1" applyFill="1" applyBorder="1" applyAlignment="1"/>
    <xf numFmtId="0" fontId="36" fillId="4" borderId="0" xfId="8" applyFont="1" applyFill="1" applyBorder="1"/>
    <xf numFmtId="43" fontId="36" fillId="4" borderId="0" xfId="7" applyFont="1" applyFill="1" applyBorder="1" applyAlignment="1"/>
    <xf numFmtId="3" fontId="36" fillId="4" borderId="0" xfId="8" applyNumberFormat="1" applyFont="1" applyFill="1" applyBorder="1"/>
    <xf numFmtId="3" fontId="36" fillId="4" borderId="0" xfId="8" applyNumberFormat="1" applyFont="1" applyFill="1" applyBorder="1" applyAlignment="1">
      <alignment horizontal="right"/>
    </xf>
    <xf numFmtId="3" fontId="58" fillId="4" borderId="0" xfId="8" applyNumberFormat="1" applyFont="1" applyFill="1" applyBorder="1"/>
    <xf numFmtId="3" fontId="36" fillId="4" borderId="0" xfId="8" applyNumberFormat="1" applyFont="1" applyFill="1" applyAlignment="1">
      <alignment horizontal="right"/>
    </xf>
    <xf numFmtId="3" fontId="24" fillId="4" borderId="0" xfId="8" applyNumberFormat="1" applyFont="1" applyFill="1"/>
    <xf numFmtId="3" fontId="26" fillId="4" borderId="0" xfId="8" applyNumberFormat="1" applyFont="1" applyFill="1"/>
    <xf numFmtId="0" fontId="181" fillId="4" borderId="0" xfId="8" applyFont="1" applyFill="1"/>
    <xf numFmtId="178" fontId="43" fillId="0" borderId="0" xfId="3" applyNumberFormat="1" applyFont="1" applyFill="1" applyBorder="1" applyAlignment="1">
      <alignment horizontal="right" vertical="center"/>
    </xf>
    <xf numFmtId="177" fontId="15" fillId="14" borderId="0" xfId="0" applyNumberFormat="1" applyFont="1" applyFill="1" applyBorder="1" applyAlignment="1" applyProtection="1">
      <alignment horizontal="right"/>
    </xf>
    <xf numFmtId="178" fontId="15" fillId="2" borderId="0" xfId="0" applyNumberFormat="1" applyFont="1" applyFill="1" applyBorder="1" applyAlignment="1" applyProtection="1">
      <alignment horizontal="left" indent="1"/>
    </xf>
    <xf numFmtId="177" fontId="15" fillId="3" borderId="0" xfId="0" applyNumberFormat="1" applyFont="1" applyFill="1"/>
    <xf numFmtId="0" fontId="36" fillId="0" borderId="0" xfId="0" applyFont="1"/>
    <xf numFmtId="0" fontId="182" fillId="0" borderId="0" xfId="0" applyFont="1"/>
    <xf numFmtId="9" fontId="19" fillId="4" borderId="0" xfId="0" applyNumberFormat="1" applyFont="1" applyFill="1" applyBorder="1" applyAlignment="1">
      <alignment horizontal="left"/>
    </xf>
    <xf numFmtId="0" fontId="183" fillId="0" borderId="0" xfId="0" applyFont="1"/>
    <xf numFmtId="9" fontId="15" fillId="0" borderId="0" xfId="0" quotePrefix="1" applyNumberFormat="1" applyFont="1" applyFill="1" applyBorder="1" applyAlignment="1">
      <alignment horizontal="right"/>
    </xf>
    <xf numFmtId="43" fontId="15" fillId="0" borderId="0" xfId="2" applyNumberFormat="1" applyFont="1" applyFill="1" applyBorder="1" applyAlignment="1">
      <alignment horizontal="right" vertical="center"/>
    </xf>
    <xf numFmtId="43" fontId="15" fillId="0" borderId="22" xfId="2" applyNumberFormat="1" applyFont="1" applyFill="1" applyBorder="1" applyAlignment="1">
      <alignment horizontal="right" vertical="center"/>
    </xf>
    <xf numFmtId="200" fontId="15" fillId="0" borderId="0" xfId="2" applyNumberFormat="1" applyFont="1" applyFill="1" applyBorder="1" applyAlignment="1">
      <alignment horizontal="right" vertical="center"/>
    </xf>
    <xf numFmtId="200" fontId="15" fillId="0" borderId="22" xfId="2" applyNumberFormat="1" applyFont="1" applyFill="1" applyBorder="1" applyAlignment="1">
      <alignment horizontal="right" vertical="center"/>
    </xf>
    <xf numFmtId="225" fontId="15" fillId="5" borderId="0" xfId="2" applyNumberFormat="1" applyFont="1" applyFill="1" applyBorder="1" applyAlignment="1">
      <alignment horizontal="right" vertical="center"/>
    </xf>
    <xf numFmtId="225" fontId="15" fillId="5" borderId="13" xfId="2" applyNumberFormat="1" applyFont="1" applyFill="1" applyBorder="1" applyAlignment="1">
      <alignment horizontal="right" vertical="center"/>
    </xf>
    <xf numFmtId="226" fontId="15" fillId="3" borderId="0" xfId="2" applyNumberFormat="1" applyFont="1" applyFill="1" applyBorder="1" applyAlignment="1">
      <alignment horizontal="right" vertical="center"/>
    </xf>
    <xf numFmtId="226" fontId="15" fillId="0" borderId="0" xfId="2" applyNumberFormat="1" applyFont="1" applyFill="1" applyBorder="1" applyAlignment="1">
      <alignment horizontal="right" vertical="center"/>
    </xf>
    <xf numFmtId="0" fontId="26" fillId="5" borderId="0" xfId="8" applyNumberFormat="1" applyFont="1" applyFill="1"/>
    <xf numFmtId="9" fontId="22" fillId="5" borderId="0" xfId="10" applyNumberFormat="1" applyFont="1" applyFill="1" applyBorder="1" applyAlignment="1"/>
  </cellXfs>
  <cellStyles count="18">
    <cellStyle name="Comma 2 4" xfId="17" xr:uid="{00000000-0005-0000-0000-000000000000}"/>
    <cellStyle name="Normal 72" xfId="4" xr:uid="{00000000-0005-0000-0000-000001000000}"/>
    <cellStyle name="百分比" xfId="1" builtinId="5"/>
    <cellStyle name="百分比 2" xfId="3" xr:uid="{00000000-0005-0000-0000-000003000000}"/>
    <cellStyle name="百分比 3" xfId="6" xr:uid="{00000000-0005-0000-0000-000004000000}"/>
    <cellStyle name="百分比 4" xfId="10" xr:uid="{00000000-0005-0000-0000-000005000000}"/>
    <cellStyle name="百分比 5" xfId="14" xr:uid="{00000000-0005-0000-0000-000006000000}"/>
    <cellStyle name="常规" xfId="0" builtinId="0"/>
    <cellStyle name="常规 2" xfId="2" xr:uid="{00000000-0005-0000-0000-000008000000}"/>
    <cellStyle name="常规 2 2" xfId="16" xr:uid="{00000000-0005-0000-0000-000009000000}"/>
    <cellStyle name="常规 3" xfId="5" xr:uid="{00000000-0005-0000-0000-00000A000000}"/>
    <cellStyle name="常规 4" xfId="8" xr:uid="{00000000-0005-0000-0000-00000B000000}"/>
    <cellStyle name="常规 4 2" xfId="9" xr:uid="{00000000-0005-0000-0000-00000C000000}"/>
    <cellStyle name="常规 5" xfId="13" xr:uid="{00000000-0005-0000-0000-00000D000000}"/>
    <cellStyle name="好 2" xfId="15" xr:uid="{00000000-0005-0000-0000-00000E000000}"/>
    <cellStyle name="货币 2" xfId="11" xr:uid="{00000000-0005-0000-0000-00000F000000}"/>
    <cellStyle name="千位分隔 2" xfId="7" xr:uid="{00000000-0005-0000-0000-000010000000}"/>
    <cellStyle name="千位分隔 4" xfId="12" xr:uid="{00000000-0005-0000-0000-000011000000}"/>
  </cellStyles>
  <dxfs count="1">
    <dxf>
      <fill>
        <patternFill>
          <bgColor indexed="43"/>
        </patternFill>
      </fill>
    </dxf>
  </dxfs>
  <tableStyles count="0" defaultTableStyle="TableStyleMedium2" defaultPivotStyle="PivotStyleMedium9"/>
  <colors>
    <mruColors>
      <color rgb="FF0000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externalLink" Target="externalLinks/externalLink30.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42" Type="http://schemas.openxmlformats.org/officeDocument/2006/relationships/externalLink" Target="externalLinks/externalLink33.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7.xml"/><Relationship Id="rId29" Type="http://schemas.openxmlformats.org/officeDocument/2006/relationships/externalLink" Target="externalLinks/externalLink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40" Type="http://schemas.openxmlformats.org/officeDocument/2006/relationships/externalLink" Target="externalLinks/externalLink31.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externalLink" Target="externalLinks/externalLink34.xml"/><Relationship Id="rId48" Type="http://schemas.openxmlformats.org/officeDocument/2006/relationships/calcChain" Target="calcChain.xml"/><Relationship Id="rId8" Type="http://schemas.openxmlformats.org/officeDocument/2006/relationships/chartsheet" Target="chartsheets/sheet1.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styles" Target="styles.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a:t>FORWARD 12 MONTHS PE, PS, PB BAND, EV/EBITDA,</a:t>
            </a:r>
            <a:r>
              <a:rPr lang="en-US" baseline="0"/>
              <a:t> EV/EBIT</a:t>
            </a:r>
            <a:endParaRPr lang="zh-CN"/>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zh-CN"/>
        </a:p>
      </c:txPr>
    </c:title>
    <c:autoTitleDeleted val="0"/>
    <c:plotArea>
      <c:layout/>
      <c:lineChart>
        <c:grouping val="standard"/>
        <c:varyColors val="0"/>
        <c:ser>
          <c:idx val="1"/>
          <c:order val="0"/>
          <c:tx>
            <c:strRef>
              <c:f>[32]INPUT!$Y$8</c:f>
              <c:strCache>
                <c:ptCount val="1"/>
                <c:pt idx="0">
                  <c:v>PRICE</c:v>
                </c:pt>
              </c:strCache>
            </c:strRef>
          </c:tx>
          <c:spPr>
            <a:ln w="38100" cap="rnd" cmpd="tri">
              <a:solidFill>
                <a:schemeClr val="tx1"/>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[32]INPUT!$Y$10:$Y$335</c:f>
              <c:numCache>
                <c:formatCode>General</c:formatCode>
                <c:ptCount val="326"/>
                <c:pt idx="0">
                  <c:v>190.7</c:v>
                </c:pt>
                <c:pt idx="1">
                  <c:v>187.79</c:v>
                </c:pt>
                <c:pt idx="2">
                  <c:v>184.05</c:v>
                </c:pt>
                <c:pt idx="3">
                  <c:v>205.22</c:v>
                </c:pt>
                <c:pt idx="4">
                  <c:v>187.31</c:v>
                </c:pt>
                <c:pt idx="5">
                  <c:v>176.67</c:v>
                </c:pt>
                <c:pt idx="6">
                  <c:v>183.68</c:v>
                </c:pt>
                <c:pt idx="7">
                  <c:v>193.29</c:v>
                </c:pt>
                <c:pt idx="8">
                  <c:v>179.76</c:v>
                </c:pt>
                <c:pt idx="9">
                  <c:v>190.55</c:v>
                </c:pt>
                <c:pt idx="10">
                  <c:v>200.28</c:v>
                </c:pt>
                <c:pt idx="11">
                  <c:v>181.2</c:v>
                </c:pt>
                <c:pt idx="12">
                  <c:v>183.54</c:v>
                </c:pt>
                <c:pt idx="13">
                  <c:v>167.52</c:v>
                </c:pt>
                <c:pt idx="14">
                  <c:v>172.04</c:v>
                </c:pt>
                <c:pt idx="15">
                  <c:v>179.11</c:v>
                </c:pt>
                <c:pt idx="16">
                  <c:v>177.16</c:v>
                </c:pt>
                <c:pt idx="17">
                  <c:v>188.89</c:v>
                </c:pt>
                <c:pt idx="18">
                  <c:v>194.36</c:v>
                </c:pt>
                <c:pt idx="19">
                  <c:v>195</c:v>
                </c:pt>
                <c:pt idx="20">
                  <c:v>199.2</c:v>
                </c:pt>
                <c:pt idx="21">
                  <c:v>204.34</c:v>
                </c:pt>
                <c:pt idx="22">
                  <c:v>205.07</c:v>
                </c:pt>
                <c:pt idx="23">
                  <c:v>208</c:v>
                </c:pt>
                <c:pt idx="24">
                  <c:v>202.01</c:v>
                </c:pt>
                <c:pt idx="25">
                  <c:v>185.53</c:v>
                </c:pt>
                <c:pt idx="26">
                  <c:v>192.27</c:v>
                </c:pt>
                <c:pt idx="27">
                  <c:v>190.04</c:v>
                </c:pt>
                <c:pt idx="28">
                  <c:v>187.25</c:v>
                </c:pt>
                <c:pt idx="29">
                  <c:v>189.42</c:v>
                </c:pt>
                <c:pt idx="30">
                  <c:v>180.84</c:v>
                </c:pt>
                <c:pt idx="31">
                  <c:v>180.01</c:v>
                </c:pt>
                <c:pt idx="32">
                  <c:v>172.78</c:v>
                </c:pt>
                <c:pt idx="33">
                  <c:v>174.23</c:v>
                </c:pt>
                <c:pt idx="34">
                  <c:v>175.01</c:v>
                </c:pt>
                <c:pt idx="35">
                  <c:v>162.37</c:v>
                </c:pt>
                <c:pt idx="36">
                  <c:v>164.74</c:v>
                </c:pt>
                <c:pt idx="37">
                  <c:v>164.63</c:v>
                </c:pt>
                <c:pt idx="38">
                  <c:v>164.76</c:v>
                </c:pt>
                <c:pt idx="39">
                  <c:v>154.63</c:v>
                </c:pt>
                <c:pt idx="40">
                  <c:v>147.29</c:v>
                </c:pt>
                <c:pt idx="41">
                  <c:v>142.93</c:v>
                </c:pt>
                <c:pt idx="42">
                  <c:v>142.87</c:v>
                </c:pt>
                <c:pt idx="43">
                  <c:v>147.59</c:v>
                </c:pt>
                <c:pt idx="44">
                  <c:v>144.85</c:v>
                </c:pt>
                <c:pt idx="45">
                  <c:v>154.1</c:v>
                </c:pt>
                <c:pt idx="46">
                  <c:v>150.33000000000001</c:v>
                </c:pt>
                <c:pt idx="47">
                  <c:v>160.86000000000001</c:v>
                </c:pt>
                <c:pt idx="48">
                  <c:v>153.06</c:v>
                </c:pt>
                <c:pt idx="49">
                  <c:v>149</c:v>
                </c:pt>
                <c:pt idx="50">
                  <c:v>132</c:v>
                </c:pt>
                <c:pt idx="51">
                  <c:v>139.09</c:v>
                </c:pt>
                <c:pt idx="52">
                  <c:v>139.75</c:v>
                </c:pt>
                <c:pt idx="53">
                  <c:v>151.32</c:v>
                </c:pt>
                <c:pt idx="54">
                  <c:v>157.02000000000001</c:v>
                </c:pt>
                <c:pt idx="55">
                  <c:v>159.21</c:v>
                </c:pt>
                <c:pt idx="56">
                  <c:v>167.97</c:v>
                </c:pt>
                <c:pt idx="57">
                  <c:v>167.36</c:v>
                </c:pt>
                <c:pt idx="58">
                  <c:v>166.15</c:v>
                </c:pt>
                <c:pt idx="59">
                  <c:v>176.92</c:v>
                </c:pt>
                <c:pt idx="60">
                  <c:v>183.88</c:v>
                </c:pt>
                <c:pt idx="61">
                  <c:v>175.03</c:v>
                </c:pt>
                <c:pt idx="62">
                  <c:v>180.97</c:v>
                </c:pt>
                <c:pt idx="63">
                  <c:v>176.26</c:v>
                </c:pt>
                <c:pt idx="64">
                  <c:v>182.45</c:v>
                </c:pt>
                <c:pt idx="65">
                  <c:v>185.35</c:v>
                </c:pt>
                <c:pt idx="66">
                  <c:v>188.91</c:v>
                </c:pt>
                <c:pt idx="67">
                  <c:v>186.94</c:v>
                </c:pt>
                <c:pt idx="68">
                  <c:v>187.09</c:v>
                </c:pt>
                <c:pt idx="69">
                  <c:v>195.21</c:v>
                </c:pt>
                <c:pt idx="70">
                  <c:v>178</c:v>
                </c:pt>
                <c:pt idx="71">
                  <c:v>169.57</c:v>
                </c:pt>
                <c:pt idx="72">
                  <c:v>155</c:v>
                </c:pt>
                <c:pt idx="73">
                  <c:v>149.26</c:v>
                </c:pt>
                <c:pt idx="74">
                  <c:v>154.22999999999999</c:v>
                </c:pt>
                <c:pt idx="75">
                  <c:v>158.1</c:v>
                </c:pt>
                <c:pt idx="76">
                  <c:v>167.55</c:v>
                </c:pt>
                <c:pt idx="77">
                  <c:v>169.45</c:v>
                </c:pt>
                <c:pt idx="78">
                  <c:v>173.3</c:v>
                </c:pt>
                <c:pt idx="79">
                  <c:v>169.07</c:v>
                </c:pt>
                <c:pt idx="80">
                  <c:v>172.99</c:v>
                </c:pt>
                <c:pt idx="81">
                  <c:v>178.74</c:v>
                </c:pt>
                <c:pt idx="82">
                  <c:v>161</c:v>
                </c:pt>
                <c:pt idx="83">
                  <c:v>159.12</c:v>
                </c:pt>
                <c:pt idx="84">
                  <c:v>174.6</c:v>
                </c:pt>
                <c:pt idx="85">
                  <c:v>164.54</c:v>
                </c:pt>
                <c:pt idx="86">
                  <c:v>175.03</c:v>
                </c:pt>
                <c:pt idx="87">
                  <c:v>176.69</c:v>
                </c:pt>
                <c:pt idx="88">
                  <c:v>179.17</c:v>
                </c:pt>
                <c:pt idx="89">
                  <c:v>182.51</c:v>
                </c:pt>
                <c:pt idx="90">
                  <c:v>165.98</c:v>
                </c:pt>
                <c:pt idx="91">
                  <c:v>170.34</c:v>
                </c:pt>
                <c:pt idx="92">
                  <c:v>172.94</c:v>
                </c:pt>
                <c:pt idx="93">
                  <c:v>169.13</c:v>
                </c:pt>
                <c:pt idx="94">
                  <c:v>174.31</c:v>
                </c:pt>
                <c:pt idx="95">
                  <c:v>176.46</c:v>
                </c:pt>
                <c:pt idx="96">
                  <c:v>187.16</c:v>
                </c:pt>
                <c:pt idx="97">
                  <c:v>185.49</c:v>
                </c:pt>
                <c:pt idx="98">
                  <c:v>186.78</c:v>
                </c:pt>
                <c:pt idx="99">
                  <c:v>200</c:v>
                </c:pt>
                <c:pt idx="100">
                  <c:v>201.89</c:v>
                </c:pt>
                <c:pt idx="101">
                  <c:v>204.91</c:v>
                </c:pt>
                <c:pt idx="102">
                  <c:v>212.25</c:v>
                </c:pt>
                <c:pt idx="103">
                  <c:v>215.47</c:v>
                </c:pt>
                <c:pt idx="104">
                  <c:v>217</c:v>
                </c:pt>
                <c:pt idx="105">
                  <c:v>223.83</c:v>
                </c:pt>
                <c:pt idx="106">
                  <c:v>227.43</c:v>
                </c:pt>
                <c:pt idx="107">
                  <c:v>213.75</c:v>
                </c:pt>
                <c:pt idx="108">
                  <c:v>206.59</c:v>
                </c:pt>
                <c:pt idx="109">
                  <c:v>216.53</c:v>
                </c:pt>
                <c:pt idx="110">
                  <c:v>219.63</c:v>
                </c:pt>
                <c:pt idx="111">
                  <c:v>212.59</c:v>
                </c:pt>
                <c:pt idx="112">
                  <c:v>208</c:v>
                </c:pt>
                <c:pt idx="113">
                  <c:v>204.64</c:v>
                </c:pt>
                <c:pt idx="114">
                  <c:v>194</c:v>
                </c:pt>
                <c:pt idx="115">
                  <c:v>181.3</c:v>
                </c:pt>
                <c:pt idx="116">
                  <c:v>188.59</c:v>
                </c:pt>
                <c:pt idx="117">
                  <c:v>187.11</c:v>
                </c:pt>
                <c:pt idx="118">
                  <c:v>196.37</c:v>
                </c:pt>
                <c:pt idx="119">
                  <c:v>209.5</c:v>
                </c:pt>
                <c:pt idx="120">
                  <c:v>204.36</c:v>
                </c:pt>
                <c:pt idx="121">
                  <c:v>194.48</c:v>
                </c:pt>
                <c:pt idx="122">
                  <c:v>201.19</c:v>
                </c:pt>
                <c:pt idx="123">
                  <c:v>203.68</c:v>
                </c:pt>
                <c:pt idx="124">
                  <c:v>199.7</c:v>
                </c:pt>
                <c:pt idx="125">
                  <c:v>207.39</c:v>
                </c:pt>
                <c:pt idx="126">
                  <c:v>219.55</c:v>
                </c:pt>
                <c:pt idx="127">
                  <c:v>217.64</c:v>
                </c:pt>
                <c:pt idx="128">
                  <c:v>220.64</c:v>
                </c:pt>
                <c:pt idx="129">
                  <c:v>215.71</c:v>
                </c:pt>
                <c:pt idx="130">
                  <c:v>223.6</c:v>
                </c:pt>
                <c:pt idx="131">
                  <c:v>261.01</c:v>
                </c:pt>
                <c:pt idx="132">
                  <c:v>247.14</c:v>
                </c:pt>
                <c:pt idx="133">
                  <c:v>249</c:v>
                </c:pt>
                <c:pt idx="134">
                  <c:v>251.02</c:v>
                </c:pt>
                <c:pt idx="135">
                  <c:v>252.1</c:v>
                </c:pt>
                <c:pt idx="136">
                  <c:v>253.97</c:v>
                </c:pt>
              </c:numCache>
            </c:numRef>
          </c:val>
          <c:smooth val="0"/>
          <c:extLst>
            <c:ext xmlns:c16="http://schemas.microsoft.com/office/drawing/2014/chart" uri="{C3380CC4-5D6E-409C-BE32-E72D297353CC}">
              <c16:uniqueId val="{00000000-4039-466E-8DC0-4D104466C441}"/>
            </c:ext>
          </c:extLst>
        </c:ser>
        <c:ser>
          <c:idx val="2"/>
          <c:order val="1"/>
          <c:tx>
            <c:strRef>
              <c:f>[32]INPUT!$AB$8</c:f>
              <c:strCache>
                <c:ptCount val="1"/>
                <c:pt idx="0">
                  <c:v>20.847</c:v>
                </c:pt>
              </c:strCache>
            </c:strRef>
          </c:tx>
          <c:spPr>
            <a:ln w="34925" cap="rnd">
              <a:solidFill>
                <a:srgbClr val="0000FF"/>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[32]INPUT!$AB$10:$AB$335</c:f>
              <c:numCache>
                <c:formatCode>General</c:formatCode>
                <c:ptCount val="326"/>
                <c:pt idx="0">
                  <c:v>871.25867100000005</c:v>
                </c:pt>
                <c:pt idx="1">
                  <c:v>870.8417310000001</c:v>
                </c:pt>
                <c:pt idx="2">
                  <c:v>873.67692299999999</c:v>
                </c:pt>
                <c:pt idx="3">
                  <c:v>872.9681250000001</c:v>
                </c:pt>
                <c:pt idx="4">
                  <c:v>861.02279400000009</c:v>
                </c:pt>
                <c:pt idx="5">
                  <c:v>856.77000600000008</c:v>
                </c:pt>
                <c:pt idx="6">
                  <c:v>860.96025300000008</c:v>
                </c:pt>
                <c:pt idx="7">
                  <c:v>864.73356000000001</c:v>
                </c:pt>
                <c:pt idx="8">
                  <c:v>868.63194900000008</c:v>
                </c:pt>
                <c:pt idx="9">
                  <c:v>872.9472780000001</c:v>
                </c:pt>
                <c:pt idx="10">
                  <c:v>876.69973800000014</c:v>
                </c:pt>
                <c:pt idx="11">
                  <c:v>880.47304500000007</c:v>
                </c:pt>
                <c:pt idx="12">
                  <c:v>884.87176199999999</c:v>
                </c:pt>
                <c:pt idx="13">
                  <c:v>882.34927500000015</c:v>
                </c:pt>
                <c:pt idx="14">
                  <c:v>883.24569600000007</c:v>
                </c:pt>
                <c:pt idx="15">
                  <c:v>878.13818100000003</c:v>
                </c:pt>
                <c:pt idx="16">
                  <c:v>874.21894500000008</c:v>
                </c:pt>
                <c:pt idx="17">
                  <c:v>877.90886400000011</c:v>
                </c:pt>
                <c:pt idx="18">
                  <c:v>879.01375500000006</c:v>
                </c:pt>
                <c:pt idx="19">
                  <c:v>891.230097</c:v>
                </c:pt>
                <c:pt idx="20">
                  <c:v>895.37865000000011</c:v>
                </c:pt>
                <c:pt idx="21">
                  <c:v>917.789175</c:v>
                </c:pt>
                <c:pt idx="22">
                  <c:v>922.79245500000002</c:v>
                </c:pt>
                <c:pt idx="23">
                  <c:v>923.58464100000003</c:v>
                </c:pt>
                <c:pt idx="24">
                  <c:v>925.77357600000005</c:v>
                </c:pt>
                <c:pt idx="25">
                  <c:v>936.05114700000013</c:v>
                </c:pt>
                <c:pt idx="26">
                  <c:v>928.96316700000011</c:v>
                </c:pt>
                <c:pt idx="27">
                  <c:v>939.61598400000014</c:v>
                </c:pt>
                <c:pt idx="28">
                  <c:v>927.89997000000005</c:v>
                </c:pt>
                <c:pt idx="29">
                  <c:v>938.15669400000013</c:v>
                </c:pt>
                <c:pt idx="30">
                  <c:v>938.09415300000012</c:v>
                </c:pt>
                <c:pt idx="31">
                  <c:v>938.86549200000013</c:v>
                </c:pt>
                <c:pt idx="32">
                  <c:v>944.70265200000006</c:v>
                </c:pt>
                <c:pt idx="33">
                  <c:v>918.81067800000005</c:v>
                </c:pt>
                <c:pt idx="34">
                  <c:v>918.43543199999999</c:v>
                </c:pt>
                <c:pt idx="35">
                  <c:v>923.64718200000004</c:v>
                </c:pt>
                <c:pt idx="36">
                  <c:v>928.52538000000004</c:v>
                </c:pt>
                <c:pt idx="37">
                  <c:v>937.61467200000004</c:v>
                </c:pt>
                <c:pt idx="38">
                  <c:v>940.44986400000005</c:v>
                </c:pt>
                <c:pt idx="39">
                  <c:v>947.141751</c:v>
                </c:pt>
                <c:pt idx="40">
                  <c:v>935.80098300000009</c:v>
                </c:pt>
                <c:pt idx="41">
                  <c:v>927.19117200000005</c:v>
                </c:pt>
                <c:pt idx="42">
                  <c:v>924.73122599999999</c:v>
                </c:pt>
                <c:pt idx="43">
                  <c:v>914.78720700000008</c:v>
                </c:pt>
                <c:pt idx="44">
                  <c:v>863.8788330000001</c:v>
                </c:pt>
                <c:pt idx="45">
                  <c:v>861.79413299999999</c:v>
                </c:pt>
                <c:pt idx="46">
                  <c:v>872.65542000000005</c:v>
                </c:pt>
                <c:pt idx="47">
                  <c:v>873.11405400000001</c:v>
                </c:pt>
                <c:pt idx="48">
                  <c:v>877.61700600000006</c:v>
                </c:pt>
                <c:pt idx="49">
                  <c:v>881.11930200000006</c:v>
                </c:pt>
                <c:pt idx="50">
                  <c:v>885.24700800000005</c:v>
                </c:pt>
                <c:pt idx="51">
                  <c:v>888.68676300000004</c:v>
                </c:pt>
                <c:pt idx="52">
                  <c:v>889.812501</c:v>
                </c:pt>
                <c:pt idx="53">
                  <c:v>892.04313000000002</c:v>
                </c:pt>
                <c:pt idx="54">
                  <c:v>895.04509800000005</c:v>
                </c:pt>
                <c:pt idx="55">
                  <c:v>882.18249900000001</c:v>
                </c:pt>
                <c:pt idx="56">
                  <c:v>903.42559200000005</c:v>
                </c:pt>
                <c:pt idx="57">
                  <c:v>907.15720500000009</c:v>
                </c:pt>
                <c:pt idx="58">
                  <c:v>908.86665900000014</c:v>
                </c:pt>
                <c:pt idx="59">
                  <c:v>918.18526799999995</c:v>
                </c:pt>
                <c:pt idx="60">
                  <c:v>921.35401200000001</c:v>
                </c:pt>
                <c:pt idx="61">
                  <c:v>924.75207300000011</c:v>
                </c:pt>
                <c:pt idx="62">
                  <c:v>928.48368600000003</c:v>
                </c:pt>
                <c:pt idx="63">
                  <c:v>931.88174700000002</c:v>
                </c:pt>
                <c:pt idx="64">
                  <c:v>930.2765280000001</c:v>
                </c:pt>
                <c:pt idx="65">
                  <c:v>938.761257</c:v>
                </c:pt>
                <c:pt idx="66">
                  <c:v>937.88568299999997</c:v>
                </c:pt>
                <c:pt idx="67">
                  <c:v>945.59907300000009</c:v>
                </c:pt>
                <c:pt idx="68">
                  <c:v>955.52224500000011</c:v>
                </c:pt>
                <c:pt idx="69">
                  <c:v>969.05194800000015</c:v>
                </c:pt>
                <c:pt idx="70">
                  <c:v>977.16143099999999</c:v>
                </c:pt>
                <c:pt idx="71">
                  <c:v>1010.975265</c:v>
                </c:pt>
                <c:pt idx="72">
                  <c:v>998.57130000000006</c:v>
                </c:pt>
                <c:pt idx="73">
                  <c:v>1030.6548330000001</c:v>
                </c:pt>
                <c:pt idx="74">
                  <c:v>1030.6965270000001</c:v>
                </c:pt>
                <c:pt idx="75">
                  <c:v>1034.469834</c:v>
                </c:pt>
                <c:pt idx="76">
                  <c:v>1040.9324040000001</c:v>
                </c:pt>
                <c:pt idx="77">
                  <c:v>1046.2692360000001</c:v>
                </c:pt>
                <c:pt idx="78">
                  <c:v>1049.4796739999999</c:v>
                </c:pt>
                <c:pt idx="79">
                  <c:v>1055.608692</c:v>
                </c:pt>
                <c:pt idx="80">
                  <c:v>1057.067982</c:v>
                </c:pt>
                <c:pt idx="81">
                  <c:v>1060.5285840000001</c:v>
                </c:pt>
                <c:pt idx="82">
                  <c:v>1063.718175</c:v>
                </c:pt>
                <c:pt idx="83">
                  <c:v>1069.8471930000001</c:v>
                </c:pt>
                <c:pt idx="84">
                  <c:v>1101.4929390000002</c:v>
                </c:pt>
                <c:pt idx="85">
                  <c:v>1108.2265199999999</c:v>
                </c:pt>
                <c:pt idx="86">
                  <c:v>1114.2721500000002</c:v>
                </c:pt>
                <c:pt idx="87">
                  <c:v>1118.7542550000001</c:v>
                </c:pt>
                <c:pt idx="88">
                  <c:v>1131.5126190000001</c:v>
                </c:pt>
                <c:pt idx="89">
                  <c:v>1134.7855979999999</c:v>
                </c:pt>
                <c:pt idx="90">
                  <c:v>1141.7068019999999</c:v>
                </c:pt>
                <c:pt idx="91">
                  <c:v>1152.7140179999999</c:v>
                </c:pt>
                <c:pt idx="92">
                  <c:v>1155.3407400000001</c:v>
                </c:pt>
                <c:pt idx="93">
                  <c:v>1161.719922</c:v>
                </c:pt>
                <c:pt idx="94">
                  <c:v>1161.3029820000002</c:v>
                </c:pt>
                <c:pt idx="95">
                  <c:v>1167.0984480000002</c:v>
                </c:pt>
                <c:pt idx="96">
                  <c:v>1203.2679930000002</c:v>
                </c:pt>
                <c:pt idx="97">
                  <c:v>1212.5032140000001</c:v>
                </c:pt>
                <c:pt idx="98">
                  <c:v>1219.8622050000001</c:v>
                </c:pt>
                <c:pt idx="99">
                  <c:v>1225.4492010000001</c:v>
                </c:pt>
                <c:pt idx="100">
                  <c:v>1217.902587</c:v>
                </c:pt>
                <c:pt idx="101">
                  <c:v>1230.0146940000002</c:v>
                </c:pt>
                <c:pt idx="102">
                  <c:v>1231.5990660000002</c:v>
                </c:pt>
                <c:pt idx="103">
                  <c:v>1240.4798880000001</c:v>
                </c:pt>
                <c:pt idx="104">
                  <c:v>1246.3170480000001</c:v>
                </c:pt>
                <c:pt idx="105">
                  <c:v>1249.9027320000002</c:v>
                </c:pt>
                <c:pt idx="106">
                  <c:v>1247.8805730000001</c:v>
                </c:pt>
                <c:pt idx="107">
                  <c:v>1255.0102470000002</c:v>
                </c:pt>
                <c:pt idx="108">
                  <c:v>1263.3073529999999</c:v>
                </c:pt>
                <c:pt idx="109">
                  <c:v>1267.8311520000002</c:v>
                </c:pt>
                <c:pt idx="110">
                  <c:v>1191.7812960000001</c:v>
                </c:pt>
                <c:pt idx="111">
                  <c:v>1208.2504260000001</c:v>
                </c:pt>
                <c:pt idx="112">
                  <c:v>1205.185917</c:v>
                </c:pt>
                <c:pt idx="113">
                  <c:v>1204.0601790000001</c:v>
                </c:pt>
                <c:pt idx="114">
                  <c:v>1232.3495580000001</c:v>
                </c:pt>
                <c:pt idx="115">
                  <c:v>1234.309176</c:v>
                </c:pt>
                <c:pt idx="116">
                  <c:v>1239.5000790000001</c:v>
                </c:pt>
                <c:pt idx="117">
                  <c:v>1236.2479470000001</c:v>
                </c:pt>
                <c:pt idx="118">
                  <c:v>1226.5332450000001</c:v>
                </c:pt>
                <c:pt idx="119">
                  <c:v>1236.6023460000001</c:v>
                </c:pt>
                <c:pt idx="120">
                  <c:v>1221.0921780000001</c:v>
                </c:pt>
                <c:pt idx="121">
                  <c:v>1213.441329</c:v>
                </c:pt>
                <c:pt idx="122">
                  <c:v>1247.4010920000001</c:v>
                </c:pt>
                <c:pt idx="123">
                  <c:v>1268.9777370000002</c:v>
                </c:pt>
                <c:pt idx="124">
                  <c:v>1270.0200870000001</c:v>
                </c:pt>
                <c:pt idx="125">
                  <c:v>1304.8345770000001</c:v>
                </c:pt>
                <c:pt idx="126">
                  <c:v>1315.591629</c:v>
                </c:pt>
                <c:pt idx="127">
                  <c:v>1330.3513050000001</c:v>
                </c:pt>
                <c:pt idx="128">
                  <c:v>1337.7519900000002</c:v>
                </c:pt>
                <c:pt idx="129">
                  <c:v>1310.7134310000001</c:v>
                </c:pt>
                <c:pt idx="130">
                  <c:v>1327.2034080000001</c:v>
                </c:pt>
                <c:pt idx="131">
                  <c:v>1335.5839020000001</c:v>
                </c:pt>
                <c:pt idx="132">
                  <c:v>1318.8854550000001</c:v>
                </c:pt>
                <c:pt idx="133">
                  <c:v>1337.4809789999999</c:v>
                </c:pt>
                <c:pt idx="134">
                  <c:v>1345.7989319999999</c:v>
                </c:pt>
                <c:pt idx="135">
                  <c:v>1361.496723</c:v>
                </c:pt>
                <c:pt idx="136">
                  <c:v>1367.6048940000001</c:v>
                </c:pt>
              </c:numCache>
            </c:numRef>
          </c:val>
          <c:smooth val="0"/>
          <c:extLst>
            <c:ext xmlns:c16="http://schemas.microsoft.com/office/drawing/2014/chart" uri="{C3380CC4-5D6E-409C-BE32-E72D297353CC}">
              <c16:uniqueId val="{00000001-4039-466E-8DC0-4D104466C441}"/>
            </c:ext>
          </c:extLst>
        </c:ser>
        <c:ser>
          <c:idx val="3"/>
          <c:order val="2"/>
          <c:tx>
            <c:strRef>
              <c:f>[32]INPUT!$AC$8</c:f>
              <c:strCache>
                <c:ptCount val="1"/>
                <c:pt idx="0">
                  <c:v>23.11208029</c:v>
                </c:pt>
              </c:strCache>
            </c:strRef>
          </c:tx>
          <c:spPr>
            <a:ln w="34925" cap="rnd">
              <a:solidFill>
                <a:schemeClr val="accent4"/>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[32]INPUT!$AC$10:$AC$335</c:f>
              <c:numCache>
                <c:formatCode>General</c:formatCode>
                <c:ptCount val="326"/>
                <c:pt idx="0">
                  <c:v>965.92317164233589</c:v>
                </c:pt>
                <c:pt idx="1">
                  <c:v>965.46093003649651</c:v>
                </c:pt>
                <c:pt idx="2">
                  <c:v>968.60417295620448</c:v>
                </c:pt>
                <c:pt idx="3">
                  <c:v>967.81836222627749</c:v>
                </c:pt>
                <c:pt idx="4">
                  <c:v>954.57514021897816</c:v>
                </c:pt>
                <c:pt idx="5">
                  <c:v>949.86027583941609</c:v>
                </c:pt>
                <c:pt idx="6">
                  <c:v>954.50580397810234</c:v>
                </c:pt>
                <c:pt idx="7">
                  <c:v>958.68909051094897</c:v>
                </c:pt>
                <c:pt idx="8">
                  <c:v>963.01104952554761</c:v>
                </c:pt>
                <c:pt idx="9">
                  <c:v>967.79525014598562</c:v>
                </c:pt>
                <c:pt idx="10">
                  <c:v>971.95542459854028</c:v>
                </c:pt>
                <c:pt idx="11">
                  <c:v>976.13871113138691</c:v>
                </c:pt>
                <c:pt idx="12">
                  <c:v>981.01536007299273</c:v>
                </c:pt>
                <c:pt idx="13">
                  <c:v>978.21879835766435</c:v>
                </c:pt>
                <c:pt idx="14">
                  <c:v>979.21261781021917</c:v>
                </c:pt>
                <c:pt idx="15">
                  <c:v>973.55015813868613</c:v>
                </c:pt>
                <c:pt idx="16">
                  <c:v>969.20508704379574</c:v>
                </c:pt>
                <c:pt idx="17">
                  <c:v>973.29592525547457</c:v>
                </c:pt>
                <c:pt idx="18">
                  <c:v>974.52086551094897</c:v>
                </c:pt>
                <c:pt idx="19">
                  <c:v>988.06454456204381</c:v>
                </c:pt>
                <c:pt idx="20">
                  <c:v>992.6638485401462</c:v>
                </c:pt>
                <c:pt idx="21">
                  <c:v>1017.5093348540147</c:v>
                </c:pt>
                <c:pt idx="22">
                  <c:v>1023.0562341240877</c:v>
                </c:pt>
                <c:pt idx="23">
                  <c:v>1023.9344931751825</c:v>
                </c:pt>
                <c:pt idx="24">
                  <c:v>1026.3612616058397</c:v>
                </c:pt>
                <c:pt idx="25">
                  <c:v>1037.7555171897811</c:v>
                </c:pt>
                <c:pt idx="26">
                  <c:v>1029.897409890511</c:v>
                </c:pt>
                <c:pt idx="27">
                  <c:v>1041.7076829197083</c:v>
                </c:pt>
                <c:pt idx="28">
                  <c:v>1028.7186937956205</c:v>
                </c:pt>
                <c:pt idx="29">
                  <c:v>1040.0898372992704</c:v>
                </c:pt>
                <c:pt idx="30">
                  <c:v>1040.0205010583943</c:v>
                </c:pt>
                <c:pt idx="31">
                  <c:v>1040.8756480291972</c:v>
                </c:pt>
                <c:pt idx="32">
                  <c:v>1047.347030510949</c:v>
                </c:pt>
                <c:pt idx="33">
                  <c:v>1018.6418267883213</c:v>
                </c:pt>
                <c:pt idx="34">
                  <c:v>1018.2258093430657</c:v>
                </c:pt>
                <c:pt idx="35">
                  <c:v>1024.0038294160584</c:v>
                </c:pt>
                <c:pt idx="36">
                  <c:v>1029.4120562043797</c:v>
                </c:pt>
                <c:pt idx="37">
                  <c:v>1039.4889232116789</c:v>
                </c:pt>
                <c:pt idx="38">
                  <c:v>1042.6321661313871</c:v>
                </c:pt>
                <c:pt idx="39">
                  <c:v>1050.0511439051097</c:v>
                </c:pt>
                <c:pt idx="40">
                  <c:v>1037.4781722262776</c:v>
                </c:pt>
                <c:pt idx="41">
                  <c:v>1027.9328830656934</c:v>
                </c:pt>
                <c:pt idx="42">
                  <c:v>1025.2056575912409</c:v>
                </c:pt>
                <c:pt idx="43">
                  <c:v>1014.1811952919709</c:v>
                </c:pt>
                <c:pt idx="44">
                  <c:v>957.74149521897823</c:v>
                </c:pt>
                <c:pt idx="45">
                  <c:v>955.4302871897811</c:v>
                </c:pt>
                <c:pt idx="46">
                  <c:v>967.47168102189789</c:v>
                </c:pt>
                <c:pt idx="47">
                  <c:v>967.98014678832124</c:v>
                </c:pt>
                <c:pt idx="48">
                  <c:v>972.97235613138696</c:v>
                </c:pt>
                <c:pt idx="49">
                  <c:v>976.85518562043808</c:v>
                </c:pt>
                <c:pt idx="50">
                  <c:v>981.43137751824827</c:v>
                </c:pt>
                <c:pt idx="51">
                  <c:v>985.24487076642345</c:v>
                </c:pt>
                <c:pt idx="52">
                  <c:v>986.49292310218993</c:v>
                </c:pt>
                <c:pt idx="53">
                  <c:v>988.9659156934307</c:v>
                </c:pt>
                <c:pt idx="54">
                  <c:v>992.29405525547452</c:v>
                </c:pt>
                <c:pt idx="55">
                  <c:v>978.03390171532862</c:v>
                </c:pt>
                <c:pt idx="56">
                  <c:v>1001.5851115328468</c:v>
                </c:pt>
                <c:pt idx="57">
                  <c:v>1005.7221739051096</c:v>
                </c:pt>
                <c:pt idx="58">
                  <c:v>1007.6173644890513</c:v>
                </c:pt>
                <c:pt idx="59">
                  <c:v>1017.9484643795621</c:v>
                </c:pt>
                <c:pt idx="60">
                  <c:v>1021.4615005839416</c:v>
                </c:pt>
                <c:pt idx="61">
                  <c:v>1025.228769671533</c:v>
                </c:pt>
                <c:pt idx="62">
                  <c:v>1029.3658320437958</c:v>
                </c:pt>
                <c:pt idx="63">
                  <c:v>1033.1331011313871</c:v>
                </c:pt>
                <c:pt idx="64">
                  <c:v>1031.3534709489052</c:v>
                </c:pt>
                <c:pt idx="65">
                  <c:v>1040.7600876277372</c:v>
                </c:pt>
                <c:pt idx="66">
                  <c:v>1039.7893802554745</c:v>
                </c:pt>
                <c:pt idx="67">
                  <c:v>1048.3408499635038</c:v>
                </c:pt>
                <c:pt idx="68">
                  <c:v>1059.342200182482</c:v>
                </c:pt>
                <c:pt idx="69">
                  <c:v>1074.341940291971</c:v>
                </c:pt>
                <c:pt idx="70">
                  <c:v>1083.3325395255474</c:v>
                </c:pt>
                <c:pt idx="71">
                  <c:v>1120.8203337591242</c:v>
                </c:pt>
                <c:pt idx="72">
                  <c:v>1107.0686459854016</c:v>
                </c:pt>
                <c:pt idx="73">
                  <c:v>1142.6381375547446</c:v>
                </c:pt>
                <c:pt idx="74">
                  <c:v>1142.6843617153286</c:v>
                </c:pt>
                <c:pt idx="75">
                  <c:v>1146.8676482481753</c:v>
                </c:pt>
                <c:pt idx="76">
                  <c:v>1154.0323931386863</c:v>
                </c:pt>
                <c:pt idx="77">
                  <c:v>1159.9490856934308</c:v>
                </c:pt>
                <c:pt idx="78">
                  <c:v>1163.5083460583942</c:v>
                </c:pt>
                <c:pt idx="79">
                  <c:v>1170.3032976642337</c:v>
                </c:pt>
                <c:pt idx="80">
                  <c:v>1171.9211432846716</c:v>
                </c:pt>
                <c:pt idx="81">
                  <c:v>1175.7577486131388</c:v>
                </c:pt>
                <c:pt idx="82">
                  <c:v>1179.2938968978103</c:v>
                </c:pt>
                <c:pt idx="83">
                  <c:v>1186.0888485036498</c:v>
                </c:pt>
                <c:pt idx="84">
                  <c:v>1221.1729863868616</c:v>
                </c:pt>
                <c:pt idx="85">
                  <c:v>1228.6381883211679</c:v>
                </c:pt>
                <c:pt idx="86">
                  <c:v>1235.3406916058395</c:v>
                </c:pt>
                <c:pt idx="87">
                  <c:v>1240.3097888686132</c:v>
                </c:pt>
                <c:pt idx="88">
                  <c:v>1254.4543820072995</c:v>
                </c:pt>
                <c:pt idx="89">
                  <c:v>1258.0829786131387</c:v>
                </c:pt>
                <c:pt idx="90">
                  <c:v>1265.756189270073</c:v>
                </c:pt>
                <c:pt idx="91">
                  <c:v>1277.9593676642337</c:v>
                </c:pt>
                <c:pt idx="92">
                  <c:v>1280.8714897810221</c:v>
                </c:pt>
                <c:pt idx="93">
                  <c:v>1287.9437863503651</c:v>
                </c:pt>
                <c:pt idx="94">
                  <c:v>1287.4815447445258</c:v>
                </c:pt>
                <c:pt idx="95">
                  <c:v>1293.9067030656936</c:v>
                </c:pt>
                <c:pt idx="96">
                  <c:v>1334.0061623722629</c:v>
                </c:pt>
                <c:pt idx="97">
                  <c:v>1344.244813941606</c:v>
                </c:pt>
                <c:pt idx="98">
                  <c:v>1352.4033782846716</c:v>
                </c:pt>
                <c:pt idx="99">
                  <c:v>1358.5974158029198</c:v>
                </c:pt>
                <c:pt idx="100">
                  <c:v>1350.2308427372263</c:v>
                </c:pt>
                <c:pt idx="101">
                  <c:v>1363.6589613868616</c:v>
                </c:pt>
                <c:pt idx="102">
                  <c:v>1365.4154794890512</c:v>
                </c:pt>
                <c:pt idx="103">
                  <c:v>1375.2612256934308</c:v>
                </c:pt>
                <c:pt idx="104">
                  <c:v>1381.7326081751826</c:v>
                </c:pt>
                <c:pt idx="105">
                  <c:v>1385.7078859854016</c:v>
                </c:pt>
                <c:pt idx="106">
                  <c:v>1383.4660141970805</c:v>
                </c:pt>
                <c:pt idx="107">
                  <c:v>1391.3703456569344</c:v>
                </c:pt>
                <c:pt idx="108">
                  <c:v>1400.5689536131388</c:v>
                </c:pt>
                <c:pt idx="109">
                  <c:v>1405.5842750364966</c:v>
                </c:pt>
                <c:pt idx="110">
                  <c:v>1321.271406131387</c:v>
                </c:pt>
                <c:pt idx="111">
                  <c:v>1339.5299495620438</c:v>
                </c:pt>
                <c:pt idx="112">
                  <c:v>1336.1324737591242</c:v>
                </c:pt>
                <c:pt idx="113">
                  <c:v>1334.8844214233577</c:v>
                </c:pt>
                <c:pt idx="114">
                  <c:v>1366.2475143795621</c:v>
                </c:pt>
                <c:pt idx="115">
                  <c:v>1368.4200499270073</c:v>
                </c:pt>
                <c:pt idx="116">
                  <c:v>1374.1749579197083</c:v>
                </c:pt>
                <c:pt idx="117">
                  <c:v>1370.5694733941607</c:v>
                </c:pt>
                <c:pt idx="118">
                  <c:v>1359.7992439781024</c:v>
                </c:pt>
                <c:pt idx="119">
                  <c:v>1370.9623787591242</c:v>
                </c:pt>
                <c:pt idx="120">
                  <c:v>1353.7669910218979</c:v>
                </c:pt>
                <c:pt idx="121">
                  <c:v>1345.2848575547448</c:v>
                </c:pt>
                <c:pt idx="122">
                  <c:v>1382.9344363503651</c:v>
                </c:pt>
                <c:pt idx="123">
                  <c:v>1406.8554394525549</c:v>
                </c:pt>
                <c:pt idx="124">
                  <c:v>1408.0110434671535</c:v>
                </c:pt>
                <c:pt idx="125">
                  <c:v>1446.6082175547447</c:v>
                </c:pt>
                <c:pt idx="126">
                  <c:v>1458.5340509854016</c:v>
                </c:pt>
                <c:pt idx="127">
                  <c:v>1474.8974038321169</c:v>
                </c:pt>
                <c:pt idx="128">
                  <c:v>1483.1021923357666</c:v>
                </c:pt>
                <c:pt idx="129">
                  <c:v>1453.1258241970804</c:v>
                </c:pt>
                <c:pt idx="130">
                  <c:v>1471.4074797080293</c:v>
                </c:pt>
                <c:pt idx="131">
                  <c:v>1480.6985359854016</c:v>
                </c:pt>
                <c:pt idx="132">
                  <c:v>1462.1857596715331</c:v>
                </c:pt>
                <c:pt idx="133">
                  <c:v>1482.801735291971</c:v>
                </c:pt>
                <c:pt idx="134">
                  <c:v>1492.0234553284672</c:v>
                </c:pt>
                <c:pt idx="135">
                  <c:v>1509.4268517883213</c:v>
                </c:pt>
                <c:pt idx="136">
                  <c:v>1516.1986913138689</c:v>
                </c:pt>
              </c:numCache>
            </c:numRef>
          </c:val>
          <c:smooth val="0"/>
          <c:extLst>
            <c:ext xmlns:c16="http://schemas.microsoft.com/office/drawing/2014/chart" uri="{C3380CC4-5D6E-409C-BE32-E72D297353CC}">
              <c16:uniqueId val="{00000002-4039-466E-8DC0-4D104466C441}"/>
            </c:ext>
          </c:extLst>
        </c:ser>
        <c:ser>
          <c:idx val="4"/>
          <c:order val="3"/>
          <c:tx>
            <c:strRef>
              <c:f>[32]INPUT!$AD$8</c:f>
              <c:strCache>
                <c:ptCount val="1"/>
                <c:pt idx="0">
                  <c:v>25.37716058</c:v>
                </c:pt>
              </c:strCache>
            </c:strRef>
          </c:tx>
          <c:spPr>
            <a:ln w="34925" cap="rnd">
              <a:solidFill>
                <a:srgbClr val="00B0F0"/>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[32]INPUT!$AD$10:$AD$335</c:f>
              <c:numCache>
                <c:formatCode>General</c:formatCode>
                <c:ptCount val="326"/>
                <c:pt idx="0">
                  <c:v>1060.5876722846717</c:v>
                </c:pt>
                <c:pt idx="1">
                  <c:v>1060.080129072993</c:v>
                </c:pt>
                <c:pt idx="2">
                  <c:v>1063.531422912409</c:v>
                </c:pt>
                <c:pt idx="3">
                  <c:v>1062.6685994525551</c:v>
                </c:pt>
                <c:pt idx="4">
                  <c:v>1048.1274864379566</c:v>
                </c:pt>
                <c:pt idx="5">
                  <c:v>1042.9505456788324</c:v>
                </c:pt>
                <c:pt idx="6">
                  <c:v>1048.0513549562047</c:v>
                </c:pt>
                <c:pt idx="7">
                  <c:v>1052.644621021898</c:v>
                </c:pt>
                <c:pt idx="8">
                  <c:v>1057.3901500510951</c:v>
                </c:pt>
                <c:pt idx="9">
                  <c:v>1062.6432222919711</c:v>
                </c:pt>
                <c:pt idx="10">
                  <c:v>1067.2111111970808</c:v>
                </c:pt>
                <c:pt idx="11">
                  <c:v>1071.8043772627741</c:v>
                </c:pt>
                <c:pt idx="12">
                  <c:v>1077.1589581459857</c:v>
                </c:pt>
                <c:pt idx="13">
                  <c:v>1074.0883217153289</c:v>
                </c:pt>
                <c:pt idx="14">
                  <c:v>1075.1795396204384</c:v>
                </c:pt>
                <c:pt idx="15">
                  <c:v>1068.9621352773725</c:v>
                </c:pt>
                <c:pt idx="16">
                  <c:v>1064.1912290875916</c:v>
                </c:pt>
                <c:pt idx="17">
                  <c:v>1068.6829865109494</c:v>
                </c:pt>
                <c:pt idx="18">
                  <c:v>1070.0279760218982</c:v>
                </c:pt>
                <c:pt idx="19">
                  <c:v>1084.898992124088</c:v>
                </c:pt>
                <c:pt idx="20">
                  <c:v>1089.9490470802923</c:v>
                </c:pt>
                <c:pt idx="21">
                  <c:v>1117.2294947080295</c:v>
                </c:pt>
                <c:pt idx="22">
                  <c:v>1123.3200132481754</c:v>
                </c:pt>
                <c:pt idx="23">
                  <c:v>1124.2843453503651</c:v>
                </c:pt>
                <c:pt idx="24">
                  <c:v>1126.9489472116793</c:v>
                </c:pt>
                <c:pt idx="25">
                  <c:v>1139.4598873795624</c:v>
                </c:pt>
                <c:pt idx="26">
                  <c:v>1130.8316527810223</c:v>
                </c:pt>
                <c:pt idx="27">
                  <c:v>1143.7993818394164</c:v>
                </c:pt>
                <c:pt idx="28">
                  <c:v>1129.5374175912411</c:v>
                </c:pt>
                <c:pt idx="29">
                  <c:v>1142.0229805985405</c:v>
                </c:pt>
                <c:pt idx="30">
                  <c:v>1141.9468491167888</c:v>
                </c:pt>
                <c:pt idx="31">
                  <c:v>1142.8858040583946</c:v>
                </c:pt>
                <c:pt idx="32">
                  <c:v>1149.9914090218981</c:v>
                </c:pt>
                <c:pt idx="33">
                  <c:v>1118.4729755766425</c:v>
                </c:pt>
                <c:pt idx="34">
                  <c:v>1118.0161866861317</c:v>
                </c:pt>
                <c:pt idx="35">
                  <c:v>1124.360476832117</c:v>
                </c:pt>
                <c:pt idx="36">
                  <c:v>1130.2987324087594</c:v>
                </c:pt>
                <c:pt idx="37">
                  <c:v>1141.363174423358</c:v>
                </c:pt>
                <c:pt idx="38">
                  <c:v>1144.8144682627742</c:v>
                </c:pt>
                <c:pt idx="39">
                  <c:v>1152.9605368102193</c:v>
                </c:pt>
                <c:pt idx="40">
                  <c:v>1139.1553614525551</c:v>
                </c:pt>
                <c:pt idx="41">
                  <c:v>1128.6745941313873</c:v>
                </c:pt>
                <c:pt idx="42">
                  <c:v>1125.6800891824821</c:v>
                </c:pt>
                <c:pt idx="43">
                  <c:v>1113.5751835839419</c:v>
                </c:pt>
                <c:pt idx="44">
                  <c:v>1051.6041574379565</c:v>
                </c:pt>
                <c:pt idx="45">
                  <c:v>1049.0664413795623</c:v>
                </c:pt>
                <c:pt idx="46">
                  <c:v>1062.287942043796</c:v>
                </c:pt>
                <c:pt idx="47">
                  <c:v>1062.8462395766426</c:v>
                </c:pt>
                <c:pt idx="48">
                  <c:v>1068.327706262774</c:v>
                </c:pt>
                <c:pt idx="49">
                  <c:v>1072.5910692408761</c:v>
                </c:pt>
                <c:pt idx="50">
                  <c:v>1077.6157470364967</c:v>
                </c:pt>
                <c:pt idx="51">
                  <c:v>1081.802978532847</c:v>
                </c:pt>
                <c:pt idx="52">
                  <c:v>1083.17334520438</c:v>
                </c:pt>
                <c:pt idx="53">
                  <c:v>1085.8887013868616</c:v>
                </c:pt>
                <c:pt idx="54">
                  <c:v>1089.5430125109492</c:v>
                </c:pt>
                <c:pt idx="55">
                  <c:v>1073.8853044306572</c:v>
                </c:pt>
                <c:pt idx="56">
                  <c:v>1099.7446310656937</c:v>
                </c:pt>
                <c:pt idx="57">
                  <c:v>1104.2871428102194</c:v>
                </c:pt>
                <c:pt idx="58">
                  <c:v>1106.3680699781025</c:v>
                </c:pt>
                <c:pt idx="59">
                  <c:v>1117.7116607591242</c:v>
                </c:pt>
                <c:pt idx="60">
                  <c:v>1121.5689891678835</c:v>
                </c:pt>
                <c:pt idx="61">
                  <c:v>1125.7054663430661</c:v>
                </c:pt>
                <c:pt idx="62">
                  <c:v>1130.2479780875915</c:v>
                </c:pt>
                <c:pt idx="63">
                  <c:v>1134.3844552627741</c:v>
                </c:pt>
                <c:pt idx="64">
                  <c:v>1132.4304138978107</c:v>
                </c:pt>
                <c:pt idx="65">
                  <c:v>1142.7589182554748</c:v>
                </c:pt>
                <c:pt idx="66">
                  <c:v>1141.6930775109493</c:v>
                </c:pt>
                <c:pt idx="67">
                  <c:v>1151.0826269270076</c:v>
                </c:pt>
                <c:pt idx="68">
                  <c:v>1163.1621553649638</c:v>
                </c:pt>
                <c:pt idx="69">
                  <c:v>1179.631932583942</c:v>
                </c:pt>
                <c:pt idx="70">
                  <c:v>1189.5036480510951</c:v>
                </c:pt>
                <c:pt idx="71">
                  <c:v>1230.6654025182484</c:v>
                </c:pt>
                <c:pt idx="72">
                  <c:v>1215.5659919708032</c:v>
                </c:pt>
                <c:pt idx="73">
                  <c:v>1254.6214421094894</c:v>
                </c:pt>
                <c:pt idx="74">
                  <c:v>1254.6721964306573</c:v>
                </c:pt>
                <c:pt idx="75">
                  <c:v>1259.2654624963507</c:v>
                </c:pt>
                <c:pt idx="76">
                  <c:v>1267.1323822773727</c:v>
                </c:pt>
                <c:pt idx="77">
                  <c:v>1273.6289353868617</c:v>
                </c:pt>
                <c:pt idx="78">
                  <c:v>1277.5370181167887</c:v>
                </c:pt>
                <c:pt idx="79">
                  <c:v>1284.9979033284676</c:v>
                </c:pt>
                <c:pt idx="80">
                  <c:v>1286.7743045693435</c:v>
                </c:pt>
                <c:pt idx="81">
                  <c:v>1290.9869132262777</c:v>
                </c:pt>
                <c:pt idx="82">
                  <c:v>1294.8696187956207</c:v>
                </c:pt>
                <c:pt idx="83">
                  <c:v>1302.3305040072996</c:v>
                </c:pt>
                <c:pt idx="84">
                  <c:v>1340.8530337737232</c:v>
                </c:pt>
                <c:pt idx="85">
                  <c:v>1349.0498566423362</c:v>
                </c:pt>
                <c:pt idx="86">
                  <c:v>1356.4092332116793</c:v>
                </c:pt>
                <c:pt idx="87">
                  <c:v>1361.8653227372267</c:v>
                </c:pt>
                <c:pt idx="88">
                  <c:v>1377.3961450145989</c:v>
                </c:pt>
                <c:pt idx="89">
                  <c:v>1381.3803592262777</c:v>
                </c:pt>
                <c:pt idx="90">
                  <c:v>1389.8055765401464</c:v>
                </c:pt>
                <c:pt idx="91">
                  <c:v>1403.2047173284675</c:v>
                </c:pt>
                <c:pt idx="92">
                  <c:v>1406.4022395620443</c:v>
                </c:pt>
                <c:pt idx="93">
                  <c:v>1414.1676507007303</c:v>
                </c:pt>
                <c:pt idx="94">
                  <c:v>1413.6601074890516</c:v>
                </c:pt>
                <c:pt idx="95">
                  <c:v>1420.7149581313872</c:v>
                </c:pt>
                <c:pt idx="96">
                  <c:v>1464.7443317445261</c:v>
                </c:pt>
                <c:pt idx="97">
                  <c:v>1475.986413883212</c:v>
                </c:pt>
                <c:pt idx="98">
                  <c:v>1484.9445515693435</c:v>
                </c:pt>
                <c:pt idx="99">
                  <c:v>1491.7456306058398</c:v>
                </c:pt>
                <c:pt idx="100">
                  <c:v>1482.5590984744529</c:v>
                </c:pt>
                <c:pt idx="101">
                  <c:v>1497.303228773723</c:v>
                </c:pt>
                <c:pt idx="102">
                  <c:v>1499.2318929781027</c:v>
                </c:pt>
                <c:pt idx="103">
                  <c:v>1510.0425633868617</c:v>
                </c:pt>
                <c:pt idx="104">
                  <c:v>1517.1481683503653</c:v>
                </c:pt>
                <c:pt idx="105">
                  <c:v>1521.5130399708034</c:v>
                </c:pt>
                <c:pt idx="106">
                  <c:v>1519.0514553941612</c:v>
                </c:pt>
                <c:pt idx="107">
                  <c:v>1527.7304443138692</c:v>
                </c:pt>
                <c:pt idx="108">
                  <c:v>1537.8305542262776</c:v>
                </c:pt>
                <c:pt idx="109">
                  <c:v>1543.3373980729932</c:v>
                </c:pt>
                <c:pt idx="110">
                  <c:v>1450.7615162627742</c:v>
                </c:pt>
                <c:pt idx="111">
                  <c:v>1470.8094731240881</c:v>
                </c:pt>
                <c:pt idx="112">
                  <c:v>1467.0790305182486</c:v>
                </c:pt>
                <c:pt idx="113">
                  <c:v>1465.7086638467158</c:v>
                </c:pt>
                <c:pt idx="114">
                  <c:v>1500.1454707591245</c:v>
                </c:pt>
                <c:pt idx="115">
                  <c:v>1502.5309238540151</c:v>
                </c:pt>
                <c:pt idx="116">
                  <c:v>1508.8498368394164</c:v>
                </c:pt>
                <c:pt idx="117">
                  <c:v>1504.8909997883216</c:v>
                </c:pt>
                <c:pt idx="118">
                  <c:v>1493.0652429562049</c:v>
                </c:pt>
                <c:pt idx="119">
                  <c:v>1505.3224115182486</c:v>
                </c:pt>
                <c:pt idx="120">
                  <c:v>1486.4418040437961</c:v>
                </c:pt>
                <c:pt idx="121">
                  <c:v>1477.1283861094896</c:v>
                </c:pt>
                <c:pt idx="122">
                  <c:v>1518.4677807007304</c:v>
                </c:pt>
                <c:pt idx="123">
                  <c:v>1544.73314190511</c:v>
                </c:pt>
                <c:pt idx="124">
                  <c:v>1546.0019999343069</c:v>
                </c:pt>
                <c:pt idx="125">
                  <c:v>1588.3818581094895</c:v>
                </c:pt>
                <c:pt idx="126">
                  <c:v>1601.4764729708033</c:v>
                </c:pt>
                <c:pt idx="127">
                  <c:v>1619.4435026642341</c:v>
                </c:pt>
                <c:pt idx="128">
                  <c:v>1628.4523946715333</c:v>
                </c:pt>
                <c:pt idx="129">
                  <c:v>1595.5382173941609</c:v>
                </c:pt>
                <c:pt idx="130">
                  <c:v>1615.611551416059</c:v>
                </c:pt>
                <c:pt idx="131">
                  <c:v>1625.8131699708035</c:v>
                </c:pt>
                <c:pt idx="132">
                  <c:v>1605.4860643430661</c:v>
                </c:pt>
                <c:pt idx="133">
                  <c:v>1628.1224915839421</c:v>
                </c:pt>
                <c:pt idx="134">
                  <c:v>1638.2479786569347</c:v>
                </c:pt>
                <c:pt idx="135">
                  <c:v>1657.3569805766429</c:v>
                </c:pt>
                <c:pt idx="136">
                  <c:v>1664.7924886277378</c:v>
                </c:pt>
              </c:numCache>
            </c:numRef>
          </c:val>
          <c:smooth val="0"/>
          <c:extLst>
            <c:ext xmlns:c16="http://schemas.microsoft.com/office/drawing/2014/chart" uri="{C3380CC4-5D6E-409C-BE32-E72D297353CC}">
              <c16:uniqueId val="{00000003-4039-466E-8DC0-4D104466C441}"/>
            </c:ext>
          </c:extLst>
        </c:ser>
        <c:ser>
          <c:idx val="5"/>
          <c:order val="4"/>
          <c:tx>
            <c:strRef>
              <c:f>[32]INPUT!$AE$8</c:f>
              <c:strCache>
                <c:ptCount val="1"/>
                <c:pt idx="0">
                  <c:v>28.18508029</c:v>
                </c:pt>
              </c:strCache>
            </c:strRef>
          </c:tx>
          <c:spPr>
            <a:ln w="34925" cap="rnd">
              <a:solidFill>
                <a:schemeClr val="accent6"/>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[32]INPUT!$AE$10:$AE$335</c:f>
              <c:numCache>
                <c:formatCode>General</c:formatCode>
                <c:ptCount val="326"/>
                <c:pt idx="0">
                  <c:v>1177.9390606423358</c:v>
                </c:pt>
                <c:pt idx="1">
                  <c:v>1177.3753590364965</c:v>
                </c:pt>
                <c:pt idx="2">
                  <c:v>1181.2085299562045</c:v>
                </c:pt>
                <c:pt idx="3">
                  <c:v>1180.2502372262775</c:v>
                </c:pt>
                <c:pt idx="4">
                  <c:v>1164.1001862189783</c:v>
                </c:pt>
                <c:pt idx="5">
                  <c:v>1158.3504298394162</c:v>
                </c:pt>
                <c:pt idx="6">
                  <c:v>1164.0156309781023</c:v>
                </c:pt>
                <c:pt idx="7">
                  <c:v>1169.117130510949</c:v>
                </c:pt>
                <c:pt idx="8">
                  <c:v>1174.3877405255475</c:v>
                </c:pt>
                <c:pt idx="9">
                  <c:v>1180.2220521459856</c:v>
                </c:pt>
                <c:pt idx="10">
                  <c:v>1185.2953665985403</c:v>
                </c:pt>
                <c:pt idx="11">
                  <c:v>1190.396866131387</c:v>
                </c:pt>
                <c:pt idx="12">
                  <c:v>1196.3439180729927</c:v>
                </c:pt>
                <c:pt idx="13">
                  <c:v>1192.9335233576644</c:v>
                </c:pt>
                <c:pt idx="14">
                  <c:v>1194.1454818102191</c:v>
                </c:pt>
                <c:pt idx="15">
                  <c:v>1187.2401371386861</c:v>
                </c:pt>
                <c:pt idx="16">
                  <c:v>1181.9413420437959</c:v>
                </c:pt>
                <c:pt idx="17">
                  <c:v>1186.9301012554747</c:v>
                </c:pt>
                <c:pt idx="18">
                  <c:v>1188.4239105109491</c:v>
                </c:pt>
                <c:pt idx="19">
                  <c:v>1204.9403675620438</c:v>
                </c:pt>
                <c:pt idx="20">
                  <c:v>1210.5491985401461</c:v>
                </c:pt>
                <c:pt idx="21">
                  <c:v>1240.8481598540147</c:v>
                </c:pt>
                <c:pt idx="22">
                  <c:v>1247.6125791240877</c:v>
                </c:pt>
                <c:pt idx="23">
                  <c:v>1248.6836121751826</c:v>
                </c:pt>
                <c:pt idx="24">
                  <c:v>1251.6430456058397</c:v>
                </c:pt>
                <c:pt idx="25">
                  <c:v>1265.5382901897813</c:v>
                </c:pt>
                <c:pt idx="26">
                  <c:v>1255.955362890511</c:v>
                </c:pt>
                <c:pt idx="27">
                  <c:v>1270.3579389197082</c:v>
                </c:pt>
                <c:pt idx="28">
                  <c:v>1254.5179237956206</c:v>
                </c:pt>
                <c:pt idx="29">
                  <c:v>1268.3849832992703</c:v>
                </c:pt>
                <c:pt idx="30">
                  <c:v>1268.3004280583943</c:v>
                </c:pt>
                <c:pt idx="31">
                  <c:v>1269.3432760291973</c:v>
                </c:pt>
                <c:pt idx="32">
                  <c:v>1277.235098510949</c:v>
                </c:pt>
                <c:pt idx="33">
                  <c:v>1242.2292287883213</c:v>
                </c:pt>
                <c:pt idx="34">
                  <c:v>1241.7218973430658</c:v>
                </c:pt>
                <c:pt idx="35">
                  <c:v>1248.7681674160585</c:v>
                </c:pt>
                <c:pt idx="36">
                  <c:v>1255.3634762043796</c:v>
                </c:pt>
                <c:pt idx="37">
                  <c:v>1267.6521712116789</c:v>
                </c:pt>
                <c:pt idx="38">
                  <c:v>1271.4853421313871</c:v>
                </c:pt>
                <c:pt idx="39">
                  <c:v>1280.5327529051096</c:v>
                </c:pt>
                <c:pt idx="40">
                  <c:v>1265.2000692262775</c:v>
                </c:pt>
                <c:pt idx="41">
                  <c:v>1253.5596310656936</c:v>
                </c:pt>
                <c:pt idx="42">
                  <c:v>1250.233791591241</c:v>
                </c:pt>
                <c:pt idx="43">
                  <c:v>1236.7895082919708</c:v>
                </c:pt>
                <c:pt idx="44">
                  <c:v>1167.9615422189781</c:v>
                </c:pt>
                <c:pt idx="45">
                  <c:v>1165.143034189781</c:v>
                </c:pt>
                <c:pt idx="46">
                  <c:v>1179.827461021898</c:v>
                </c:pt>
                <c:pt idx="47">
                  <c:v>1180.4475327883213</c:v>
                </c:pt>
                <c:pt idx="48">
                  <c:v>1186.5355101313869</c:v>
                </c:pt>
                <c:pt idx="49">
                  <c:v>1191.2706036204381</c:v>
                </c:pt>
                <c:pt idx="50">
                  <c:v>1196.8512495182483</c:v>
                </c:pt>
                <c:pt idx="51">
                  <c:v>1201.5017877664234</c:v>
                </c:pt>
                <c:pt idx="52">
                  <c:v>1203.0237821021899</c:v>
                </c:pt>
                <c:pt idx="53">
                  <c:v>1206.0395856934308</c:v>
                </c:pt>
                <c:pt idx="54">
                  <c:v>1210.0982372554745</c:v>
                </c:pt>
                <c:pt idx="55">
                  <c:v>1192.7080427153287</c:v>
                </c:pt>
                <c:pt idx="56">
                  <c:v>1221.4286395328468</c:v>
                </c:pt>
                <c:pt idx="57">
                  <c:v>1226.4737689051096</c:v>
                </c:pt>
                <c:pt idx="58">
                  <c:v>1228.7849454890513</c:v>
                </c:pt>
                <c:pt idx="59">
                  <c:v>1241.3836763795621</c:v>
                </c:pt>
                <c:pt idx="60">
                  <c:v>1245.6678085839417</c:v>
                </c:pt>
                <c:pt idx="61">
                  <c:v>1250.2619766715329</c:v>
                </c:pt>
                <c:pt idx="62">
                  <c:v>1255.3071060437956</c:v>
                </c:pt>
                <c:pt idx="63">
                  <c:v>1259.901274131387</c:v>
                </c:pt>
                <c:pt idx="64">
                  <c:v>1257.7310229489053</c:v>
                </c:pt>
                <c:pt idx="65">
                  <c:v>1269.2023506277374</c:v>
                </c:pt>
                <c:pt idx="66">
                  <c:v>1268.0185772554746</c:v>
                </c:pt>
                <c:pt idx="67">
                  <c:v>1278.4470569635039</c:v>
                </c:pt>
                <c:pt idx="68">
                  <c:v>1291.8631551824819</c:v>
                </c:pt>
                <c:pt idx="69">
                  <c:v>1310.155272291971</c:v>
                </c:pt>
                <c:pt idx="70">
                  <c:v>1321.1192685255476</c:v>
                </c:pt>
                <c:pt idx="71">
                  <c:v>1366.8354687591241</c:v>
                </c:pt>
                <c:pt idx="72">
                  <c:v>1350.0653459854016</c:v>
                </c:pt>
                <c:pt idx="73">
                  <c:v>1393.4421845547447</c:v>
                </c:pt>
                <c:pt idx="74">
                  <c:v>1393.4985547153287</c:v>
                </c:pt>
                <c:pt idx="75">
                  <c:v>1398.6000542481754</c:v>
                </c:pt>
                <c:pt idx="76">
                  <c:v>1407.3374291386863</c:v>
                </c:pt>
                <c:pt idx="77">
                  <c:v>1414.5528096934308</c:v>
                </c:pt>
                <c:pt idx="78">
                  <c:v>1418.8933120583943</c:v>
                </c:pt>
                <c:pt idx="79">
                  <c:v>1427.1797256642337</c:v>
                </c:pt>
                <c:pt idx="80">
                  <c:v>1429.1526812846719</c:v>
                </c:pt>
                <c:pt idx="81">
                  <c:v>1433.8314046131388</c:v>
                </c:pt>
                <c:pt idx="82">
                  <c:v>1438.1437218978103</c:v>
                </c:pt>
                <c:pt idx="83">
                  <c:v>1446.4301355036498</c:v>
                </c:pt>
                <c:pt idx="84">
                  <c:v>1489.2150873868616</c:v>
                </c:pt>
                <c:pt idx="85">
                  <c:v>1498.3188683211679</c:v>
                </c:pt>
                <c:pt idx="86">
                  <c:v>1506.4925416058397</c:v>
                </c:pt>
                <c:pt idx="87">
                  <c:v>1512.5523338686132</c:v>
                </c:pt>
                <c:pt idx="88">
                  <c:v>1529.8016030072995</c:v>
                </c:pt>
                <c:pt idx="89">
                  <c:v>1534.2266606131388</c:v>
                </c:pt>
                <c:pt idx="90">
                  <c:v>1543.5841072700732</c:v>
                </c:pt>
                <c:pt idx="91">
                  <c:v>1558.4658296642338</c:v>
                </c:pt>
                <c:pt idx="92">
                  <c:v>1562.017149781022</c:v>
                </c:pt>
                <c:pt idx="93">
                  <c:v>1570.641784350365</c:v>
                </c:pt>
                <c:pt idx="94">
                  <c:v>1570.0780827445258</c:v>
                </c:pt>
                <c:pt idx="95">
                  <c:v>1577.9135350656936</c:v>
                </c:pt>
                <c:pt idx="96">
                  <c:v>1626.8146493722629</c:v>
                </c:pt>
                <c:pt idx="97">
                  <c:v>1639.3006399416061</c:v>
                </c:pt>
                <c:pt idx="98">
                  <c:v>1649.2499732846718</c:v>
                </c:pt>
                <c:pt idx="99">
                  <c:v>1656.8035748029199</c:v>
                </c:pt>
                <c:pt idx="100">
                  <c:v>1646.6005757372263</c:v>
                </c:pt>
                <c:pt idx="101">
                  <c:v>1662.9761073868615</c:v>
                </c:pt>
                <c:pt idx="102">
                  <c:v>1665.1181734890513</c:v>
                </c:pt>
                <c:pt idx="103">
                  <c:v>1677.1250176934307</c:v>
                </c:pt>
                <c:pt idx="104">
                  <c:v>1685.0168401751826</c:v>
                </c:pt>
                <c:pt idx="105">
                  <c:v>1689.8646739854016</c:v>
                </c:pt>
                <c:pt idx="106">
                  <c:v>1687.1307211970804</c:v>
                </c:pt>
                <c:pt idx="107">
                  <c:v>1696.7700186569346</c:v>
                </c:pt>
                <c:pt idx="108">
                  <c:v>1707.9876806131388</c:v>
                </c:pt>
                <c:pt idx="109">
                  <c:v>1714.1038430364965</c:v>
                </c:pt>
                <c:pt idx="110">
                  <c:v>1611.284670131387</c:v>
                </c:pt>
                <c:pt idx="111">
                  <c:v>1633.550883562044</c:v>
                </c:pt>
                <c:pt idx="112">
                  <c:v>1629.4076767591243</c:v>
                </c:pt>
                <c:pt idx="113">
                  <c:v>1627.8856824233578</c:v>
                </c:pt>
                <c:pt idx="114">
                  <c:v>1666.1328363795621</c:v>
                </c:pt>
                <c:pt idx="115">
                  <c:v>1668.7822339270074</c:v>
                </c:pt>
                <c:pt idx="116">
                  <c:v>1675.8003189197082</c:v>
                </c:pt>
                <c:pt idx="117">
                  <c:v>1671.4034463941607</c:v>
                </c:pt>
                <c:pt idx="118">
                  <c:v>1658.2691989781024</c:v>
                </c:pt>
                <c:pt idx="119">
                  <c:v>1671.8825927591242</c:v>
                </c:pt>
                <c:pt idx="120">
                  <c:v>1650.9128930218978</c:v>
                </c:pt>
                <c:pt idx="121">
                  <c:v>1640.5689685547447</c:v>
                </c:pt>
                <c:pt idx="122">
                  <c:v>1686.482464350365</c:v>
                </c:pt>
                <c:pt idx="123">
                  <c:v>1715.654022452555</c:v>
                </c:pt>
                <c:pt idx="124">
                  <c:v>1717.0632764671534</c:v>
                </c:pt>
                <c:pt idx="125">
                  <c:v>1764.1323605547448</c:v>
                </c:pt>
                <c:pt idx="126">
                  <c:v>1778.6758619854015</c:v>
                </c:pt>
                <c:pt idx="127">
                  <c:v>1798.6308988321168</c:v>
                </c:pt>
                <c:pt idx="128">
                  <c:v>1808.6366023357666</c:v>
                </c:pt>
                <c:pt idx="129">
                  <c:v>1772.0805531970805</c:v>
                </c:pt>
                <c:pt idx="130">
                  <c:v>1794.3749517080294</c:v>
                </c:pt>
                <c:pt idx="131">
                  <c:v>1805.7053539854016</c:v>
                </c:pt>
                <c:pt idx="132">
                  <c:v>1783.129104671533</c:v>
                </c:pt>
                <c:pt idx="133">
                  <c:v>1808.2701962919709</c:v>
                </c:pt>
                <c:pt idx="134">
                  <c:v>1819.5160433284673</c:v>
                </c:pt>
                <c:pt idx="135">
                  <c:v>1840.7394087883213</c:v>
                </c:pt>
                <c:pt idx="136">
                  <c:v>1848.9976373138688</c:v>
                </c:pt>
              </c:numCache>
            </c:numRef>
          </c:val>
          <c:smooth val="0"/>
          <c:extLst>
            <c:ext xmlns:c16="http://schemas.microsoft.com/office/drawing/2014/chart" uri="{C3380CC4-5D6E-409C-BE32-E72D297353CC}">
              <c16:uniqueId val="{00000004-4039-466E-8DC0-4D104466C441}"/>
            </c:ext>
          </c:extLst>
        </c:ser>
        <c:ser>
          <c:idx val="6"/>
          <c:order val="5"/>
          <c:tx>
            <c:strRef>
              <c:f>[32]INPUT!$AF$8</c:f>
              <c:strCache>
                <c:ptCount val="1"/>
                <c:pt idx="0">
                  <c:v>30.993</c:v>
                </c:pt>
              </c:strCache>
            </c:strRef>
          </c:tx>
          <c:spPr>
            <a:ln w="34925" cap="rnd">
              <a:solidFill>
                <a:srgbClr val="FF0000"/>
              </a:solidFill>
              <a:round/>
            </a:ln>
            <a:effectLst/>
          </c:spPr>
          <c:marker>
            <c:symbol val="none"/>
          </c:marker>
          <c:cat>
            <c:numRef>
              <c:f>[32]INPUT!$X$10:$X$335</c:f>
              <c:numCache>
                <c:formatCode>General</c:formatCode>
                <c:ptCount val="326"/>
                <c:pt idx="0">
                  <c:v>43105</c:v>
                </c:pt>
                <c:pt idx="1">
                  <c:v>43112</c:v>
                </c:pt>
                <c:pt idx="2">
                  <c:v>43119</c:v>
                </c:pt>
                <c:pt idx="3">
                  <c:v>43126</c:v>
                </c:pt>
                <c:pt idx="4">
                  <c:v>43133</c:v>
                </c:pt>
                <c:pt idx="5">
                  <c:v>43140</c:v>
                </c:pt>
                <c:pt idx="6">
                  <c:v>43147</c:v>
                </c:pt>
                <c:pt idx="7">
                  <c:v>43154</c:v>
                </c:pt>
                <c:pt idx="8">
                  <c:v>43161</c:v>
                </c:pt>
                <c:pt idx="9">
                  <c:v>43168</c:v>
                </c:pt>
                <c:pt idx="10">
                  <c:v>43175</c:v>
                </c:pt>
                <c:pt idx="11">
                  <c:v>43182</c:v>
                </c:pt>
                <c:pt idx="12">
                  <c:v>43189</c:v>
                </c:pt>
                <c:pt idx="13">
                  <c:v>43196</c:v>
                </c:pt>
                <c:pt idx="14">
                  <c:v>43203</c:v>
                </c:pt>
                <c:pt idx="15">
                  <c:v>43210</c:v>
                </c:pt>
                <c:pt idx="16">
                  <c:v>43217</c:v>
                </c:pt>
                <c:pt idx="17">
                  <c:v>43224</c:v>
                </c:pt>
                <c:pt idx="18">
                  <c:v>43231</c:v>
                </c:pt>
                <c:pt idx="19">
                  <c:v>43238</c:v>
                </c:pt>
                <c:pt idx="20">
                  <c:v>43245</c:v>
                </c:pt>
                <c:pt idx="21">
                  <c:v>43252</c:v>
                </c:pt>
                <c:pt idx="22">
                  <c:v>43259</c:v>
                </c:pt>
                <c:pt idx="23">
                  <c:v>43266</c:v>
                </c:pt>
                <c:pt idx="24">
                  <c:v>43273</c:v>
                </c:pt>
                <c:pt idx="25">
                  <c:v>43280</c:v>
                </c:pt>
                <c:pt idx="26">
                  <c:v>43287</c:v>
                </c:pt>
                <c:pt idx="27">
                  <c:v>43294</c:v>
                </c:pt>
                <c:pt idx="28">
                  <c:v>43301</c:v>
                </c:pt>
                <c:pt idx="29">
                  <c:v>43308</c:v>
                </c:pt>
                <c:pt idx="30">
                  <c:v>43315</c:v>
                </c:pt>
                <c:pt idx="31">
                  <c:v>43322</c:v>
                </c:pt>
                <c:pt idx="32">
                  <c:v>43329</c:v>
                </c:pt>
                <c:pt idx="33">
                  <c:v>43336</c:v>
                </c:pt>
                <c:pt idx="34">
                  <c:v>43343</c:v>
                </c:pt>
                <c:pt idx="35">
                  <c:v>43350</c:v>
                </c:pt>
                <c:pt idx="36">
                  <c:v>43357</c:v>
                </c:pt>
                <c:pt idx="37">
                  <c:v>43364</c:v>
                </c:pt>
                <c:pt idx="38">
                  <c:v>43371</c:v>
                </c:pt>
                <c:pt idx="39">
                  <c:v>43378</c:v>
                </c:pt>
                <c:pt idx="40">
                  <c:v>43385</c:v>
                </c:pt>
                <c:pt idx="41">
                  <c:v>43392</c:v>
                </c:pt>
                <c:pt idx="42">
                  <c:v>43399</c:v>
                </c:pt>
                <c:pt idx="43">
                  <c:v>43406</c:v>
                </c:pt>
                <c:pt idx="44">
                  <c:v>43413</c:v>
                </c:pt>
                <c:pt idx="45">
                  <c:v>43420</c:v>
                </c:pt>
                <c:pt idx="46">
                  <c:v>43427</c:v>
                </c:pt>
                <c:pt idx="47">
                  <c:v>43434</c:v>
                </c:pt>
                <c:pt idx="48">
                  <c:v>43441</c:v>
                </c:pt>
                <c:pt idx="49">
                  <c:v>43448</c:v>
                </c:pt>
                <c:pt idx="50">
                  <c:v>43455</c:v>
                </c:pt>
                <c:pt idx="51">
                  <c:v>43462</c:v>
                </c:pt>
                <c:pt idx="52">
                  <c:v>43469</c:v>
                </c:pt>
                <c:pt idx="53">
                  <c:v>43476</c:v>
                </c:pt>
                <c:pt idx="54">
                  <c:v>43483</c:v>
                </c:pt>
                <c:pt idx="55">
                  <c:v>43490</c:v>
                </c:pt>
                <c:pt idx="56">
                  <c:v>43497</c:v>
                </c:pt>
                <c:pt idx="57">
                  <c:v>43504</c:v>
                </c:pt>
                <c:pt idx="58">
                  <c:v>43511</c:v>
                </c:pt>
                <c:pt idx="59">
                  <c:v>43518</c:v>
                </c:pt>
                <c:pt idx="60">
                  <c:v>43525</c:v>
                </c:pt>
                <c:pt idx="61">
                  <c:v>43532</c:v>
                </c:pt>
                <c:pt idx="62">
                  <c:v>43539</c:v>
                </c:pt>
                <c:pt idx="63">
                  <c:v>43546</c:v>
                </c:pt>
                <c:pt idx="64">
                  <c:v>43553</c:v>
                </c:pt>
                <c:pt idx="65">
                  <c:v>43560</c:v>
                </c:pt>
                <c:pt idx="66">
                  <c:v>43567</c:v>
                </c:pt>
                <c:pt idx="67">
                  <c:v>43574</c:v>
                </c:pt>
                <c:pt idx="68">
                  <c:v>43581</c:v>
                </c:pt>
                <c:pt idx="69">
                  <c:v>43588</c:v>
                </c:pt>
                <c:pt idx="70">
                  <c:v>43595</c:v>
                </c:pt>
                <c:pt idx="71">
                  <c:v>43602</c:v>
                </c:pt>
                <c:pt idx="72">
                  <c:v>43609</c:v>
                </c:pt>
                <c:pt idx="73">
                  <c:v>43616</c:v>
                </c:pt>
                <c:pt idx="74">
                  <c:v>43623</c:v>
                </c:pt>
                <c:pt idx="75">
                  <c:v>43630</c:v>
                </c:pt>
                <c:pt idx="76">
                  <c:v>43637</c:v>
                </c:pt>
                <c:pt idx="77">
                  <c:v>43644</c:v>
                </c:pt>
                <c:pt idx="78">
                  <c:v>43651</c:v>
                </c:pt>
                <c:pt idx="79">
                  <c:v>43658</c:v>
                </c:pt>
                <c:pt idx="80">
                  <c:v>43665</c:v>
                </c:pt>
                <c:pt idx="81">
                  <c:v>43672</c:v>
                </c:pt>
                <c:pt idx="82">
                  <c:v>43679</c:v>
                </c:pt>
                <c:pt idx="83">
                  <c:v>43686</c:v>
                </c:pt>
                <c:pt idx="84">
                  <c:v>43693</c:v>
                </c:pt>
                <c:pt idx="85">
                  <c:v>43700</c:v>
                </c:pt>
                <c:pt idx="86">
                  <c:v>43707</c:v>
                </c:pt>
                <c:pt idx="87">
                  <c:v>43714</c:v>
                </c:pt>
                <c:pt idx="88">
                  <c:v>43721</c:v>
                </c:pt>
                <c:pt idx="89">
                  <c:v>43728</c:v>
                </c:pt>
                <c:pt idx="90">
                  <c:v>43735</c:v>
                </c:pt>
                <c:pt idx="91">
                  <c:v>43742</c:v>
                </c:pt>
                <c:pt idx="92">
                  <c:v>43749</c:v>
                </c:pt>
                <c:pt idx="93">
                  <c:v>43756</c:v>
                </c:pt>
                <c:pt idx="94">
                  <c:v>43763</c:v>
                </c:pt>
                <c:pt idx="95">
                  <c:v>43770</c:v>
                </c:pt>
                <c:pt idx="96">
                  <c:v>43777</c:v>
                </c:pt>
                <c:pt idx="97">
                  <c:v>43784</c:v>
                </c:pt>
                <c:pt idx="98">
                  <c:v>43791</c:v>
                </c:pt>
                <c:pt idx="99">
                  <c:v>43798</c:v>
                </c:pt>
                <c:pt idx="100">
                  <c:v>43805</c:v>
                </c:pt>
                <c:pt idx="101">
                  <c:v>43812</c:v>
                </c:pt>
                <c:pt idx="102">
                  <c:v>43819</c:v>
                </c:pt>
                <c:pt idx="103">
                  <c:v>43826</c:v>
                </c:pt>
                <c:pt idx="104">
                  <c:v>43833</c:v>
                </c:pt>
                <c:pt idx="105">
                  <c:v>43840</c:v>
                </c:pt>
                <c:pt idx="106">
                  <c:v>43847</c:v>
                </c:pt>
                <c:pt idx="107">
                  <c:v>43854</c:v>
                </c:pt>
                <c:pt idx="108">
                  <c:v>43861</c:v>
                </c:pt>
                <c:pt idx="109">
                  <c:v>43868</c:v>
                </c:pt>
                <c:pt idx="110">
                  <c:v>43875</c:v>
                </c:pt>
                <c:pt idx="111">
                  <c:v>43882</c:v>
                </c:pt>
                <c:pt idx="112">
                  <c:v>43889</c:v>
                </c:pt>
                <c:pt idx="113">
                  <c:v>43896</c:v>
                </c:pt>
                <c:pt idx="114">
                  <c:v>43903</c:v>
                </c:pt>
                <c:pt idx="115">
                  <c:v>43910</c:v>
                </c:pt>
                <c:pt idx="116">
                  <c:v>43917</c:v>
                </c:pt>
                <c:pt idx="117">
                  <c:v>43924</c:v>
                </c:pt>
                <c:pt idx="118">
                  <c:v>43931</c:v>
                </c:pt>
                <c:pt idx="119">
                  <c:v>43938</c:v>
                </c:pt>
                <c:pt idx="120">
                  <c:v>43945</c:v>
                </c:pt>
                <c:pt idx="121">
                  <c:v>43952</c:v>
                </c:pt>
                <c:pt idx="122">
                  <c:v>43959</c:v>
                </c:pt>
                <c:pt idx="123">
                  <c:v>43966</c:v>
                </c:pt>
                <c:pt idx="124">
                  <c:v>43973</c:v>
                </c:pt>
                <c:pt idx="125">
                  <c:v>43980</c:v>
                </c:pt>
                <c:pt idx="126">
                  <c:v>43987</c:v>
                </c:pt>
                <c:pt idx="127">
                  <c:v>43994</c:v>
                </c:pt>
                <c:pt idx="128">
                  <c:v>44001</c:v>
                </c:pt>
                <c:pt idx="129">
                  <c:v>44008</c:v>
                </c:pt>
                <c:pt idx="130">
                  <c:v>44015</c:v>
                </c:pt>
                <c:pt idx="131">
                  <c:v>44022</c:v>
                </c:pt>
                <c:pt idx="132">
                  <c:v>44029</c:v>
                </c:pt>
                <c:pt idx="133">
                  <c:v>44036</c:v>
                </c:pt>
                <c:pt idx="134">
                  <c:v>44043</c:v>
                </c:pt>
                <c:pt idx="135">
                  <c:v>44050</c:v>
                </c:pt>
                <c:pt idx="136">
                  <c:v>44057</c:v>
                </c:pt>
              </c:numCache>
            </c:numRef>
          </c:cat>
          <c:val>
            <c:numRef>
              <c:f>[32]INPUT!$AF$10:$AF$335</c:f>
              <c:numCache>
                <c:formatCode>General</c:formatCode>
                <c:ptCount val="326"/>
                <c:pt idx="0">
                  <c:v>1295.2904489999999</c:v>
                </c:pt>
                <c:pt idx="1">
                  <c:v>1294.6705890000001</c:v>
                </c:pt>
                <c:pt idx="2">
                  <c:v>1298.8856369999999</c:v>
                </c:pt>
                <c:pt idx="3">
                  <c:v>1297.8318749999999</c:v>
                </c:pt>
                <c:pt idx="4">
                  <c:v>1280.0728859999999</c:v>
                </c:pt>
                <c:pt idx="5">
                  <c:v>1273.7503139999999</c:v>
                </c:pt>
                <c:pt idx="6">
                  <c:v>1279.9799069999999</c:v>
                </c:pt>
                <c:pt idx="7">
                  <c:v>1285.5896399999999</c:v>
                </c:pt>
                <c:pt idx="8">
                  <c:v>1291.385331</c:v>
                </c:pt>
                <c:pt idx="9">
                  <c:v>1297.800882</c:v>
                </c:pt>
                <c:pt idx="10">
                  <c:v>1303.3796219999999</c:v>
                </c:pt>
                <c:pt idx="11">
                  <c:v>1308.9893549999999</c:v>
                </c:pt>
                <c:pt idx="12">
                  <c:v>1315.5288779999998</c:v>
                </c:pt>
                <c:pt idx="13">
                  <c:v>1311.7787250000001</c:v>
                </c:pt>
                <c:pt idx="14">
                  <c:v>1313.1114239999999</c:v>
                </c:pt>
                <c:pt idx="15">
                  <c:v>1305.5181389999998</c:v>
                </c:pt>
                <c:pt idx="16">
                  <c:v>1299.6914549999999</c:v>
                </c:pt>
                <c:pt idx="17">
                  <c:v>1305.177216</c:v>
                </c:pt>
                <c:pt idx="18">
                  <c:v>1306.819845</c:v>
                </c:pt>
                <c:pt idx="19">
                  <c:v>1324.9817429999998</c:v>
                </c:pt>
                <c:pt idx="20">
                  <c:v>1331.1493499999999</c:v>
                </c:pt>
                <c:pt idx="21">
                  <c:v>1364.466825</c:v>
                </c:pt>
                <c:pt idx="22">
                  <c:v>1371.9051449999999</c:v>
                </c:pt>
                <c:pt idx="23">
                  <c:v>1373.0828789999998</c:v>
                </c:pt>
                <c:pt idx="24">
                  <c:v>1376.3371440000001</c:v>
                </c:pt>
                <c:pt idx="25">
                  <c:v>1391.6166929999999</c:v>
                </c:pt>
                <c:pt idx="26">
                  <c:v>1381.0790729999999</c:v>
                </c:pt>
                <c:pt idx="27">
                  <c:v>1396.9164960000001</c:v>
                </c:pt>
                <c:pt idx="28">
                  <c:v>1379.4984299999999</c:v>
                </c:pt>
                <c:pt idx="29">
                  <c:v>1394.7469860000001</c:v>
                </c:pt>
                <c:pt idx="30">
                  <c:v>1394.6540070000001</c:v>
                </c:pt>
                <c:pt idx="31">
                  <c:v>1395.8007479999999</c:v>
                </c:pt>
                <c:pt idx="32">
                  <c:v>1404.4787880000001</c:v>
                </c:pt>
                <c:pt idx="33">
                  <c:v>1365.9854819999998</c:v>
                </c:pt>
                <c:pt idx="34">
                  <c:v>1365.427608</c:v>
                </c:pt>
                <c:pt idx="35">
                  <c:v>1373.1758579999998</c:v>
                </c:pt>
                <c:pt idx="36">
                  <c:v>1380.42822</c:v>
                </c:pt>
                <c:pt idx="37">
                  <c:v>1393.9411679999998</c:v>
                </c:pt>
                <c:pt idx="38">
                  <c:v>1398.1562160000001</c:v>
                </c:pt>
                <c:pt idx="39">
                  <c:v>1408.104969</c:v>
                </c:pt>
                <c:pt idx="40">
                  <c:v>1391.2447770000001</c:v>
                </c:pt>
                <c:pt idx="41">
                  <c:v>1378.4446679999999</c:v>
                </c:pt>
                <c:pt idx="42">
                  <c:v>1374.7874939999999</c:v>
                </c:pt>
                <c:pt idx="43">
                  <c:v>1360.003833</c:v>
                </c:pt>
                <c:pt idx="44">
                  <c:v>1284.318927</c:v>
                </c:pt>
                <c:pt idx="45">
                  <c:v>1281.2196269999999</c:v>
                </c:pt>
                <c:pt idx="46">
                  <c:v>1297.36698</c:v>
                </c:pt>
                <c:pt idx="47">
                  <c:v>1298.048826</c:v>
                </c:pt>
                <c:pt idx="48">
                  <c:v>1304.7433139999998</c:v>
                </c:pt>
                <c:pt idx="49">
                  <c:v>1309.9501379999999</c:v>
                </c:pt>
                <c:pt idx="50">
                  <c:v>1316.0867519999999</c:v>
                </c:pt>
                <c:pt idx="51">
                  <c:v>1321.2005969999998</c:v>
                </c:pt>
                <c:pt idx="52">
                  <c:v>1322.874219</c:v>
                </c:pt>
                <c:pt idx="53">
                  <c:v>1326.19047</c:v>
                </c:pt>
                <c:pt idx="54">
                  <c:v>1330.6534619999998</c:v>
                </c:pt>
                <c:pt idx="55">
                  <c:v>1311.5307809999999</c:v>
                </c:pt>
                <c:pt idx="56">
                  <c:v>1343.1126479999998</c:v>
                </c:pt>
                <c:pt idx="57">
                  <c:v>1348.6603949999999</c:v>
                </c:pt>
                <c:pt idx="58">
                  <c:v>1351.2018209999999</c:v>
                </c:pt>
                <c:pt idx="59">
                  <c:v>1365.0556919999999</c:v>
                </c:pt>
                <c:pt idx="60">
                  <c:v>1369.7666279999999</c:v>
                </c:pt>
                <c:pt idx="61">
                  <c:v>1374.818487</c:v>
                </c:pt>
                <c:pt idx="62">
                  <c:v>1380.3662339999998</c:v>
                </c:pt>
                <c:pt idx="63">
                  <c:v>1385.418093</c:v>
                </c:pt>
                <c:pt idx="64">
                  <c:v>1383.0316319999999</c:v>
                </c:pt>
                <c:pt idx="65">
                  <c:v>1395.6457829999999</c:v>
                </c:pt>
                <c:pt idx="66">
                  <c:v>1394.3440769999997</c:v>
                </c:pt>
                <c:pt idx="67">
                  <c:v>1405.8114869999999</c:v>
                </c:pt>
                <c:pt idx="68">
                  <c:v>1420.564155</c:v>
                </c:pt>
                <c:pt idx="69">
                  <c:v>1440.6786119999999</c:v>
                </c:pt>
                <c:pt idx="70">
                  <c:v>1452.7348889999998</c:v>
                </c:pt>
                <c:pt idx="71">
                  <c:v>1503.0055349999998</c:v>
                </c:pt>
                <c:pt idx="72">
                  <c:v>1484.5646999999999</c:v>
                </c:pt>
                <c:pt idx="73">
                  <c:v>1532.262927</c:v>
                </c:pt>
                <c:pt idx="74">
                  <c:v>1532.3249129999999</c:v>
                </c:pt>
                <c:pt idx="75">
                  <c:v>1537.9346459999999</c:v>
                </c:pt>
                <c:pt idx="76">
                  <c:v>1547.5424760000001</c:v>
                </c:pt>
                <c:pt idx="77">
                  <c:v>1555.476684</c:v>
                </c:pt>
                <c:pt idx="78">
                  <c:v>1560.2496059999999</c:v>
                </c:pt>
                <c:pt idx="79">
                  <c:v>1569.3615480000001</c:v>
                </c:pt>
                <c:pt idx="80">
                  <c:v>1571.531058</c:v>
                </c:pt>
                <c:pt idx="81">
                  <c:v>1576.675896</c:v>
                </c:pt>
                <c:pt idx="82">
                  <c:v>1581.417825</c:v>
                </c:pt>
                <c:pt idx="83">
                  <c:v>1590.529767</c:v>
                </c:pt>
                <c:pt idx="84">
                  <c:v>1637.577141</c:v>
                </c:pt>
                <c:pt idx="85">
                  <c:v>1647.5878799999998</c:v>
                </c:pt>
                <c:pt idx="86">
                  <c:v>1656.5758499999999</c:v>
                </c:pt>
                <c:pt idx="87">
                  <c:v>1663.239345</c:v>
                </c:pt>
                <c:pt idx="88">
                  <c:v>1682.2070609999998</c:v>
                </c:pt>
                <c:pt idx="89">
                  <c:v>1687.0729619999997</c:v>
                </c:pt>
                <c:pt idx="90">
                  <c:v>1697.3626379999998</c:v>
                </c:pt>
                <c:pt idx="91">
                  <c:v>1713.7269419999998</c:v>
                </c:pt>
                <c:pt idx="92">
                  <c:v>1717.6320599999999</c:v>
                </c:pt>
                <c:pt idx="93">
                  <c:v>1727.115918</c:v>
                </c:pt>
                <c:pt idx="94">
                  <c:v>1726.4960579999999</c:v>
                </c:pt>
                <c:pt idx="95">
                  <c:v>1735.112112</c:v>
                </c:pt>
                <c:pt idx="96">
                  <c:v>1788.884967</c:v>
                </c:pt>
                <c:pt idx="97">
                  <c:v>1802.6148659999999</c:v>
                </c:pt>
                <c:pt idx="98">
                  <c:v>1813.5553949999999</c:v>
                </c:pt>
                <c:pt idx="99">
                  <c:v>1821.861519</c:v>
                </c:pt>
                <c:pt idx="100">
                  <c:v>1810.6420529999998</c:v>
                </c:pt>
                <c:pt idx="101">
                  <c:v>1828.6489859999999</c:v>
                </c:pt>
                <c:pt idx="102">
                  <c:v>1831.0044539999999</c:v>
                </c:pt>
                <c:pt idx="103">
                  <c:v>1844.2074719999998</c:v>
                </c:pt>
                <c:pt idx="104">
                  <c:v>1852.8855119999998</c:v>
                </c:pt>
                <c:pt idx="105">
                  <c:v>1858.216308</c:v>
                </c:pt>
                <c:pt idx="106">
                  <c:v>1855.209987</c:v>
                </c:pt>
                <c:pt idx="107">
                  <c:v>1865.8095929999999</c:v>
                </c:pt>
                <c:pt idx="108">
                  <c:v>1878.1448069999999</c:v>
                </c:pt>
                <c:pt idx="109">
                  <c:v>1884.8702880000001</c:v>
                </c:pt>
                <c:pt idx="110">
                  <c:v>1771.807824</c:v>
                </c:pt>
                <c:pt idx="111">
                  <c:v>1796.2922939999999</c:v>
                </c:pt>
                <c:pt idx="112">
                  <c:v>1791.7363229999999</c:v>
                </c:pt>
                <c:pt idx="113">
                  <c:v>1790.0627009999998</c:v>
                </c:pt>
                <c:pt idx="114">
                  <c:v>1832.1202019999998</c:v>
                </c:pt>
                <c:pt idx="115">
                  <c:v>1835.0335439999999</c:v>
                </c:pt>
                <c:pt idx="116">
                  <c:v>1842.7508009999999</c:v>
                </c:pt>
                <c:pt idx="117">
                  <c:v>1837.9158929999999</c:v>
                </c:pt>
                <c:pt idx="118">
                  <c:v>1823.4731549999999</c:v>
                </c:pt>
                <c:pt idx="119">
                  <c:v>1838.4427739999999</c:v>
                </c:pt>
                <c:pt idx="120">
                  <c:v>1815.3839819999998</c:v>
                </c:pt>
                <c:pt idx="121">
                  <c:v>1804.0095509999999</c:v>
                </c:pt>
                <c:pt idx="122">
                  <c:v>1854.4971479999999</c:v>
                </c:pt>
                <c:pt idx="123">
                  <c:v>1886.5749029999999</c:v>
                </c:pt>
                <c:pt idx="124">
                  <c:v>1888.1245529999999</c:v>
                </c:pt>
                <c:pt idx="125">
                  <c:v>1939.882863</c:v>
                </c:pt>
                <c:pt idx="126">
                  <c:v>1955.8752509999999</c:v>
                </c:pt>
                <c:pt idx="127">
                  <c:v>1977.8182949999998</c:v>
                </c:pt>
                <c:pt idx="128">
                  <c:v>1988.8208099999999</c:v>
                </c:pt>
                <c:pt idx="129">
                  <c:v>1948.6228889999998</c:v>
                </c:pt>
                <c:pt idx="130">
                  <c:v>1973.1383519999999</c:v>
                </c:pt>
                <c:pt idx="131">
                  <c:v>1985.597538</c:v>
                </c:pt>
                <c:pt idx="132">
                  <c:v>1960.7721449999999</c:v>
                </c:pt>
                <c:pt idx="133">
                  <c:v>1988.4179009999998</c:v>
                </c:pt>
                <c:pt idx="134">
                  <c:v>2000.7841079999998</c:v>
                </c:pt>
                <c:pt idx="135">
                  <c:v>2024.1218369999999</c:v>
                </c:pt>
                <c:pt idx="136">
                  <c:v>2033.2027860000001</c:v>
                </c:pt>
              </c:numCache>
            </c:numRef>
          </c:val>
          <c:smooth val="0"/>
          <c:extLst>
            <c:ext xmlns:c16="http://schemas.microsoft.com/office/drawing/2014/chart" uri="{C3380CC4-5D6E-409C-BE32-E72D297353CC}">
              <c16:uniqueId val="{00000005-4039-466E-8DC0-4D104466C441}"/>
            </c:ext>
          </c:extLst>
        </c:ser>
        <c:dLbls>
          <c:showLegendKey val="0"/>
          <c:showVal val="0"/>
          <c:showCatName val="0"/>
          <c:showSerName val="0"/>
          <c:showPercent val="0"/>
          <c:showBubbleSize val="0"/>
        </c:dLbls>
        <c:smooth val="0"/>
        <c:axId val="592817384"/>
        <c:axId val="592816600"/>
      </c:lineChart>
      <c:catAx>
        <c:axId val="592817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zh-CN"/>
          </a:p>
        </c:txPr>
        <c:crossAx val="592816600"/>
        <c:crosses val="autoZero"/>
        <c:auto val="1"/>
        <c:lblAlgn val="ctr"/>
        <c:lblOffset val="100"/>
        <c:noMultiLvlLbl val="1"/>
      </c:catAx>
      <c:valAx>
        <c:axId val="592816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US"/>
                  <a:t>PRICE- P/E, P/S, P/B, EV/EBITDA, EV/EBIT</a:t>
                </a:r>
                <a:endParaRPr lang="zh-CN"/>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zh-CN"/>
          </a:p>
        </c:txPr>
        <c:crossAx val="592817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ysClr val="windowText" lastClr="000000"/>
          </a:solidFill>
          <a:latin typeface="Arial" panose="020B0604020202020204" pitchFamily="34" charset="0"/>
          <a:cs typeface="Arial" panose="020B0604020202020204" pitchFamily="34" charset="0"/>
        </a:defRPr>
      </a:pPr>
      <a:endParaRPr lang="zh-CN"/>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sheetViews>
    <sheetView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9296715" cy="6069236"/>
    <xdr:graphicFrame macro="">
      <xdr:nvGraphicFramePr>
        <xdr:cNvPr id="2" name="Chart 1">
          <a:extLst>
            <a:ext uri="{FF2B5EF4-FFF2-40B4-BE49-F238E27FC236}">
              <a16:creationId xmlns:a16="http://schemas.microsoft.com/office/drawing/2014/main" id="{B8C398E2-15A5-43D0-947C-8438B1F287D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RESHK01D\Projects\Zurlo\Telecom%20Argentina\TEOMO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mx_vdf.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ireshk01d\PROJECTS\GENERAL\TELECOMS\TARIFFS\REGIONAL%20FIXED%20LIN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RESHK01D\projects\GENERAL\TELECOMS\INDIA\MTNL\Tables-1015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sad\root\na\ny\users\johndasc\Docs\ID\Charts\Chart_Gallery\From%20Vlad\B11_BarSingle_AverageLine.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Startup" Target="MOH/Moh/Global/Global%20Consump%20Compari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sad\root\na\ny\users\johndasc\Docs\ID\Charts\Sandbox\BtoB.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Startup" Target="Moh/Moh/Global/Retailers_Euromonitor.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Startup" Target="Oil/NEW_TEAM/Company%20models/BPA_ARCOwip.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Firmwide.corp.gs.com\irroot\TEMP\CSFB\TEO\TEO_vdf.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RESHK01D\Projects\GENERAL\TELECOMS\KOREA\KTFreetel\EM-KTFreetelnew.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IRESHK01D\Projects\GENERAL\James\Asiasat\asat2H00fc.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IRESHK01D\Projects\GENERAL\TELECOMS\Models\Europe\Data\Cellular_Comparison_ARPU%20etc%20Dec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RESHK01D\projects\GENERAL\TELECOMS\THAILAND\TAC\EM-TAC.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RESHK01D\projects\GENERAL\TELECOMS\KOREA\SKT\EM-SKTeleco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Z:\My%20Documents\NEWTABL1_9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RESHK01D\projects\GENERAL\TELECOMS\HONGKONG\HK%20Wireless%20Companies\SMARTONE\EM-SmarTone-new.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sad\root\Documents%20and%20Settings\ajacobs.COMSCORE_OFFICE\My%20Documents\From%20E\Everything\Finance\3%20Sell%20Side\Site-Specific%20Transaction%20%20Reports\Juice\Transaction%20Reports%20example%20v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RESHK01D\Projects\parekh\daily\Consensus%20Estimates.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c1"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RESHK01D\projects\GENERAL\TELECOMS\CHINA\CMHK\Current%20model\EM_CMHK_consolidated.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irmwide.corp.gs.com\irroot\Technology\Internet\iAsiaWorks\Excel\IASIAWORK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IRESHK01D\projects\GENERAL\TELECOMS\VALUATION\valuation\New%20valuation\WEEKLYxl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5B2CC2C\CC%20Acquisition%20Benchmarker080502v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RESHK01D\projects\GENERAL\TELECOMS\Report%20Folders\Snapshot\CHT.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Startup" Target="ecomm/@Industry/@Data/Internet%20industry%20data_master.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BABA%20Working%20File/Alibaba%20model_20180126.xlsm"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reshk01d\PROJECTS\general\telecoms\INDIA\MTNL\Tables-1015.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ireshk01d\PROJECTS\general\telecoms\INDIA\MTNL\dem_MTNL.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irmwide.corp.gs.com\irroot\GENERAL\TELECOMS\TAIWAN\Chunghwa\EM-Chunghwa_new.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Startup" Target="jrichard/Air%20Media/Company%20files/Takeoff%20Model_%20banking.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24494;&#20449;&#25991;&#20214;/WeChat%20Files/happyzhuyan/FileStorage/File/2020-12/CA%20BABA%20STANDARD%20MODEL%20-%20RAW%20-%2020201105.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zhairongbin/Desktop/baba%20qrtly.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24494;&#20449;&#25991;&#20214;/WeChat%20Files/happyzhuyan/FileStorage/File/2020-12/CA%20BABA%20Model%2020201105%20VA_V2.0.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Ting/Desktop/86Research_BABA%20Model_F1Q21_Final_202008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Comp"/>
      <sheetName val="Cash-TEO"/>
      <sheetName val="eva"/>
      <sheetName val="Revenues"/>
      <sheetName val="teo model"/>
      <sheetName val="FAME Persistence"/>
      <sheetName val="stats"/>
      <sheetName val="Global Weekly Temp"/>
      <sheetName val="Notex temp"/>
      <sheetName val="DDETABLE"/>
      <sheetName val="China Retail Sa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Balance Sheet_VDF"/>
      <sheetName val="Income Statement_VDF"/>
      <sheetName val="Forecasts_VDF"/>
      <sheetName val="Summary Page_VDF"/>
      <sheetName val="Invested capital_VDF"/>
      <sheetName val="NOPAT_VDF"/>
      <sheetName val="WACC_VDF"/>
      <sheetName val="DCF_VDF"/>
      <sheetName val="Charts_VDF"/>
      <sheetName val="PV of Op Leases_VDF"/>
      <sheetName val="China Retail Sa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8"/>
      <sheetName val="Table 8A"/>
      <sheetName val="Sheet2"/>
      <sheetName val="eva"/>
      <sheetName val="Table 8b"/>
      <sheetName val="PROFSVC"/>
      <sheetName val="Q_MODEL"/>
      <sheetName val="#REF"/>
      <sheetName val="PER"/>
      <sheetName val="VALUE2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s-1015W"/>
      <sheetName val="#REF"/>
      <sheetName val="eva"/>
      <sheetName val="Figures"/>
      <sheetName val="Table 8A"/>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ash"/>
      <sheetName val="Exhibit 3"/>
      <sheetName val="Cash_published"/>
      <sheetName val="NVF_published"/>
      <sheetName val="Exhibit 5"/>
      <sheetName val="IFRS"/>
      <sheetName val="Exhibit 4"/>
      <sheetName val="IFRS Life"/>
      <sheetName val="Exhibit 1"/>
      <sheetName val="Exhibit 2"/>
      <sheetName val="MCEV Roll-up"/>
      <sheetName val="Weekahead"/>
      <sheetName val="MCEV_Capital"/>
      <sheetName val="Assets(new)"/>
      <sheetName val="MCEV P&amp;L"/>
      <sheetName val="Cash Flow"/>
      <sheetName val="upside_downside"/>
      <sheetName val="Income Statement"/>
      <sheetName val="Balance Sheet"/>
      <sheetName val="RI"/>
      <sheetName val="BULLBEAR"/>
      <sheetName val="Sheet2"/>
      <sheetName val="DCF"/>
      <sheetName val="MWA RR"/>
      <sheetName val="REVENUE BY GEOGRAPHY"/>
      <sheetName val="NonQtr"/>
      <sheetName val="Data 20d"/>
      <sheetName val="Data"/>
      <sheetName val="Risk-Reward_View_Chart"/>
      <sheetName val="Valsum"/>
      <sheetName val="Interims"/>
      <sheetName val="Financial Statements"/>
      <sheetName val="CPB"/>
      <sheetName val="Total_Food_Promo"/>
      <sheetName val="CPB_2yr"/>
      <sheetName val="Good 12-00 (2)"/>
      <sheetName val="Good 11-36"/>
      <sheetName val="Good 11-50"/>
      <sheetName val="Sheet3 (5)"/>
      <sheetName val="Inputs"/>
      <sheetName val="FX"/>
      <sheetName val="Summary"/>
      <sheetName val="Floater Demand"/>
      <sheetName val="B11_BarSingle_AverageLine"/>
      <sheetName val="Quero_Sales"/>
      <sheetName val="L2005"/>
      <sheetName val="C2000"/>
      <sheetName val="Cell Reference"/>
      <sheetName val="Shading Period-Level"/>
      <sheetName val="Sources of Change"/>
      <sheetName val="Basic (gridlines)"/>
      <sheetName val="Average (reference) Line"/>
      <sheetName val="Double (overlapping)"/>
      <sheetName val="Reference Step Line"/>
      <sheetName val="Double (gridlines)"/>
      <sheetName val="Growth Line"/>
      <sheetName val="Reference Marks"/>
      <sheetName val="Single-point highlighting"/>
      <sheetName val="CPNO"/>
      <sheetName val="MMP"/>
      <sheetName val="PAA"/>
      <sheetName val="EEP"/>
      <sheetName val="KMP"/>
      <sheetName val="ETP"/>
      <sheetName val="BPL"/>
      <sheetName val="NS"/>
      <sheetName val="BWP"/>
      <sheetName val="EPD"/>
      <sheetName val="RGNC"/>
      <sheetName val="WP Detail "/>
      <sheetName val="画像1"/>
      <sheetName val="業績推移"/>
      <sheetName val="バリュエーション比較"/>
      <sheetName val="自動車設備投資"/>
      <sheetName val="ロボット機械統計年"/>
      <sheetName val="ロボット機械統計"/>
      <sheetName val="株価と関連指標"/>
      <sheetName val="画像3"/>
      <sheetName val="利益率比較"/>
      <sheetName val="ロボット試算"/>
      <sheetName val="画像2"/>
      <sheetName val="内訳"/>
      <sheetName val="株価(過去1年) "/>
      <sheetName val="WWロボット出荷台数"/>
      <sheetName val="長期営業利益"/>
      <sheetName val="中国NC化率"/>
      <sheetName val="画像4"/>
      <sheetName val="成長率比較"/>
      <sheetName val="バリュエーション"/>
      <sheetName val="四半期"/>
      <sheetName val="画像5"/>
      <sheetName val="RRBox"/>
      <sheetName val="シェアと競合"/>
      <sheetName val="Sheet4"/>
      <sheetName val="ForeignStake"/>
      <sheetName val="Model"/>
      <sheetName val="rev change analysis"/>
      <sheetName val="rev contribution analysis"/>
      <sheetName val="WPZ"/>
      <sheetName val="TPP"/>
      <sheetName val="EPE"/>
      <sheetName val="WMZ"/>
      <sheetName val="HEP"/>
      <sheetName val="MGG"/>
      <sheetName val="ETE"/>
      <sheetName val="BGH"/>
      <sheetName val="SEP"/>
      <sheetName val="TCLP"/>
      <sheetName val="SXL"/>
      <sheetName val="W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ordability (09)"/>
      <sheetName val="Affordability"/>
      <sheetName val="Summary"/>
      <sheetName val="Progression 2"/>
      <sheetName val="Progression 1"/>
      <sheetName val="Progression 3"/>
      <sheetName val="overall mkt size"/>
      <sheetName val="PerCapita-Scatter"/>
      <sheetName val="per capita data"/>
      <sheetName val="Category Mix"/>
      <sheetName val="Charts"/>
      <sheetName val="China"/>
      <sheetName val="Progression Tissue"/>
      <sheetName val="Elasticity"/>
      <sheetName val="Population (AL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od 2-32"/>
      <sheetName val="Good 12-00 (3)"/>
      <sheetName val="Good 12-43"/>
      <sheetName val="Good 12-07"/>
      <sheetName val="Good 12-00 (2)"/>
      <sheetName val="Good 12-00"/>
      <sheetName val="Good 11-50"/>
      <sheetName val="Good 11-40"/>
      <sheetName val="Good 11-36"/>
      <sheetName val="Good 11-18"/>
      <sheetName val="Good 10-48 pm (2)"/>
      <sheetName val="Samples"/>
      <sheetName val="Good 10-48 pm"/>
      <sheetName val="Good 11-04 pm"/>
      <sheetName val="Sheet3 (6)"/>
      <sheetName val="Sheet3 (5)"/>
      <sheetName val="Sheet3 (3)"/>
      <sheetName val="Sheet3 (2)"/>
      <sheetName val="Sheet1"/>
      <sheetName val="Sheet2"/>
      <sheetName val="Sheet3"/>
      <sheetName val="Sheet3 (4)"/>
      <sheetName val="Good 12-22_tbnt"/>
      <sheetName val="c1"/>
      <sheetName val="Sheet4"/>
      <sheetName val="ForeignStake"/>
      <sheetName val="LBO Summary"/>
      <sheetName val="DCF Model"/>
      <sheetName val="SoP Model"/>
      <sheetName val="Risk-Reward_View_Chart"/>
      <sheetName val="PE_1yr_Forward"/>
      <sheetName val="Summary"/>
      <sheetName val="Quarterly"/>
      <sheetName val="Cust-Supplier"/>
      <sheetName val="Pork Poultry Egg"/>
      <sheetName val="Tourists"/>
      <sheetName val="CHINA CPI"/>
      <sheetName val="Fis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na"/>
      <sheetName val="HK"/>
      <sheetName val="Korea"/>
      <sheetName val="Korea-extra"/>
      <sheetName val="TW"/>
      <sheetName val="Japan"/>
      <sheetName val="Malaysia"/>
      <sheetName val="Indonesia"/>
      <sheetName val="India"/>
      <sheetName val="Thailand"/>
      <sheetName val="Russia"/>
      <sheetName val="Brazil"/>
      <sheetName val="Mexico"/>
      <sheetName val="Columbia"/>
      <sheetName val="Argentina"/>
      <sheetName val="Philippines"/>
      <sheetName val="Australia"/>
      <sheetName val="Fr"/>
      <sheetName val="UK"/>
      <sheetName val="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
      <sheetName val="Figures"/>
      <sheetName val="projections"/>
      <sheetName val="Targets &amp; Cost cutting"/>
      <sheetName val="eval"/>
      <sheetName val="dayval"/>
      <sheetName val="debt"/>
      <sheetName val="dcf"/>
      <sheetName val="Oildisc"/>
      <sheetName val="assms"/>
      <sheetName val="chem"/>
      <sheetName val="r&amp;m"/>
      <sheetName val="Gas&amp;Power"/>
      <sheetName val="group e&amp;p"/>
      <sheetName val="ARCO_E&amp;P"/>
      <sheetName val="USA"/>
      <sheetName val="UK"/>
      <sheetName val="Europe"/>
      <sheetName val="RoW"/>
      <sheetName val="prodprofile"/>
      <sheetName val="lr"/>
      <sheetName val="SOP"/>
      <sheetName val="Amoco Cost sav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Balance Sheet_VDF"/>
      <sheetName val="Income Statement_VDF"/>
      <sheetName val="Summary Page_VDF"/>
      <sheetName val="Invested capital_VDF"/>
      <sheetName val="NOPAT_VDF"/>
      <sheetName val="WACC_VDF"/>
      <sheetName val="DCF_VDF"/>
      <sheetName val="Charts_VDF"/>
      <sheetName val="PV of Op Leases_VDF"/>
      <sheetName val="teo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reciation"/>
      <sheetName val="Factsheet"/>
      <sheetName val="Results"/>
      <sheetName val="P&amp;L"/>
      <sheetName val="Revenue"/>
      <sheetName val="Rev-qrt"/>
      <sheetName val="Costs"/>
      <sheetName val="Cost-qrt"/>
      <sheetName val="Balance"/>
      <sheetName val="Cashflow"/>
      <sheetName val="DCF"/>
      <sheetName val="DCF 2.5G"/>
      <sheetName val="DCF 3G"/>
      <sheetName val="EVA1"/>
      <sheetName val="EVA 2 "/>
      <sheetName val="NX"/>
      <sheetName val="F-PNL"/>
      <sheetName val="F-Balance"/>
      <sheetName val="F-Cash Flow"/>
      <sheetName val="F-WACC"/>
      <sheetName val="F-DCF"/>
      <sheetName val="F-Assumption"/>
      <sheetName val="DATA"/>
      <sheetName val="CF"/>
      <sheetName val="Calculation (2)"/>
      <sheetName val="MODEL"/>
      <sheetName val="Claims &amp; benefits"/>
      <sheetName val="Premiums"/>
      <sheetName val="Reserves &amp; provisions"/>
      <sheetName val="PE band"/>
      <sheetName val="NOPAT_VDF"/>
      <sheetName val="Invested capital_VDF"/>
      <sheetName val="DCF_VDF"/>
      <sheetName val="WACC_VDF"/>
      <sheetName val="Summary Page_VDF"/>
      <sheetName val="PV of Op Leases_VDF"/>
      <sheetName val="Income Statement_VD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rations"/>
      <sheetName val="Capital"/>
      <sheetName val="DDA, DE, CE"/>
      <sheetName val="Financials"/>
      <sheetName val="Value"/>
      <sheetName val="Tables"/>
      <sheetName val="For Report"/>
      <sheetName val="Assumptions"/>
      <sheetName val="Nxpress"/>
      <sheetName val="Nxpress (ADR)"/>
    </sheetNames>
    <sheetDataSet>
      <sheetData sheetId="0"/>
      <sheetData sheetId="1"/>
      <sheetData sheetId="2" refreshError="1"/>
      <sheetData sheetId="3"/>
      <sheetData sheetId="4"/>
      <sheetData sheetId="5" refreshError="1"/>
      <sheetData sheetId="6" refreshError="1"/>
      <sheetData sheetId="7"/>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s"/>
      <sheetName val="Financials"/>
      <sheetName val="Capex"/>
      <sheetName val="Margins"/>
      <sheetName val="ARPU"/>
      <sheetName val="Data"/>
      <sheetName val="MOU"/>
      <sheetName val="SAC"/>
      <sheetName val="Churn"/>
      <sheetName val="Subs"/>
      <sheetName val="SMS"/>
      <sheetName val="ARPU vs penetr cht"/>
      <sheetName val="카드채권(대출포함)"/>
      <sheetName val="Deskto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hanges"/>
      <sheetName val="Qtly"/>
      <sheetName val="PNL"/>
      <sheetName val="Revenues"/>
      <sheetName val="Costs"/>
      <sheetName val="External"/>
      <sheetName val="Depreciation"/>
      <sheetName val="Balance Sheet"/>
      <sheetName val="Cash Flow"/>
      <sheetName val="Capital Structure"/>
      <sheetName val="Assoc"/>
      <sheetName val="Detailed DCF"/>
      <sheetName val="GS PNL-F"/>
      <sheetName val="GS BS-F"/>
      <sheetName val="GS-CF"/>
      <sheetName val="GS Assumes"/>
      <sheetName val="F-data"/>
      <sheetName val="CROCI"/>
      <sheetName val="Comps"/>
      <sheetName val="company profile"/>
      <sheetName val="GS data"/>
      <sheetName val="GEM"/>
      <sheetName val="Interim"/>
      <sheetName val="GS-Capex"/>
      <sheetName val="DCF"/>
      <sheetName val="EROCE"/>
      <sheetName val="GS-DCF-F1"/>
      <sheetName val="WACC"/>
      <sheetName val="ROIC"/>
      <sheetName val="DATA"/>
      <sheetName val="Concession Conversion"/>
      <sheetName val="Facts &amp; Audit"/>
      <sheetName val="Net add cht"/>
      <sheetName val="margin cht"/>
      <sheetName val="F-Assumptions"/>
      <sheetName val="NotesXpress"/>
      <sheetName val="EVA1"/>
      <sheetName val="Factsheet"/>
      <sheetName val="Quarterly "/>
      <sheetName val="Sensitivities"/>
      <sheetName val="v.data"/>
      <sheetName val="EVA 2 "/>
      <sheetName val="sample NV_data"/>
      <sheetName val="GS Balance"/>
      <sheetName val="GS Cashflow"/>
      <sheetName val="GS Assumptions"/>
      <sheetName val="GS- WACC"/>
      <sheetName val="GS- DCF"/>
      <sheetName val="Macro1"/>
      <sheetName val="NV-data"/>
      <sheetName val="CF"/>
      <sheetName val="BS"/>
      <sheetName val="DCF-F1"/>
      <sheetName val="EVA"/>
      <sheetName val="EM-TAC"/>
      <sheetName val="DCF &amp; WACC"/>
      <sheetName val="GS Assumptions-F"/>
      <sheetName val="#REF"/>
      <sheetName val="Report"/>
      <sheetName val="Old Qtly Sheet"/>
      <sheetName val="Quarterly"/>
      <sheetName val="EVA 2"/>
      <sheetName val="GEMS"/>
      <sheetName val="Sheet1"/>
      <sheetName val="Company profile back-up"/>
      <sheetName val="GS data back-up"/>
      <sheetName val="Company profile "/>
      <sheetName val="F-Qtly"/>
      <sheetName val="tables"/>
      <sheetName val="Oaktree"/>
      <sheetName val="GQ"/>
      <sheetName val="DCF Template"/>
      <sheetName val="DCF Sensitivity"/>
      <sheetName val="Q-PreARPU"/>
      <sheetName val="Q-PostARPU"/>
      <sheetName val="Q-EBITDA (2)"/>
      <sheetName val="8 kÿÊ0 _x0000__x0000__x0000_F_x0001__x0000__x0000_t"/>
      <sheetName val="F-DCF"/>
      <sheetName val="Bloomberg"/>
      <sheetName val="Financials"/>
      <sheetName val="Operations"/>
      <sheetName val="Beef_Lamb_Prices"/>
      <sheetName val=""/>
      <sheetName val="DCF_Multiple"/>
      <sheetName val="inputs"/>
      <sheetName val="MODEL"/>
      <sheetName val="BSheet"/>
      <sheetName val="CFlow"/>
      <sheetName val="Ratios"/>
      <sheetName val="Settings"/>
      <sheetName val="Lists"/>
      <sheetName val="ListMaster"/>
      <sheetName val="ABG"/>
      <sheetName val="Variables"/>
      <sheetName val="EM HK Australia"/>
      <sheetName val="EUROPE"/>
      <sheetName val="RUSSIA_CASPIAN"/>
      <sheetName val="DRAMJOCI"/>
      <sheetName val="acctmod"/>
      <sheetName val="prices"/>
      <sheetName val="8 kÿÊ0 ???F_x0001_??t"/>
      <sheetName val="data.exp"/>
      <sheetName val="Sheet2"/>
      <sheetName val="PB band"/>
      <sheetName val="HC"/>
      <sheetName val=" DOE model"/>
      <sheetName val="8 kÿÊ0 _x005f_x0000__x005f_x0000__x005f_x0000_F_x"/>
      <sheetName val="Royal Carib. Model"/>
      <sheetName val="AMOY"/>
      <sheetName val="board"/>
      <sheetName val="sales"/>
      <sheetName val="main"/>
      <sheetName val="pl_related"/>
      <sheetName val="shareholding"/>
      <sheetName val="8 kÿÊ0 F_x0001_?t"/>
      <sheetName val="Criteria"/>
      <sheetName val="MTNL"/>
      <sheetName val="Interface"/>
      <sheetName val="Profit and loss"/>
      <sheetName val="SOTP"/>
      <sheetName val="TABLE"/>
      <sheetName val="CHARTS"/>
      <sheetName val="INTERIMS"/>
      <sheetName val="VALUATION"/>
      <sheetName val="COST ASSUMPTIONS"/>
      <sheetName val="USDEAL"/>
      <sheetName val="PROFIT &amp; LOSS"/>
      <sheetName val="GROWTH ASSUMPTIONS"/>
      <sheetName val="cc_Link"/>
      <sheetName val="EV EBITDA SALES band"/>
      <sheetName val="PE band"/>
      <sheetName val="315005"/>
      <sheetName val="Calc"/>
      <sheetName val="8 kÿÊ0 "/>
      <sheetName val="Fox Model"/>
      <sheetName val="8 kÿÊ0 F_x0001_"/>
      <sheetName val="8 kÿÊ0 ___F_x0001___t"/>
      <sheetName val="bp"/>
      <sheetName val="fp"/>
      <sheetName val="quant"/>
      <sheetName val="charts &amp; tables"/>
      <sheetName val="fpage"/>
      <sheetName val="Model Setting"/>
      <sheetName val="IS"/>
      <sheetName val="Historical 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11">
          <cell r="S11">
            <v>2052.9206671054394</v>
          </cell>
        </row>
      </sheetData>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ctsheet"/>
      <sheetName val="Subscribers"/>
      <sheetName val="Results"/>
      <sheetName val="P&amp;L"/>
      <sheetName val="Revenue"/>
      <sheetName val="Rev-qrt"/>
      <sheetName val="Costs"/>
      <sheetName val="Costs-qrt"/>
      <sheetName val="Depreciation"/>
      <sheetName val="Balance"/>
      <sheetName val="Cash Flow"/>
      <sheetName val="DCF"/>
      <sheetName val="DCF 2.5G"/>
      <sheetName val="DCF 3G"/>
      <sheetName val="EVA1"/>
      <sheetName val="EVA 2 "/>
      <sheetName val="Temp Link"/>
      <sheetName val="sample NV_data"/>
      <sheetName val="F-PNL"/>
      <sheetName val="F-Balance"/>
      <sheetName val="F-Cash Flow"/>
      <sheetName val="F-Assumptions"/>
      <sheetName val="GS-WACC"/>
      <sheetName val="GS_DCF"/>
      <sheetName val="NotesXpress"/>
      <sheetName val="Fidelity"/>
      <sheetName val="DATA"/>
      <sheetName val="Quarterlies"/>
      <sheetName val="DCF Internet"/>
      <sheetName val="Interims"/>
      <sheetName val="v.data"/>
      <sheetName val="Quarterly"/>
      <sheetName val="EM-SKTelecom"/>
      <sheetName val="Control Panel"/>
      <sheetName val="F-data"/>
      <sheetName val="CAMELOT (f)"/>
      <sheetName val="FX Liabilities (f)"/>
      <sheetName val="Sheet3"/>
      <sheetName val="Snapshot (f)"/>
      <sheetName val="#REF"/>
      <sheetName val="EV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ITDA"/>
      <sheetName val="Sheet1"/>
      <sheetName val="DDETABLE "/>
      <sheetName val="Control"/>
      <sheetName val="Comments"/>
    </sheetNames>
    <sheetDataSet>
      <sheetData sheetId="0" refreshError="1"/>
      <sheetData sheetId="1" refreshError="1"/>
      <sheetData sheetId="2" refreshError="1"/>
      <sheetData sheetId="3" refreshError="1"/>
      <sheetData sheetId="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ial Dividend"/>
      <sheetName val="HoH"/>
      <sheetName val="GS PNL"/>
      <sheetName val="Interim"/>
      <sheetName val="NX"/>
      <sheetName val="Revision"/>
      <sheetName val="Revenues"/>
      <sheetName val="Costs"/>
      <sheetName val="PNL"/>
      <sheetName val="Company profile"/>
      <sheetName val="Comps"/>
      <sheetName val="Capex and Depreciation"/>
      <sheetName val="Cash Flow"/>
      <sheetName val="Balance Sheet"/>
      <sheetName val="DCF"/>
      <sheetName val="GS Assumes"/>
      <sheetName val="GS BS"/>
      <sheetName val="GS CF"/>
      <sheetName val="GS DCF"/>
      <sheetName val="GS WACC"/>
      <sheetName val="F-data"/>
      <sheetName val="CROCI"/>
      <sheetName val="GS data"/>
      <sheetName val="GEM"/>
      <sheetName val="Changes"/>
      <sheetName val="Depreciation"/>
      <sheetName val="Capital Structure"/>
      <sheetName val="Macau"/>
      <sheetName val="Oaktree"/>
      <sheetName val="#REF"/>
      <sheetName val="PROFSVC"/>
      <sheetName val="Q_MODEL"/>
      <sheetName val="DRM"/>
      <sheetName val="Weights"/>
      <sheetName val="EM-SmarTone-new"/>
      <sheetName val="CF"/>
      <sheetName val="DDETABLE "/>
      <sheetName val="OPR"/>
      <sheetName val="QORFA"/>
    </sheetNames>
    <sheetDataSet>
      <sheetData sheetId="0" refreshError="1"/>
      <sheetData sheetId="1" refreshError="1"/>
      <sheetData sheetId="2"/>
      <sheetData sheetId="3"/>
      <sheetData sheetId="4" refreshError="1"/>
      <sheetData sheetId="5" refreshError="1"/>
      <sheetData sheetId="6" refreshError="1">
        <row r="25">
          <cell r="A25" t="str">
            <v>Total subscribers ('000)</v>
          </cell>
          <cell r="C25">
            <v>112.60109600351814</v>
          </cell>
          <cell r="D25">
            <v>275.35026000000005</v>
          </cell>
          <cell r="E25">
            <v>55.783999999999999</v>
          </cell>
          <cell r="F25">
            <v>112.699</v>
          </cell>
          <cell r="G25">
            <v>212.61199999999999</v>
          </cell>
          <cell r="H25">
            <v>381.09500000000003</v>
          </cell>
          <cell r="I25">
            <v>523.09100000000001</v>
          </cell>
          <cell r="J25">
            <v>617.99300000000005</v>
          </cell>
          <cell r="K25">
            <v>866.99299999999994</v>
          </cell>
          <cell r="L25">
            <v>979.79299999999989</v>
          </cell>
          <cell r="M25">
            <v>983.99299999999994</v>
          </cell>
          <cell r="N25">
            <v>947.69299999999998</v>
          </cell>
          <cell r="O25">
            <v>947.69299999999998</v>
          </cell>
          <cell r="P25">
            <v>950.99299999999994</v>
          </cell>
          <cell r="Q25">
            <v>955.79300000000001</v>
          </cell>
          <cell r="R25">
            <v>961.79300000000001</v>
          </cell>
          <cell r="S25">
            <v>967.79300000000001</v>
          </cell>
          <cell r="T25">
            <v>973.79300000000012</v>
          </cell>
          <cell r="U25">
            <v>978.59300000000007</v>
          </cell>
          <cell r="V25">
            <v>980.99300000000005</v>
          </cell>
          <cell r="W25">
            <v>981.89300000000003</v>
          </cell>
          <cell r="X25">
            <v>982.79300000000001</v>
          </cell>
          <cell r="Z25">
            <v>1.866725458710785E-2</v>
          </cell>
          <cell r="AA25">
            <v>2.5014628514225718E-2</v>
          </cell>
        </row>
        <row r="63">
          <cell r="A63" t="str">
            <v>Total</v>
          </cell>
          <cell r="E63">
            <v>251.828</v>
          </cell>
          <cell r="F63">
            <v>294.62299999999999</v>
          </cell>
          <cell r="G63">
            <v>411.04700000000003</v>
          </cell>
          <cell r="H63">
            <v>869.30700000000002</v>
          </cell>
          <cell r="I63">
            <v>913.56</v>
          </cell>
          <cell r="J63">
            <v>298.178</v>
          </cell>
          <cell r="K63">
            <v>465</v>
          </cell>
          <cell r="L63">
            <v>202.75578616461775</v>
          </cell>
          <cell r="M63">
            <v>177.79277393999996</v>
          </cell>
          <cell r="N63">
            <v>439.21713263999987</v>
          </cell>
          <cell r="O63">
            <v>457.5415766129999</v>
          </cell>
          <cell r="P63">
            <v>386.25673449824995</v>
          </cell>
          <cell r="Q63">
            <v>388.9143814247999</v>
          </cell>
          <cell r="R63">
            <v>391.7808021030749</v>
          </cell>
          <cell r="S63">
            <v>393.89295147221242</v>
          </cell>
          <cell r="T63">
            <v>396.02734108678123</v>
          </cell>
          <cell r="U63">
            <v>396.93478553406555</v>
          </cell>
          <cell r="V63">
            <v>396.4300055977078</v>
          </cell>
          <cell r="W63">
            <v>395.92800569202876</v>
          </cell>
          <cell r="X63">
            <v>396.27606958918938</v>
          </cell>
          <cell r="Z63">
            <v>-3.6426999833586542E-2</v>
          </cell>
          <cell r="AA63">
            <v>-3.1403906487554319E-2</v>
          </cell>
        </row>
        <row r="80">
          <cell r="A80" t="str">
            <v>Total Mobile Revenues</v>
          </cell>
          <cell r="E80">
            <v>222.45856000000001</v>
          </cell>
          <cell r="F80">
            <v>680.20900000000006</v>
          </cell>
          <cell r="G80">
            <v>1196.548</v>
          </cell>
          <cell r="H80">
            <v>2414.88294</v>
          </cell>
          <cell r="I80">
            <v>3162.3221279999998</v>
          </cell>
          <cell r="J80">
            <v>2700.425072</v>
          </cell>
          <cell r="K80">
            <v>2356.1051279999997</v>
          </cell>
          <cell r="L80">
            <v>2211.7570936799998</v>
          </cell>
          <cell r="M80">
            <v>2105.4527699999994</v>
          </cell>
          <cell r="N80">
            <v>2188.5568943999997</v>
          </cell>
          <cell r="O80">
            <v>2295.2352840959998</v>
          </cell>
          <cell r="P80">
            <v>2377.9862798438398</v>
          </cell>
          <cell r="Q80">
            <v>2406.7930727691269</v>
          </cell>
          <cell r="R80">
            <v>2439.7855049152113</v>
          </cell>
          <cell r="S80">
            <v>2474.9036230178563</v>
          </cell>
          <cell r="T80">
            <v>2488.8235372713498</v>
          </cell>
          <cell r="U80">
            <v>2500.9994658159267</v>
          </cell>
          <cell r="V80">
            <v>2508.8234229426735</v>
          </cell>
          <cell r="W80">
            <v>2512.2994050788179</v>
          </cell>
          <cell r="X80">
            <v>2514.0353979332754</v>
          </cell>
          <cell r="Z80">
            <v>1.8505386263465236E-3</v>
          </cell>
          <cell r="AA80">
            <v>1.2640018436792131E-2</v>
          </cell>
        </row>
        <row r="84">
          <cell r="A84" t="str">
            <v>GS Post paid ARPU (voice only) (HK$)</v>
          </cell>
          <cell r="I84">
            <v>582.90405735103172</v>
          </cell>
          <cell r="J84">
            <v>403.89385152766727</v>
          </cell>
          <cell r="K84">
            <v>287.99514823234136</v>
          </cell>
          <cell r="L84">
            <v>201.99999999999997</v>
          </cell>
          <cell r="M84">
            <v>208</v>
          </cell>
          <cell r="N84">
            <v>217.35999999999996</v>
          </cell>
          <cell r="O84">
            <v>226.05439999999999</v>
          </cell>
          <cell r="P84">
            <v>235.096576</v>
          </cell>
          <cell r="Q84">
            <v>237.44754176000001</v>
          </cell>
          <cell r="R84">
            <v>239.8220171776</v>
          </cell>
          <cell r="S84">
            <v>242.22023734937599</v>
          </cell>
          <cell r="T84">
            <v>242.22023734937599</v>
          </cell>
          <cell r="U84">
            <v>242.22023734937596</v>
          </cell>
          <cell r="V84">
            <v>242.22023734937599</v>
          </cell>
          <cell r="W84">
            <v>242.22023734937596</v>
          </cell>
          <cell r="X84">
            <v>242.22023734937596</v>
          </cell>
          <cell r="Z84">
            <v>-3.9776729794673928E-2</v>
          </cell>
          <cell r="AA84">
            <v>-3.4026859400714253E-2</v>
          </cell>
          <cell r="AB84">
            <v>4.4999999999999707E-2</v>
          </cell>
        </row>
        <row r="134">
          <cell r="A134" t="str">
            <v>Total Internet access revenue</v>
          </cell>
          <cell r="J134">
            <v>24</v>
          </cell>
          <cell r="K134">
            <v>51</v>
          </cell>
          <cell r="L134">
            <v>48.449999999999996</v>
          </cell>
          <cell r="M134">
            <v>52.154000000000003</v>
          </cell>
          <cell r="N134">
            <v>20</v>
          </cell>
          <cell r="O134">
            <v>20</v>
          </cell>
          <cell r="P134">
            <v>20</v>
          </cell>
          <cell r="Q134">
            <v>20</v>
          </cell>
          <cell r="R134">
            <v>20</v>
          </cell>
          <cell r="S134">
            <v>20</v>
          </cell>
          <cell r="T134">
            <v>20</v>
          </cell>
          <cell r="U134">
            <v>20</v>
          </cell>
          <cell r="V134">
            <v>20</v>
          </cell>
          <cell r="W134">
            <v>20</v>
          </cell>
          <cell r="X134">
            <v>20</v>
          </cell>
        </row>
        <row r="136">
          <cell r="A136" t="str">
            <v>Other revenue</v>
          </cell>
          <cell r="E136">
            <v>0</v>
          </cell>
          <cell r="F136">
            <v>12.918000000000006</v>
          </cell>
          <cell r="G136">
            <v>14.390999999999963</v>
          </cell>
          <cell r="H136">
            <v>23.810060000000249</v>
          </cell>
          <cell r="I136">
            <v>16.435872</v>
          </cell>
          <cell r="J136">
            <v>51.745527999999922</v>
          </cell>
          <cell r="K136">
            <v>67.5</v>
          </cell>
          <cell r="L136">
            <v>22.390999999999998</v>
          </cell>
          <cell r="M136">
            <v>0</v>
          </cell>
          <cell r="N136">
            <v>0</v>
          </cell>
          <cell r="O136">
            <v>0</v>
          </cell>
          <cell r="P136">
            <v>0</v>
          </cell>
          <cell r="Q136">
            <v>0</v>
          </cell>
          <cell r="R136">
            <v>0</v>
          </cell>
          <cell r="S136">
            <v>0</v>
          </cell>
          <cell r="T136">
            <v>0</v>
          </cell>
          <cell r="U136">
            <v>0</v>
          </cell>
          <cell r="V136">
            <v>0</v>
          </cell>
          <cell r="W136">
            <v>0</v>
          </cell>
          <cell r="X136">
            <v>0</v>
          </cell>
        </row>
      </sheetData>
      <sheetData sheetId="7" refreshError="1">
        <row r="15">
          <cell r="A15" t="str">
            <v>Total handset costs</v>
          </cell>
          <cell r="G15">
            <v>0</v>
          </cell>
          <cell r="H15">
            <v>0</v>
          </cell>
          <cell r="I15">
            <v>0</v>
          </cell>
          <cell r="J15">
            <v>106</v>
          </cell>
          <cell r="K15">
            <v>666.44065833000002</v>
          </cell>
          <cell r="L15">
            <v>362.75151567499995</v>
          </cell>
          <cell r="M15">
            <v>226.16145759449995</v>
          </cell>
          <cell r="N15">
            <v>406.45905234450004</v>
          </cell>
          <cell r="O15">
            <v>411.52639950000003</v>
          </cell>
          <cell r="P15">
            <v>283.27412450000003</v>
          </cell>
          <cell r="Q15">
            <v>284.82146900000004</v>
          </cell>
          <cell r="R15">
            <v>287.89211750000004</v>
          </cell>
          <cell r="S15">
            <v>288.78966050000002</v>
          </cell>
          <cell r="T15">
            <v>291.15017262500004</v>
          </cell>
          <cell r="U15">
            <v>291.69855837500006</v>
          </cell>
          <cell r="V15">
            <v>291.92238640625004</v>
          </cell>
          <cell r="W15">
            <v>291.74088284375</v>
          </cell>
          <cell r="X15">
            <v>291.65531485156248</v>
          </cell>
          <cell r="Z15">
            <v>-0.15726877793310734</v>
          </cell>
          <cell r="AA15">
            <v>-0.15218482994360305</v>
          </cell>
        </row>
        <row r="21">
          <cell r="A21" t="str">
            <v>Total mobile service costs  (HK$mn)</v>
          </cell>
          <cell r="G21">
            <v>21</v>
          </cell>
          <cell r="H21">
            <v>46.540691730000006</v>
          </cell>
          <cell r="I21">
            <v>74.513968260000013</v>
          </cell>
          <cell r="J21">
            <v>92.017013759999998</v>
          </cell>
          <cell r="K21">
            <v>153.96334847999998</v>
          </cell>
          <cell r="L21">
            <v>228.88548583919993</v>
          </cell>
          <cell r="M21">
            <v>199.646339904</v>
          </cell>
          <cell r="N21">
            <v>225.49516964999995</v>
          </cell>
          <cell r="O21">
            <v>263.82189563999992</v>
          </cell>
          <cell r="P21">
            <v>297.16614725129995</v>
          </cell>
          <cell r="Q21">
            <v>312.40102696793315</v>
          </cell>
          <cell r="R21">
            <v>323.94007695851286</v>
          </cell>
          <cell r="S21">
            <v>332.25416206901343</v>
          </cell>
          <cell r="T21">
            <v>338.22842244075252</v>
          </cell>
          <cell r="U21">
            <v>360.13778186168662</v>
          </cell>
          <cell r="V21">
            <v>381.38986049999266</v>
          </cell>
          <cell r="W21">
            <v>402.00437677914954</v>
          </cell>
          <cell r="X21">
            <v>422.00045756993165</v>
          </cell>
          <cell r="Z21">
            <v>0.14055543188808331</v>
          </cell>
          <cell r="AA21">
            <v>0.19892042511409216</v>
          </cell>
        </row>
        <row r="26">
          <cell r="A26" t="str">
            <v>Cost</v>
          </cell>
          <cell r="E26">
            <v>1089.6130000000001</v>
          </cell>
          <cell r="F26">
            <v>301.53699999999998</v>
          </cell>
          <cell r="G26">
            <v>0</v>
          </cell>
          <cell r="H26">
            <v>0</v>
          </cell>
          <cell r="I26">
            <v>0</v>
          </cell>
          <cell r="J26">
            <v>27.599999999999998</v>
          </cell>
          <cell r="K26">
            <v>63.75</v>
          </cell>
          <cell r="L26">
            <v>201.0675</v>
          </cell>
          <cell r="M26">
            <v>57.369400000000006</v>
          </cell>
          <cell r="N26">
            <v>20</v>
          </cell>
          <cell r="O26">
            <v>20</v>
          </cell>
          <cell r="P26">
            <v>20</v>
          </cell>
          <cell r="Q26">
            <v>20</v>
          </cell>
          <cell r="R26">
            <v>20</v>
          </cell>
          <cell r="S26">
            <v>20</v>
          </cell>
          <cell r="T26">
            <v>20</v>
          </cell>
          <cell r="U26">
            <v>20</v>
          </cell>
          <cell r="V26">
            <v>20</v>
          </cell>
          <cell r="W26">
            <v>20</v>
          </cell>
          <cell r="X26">
            <v>20</v>
          </cell>
          <cell r="Z26">
            <v>-0.20693284968350351</v>
          </cell>
          <cell r="AA26">
            <v>-0.20693284968350351</v>
          </cell>
        </row>
        <row r="30">
          <cell r="A30" t="str">
            <v>Other COGS</v>
          </cell>
          <cell r="F30">
            <v>570.49649999999997</v>
          </cell>
          <cell r="G30">
            <v>60.598920833333295</v>
          </cell>
          <cell r="H30">
            <v>174.15230826999993</v>
          </cell>
          <cell r="I30">
            <v>347.9260317400001</v>
          </cell>
          <cell r="J30">
            <v>106.85024744999998</v>
          </cell>
          <cell r="K30">
            <v>231.00443186999996</v>
          </cell>
          <cell r="L30">
            <v>64.095126210725027</v>
          </cell>
          <cell r="M30">
            <v>98.964265508732765</v>
          </cell>
          <cell r="N30">
            <v>101.00877200410865</v>
          </cell>
          <cell r="O30">
            <v>107.68082992204748</v>
          </cell>
          <cell r="P30">
            <v>114.67631370915359</v>
          </cell>
          <cell r="Q30">
            <v>118.8861912450907</v>
          </cell>
          <cell r="R30">
            <v>122.56586827304679</v>
          </cell>
          <cell r="S30">
            <v>127.57681833234194</v>
          </cell>
          <cell r="T30">
            <v>131.65420802505977</v>
          </cell>
          <cell r="U30">
            <v>139.76340845522176</v>
          </cell>
          <cell r="V30">
            <v>138.61660466403222</v>
          </cell>
          <cell r="W30">
            <v>137.87372685018045</v>
          </cell>
          <cell r="X30">
            <v>136.34634993617013</v>
          </cell>
          <cell r="Z30">
            <v>-0.13069799279884856</v>
          </cell>
          <cell r="AA30">
            <v>-9.710138057418613E-2</v>
          </cell>
        </row>
        <row r="39">
          <cell r="A39" t="str">
            <v>Total network costs</v>
          </cell>
          <cell r="G39">
            <v>118.6</v>
          </cell>
          <cell r="H39">
            <v>168.15</v>
          </cell>
          <cell r="I39">
            <v>276.45</v>
          </cell>
          <cell r="J39">
            <v>406</v>
          </cell>
          <cell r="K39">
            <v>469.71699999999998</v>
          </cell>
          <cell r="L39">
            <v>447.49500000000023</v>
          </cell>
          <cell r="M39">
            <v>459.43005311326465</v>
          </cell>
          <cell r="N39">
            <v>460.95862462086649</v>
          </cell>
          <cell r="O39">
            <v>456.81931169066928</v>
          </cell>
          <cell r="P39">
            <v>453.03851949963911</v>
          </cell>
          <cell r="Q39">
            <v>450.42151855452272</v>
          </cell>
          <cell r="R39">
            <v>448.44297057881903</v>
          </cell>
          <cell r="S39">
            <v>460.27425282821588</v>
          </cell>
          <cell r="T39">
            <v>472.39940917935706</v>
          </cell>
          <cell r="U39">
            <v>475.02711334447622</v>
          </cell>
          <cell r="V39">
            <v>476.77891612122238</v>
          </cell>
          <cell r="W39">
            <v>477.58182572723092</v>
          </cell>
          <cell r="X39">
            <v>478.01977642141748</v>
          </cell>
          <cell r="Z39">
            <v>-7.2045681319580354E-3</v>
          </cell>
          <cell r="AA39">
            <v>2.9889599669715343E-3</v>
          </cell>
        </row>
        <row r="43">
          <cell r="A43" t="str">
            <v>Total rental costs</v>
          </cell>
          <cell r="F43">
            <v>407.56131999999997</v>
          </cell>
          <cell r="G43">
            <v>0</v>
          </cell>
          <cell r="H43">
            <v>0</v>
          </cell>
          <cell r="I43">
            <v>0</v>
          </cell>
          <cell r="J43">
            <v>155</v>
          </cell>
          <cell r="K43">
            <v>135.70400000000001</v>
          </cell>
          <cell r="L43">
            <v>142.14600000000002</v>
          </cell>
          <cell r="M43">
            <v>118.09906912709837</v>
          </cell>
          <cell r="N43">
            <v>182.61869094399998</v>
          </cell>
          <cell r="O43">
            <v>196.64790932915199</v>
          </cell>
          <cell r="P43">
            <v>209.42313833208831</v>
          </cell>
          <cell r="Q43">
            <v>217.11126273243983</v>
          </cell>
          <cell r="R43">
            <v>223.83112916621366</v>
          </cell>
          <cell r="S43">
            <v>232.98218097020262</v>
          </cell>
          <cell r="T43">
            <v>240.42835462222257</v>
          </cell>
          <cell r="U43">
            <v>255.23746513963619</v>
          </cell>
          <cell r="V43">
            <v>253.14315951335684</v>
          </cell>
          <cell r="W43">
            <v>251.78650792470626</v>
          </cell>
          <cell r="X43">
            <v>248.99719549913175</v>
          </cell>
          <cell r="Z43">
            <v>9.0652509255100669E-2</v>
          </cell>
          <cell r="AA43">
            <v>0.13280383195052872</v>
          </cell>
        </row>
        <row r="50">
          <cell r="A50" t="str">
            <v>Total (HK$ m)</v>
          </cell>
          <cell r="F50">
            <v>154.66</v>
          </cell>
          <cell r="G50">
            <v>284.64</v>
          </cell>
          <cell r="H50">
            <v>437.19</v>
          </cell>
          <cell r="I50">
            <v>612.75</v>
          </cell>
          <cell r="J50">
            <v>331</v>
          </cell>
          <cell r="K50">
            <v>364.33199999999999</v>
          </cell>
          <cell r="L50">
            <v>410.21453495110467</v>
          </cell>
          <cell r="M50">
            <v>377.30782123148657</v>
          </cell>
          <cell r="N50">
            <v>380.92109848422109</v>
          </cell>
          <cell r="O50">
            <v>394.3104750959414</v>
          </cell>
          <cell r="P50">
            <v>408.17048829556364</v>
          </cell>
          <cell r="Q50">
            <v>422.5176809591527</v>
          </cell>
          <cell r="R50">
            <v>437.36917744486686</v>
          </cell>
          <cell r="S50">
            <v>452.74270403205384</v>
          </cell>
          <cell r="T50">
            <v>468.65661007878049</v>
          </cell>
          <cell r="U50">
            <v>485.12988992304952</v>
          </cell>
          <cell r="V50">
            <v>502.18220555384471</v>
          </cell>
          <cell r="W50">
            <v>519.83391007906232</v>
          </cell>
          <cell r="X50">
            <v>538.10607201834125</v>
          </cell>
          <cell r="Z50">
            <v>2.2984036397200182E-2</v>
          </cell>
          <cell r="AA50">
            <v>6.6283773820326825E-2</v>
          </cell>
        </row>
        <row r="56">
          <cell r="A56" t="str">
            <v>Total (HK$ m)</v>
          </cell>
          <cell r="G56">
            <v>130.46</v>
          </cell>
          <cell r="H56">
            <v>358.72</v>
          </cell>
          <cell r="I56">
            <v>383.32499999999999</v>
          </cell>
          <cell r="J56">
            <v>326</v>
          </cell>
          <cell r="K56">
            <v>324.762</v>
          </cell>
          <cell r="L56">
            <v>275.18940501669215</v>
          </cell>
          <cell r="M56">
            <v>176.82044049623553</v>
          </cell>
          <cell r="N56">
            <v>76.01148589695805</v>
          </cell>
          <cell r="O56">
            <v>89.260844961602288</v>
          </cell>
          <cell r="P56">
            <v>94.300066727427975</v>
          </cell>
          <cell r="Q56">
            <v>99.107187821551278</v>
          </cell>
          <cell r="R56">
            <v>105.0898042055568</v>
          </cell>
          <cell r="S56">
            <v>110.99649562840597</v>
          </cell>
          <cell r="T56">
            <v>117.24433361397126</v>
          </cell>
          <cell r="U56">
            <v>123.2738669890207</v>
          </cell>
          <cell r="V56">
            <v>128.89810985385654</v>
          </cell>
          <cell r="W56">
            <v>134.94316678251883</v>
          </cell>
          <cell r="X56">
            <v>141.8838316317005</v>
          </cell>
          <cell r="Z56">
            <v>-0.21911090402953759</v>
          </cell>
          <cell r="AA56">
            <v>-0.16874117625406881</v>
          </cell>
        </row>
        <row r="62">
          <cell r="A62" t="str">
            <v>Total customer retention costs</v>
          </cell>
          <cell r="N62">
            <v>54.439015388799987</v>
          </cell>
          <cell r="O62">
            <v>116.62561772909599</v>
          </cell>
          <cell r="P62">
            <v>165.22252800071445</v>
          </cell>
          <cell r="Q62">
            <v>170.65428410691638</v>
          </cell>
          <cell r="R62">
            <v>175.43184541744102</v>
          </cell>
          <cell r="S62">
            <v>198.3702128159847</v>
          </cell>
          <cell r="T62">
            <v>204.08290643187379</v>
          </cell>
          <cell r="U62">
            <v>215.24418598677107</v>
          </cell>
          <cell r="V62">
            <v>213.64316997088008</v>
          </cell>
          <cell r="W62">
            <v>212.59556128505139</v>
          </cell>
          <cell r="X62">
            <v>210.52446079970017</v>
          </cell>
        </row>
        <row r="66">
          <cell r="A66" t="str">
            <v>Total (HK$ m)</v>
          </cell>
          <cell r="F66">
            <v>331.46499999999997</v>
          </cell>
          <cell r="G66">
            <v>59.3</v>
          </cell>
          <cell r="H66">
            <v>156.94</v>
          </cell>
          <cell r="I66">
            <v>152.47499999999999</v>
          </cell>
          <cell r="J66">
            <v>195</v>
          </cell>
          <cell r="K66">
            <v>205.87299999999999</v>
          </cell>
          <cell r="L66">
            <v>246.67183239506386</v>
          </cell>
          <cell r="M66">
            <v>111.22596141524285</v>
          </cell>
          <cell r="N66">
            <v>114.13668183999999</v>
          </cell>
          <cell r="O66">
            <v>172.06692066300801</v>
          </cell>
          <cell r="P66">
            <v>246.07218754020377</v>
          </cell>
          <cell r="Q66">
            <v>298.52798625710477</v>
          </cell>
          <cell r="R66">
            <v>321.75724817643214</v>
          </cell>
          <cell r="S66">
            <v>364.03465776594157</v>
          </cell>
          <cell r="T66">
            <v>381.68001296277833</v>
          </cell>
          <cell r="U66">
            <v>446.66556399436337</v>
          </cell>
          <cell r="V66">
            <v>386.04331825786915</v>
          </cell>
          <cell r="W66">
            <v>330.46979165117693</v>
          </cell>
          <cell r="X66">
            <v>264.55952021782747</v>
          </cell>
          <cell r="Z66">
            <v>3.6317011691155102E-2</v>
          </cell>
          <cell r="AA66">
            <v>0.13398505086876214</v>
          </cell>
        </row>
      </sheetData>
      <sheetData sheetId="8" refreshError="1">
        <row r="24">
          <cell r="A24" t="str">
            <v>Number of Ordinary Shares</v>
          </cell>
        </row>
        <row r="29">
          <cell r="A29" t="str">
            <v>Extraordinary items</v>
          </cell>
          <cell r="C29">
            <v>4.7050000000000001</v>
          </cell>
          <cell r="D29">
            <v>4.7050000000000001</v>
          </cell>
          <cell r="E29">
            <v>0</v>
          </cell>
          <cell r="F29">
            <v>0</v>
          </cell>
          <cell r="G29">
            <v>0</v>
          </cell>
          <cell r="H29">
            <v>0</v>
          </cell>
          <cell r="I29">
            <v>0</v>
          </cell>
          <cell r="J29">
            <v>0</v>
          </cell>
          <cell r="K29">
            <v>-488.21100000000001</v>
          </cell>
          <cell r="L29">
            <v>-167.71199999999999</v>
          </cell>
          <cell r="M29">
            <v>-122.495</v>
          </cell>
          <cell r="N29">
            <v>0</v>
          </cell>
          <cell r="O29">
            <v>0</v>
          </cell>
          <cell r="P29">
            <v>0</v>
          </cell>
          <cell r="Q29">
            <v>0</v>
          </cell>
          <cell r="R29">
            <v>0</v>
          </cell>
          <cell r="S29">
            <v>0</v>
          </cell>
          <cell r="T29">
            <v>0</v>
          </cell>
          <cell r="U29">
            <v>0</v>
          </cell>
          <cell r="V29">
            <v>0</v>
          </cell>
          <cell r="W29">
            <v>0</v>
          </cell>
          <cell r="X29">
            <v>0</v>
          </cell>
          <cell r="Z29">
            <v>0</v>
          </cell>
          <cell r="AA29">
            <v>0</v>
          </cell>
        </row>
        <row r="36">
          <cell r="A36" t="str">
            <v>Other income</v>
          </cell>
          <cell r="E36">
            <v>-2.9155600000000002</v>
          </cell>
          <cell r="F36">
            <v>11.522</v>
          </cell>
          <cell r="G36">
            <v>4.7E-2</v>
          </cell>
          <cell r="H36">
            <v>-0.46500000000000002</v>
          </cell>
          <cell r="I36">
            <v>-0.17699999999999999</v>
          </cell>
          <cell r="J36">
            <v>79</v>
          </cell>
          <cell r="K36">
            <v>5.4</v>
          </cell>
          <cell r="L36">
            <v>5.33</v>
          </cell>
          <cell r="M36">
            <v>0.2</v>
          </cell>
          <cell r="N36">
            <v>0</v>
          </cell>
          <cell r="O36">
            <v>0</v>
          </cell>
          <cell r="P36">
            <v>0</v>
          </cell>
          <cell r="Q36">
            <v>0</v>
          </cell>
          <cell r="R36">
            <v>0</v>
          </cell>
          <cell r="S36">
            <v>0</v>
          </cell>
          <cell r="T36">
            <v>0</v>
          </cell>
          <cell r="U36">
            <v>0</v>
          </cell>
          <cell r="V36">
            <v>0</v>
          </cell>
          <cell r="W36">
            <v>0</v>
          </cell>
          <cell r="X36">
            <v>0</v>
          </cell>
          <cell r="Z36">
            <v>0</v>
          </cell>
          <cell r="AA36">
            <v>0</v>
          </cell>
        </row>
        <row r="38">
          <cell r="A38" t="str">
            <v>Tax</v>
          </cell>
          <cell r="C38">
            <v>0</v>
          </cell>
          <cell r="D38">
            <v>0</v>
          </cell>
          <cell r="E38">
            <v>0</v>
          </cell>
          <cell r="F38">
            <v>0</v>
          </cell>
          <cell r="G38">
            <v>9.7184337642734633</v>
          </cell>
          <cell r="H38">
            <v>251.55563979142903</v>
          </cell>
          <cell r="I38">
            <v>195.68330423508621</v>
          </cell>
          <cell r="J38">
            <v>46.581232813516706</v>
          </cell>
          <cell r="K38">
            <v>19.413403397999964</v>
          </cell>
          <cell r="L38">
            <v>0</v>
          </cell>
          <cell r="M38">
            <v>0</v>
          </cell>
          <cell r="N38">
            <v>0</v>
          </cell>
          <cell r="O38">
            <v>0</v>
          </cell>
          <cell r="P38">
            <v>86.312452118973923</v>
          </cell>
          <cell r="Q38">
            <v>79.865927098694172</v>
          </cell>
          <cell r="R38">
            <v>79.32941452971879</v>
          </cell>
          <cell r="S38">
            <v>80.969883196008084</v>
          </cell>
          <cell r="T38">
            <v>83.269156744670639</v>
          </cell>
          <cell r="U38">
            <v>87.114414558197893</v>
          </cell>
          <cell r="V38">
            <v>87.75161643083193</v>
          </cell>
          <cell r="W38">
            <v>87.848140686969813</v>
          </cell>
          <cell r="X38">
            <v>89.812692714830845</v>
          </cell>
          <cell r="Z38">
            <v>0</v>
          </cell>
          <cell r="AA38">
            <v>0</v>
          </cell>
        </row>
        <row r="39">
          <cell r="A39" t="str">
            <v>Minority interest</v>
          </cell>
          <cell r="C39">
            <v>0</v>
          </cell>
          <cell r="D39">
            <v>0</v>
          </cell>
          <cell r="E39">
            <v>0</v>
          </cell>
          <cell r="F39">
            <v>0</v>
          </cell>
          <cell r="G39">
            <v>0</v>
          </cell>
          <cell r="H39">
            <v>0</v>
          </cell>
          <cell r="I39">
            <v>0</v>
          </cell>
          <cell r="J39">
            <v>0</v>
          </cell>
          <cell r="K39">
            <v>0</v>
          </cell>
          <cell r="L39">
            <v>1.613</v>
          </cell>
          <cell r="M39">
            <v>6.2</v>
          </cell>
          <cell r="N39">
            <v>0</v>
          </cell>
          <cell r="O39">
            <v>0</v>
          </cell>
          <cell r="P39">
            <v>0</v>
          </cell>
          <cell r="Q39">
            <v>0</v>
          </cell>
          <cell r="R39">
            <v>0</v>
          </cell>
          <cell r="S39">
            <v>0</v>
          </cell>
          <cell r="T39">
            <v>0</v>
          </cell>
          <cell r="U39">
            <v>0</v>
          </cell>
          <cell r="V39">
            <v>0</v>
          </cell>
          <cell r="W39">
            <v>0</v>
          </cell>
          <cell r="X39">
            <v>0</v>
          </cell>
          <cell r="Z39">
            <v>0</v>
          </cell>
          <cell r="AA39">
            <v>0</v>
          </cell>
        </row>
      </sheetData>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row r="7">
          <cell r="A7" t="str">
            <v xml:space="preserve">  Total Depreciation &amp; Amortization</v>
          </cell>
        </row>
        <row r="24">
          <cell r="A24" t="str">
            <v>Number of Ordinary Shares</v>
          </cell>
          <cell r="H24">
            <v>480</v>
          </cell>
          <cell r="I24">
            <v>478.09550000000002</v>
          </cell>
          <cell r="J24">
            <v>601.87225000000001</v>
          </cell>
          <cell r="K24">
            <v>602.38909999999998</v>
          </cell>
          <cell r="L24">
            <v>592.27884199999994</v>
          </cell>
          <cell r="M24">
            <v>584.3528419999999</v>
          </cell>
          <cell r="N24">
            <v>582.3528419999999</v>
          </cell>
          <cell r="O24">
            <v>582.3528419999999</v>
          </cell>
          <cell r="P24">
            <v>582.3528419999999</v>
          </cell>
          <cell r="Q24">
            <v>582.3528419999999</v>
          </cell>
          <cell r="R24">
            <v>582.3528419999999</v>
          </cell>
          <cell r="S24">
            <v>582.3528419999999</v>
          </cell>
          <cell r="T24">
            <v>582.3528419999999</v>
          </cell>
          <cell r="U24">
            <v>582.3528419999999</v>
          </cell>
          <cell r="V24">
            <v>582.3528419999999</v>
          </cell>
          <cell r="W24">
            <v>582.3528419999999</v>
          </cell>
          <cell r="X24">
            <v>582.3528419999999</v>
          </cell>
        </row>
      </sheetData>
      <sheetData sheetId="27" refreshError="1">
        <row r="15">
          <cell r="A15" t="str">
            <v>Total handset costs</v>
          </cell>
        </row>
        <row r="31">
          <cell r="A31" t="str">
            <v>Voice revenues</v>
          </cell>
          <cell r="L31">
            <v>0</v>
          </cell>
          <cell r="M31">
            <v>9.3119999999999994</v>
          </cell>
          <cell r="N31">
            <v>24.327599999999997</v>
          </cell>
          <cell r="O31">
            <v>33.616319999999995</v>
          </cell>
          <cell r="P31">
            <v>41.915348999999992</v>
          </cell>
          <cell r="Q31">
            <v>49.300434299999992</v>
          </cell>
          <cell r="R31">
            <v>53.590520169374976</v>
          </cell>
          <cell r="S31">
            <v>55.189228964343727</v>
          </cell>
          <cell r="T31">
            <v>56.494090579392164</v>
          </cell>
          <cell r="U31">
            <v>57.530492960524896</v>
          </cell>
          <cell r="V31">
            <v>58.322019877095883</v>
          </cell>
        </row>
        <row r="33">
          <cell r="A33" t="str">
            <v>Costs</v>
          </cell>
          <cell r="M33">
            <v>8.3807999999999989</v>
          </cell>
          <cell r="N33">
            <v>19.46208</v>
          </cell>
          <cell r="O33">
            <v>26.893055999999998</v>
          </cell>
          <cell r="P33">
            <v>33.532279199999998</v>
          </cell>
          <cell r="Q33">
            <v>39.440347439999996</v>
          </cell>
          <cell r="R33">
            <v>41.80060573211248</v>
          </cell>
          <cell r="S33">
            <v>40.840029433614355</v>
          </cell>
          <cell r="T33">
            <v>40.675745217162358</v>
          </cell>
          <cell r="U33">
            <v>40.846650001972677</v>
          </cell>
          <cell r="V33">
            <v>40.825413913967118</v>
          </cell>
        </row>
      </sheetData>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Report Title"/>
      <sheetName val="amazon.fr"/>
      <sheetName val="Display"/>
      <sheetName val="Transform"/>
      <sheetName val="Data"/>
      <sheetName val="Measure Guide"/>
    </sheetNames>
    <sheetDataSet>
      <sheetData sheetId="0"/>
      <sheetData sheetId="1" refreshError="1"/>
      <sheetData sheetId="2" refreshError="1"/>
      <sheetData sheetId="3" refreshError="1"/>
      <sheetData sheetId="4"/>
      <sheetData sheetId="5"/>
      <sheetData sheetId="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Consensus Estimates"/>
      <sheetName val="HKGAS"/>
      <sheetName val="EVA1"/>
      <sheetName val="ACE-OUT"/>
      <sheetName val="Assumptions"/>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1"/>
      <sheetName val="Sheet1"/>
      <sheetName val="Scenario"/>
      <sheetName val="GWP-WLine"/>
      <sheetName val="Cover"/>
      <sheetName val="ImportantDisclosures"/>
      <sheetName val="IndexInformation"/>
      <sheetName val="Income"/>
      <sheetName val="GWP"/>
      <sheetName val="Euro vs. PM"/>
      <sheetName val="Ruble"/>
      <sheetName val="Income Statement"/>
      <sheetName val="Margins"/>
      <sheetName val="MS_IRI_Methodology"/>
      <sheetName val="MARKET_SHARE ($)_RAW_DATA"/>
      <sheetName val="NEXXUS_RAW_DATA"/>
      <sheetName val="HAIR_CARE_MARKET SHARE ROLL-UP"/>
      <sheetName val="TOTAL_ACV_DOLLAR_SALES"/>
      <sheetName val="Comps"/>
      <sheetName val="Switches"/>
      <sheetName val="SSB Nielsen Sales"/>
      <sheetName val="TimeSeries"/>
      <sheetName val="Valuation Analyzer"/>
      <sheetName val="EBITDA"/>
      <sheetName val="TS_Stnd_Dev_Band"/>
      <sheetName val="Print "/>
      <sheetName val="Lookup"/>
      <sheetName val="Input"/>
      <sheetName val="99 cons YTD"/>
      <sheetName val="KPN"/>
      <sheetName val="B"/>
      <sheetName val="Ratios"/>
      <sheetName val="C"/>
      <sheetName val="Data"/>
      <sheetName val="Realizations vs Average"/>
      <sheetName val="summary"/>
      <sheetName val="Oil Consumption – barrels"/>
      <sheetName val="rev change analysis"/>
      <sheetName val="O1000"/>
      <sheetName val="SOP"/>
      <sheetName val="BBG"/>
      <sheetName val="Data2"/>
      <sheetName val="Val"/>
      <sheetName val="Mom"/>
      <sheetName val="Prod"/>
      <sheetName val="Prof"/>
      <sheetName val="Global penetration"/>
      <sheetName val="penetration province"/>
      <sheetName val="graphy"/>
      <sheetName val="Private Auto"/>
      <sheetName val="value driver"/>
      <sheetName val="sector"/>
      <sheetName val="收益率曲线"/>
      <sheetName val="海外市场"/>
      <sheetName val="公开市场"/>
      <sheetName val="货币市场"/>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arterly"/>
      <sheetName val="Interims"/>
      <sheetName val="Acquisition"/>
      <sheetName val="PNL"/>
      <sheetName val="GS-PL"/>
      <sheetName val="Depreciation"/>
      <sheetName val="GS-CF"/>
      <sheetName val="CF"/>
      <sheetName val="Comps"/>
      <sheetName val="BS"/>
      <sheetName val="GS-BS"/>
      <sheetName val="DCF"/>
      <sheetName val="Acqn DCF"/>
      <sheetName val="GS-WACC"/>
      <sheetName val="GS-FCF"/>
      <sheetName val="GS-Con"/>
      <sheetName val="Company profile"/>
      <sheetName val="GS data"/>
      <sheetName val="F-data"/>
      <sheetName val="CROCI"/>
      <sheetName val="GEM"/>
      <sheetName val="Company profile back-up"/>
      <sheetName val="Variance"/>
      <sheetName val="Revision"/>
      <sheetName val="Costs"/>
      <sheetName val="Revenues"/>
      <sheetName val="Macau"/>
      <sheetName val="Capital Structure"/>
      <sheetName val="ANNUL  PRODUCTION"/>
      <sheetName val="output-dep"/>
      <sheetName val="output-5bk"/>
      <sheetName val="Output-LDR,LiquidReserves"/>
      <sheetName val="output-spread"/>
      <sheetName val="output-i"/>
      <sheetName val="Valuation"/>
      <sheetName val="Development"/>
      <sheetName val="RDTX"/>
      <sheetName val="Sensitivities"/>
    </sheetNames>
    <sheetDataSet>
      <sheetData sheetId="0"/>
      <sheetData sheetId="1"/>
      <sheetData sheetId="2"/>
      <sheetData sheetId="3"/>
      <sheetData sheetId="4"/>
      <sheetData sheetId="5"/>
      <sheetData sheetId="6"/>
      <sheetData sheetId="7"/>
      <sheetData sheetId="8"/>
      <sheetData sheetId="9"/>
      <sheetData sheetId="10"/>
      <sheetData sheetId="11" refreshError="1">
        <row r="21">
          <cell r="A21" t="str">
            <v>Enterprise value</v>
          </cell>
          <cell r="I21">
            <v>461519.74765369017</v>
          </cell>
          <cell r="J21">
            <v>55604.788873938567</v>
          </cell>
          <cell r="K21">
            <v>431937.9999727548</v>
          </cell>
        </row>
      </sheetData>
      <sheetData sheetId="12"/>
      <sheetData sheetId="13"/>
      <sheetData sheetId="14"/>
      <sheetData sheetId="15"/>
      <sheetData sheetId="16"/>
      <sheetData sheetId="17"/>
      <sheetData sheetId="18"/>
      <sheetData sheetId="19"/>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uation"/>
      <sheetName val="RATIOS"/>
      <sheetName val="A_MODEL"/>
      <sheetName val="Q_MODEL"/>
      <sheetName val="CONNECT"/>
      <sheetName val="DATCENT"/>
      <sheetName val="PROFSVC"/>
      <sheetName val="WACC"/>
      <sheetName val="CASH"/>
      <sheetName val="DCF"/>
      <sheetName val="BS"/>
      <sheetName val="CAPEX"/>
      <sheetName val="IDC"/>
      <sheetName val="Reven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2)"/>
      <sheetName val="Sheet1"/>
      <sheetName val="Cell Input"/>
      <sheetName val="C_1"/>
      <sheetName val="F_1"/>
      <sheetName val="Fixed Input"/>
      <sheetName val="C_Cal"/>
      <sheetName val="Calculation"/>
      <sheetName val="Price Performance"/>
      <sheetName val="Earnings Estimates"/>
      <sheetName val="EV Estimates"/>
      <sheetName val="Demand Multiples"/>
      <sheetName val="Bal Multiples"/>
      <sheetName val="Earnings Multiples"/>
      <sheetName val="Output"/>
      <sheetName val="Sheet2"/>
      <sheetName val="Sheet3"/>
      <sheetName val="Summary"/>
      <sheetName val="Profit&amp;Loss"/>
      <sheetName val="Quarterly"/>
      <sheetName val="DCF detailed"/>
      <sheetName val="Revenue"/>
      <sheetName val="Demand"/>
      <sheetName val="Other rev"/>
      <sheetName val="Int'l Revenue"/>
      <sheetName val="Celcom"/>
      <sheetName val="Mobile"/>
      <sheetName val="Balance Sheet"/>
      <sheetName val="Cash Flow"/>
      <sheetName val="External"/>
      <sheetName val="Associates"/>
      <sheetName val="Depreciation"/>
      <sheetName val="Costs"/>
      <sheetName val="GS_PNL"/>
      <sheetName val="GS_Cash "/>
      <sheetName val="GS_Balance"/>
      <sheetName val="GS Assumptions-F"/>
      <sheetName val="Company profile"/>
      <sheetName val="CROCI"/>
      <sheetName val="GS data"/>
      <sheetName val="GEM"/>
      <sheetName val="F-data"/>
      <sheetName val="Comps-Celcom"/>
      <sheetName val="Comps"/>
      <sheetName val="Externšl"/>
      <sheetName val="earn mdl"/>
      <sheetName val="CF"/>
      <sheetName val="WEEKLYxls"/>
      <sheetName val="Assumptions"/>
      <sheetName val="MimicCUS"/>
      <sheetName val="template"/>
      <sheetName val="Main"/>
      <sheetName val="BNMWeb"/>
      <sheetName val="Datastream"/>
      <sheetName val="FX as of 30 April 98"/>
      <sheetName val="EVA"/>
      <sheetName val="P&amp;L"/>
      <sheetName val="sales"/>
      <sheetName val="CROCIWACC"/>
      <sheetName val="QORFA"/>
      <sheetName val="Chemicals - REV"/>
      <sheetName val="CUS Image"/>
      <sheetName val="Inputs &amp; Assumptions"/>
      <sheetName val="TiO2"/>
      <sheetName val="Ethylene"/>
      <sheetName val="update"/>
      <sheetName val="Inc Mod cigs"/>
      <sheetName val="bs_related"/>
      <sheetName val="sensity"/>
      <sheetName val="IS (USD)"/>
      <sheetName val="제품별110계"/>
      <sheetName val="Sample Layout"/>
      <sheetName val="EPS Table"/>
      <sheetName val="ProductModel"/>
      <sheetName val="Mar97"/>
      <sheetName val="sh pri"/>
      <sheetName val="Inc Mod"/>
      <sheetName val="Valuations"/>
      <sheetName val="REGISTRATION BREAKDOWN"/>
      <sheetName val="forecasted_BS"/>
      <sheetName val="forecasted_IS"/>
      <sheetName val="GS_DC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Major Issuer Data"/>
      <sheetName val="UniqueVisitorData"/>
      <sheetName val="VisitorCountsNEW"/>
      <sheetName val="By Major Issuer_2001"/>
      <sheetName val="By Major Issuer_2002"/>
      <sheetName val="Trended"/>
      <sheetName val="Demographic Report Q4 01"/>
      <sheetName val="Demographic Report Q1 02"/>
      <sheetName val="Demographic Report Q2 02"/>
      <sheetName val="Income Demographic Charts Q4 01"/>
      <sheetName val="Income Demographic Charts Q1 02"/>
      <sheetName val="Income Demographic Charts Q2 02"/>
      <sheetName val="Traffic Generators"/>
      <sheetName val="Amex Q2 Extended SO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odule1"/>
      <sheetName val="Module2"/>
      <sheetName val="Chart1"/>
      <sheetName val="Data for price chart"/>
      <sheetName val="NOPAT_VDF"/>
      <sheetName val="Invested capital_VDF"/>
      <sheetName val="Operating Model"/>
      <sheetName val="HDF"/>
      <sheetName val="teo model"/>
      <sheetName val="Monthly figures"/>
      <sheetName val="NEW SUMMARY SHEET"/>
      <sheetName val="EuroAirlines"/>
      <sheetName val="Exchange"/>
      <sheetName val="Airlin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sectus data"/>
      <sheetName val="Food"/>
      <sheetName val="Healthcare"/>
      <sheetName val="Healthcare CN"/>
      <sheetName val="Healthcare US"/>
      <sheetName val="Food CN"/>
      <sheetName val="Food US"/>
      <sheetName val="Cross check"/>
      <sheetName val="X-country"/>
      <sheetName val="CNNIC"/>
      <sheetName val="Sheet1"/>
      <sheetName val="Macro"/>
      <sheetName val="Consum (Laura)"/>
      <sheetName val="Euromon2"/>
      <sheetName val="Euromonitor"/>
      <sheetName val="China Retail Sales"/>
      <sheetName val="IDC --&gt;"/>
      <sheetName val="Summary"/>
      <sheetName val="CN"/>
      <sheetName val="US"/>
      <sheetName val="UK"/>
      <sheetName val="JP"/>
      <sheetName val="KR"/>
      <sheetName val="TW"/>
      <sheetName val="Sheet3"/>
      <sheetName val="other exhibits"/>
      <sheetName val="comScore"/>
      <sheetName val="Food FR"/>
      <sheetName val="Food UK"/>
      <sheetName val="ConEx%GDP"/>
      <sheetName val="Eumon-China"/>
      <sheetName val="Eumon-US"/>
      <sheetName val="McKinsey"/>
      <sheetName val="Tier city"/>
      <sheetName val="Sheet2"/>
      <sheetName val="Russia"/>
      <sheetName val="Braz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eDropDown"/>
      <sheetName val="首页"/>
      <sheetName val="Sheet2"/>
      <sheetName val="阿里投资"/>
      <sheetName val="Financial summary"/>
      <sheetName val="SBC"/>
      <sheetName val="Reported"/>
      <sheetName val="P&amp;L"/>
      <sheetName val="Operation"/>
      <sheetName val="Scenario"/>
      <sheetName val="CF"/>
      <sheetName val="BS"/>
      <sheetName val="Valuation"/>
      <sheetName val="Valuation CY"/>
      <sheetName val="MW-Cache"/>
      <sheetName val="mwareDates"/>
      <sheetName val="mwareSet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t (f)"/>
      <sheetName val="Price perf"/>
      <sheetName val="GDRs"/>
      <sheetName val="Mkt_value"/>
      <sheetName val="Regional Stock"/>
      <sheetName val="Cashflow"/>
      <sheetName val="WACC"/>
      <sheetName val="Valuation (2)"/>
      <sheetName val="Liberalization"/>
      <sheetName val="Bids"/>
      <sheetName val="Supply Demand"/>
      <sheetName val="Line Demand"/>
      <sheetName val="Waiting List"/>
      <sheetName val="Basic Tariff"/>
      <sheetName val="Non-Usage"/>
      <sheetName val="Usage"/>
      <sheetName val="Fixed Line"/>
      <sheetName val="Interconnect"/>
      <sheetName val="Income Distribution"/>
      <sheetName val="GDP"/>
      <sheetName val="Afford"/>
      <sheetName val="Line Summary"/>
      <sheetName val="Network"/>
      <sheetName val="1996 staff"/>
      <sheetName val="Subs potential"/>
      <sheetName val="Roll-out"/>
      <sheetName val="Use Dist"/>
      <sheetName val="Res Rev"/>
      <sheetName val="Bus Rev"/>
      <sheetName val="Rev sum"/>
      <sheetName val="Cost"/>
      <sheetName val="Earnings Sensitivity"/>
      <sheetName val="CAPEX"/>
      <sheetName val="CF Model"/>
      <sheetName val="Balance"/>
      <sheetName val="Adj. Balance"/>
      <sheetName val="Inc. Exps"/>
      <sheetName val="c1"/>
      <sheetName val="c2"/>
      <sheetName val="c3"/>
      <sheetName val="c4"/>
      <sheetName val="c5"/>
      <sheetName val="c6"/>
      <sheetName val="c7"/>
      <sheetName val="c8"/>
      <sheetName val="ARPU"/>
      <sheetName val="c9"/>
      <sheetName val="c10"/>
      <sheetName val="c11"/>
      <sheetName val="c12"/>
      <sheetName val="Margins"/>
      <sheetName val="PetroChina"/>
      <sheetName val="Results"/>
      <sheetName val="Assumptions"/>
      <sheetName val="Micro Assume"/>
      <sheetName val="Consolidated"/>
      <sheetName val="Links"/>
      <sheetName val="Graphs"/>
      <sheetName val="DATA"/>
      <sheetName val="Operating Model"/>
      <sheetName val="KUNGDEVI"/>
      <sheetName val="Tables-1015"/>
      <sheetName val="Dem-HH"/>
      <sheetName val="EMVD"/>
      <sheetName val="LVMH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HH"/>
      <sheetName val="Dem-Indiv"/>
      <sheetName val="Output"/>
      <sheetName val="Tables"/>
      <sheetName val="chem"/>
      <sheetName val="Rev sum"/>
      <sheetName val="row"/>
      <sheetName val="NAf, MEast"/>
      <sheetName val="chems"/>
      <sheetName val="LPG"/>
      <sheetName val="projections"/>
      <sheetName val="r&amp;m"/>
      <sheetName val="group E&amp;P"/>
      <sheetName val="LatAm"/>
      <sheetName val="debt"/>
      <sheetName val="GAS"/>
      <sheetName val="WIRE"/>
      <sheetName val="AssetListing for Upload"/>
      <sheetName val="AR1-F20"/>
      <sheetName val="Model"/>
      <sheetName val="General"/>
      <sheetName val="NAV"/>
      <sheetName val="Margins"/>
    </sheetNames>
    <sheetDataSet>
      <sheetData sheetId="0" refreshError="1">
        <row r="13">
          <cell r="I13">
            <v>36.4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e (2)"/>
      <sheetName val="E&amp;V sen"/>
      <sheetName val="NX"/>
      <sheetName val="Monthly"/>
      <sheetName val="HoH (US)"/>
      <sheetName val="QoQ (US)"/>
      <sheetName val="HoH (ROC)"/>
      <sheetName val="QoQ (ROC)"/>
      <sheetName val="Revision"/>
      <sheetName val="P&amp;L"/>
      <sheetName val="Revenue"/>
      <sheetName val="Costs"/>
      <sheetName val="Capex &amp; Depreciation"/>
      <sheetName val="Balance sheet"/>
      <sheetName val="Cash flow"/>
      <sheetName val="DCF"/>
      <sheetName val="DDM"/>
      <sheetName val="F-Cashflow"/>
      <sheetName val="GEM"/>
      <sheetName val="03 Forecast"/>
      <sheetName val="Half"/>
      <sheetName val="Factsheet"/>
      <sheetName val="EVA1"/>
      <sheetName val="F-P&amp;L"/>
      <sheetName val="F-Balance"/>
      <sheetName val="F-Balance (2)"/>
      <sheetName val="F-Assumptions"/>
      <sheetName val="FCF"/>
      <sheetName val="Comps"/>
      <sheetName val="CHT"/>
      <sheetName val="CROCI (2)"/>
      <sheetName val="Costs (F)"/>
      <sheetName val="Local"/>
      <sheetName val="op sum"/>
      <sheetName val="Long Distance"/>
      <sheetName val="Internet"/>
      <sheetName val="Wireless"/>
      <sheetName val="Summary"/>
      <sheetName val="Financial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Control Sheet"/>
      <sheetName val="IS Output"/>
      <sheetName val="Rev Breakdown"/>
      <sheetName val="COGS Breakdown"/>
      <sheetName val="S&amp;M Breakdown"/>
      <sheetName val="G&amp;A Breakdown"/>
      <sheetName val="Income Statement"/>
      <sheetName val="Module1"/>
      <sheetName val="Balance Sheet"/>
      <sheetName val="Cash Flow"/>
      <sheetName val="Revenue Buildup"/>
      <sheetName val="COGS &amp; OPEX"/>
      <sheetName val="Drivers"/>
      <sheetName val="Key Operating Data (USD)"/>
      <sheetName val="Key Operating Data (RMB)"/>
      <sheetName val="Time Slot Data"/>
      <sheetName val="CAPEEX"/>
      <sheetName val="Summary"/>
      <sheetName val="Hist. PL(Quarter-US$)"/>
      <sheetName val="Hist. PL(Quarter-RMB)"/>
      <sheetName val="PL(07Q1-Q2)"/>
      <sheetName val="BS(07.9.14)"/>
      <sheetName val="BS(US$)"/>
      <sheetName val="BS(RMB)"/>
      <sheetName val="PrintManagerCode"/>
      <sheetName val="Co B"/>
      <sheetName val="AdditionalPrintCode"/>
      <sheetName val="MainPrintCode"/>
      <sheetName val="Template"/>
      <sheetName val="Key Operating Data (U)"/>
      <sheetName val="Key Operating Data (US)"/>
    </sheetNames>
    <sheetDataSet>
      <sheetData sheetId="0"/>
      <sheetData sheetId="1" refreshError="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refreshError="1"/>
      <sheetData sheetId="28" refreshError="1"/>
      <sheetData sheetId="29"/>
      <sheetData sheetId="30" refreshError="1"/>
      <sheetData sheetId="3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nL"/>
      <sheetName val="CONS_VALUATION"/>
      <sheetName val="BS"/>
      <sheetName val="CF"/>
      <sheetName val="INPUT"/>
      <sheetName val="Chart2"/>
    </sheetNames>
    <sheetDataSet>
      <sheetData sheetId="0" refreshError="1">
        <row r="1">
          <cell r="A1" t="str">
            <v>Alibaba Group Holding-Sp Adr</v>
          </cell>
        </row>
        <row r="2">
          <cell r="C2" t="str">
            <v>BABA US</v>
          </cell>
          <cell r="D2" t="str">
            <v>USD</v>
          </cell>
        </row>
        <row r="3">
          <cell r="C3">
            <v>255.11</v>
          </cell>
          <cell r="D3" t="str">
            <v>CNY</v>
          </cell>
        </row>
        <row r="4">
          <cell r="C4">
            <v>44181</v>
          </cell>
        </row>
        <row r="6">
          <cell r="E6">
            <v>0.125</v>
          </cell>
        </row>
        <row r="7">
          <cell r="E7">
            <v>6.5326000000000004</v>
          </cell>
        </row>
        <row r="10">
          <cell r="E10">
            <v>255.11</v>
          </cell>
        </row>
        <row r="11">
          <cell r="E11">
            <v>1666.557</v>
          </cell>
        </row>
        <row r="12">
          <cell r="E12">
            <v>2705.6369999999997</v>
          </cell>
        </row>
        <row r="13">
          <cell r="E13">
            <v>690235.05507</v>
          </cell>
        </row>
        <row r="14">
          <cell r="E14">
            <v>690234.95302599994</v>
          </cell>
        </row>
        <row r="15">
          <cell r="E15">
            <v>4154868.8776329495</v>
          </cell>
        </row>
        <row r="16">
          <cell r="E16">
            <v>12189.03</v>
          </cell>
          <cell r="I16">
            <v>45.767032366199828</v>
          </cell>
          <cell r="J16">
            <v>24.906327810220919</v>
          </cell>
          <cell r="K16">
            <v>20.610147200322928</v>
          </cell>
          <cell r="L16">
            <v>16.752685090121755</v>
          </cell>
        </row>
        <row r="17">
          <cell r="E17" t="e">
            <v>#VALUE!</v>
          </cell>
          <cell r="I17">
            <v>6.0586875030094705</v>
          </cell>
          <cell r="J17">
            <v>4.6607074097962728</v>
          </cell>
          <cell r="K17">
            <v>4.0157228601986281</v>
          </cell>
          <cell r="L17">
            <v>3.2897682392107832</v>
          </cell>
        </row>
        <row r="18">
          <cell r="E18" t="str">
            <v>$319.32/$169.95</v>
          </cell>
          <cell r="I18">
            <v>8.9801092569377268</v>
          </cell>
          <cell r="J18">
            <v>6.4459657292099193</v>
          </cell>
          <cell r="K18">
            <v>4.9280765631906291</v>
          </cell>
          <cell r="L18">
            <v>4.0976342288642806</v>
          </cell>
        </row>
        <row r="19">
          <cell r="I19">
            <v>27.336546835407326</v>
          </cell>
          <cell r="J19">
            <v>20.151912959729778</v>
          </cell>
          <cell r="K19">
            <v>15.87453295497339</v>
          </cell>
          <cell r="L19">
            <v>13.068512927433396</v>
          </cell>
        </row>
        <row r="22">
          <cell r="S22" t="str">
            <v>#N/A Field Not Applicable</v>
          </cell>
          <cell r="U22" t="str">
            <v>BLACKROCK</v>
          </cell>
        </row>
        <row r="23">
          <cell r="H23" t="str">
            <v>2019/03/31</v>
          </cell>
          <cell r="I23" t="str">
            <v>2020/03/31</v>
          </cell>
          <cell r="J23" t="str">
            <v>2021/03/31</v>
          </cell>
          <cell r="K23" t="str">
            <v>2022/03/31</v>
          </cell>
          <cell r="S23" t="str">
            <v>#N/A N/A</v>
          </cell>
          <cell r="U23" t="str">
            <v>T ROWE PRICE GROUP I</v>
          </cell>
        </row>
        <row r="24">
          <cell r="S24">
            <v>0</v>
          </cell>
          <cell r="U24" t="str">
            <v>VANGUARD GROUP</v>
          </cell>
        </row>
        <row r="25">
          <cell r="U25" t="str">
            <v>FMR LLC</v>
          </cell>
        </row>
        <row r="26">
          <cell r="U26" t="str">
            <v>STATE STREET CORP</v>
          </cell>
        </row>
        <row r="27">
          <cell r="S27" t="str">
            <v>2014/9/19</v>
          </cell>
          <cell r="U27" t="str">
            <v>BAILLIE GIFFORD AND</v>
          </cell>
        </row>
        <row r="28">
          <cell r="S28">
            <v>68</v>
          </cell>
          <cell r="U28" t="str">
            <v>INVESCO LTD</v>
          </cell>
        </row>
        <row r="29">
          <cell r="S29" t="str">
            <v>CS,CITI,DB,GS,JPM,MS</v>
          </cell>
          <cell r="U29" t="str">
            <v>UBS</v>
          </cell>
        </row>
        <row r="30">
          <cell r="S30" t="str">
            <v>#N/A N/A</v>
          </cell>
          <cell r="U30" t="str">
            <v>SCHRODERS PLC</v>
          </cell>
        </row>
        <row r="31">
          <cell r="U31" t="str">
            <v>NORGES BANK</v>
          </cell>
        </row>
        <row r="32">
          <cell r="S32" t="str">
            <v>%</v>
          </cell>
          <cell r="U32" t="str">
            <v>JPMORGAN CHASE &amp; CO</v>
          </cell>
        </row>
        <row r="33">
          <cell r="S33">
            <v>0.45124341128595974</v>
          </cell>
          <cell r="U33" t="str">
            <v>WELLINGTON MANAGEMEN</v>
          </cell>
        </row>
        <row r="34">
          <cell r="S34">
            <v>1.982653622788275E-3</v>
          </cell>
          <cell r="U34" t="str">
            <v>MORGAN STANLEY</v>
          </cell>
        </row>
        <row r="35">
          <cell r="S35" t="str">
            <v>--</v>
          </cell>
          <cell r="U35" t="str">
            <v>HSBC</v>
          </cell>
        </row>
        <row r="36">
          <cell r="S36" t="e">
            <v>#VALUE!</v>
          </cell>
          <cell r="U36" t="str">
            <v>GOLDMAN SACHS GROUP</v>
          </cell>
        </row>
        <row r="37">
          <cell r="U37" t="str">
            <v>GOVMT PENSION INVST</v>
          </cell>
        </row>
        <row r="38">
          <cell r="S38">
            <v>43.019744000000003</v>
          </cell>
          <cell r="U38" t="str">
            <v>CANADA PENSION PLAN</v>
          </cell>
        </row>
        <row r="39">
          <cell r="S39">
            <v>1.5900042762573105E-2</v>
          </cell>
          <cell r="U39" t="str">
            <v>MAGELLAN ASSET MANAG</v>
          </cell>
        </row>
        <row r="40">
          <cell r="U40" t="str">
            <v>FISHER ASSET MANAGEM</v>
          </cell>
        </row>
        <row r="41">
          <cell r="U41" t="str">
            <v>LOOMIS SAYLES &amp; COMP</v>
          </cell>
        </row>
        <row r="42">
          <cell r="P42" t="str">
            <v>Yong Zhang "Daniel"</v>
          </cell>
          <cell r="R42" t="str">
            <v>Chairman/CEO</v>
          </cell>
        </row>
        <row r="43">
          <cell r="H43">
            <v>375124.06699999998</v>
          </cell>
          <cell r="I43">
            <v>502120.60800000001</v>
          </cell>
          <cell r="J43">
            <v>699522.478</v>
          </cell>
          <cell r="K43">
            <v>914981.304</v>
          </cell>
          <cell r="L43">
            <v>1100414.939</v>
          </cell>
          <cell r="M43">
            <v>1458269.5</v>
          </cell>
          <cell r="N43">
            <v>1994846</v>
          </cell>
          <cell r="P43" t="str">
            <v>Joseph Chung Tsai "Joe"</v>
          </cell>
          <cell r="R43" t="str">
            <v>Vice Chairman/Co-Founder</v>
          </cell>
        </row>
        <row r="44">
          <cell r="H44">
            <v>378931</v>
          </cell>
          <cell r="I44">
            <v>509390</v>
          </cell>
          <cell r="J44">
            <v>732600</v>
          </cell>
          <cell r="K44">
            <v>986500</v>
          </cell>
          <cell r="L44">
            <v>1221794</v>
          </cell>
          <cell r="M44">
            <v>1565939</v>
          </cell>
          <cell r="N44">
            <v>1994846</v>
          </cell>
          <cell r="P44" t="str">
            <v>J Michael Evans "Mike"</v>
          </cell>
          <cell r="R44" t="str">
            <v>President</v>
          </cell>
        </row>
        <row r="45">
          <cell r="H45">
            <v>366948</v>
          </cell>
          <cell r="I45">
            <v>477724</v>
          </cell>
          <cell r="J45">
            <v>653041</v>
          </cell>
          <cell r="K45">
            <v>803542</v>
          </cell>
          <cell r="L45">
            <v>960501</v>
          </cell>
          <cell r="M45">
            <v>1381440</v>
          </cell>
          <cell r="N45">
            <v>1994846</v>
          </cell>
          <cell r="P45" t="str">
            <v>Wu Wei "Maggie"</v>
          </cell>
          <cell r="R45" t="str">
            <v>CFO/Head:Strategic Investments</v>
          </cell>
        </row>
        <row r="46">
          <cell r="P46" t="str">
            <v>Cheng Li</v>
          </cell>
          <cell r="R46" t="str">
            <v>CTO</v>
          </cell>
        </row>
        <row r="47">
          <cell r="P47" t="str">
            <v>Pen Hung Tung "Chris"</v>
          </cell>
          <cell r="R47" t="str">
            <v>Chief Marketing Officer</v>
          </cell>
        </row>
        <row r="48">
          <cell r="H48">
            <v>119608.833</v>
          </cell>
          <cell r="I48">
            <v>151989.52900000001</v>
          </cell>
          <cell r="J48">
            <v>206177.39300000001</v>
          </cell>
          <cell r="K48">
            <v>261731.72400000002</v>
          </cell>
          <cell r="L48">
            <v>317929.73700000002</v>
          </cell>
          <cell r="M48">
            <v>490314</v>
          </cell>
          <cell r="N48">
            <v>657625</v>
          </cell>
        </row>
        <row r="49">
          <cell r="H49">
            <v>124186</v>
          </cell>
          <cell r="I49">
            <v>157436</v>
          </cell>
          <cell r="J49">
            <v>216137</v>
          </cell>
          <cell r="K49">
            <v>284369</v>
          </cell>
          <cell r="L49">
            <v>372764</v>
          </cell>
          <cell r="M49">
            <v>602825</v>
          </cell>
          <cell r="N49">
            <v>657625</v>
          </cell>
        </row>
        <row r="50">
          <cell r="H50">
            <v>115328</v>
          </cell>
          <cell r="I50">
            <v>107435</v>
          </cell>
          <cell r="J50">
            <v>174390</v>
          </cell>
          <cell r="K50">
            <v>218428</v>
          </cell>
          <cell r="L50">
            <v>263935</v>
          </cell>
          <cell r="M50">
            <v>364080</v>
          </cell>
          <cell r="N50">
            <v>657625</v>
          </cell>
        </row>
        <row r="51">
          <cell r="P51" t="str">
            <v>Wu Yongming</v>
          </cell>
          <cell r="R51">
            <v>5316109</v>
          </cell>
          <cell r="S51">
            <v>1.9648271368258199E-3</v>
          </cell>
        </row>
        <row r="52">
          <cell r="P52" t="str">
            <v>Meng Jun</v>
          </cell>
          <cell r="R52">
            <v>48232</v>
          </cell>
          <cell r="S52">
            <v>1.7826485962455422E-5</v>
          </cell>
        </row>
        <row r="53">
          <cell r="H53">
            <v>59178.582999999999</v>
          </cell>
          <cell r="I53">
            <v>93820.357000000004</v>
          </cell>
          <cell r="J53">
            <v>129018.455</v>
          </cell>
          <cell r="K53">
            <v>183438.182</v>
          </cell>
          <cell r="L53">
            <v>251254.66700000002</v>
          </cell>
          <cell r="M53" t="str">
            <v>#N/A N/A</v>
          </cell>
          <cell r="N53" t="str">
            <v>#N/A N/A</v>
          </cell>
          <cell r="P53" t="str">
            <v>#N/A N/A</v>
          </cell>
          <cell r="R53" t="str">
            <v>#N/A N/A</v>
          </cell>
          <cell r="S53" t="e">
            <v>#VALUE!</v>
          </cell>
        </row>
        <row r="54">
          <cell r="H54">
            <v>75242</v>
          </cell>
          <cell r="I54">
            <v>122166</v>
          </cell>
          <cell r="J54">
            <v>163345</v>
          </cell>
          <cell r="K54">
            <v>235974</v>
          </cell>
          <cell r="L54">
            <v>306785</v>
          </cell>
          <cell r="M54" t="str">
            <v>#N/A N/A</v>
          </cell>
          <cell r="N54" t="str">
            <v>#N/A N/A</v>
          </cell>
          <cell r="P54">
            <v>0</v>
          </cell>
          <cell r="R54">
            <v>0</v>
          </cell>
          <cell r="S54">
            <v>0</v>
          </cell>
        </row>
        <row r="55">
          <cell r="H55">
            <v>53941</v>
          </cell>
          <cell r="I55">
            <v>78797</v>
          </cell>
          <cell r="J55">
            <v>114238</v>
          </cell>
          <cell r="K55">
            <v>152544</v>
          </cell>
          <cell r="L55">
            <v>215507</v>
          </cell>
          <cell r="M55" t="str">
            <v>#N/A N/A</v>
          </cell>
          <cell r="N55" t="str">
            <v>#N/A N/A</v>
          </cell>
          <cell r="P55">
            <v>0</v>
          </cell>
          <cell r="R55">
            <v>0</v>
          </cell>
          <cell r="S55">
            <v>0</v>
          </cell>
        </row>
        <row r="56">
          <cell r="P56">
            <v>0</v>
          </cell>
          <cell r="R56">
            <v>0</v>
          </cell>
          <cell r="S56">
            <v>0</v>
          </cell>
        </row>
        <row r="57">
          <cell r="P57">
            <v>0</v>
          </cell>
          <cell r="R57">
            <v>0</v>
          </cell>
          <cell r="S57">
            <v>0</v>
          </cell>
        </row>
        <row r="58">
          <cell r="H58">
            <v>36.657000000000004</v>
          </cell>
          <cell r="I58">
            <v>49.478000000000002</v>
          </cell>
          <cell r="J58">
            <v>66.912999999999997</v>
          </cell>
          <cell r="K58">
            <v>80.861000000000004</v>
          </cell>
          <cell r="L58">
            <v>99.48</v>
          </cell>
          <cell r="M58">
            <v>150.01</v>
          </cell>
          <cell r="N58" t="str">
            <v>#N/A N/A</v>
          </cell>
          <cell r="P58">
            <v>0</v>
          </cell>
          <cell r="R58">
            <v>0</v>
          </cell>
          <cell r="S58">
            <v>0</v>
          </cell>
        </row>
        <row r="59">
          <cell r="H59">
            <v>45.71</v>
          </cell>
          <cell r="I59">
            <v>57.78</v>
          </cell>
          <cell r="J59">
            <v>91.92</v>
          </cell>
          <cell r="K59">
            <v>98.4</v>
          </cell>
          <cell r="L59">
            <v>123.8</v>
          </cell>
          <cell r="M59">
            <v>162.65</v>
          </cell>
          <cell r="N59" t="str">
            <v>#N/A N/A</v>
          </cell>
          <cell r="P59">
            <v>0</v>
          </cell>
          <cell r="R59">
            <v>0</v>
          </cell>
          <cell r="S59">
            <v>0</v>
          </cell>
        </row>
        <row r="60">
          <cell r="H60">
            <v>32.65</v>
          </cell>
          <cell r="I60">
            <v>37</v>
          </cell>
          <cell r="J60">
            <v>49.02</v>
          </cell>
          <cell r="K60">
            <v>61.47</v>
          </cell>
          <cell r="L60">
            <v>77.290000000000006</v>
          </cell>
          <cell r="M60">
            <v>138.09</v>
          </cell>
          <cell r="N60" t="str">
            <v>#N/A N/A</v>
          </cell>
          <cell r="P60">
            <v>0</v>
          </cell>
          <cell r="R60">
            <v>0</v>
          </cell>
          <cell r="S60">
            <v>0</v>
          </cell>
        </row>
        <row r="63">
          <cell r="H63">
            <v>185.851</v>
          </cell>
          <cell r="I63">
            <v>275.06900000000002</v>
          </cell>
          <cell r="J63">
            <v>357.57600000000002</v>
          </cell>
          <cell r="K63">
            <v>415.00799999999998</v>
          </cell>
          <cell r="L63">
            <v>506.58800000000002</v>
          </cell>
          <cell r="M63" t="str">
            <v>#N/A N/A</v>
          </cell>
          <cell r="N63" t="str">
            <v>#N/A N/A</v>
          </cell>
        </row>
        <row r="64">
          <cell r="H64">
            <v>228.18</v>
          </cell>
          <cell r="I64">
            <v>349.64</v>
          </cell>
          <cell r="J64">
            <v>436.35</v>
          </cell>
          <cell r="K64">
            <v>539.38</v>
          </cell>
          <cell r="L64">
            <v>663.17</v>
          </cell>
          <cell r="M64" t="str">
            <v>#N/A N/A</v>
          </cell>
          <cell r="N64" t="str">
            <v>#N/A N/A</v>
          </cell>
        </row>
        <row r="65">
          <cell r="H65">
            <v>165.70000000000002</v>
          </cell>
          <cell r="I65">
            <v>229.39000000000001</v>
          </cell>
          <cell r="J65">
            <v>322.88</v>
          </cell>
          <cell r="K65">
            <v>47.77</v>
          </cell>
          <cell r="L65">
            <v>58.44</v>
          </cell>
          <cell r="M65" t="str">
            <v>#N/A N/A</v>
          </cell>
          <cell r="N65" t="str">
            <v>#N/A N/A</v>
          </cell>
        </row>
        <row r="85">
          <cell r="H85">
            <v>191.39596724995116</v>
          </cell>
          <cell r="I85">
            <v>281.18413463926044</v>
          </cell>
          <cell r="J85" t="str">
            <v>-</v>
          </cell>
          <cell r="K85" t="str">
            <v>-</v>
          </cell>
          <cell r="L85" t="str">
            <v>-</v>
          </cell>
          <cell r="M85">
            <v>0</v>
          </cell>
          <cell r="N85">
            <v>0</v>
          </cell>
        </row>
        <row r="86">
          <cell r="H86">
            <v>112.40275499225584</v>
          </cell>
          <cell r="I86">
            <v>145.9840283870858</v>
          </cell>
          <cell r="J86" t="str">
            <v>-</v>
          </cell>
          <cell r="K86" t="str">
            <v>-</v>
          </cell>
          <cell r="L86" t="str">
            <v>-</v>
          </cell>
          <cell r="M86" t="str">
            <v>-</v>
          </cell>
          <cell r="N86" t="str">
            <v>-</v>
          </cell>
        </row>
      </sheetData>
      <sheetData sheetId="1" refreshError="1">
        <row r="9">
          <cell r="AP9">
            <v>42277</v>
          </cell>
          <cell r="AQ9">
            <v>42460</v>
          </cell>
          <cell r="AR9">
            <v>42643</v>
          </cell>
          <cell r="AS9">
            <v>42824</v>
          </cell>
          <cell r="AT9">
            <v>43008</v>
          </cell>
          <cell r="AU9">
            <v>43189</v>
          </cell>
          <cell r="AV9">
            <v>43373</v>
          </cell>
          <cell r="AW9">
            <v>43554</v>
          </cell>
          <cell r="AX9">
            <v>43738</v>
          </cell>
          <cell r="AY9">
            <v>43920</v>
          </cell>
          <cell r="AZ9">
            <v>44104</v>
          </cell>
          <cell r="BA9">
            <v>44285</v>
          </cell>
          <cell r="BB9">
            <v>44469</v>
          </cell>
          <cell r="BC9">
            <v>44650</v>
          </cell>
          <cell r="BD9">
            <v>44834</v>
          </cell>
          <cell r="BE9">
            <v>45015</v>
          </cell>
        </row>
        <row r="10">
          <cell r="AP10" t="str">
            <v>1H15</v>
          </cell>
          <cell r="AQ10" t="str">
            <v>2H16</v>
          </cell>
          <cell r="AR10" t="str">
            <v>1H16</v>
          </cell>
          <cell r="AS10" t="str">
            <v>2H17</v>
          </cell>
          <cell r="AT10" t="str">
            <v>1H17</v>
          </cell>
          <cell r="AU10" t="str">
            <v>2H18</v>
          </cell>
          <cell r="AV10" t="str">
            <v>1H18</v>
          </cell>
          <cell r="AW10" t="str">
            <v>2H19</v>
          </cell>
          <cell r="AX10" t="str">
            <v>1H19</v>
          </cell>
          <cell r="AY10" t="str">
            <v>2H20</v>
          </cell>
          <cell r="AZ10" t="str">
            <v>1H20</v>
          </cell>
          <cell r="BA10" t="str">
            <v>2H21</v>
          </cell>
          <cell r="BB10" t="str">
            <v>1H21</v>
          </cell>
          <cell r="BC10" t="str">
            <v>2H22</v>
          </cell>
          <cell r="BD10" t="str">
            <v>1H22</v>
          </cell>
          <cell r="BE10" t="str">
            <v>2H23</v>
          </cell>
          <cell r="BH10" t="str">
            <v>2016/03/31</v>
          </cell>
          <cell r="BI10" t="str">
            <v>2017/03/31</v>
          </cell>
          <cell r="BJ10" t="str">
            <v>2018/03/31</v>
          </cell>
          <cell r="BK10" t="str">
            <v>2019/03/31</v>
          </cell>
          <cell r="BL10" t="str">
            <v>2020/03/31</v>
          </cell>
          <cell r="BM10" t="str">
            <v>2021/03/31</v>
          </cell>
          <cell r="BN10" t="str">
            <v>2022/03/31</v>
          </cell>
          <cell r="BO10" t="str">
            <v>2023/03/31</v>
          </cell>
          <cell r="BP10" t="str">
            <v>2024/03/31</v>
          </cell>
          <cell r="BQ10" t="str">
            <v>2025/03/31</v>
          </cell>
          <cell r="BR10" t="str">
            <v>2026/03/31</v>
          </cell>
          <cell r="BS10" t="str">
            <v>2027/03/31</v>
          </cell>
          <cell r="BT10" t="str">
            <v>2028/03/31</v>
          </cell>
          <cell r="BU10" t="str">
            <v>2029/03/31</v>
          </cell>
          <cell r="BV10" t="str">
            <v>2030/03/31</v>
          </cell>
        </row>
        <row r="12">
          <cell r="I12">
            <v>34543</v>
          </cell>
          <cell r="J12">
            <v>24184</v>
          </cell>
          <cell r="K12">
            <v>32154</v>
          </cell>
          <cell r="L12">
            <v>34292</v>
          </cell>
          <cell r="M12">
            <v>53248</v>
          </cell>
          <cell r="N12">
            <v>38579</v>
          </cell>
          <cell r="O12">
            <v>50184</v>
          </cell>
          <cell r="P12">
            <v>55122</v>
          </cell>
          <cell r="Q12">
            <v>83028</v>
          </cell>
          <cell r="R12">
            <v>61932</v>
          </cell>
          <cell r="S12">
            <v>80920</v>
          </cell>
          <cell r="T12">
            <v>85148</v>
          </cell>
          <cell r="U12">
            <v>117278</v>
          </cell>
          <cell r="V12">
            <v>93498</v>
          </cell>
          <cell r="W12">
            <v>114924</v>
          </cell>
          <cell r="X12">
            <v>119017</v>
          </cell>
          <cell r="Y12">
            <v>161456</v>
          </cell>
          <cell r="Z12">
            <v>114314</v>
          </cell>
          <cell r="AA12">
            <v>153751</v>
          </cell>
          <cell r="AB12">
            <v>155059</v>
          </cell>
          <cell r="AC12">
            <v>217559.682</v>
          </cell>
          <cell r="AD12">
            <v>179499.217</v>
          </cell>
          <cell r="AE12">
            <v>216140.93299999999</v>
          </cell>
          <cell r="AF12">
            <v>216467.64300000001</v>
          </cell>
          <cell r="AG12">
            <v>277524</v>
          </cell>
          <cell r="AH12">
            <v>222403.25</v>
          </cell>
          <cell r="AI12">
            <v>263997</v>
          </cell>
          <cell r="AJ12">
            <v>262736.2</v>
          </cell>
          <cell r="AK12">
            <v>331486.40000000002</v>
          </cell>
          <cell r="AL12">
            <v>267990.40000000002</v>
          </cell>
          <cell r="AP12" t="str">
            <v>#N/A N/A</v>
          </cell>
          <cell r="AQ12" t="str">
            <v>#N/A N/A</v>
          </cell>
          <cell r="AR12" t="str">
            <v>#N/A N/A</v>
          </cell>
          <cell r="AS12" t="str">
            <v>#N/A N/A</v>
          </cell>
          <cell r="AT12" t="str">
            <v>#N/A N/A</v>
          </cell>
          <cell r="AU12" t="str">
            <v>#N/A N/A</v>
          </cell>
          <cell r="AV12" t="str">
            <v>#N/A N/A</v>
          </cell>
          <cell r="AW12" t="str">
            <v>#N/A N/A</v>
          </cell>
          <cell r="AX12" t="str">
            <v>#N/A N/A</v>
          </cell>
          <cell r="AY12" t="str">
            <v>#N/A N/A</v>
          </cell>
          <cell r="BH12">
            <v>101143</v>
          </cell>
          <cell r="BI12">
            <v>158273</v>
          </cell>
          <cell r="BJ12">
            <v>250266</v>
          </cell>
          <cell r="BK12">
            <v>376844</v>
          </cell>
          <cell r="BL12">
            <v>509711</v>
          </cell>
          <cell r="BM12">
            <v>699522.478</v>
          </cell>
          <cell r="BN12">
            <v>914981.304</v>
          </cell>
          <cell r="BO12">
            <v>1100414.939</v>
          </cell>
        </row>
        <row r="13">
          <cell r="I13">
            <v>10951</v>
          </cell>
          <cell r="J13">
            <v>9562</v>
          </cell>
          <cell r="K13">
            <v>11744</v>
          </cell>
          <cell r="L13">
            <v>13123</v>
          </cell>
          <cell r="M13">
            <v>19126</v>
          </cell>
          <cell r="N13">
            <v>15490</v>
          </cell>
          <cell r="O13">
            <v>17460</v>
          </cell>
          <cell r="P13">
            <v>22002</v>
          </cell>
          <cell r="Q13">
            <v>35078</v>
          </cell>
          <cell r="R13">
            <v>32504</v>
          </cell>
          <cell r="S13">
            <v>43720</v>
          </cell>
          <cell r="T13">
            <v>46786</v>
          </cell>
          <cell r="U13">
            <v>60813</v>
          </cell>
          <cell r="V13">
            <v>55610</v>
          </cell>
          <cell r="W13">
            <v>59987</v>
          </cell>
          <cell r="X13">
            <v>65546</v>
          </cell>
          <cell r="Y13">
            <v>84332</v>
          </cell>
          <cell r="Z13">
            <v>72502</v>
          </cell>
          <cell r="AA13">
            <v>84523</v>
          </cell>
          <cell r="AB13">
            <v>89960</v>
          </cell>
          <cell r="AP13">
            <v>0</v>
          </cell>
          <cell r="AQ13">
            <v>0</v>
          </cell>
          <cell r="AR13">
            <v>0</v>
          </cell>
          <cell r="AS13">
            <v>0</v>
          </cell>
          <cell r="AT13">
            <v>0</v>
          </cell>
          <cell r="AU13">
            <v>0</v>
          </cell>
          <cell r="AV13">
            <v>0</v>
          </cell>
          <cell r="AW13">
            <v>0</v>
          </cell>
          <cell r="AX13">
            <v>0</v>
          </cell>
          <cell r="AY13">
            <v>0</v>
          </cell>
          <cell r="BH13">
            <v>34355</v>
          </cell>
          <cell r="BI13">
            <v>59483</v>
          </cell>
          <cell r="BJ13">
            <v>107044</v>
          </cell>
          <cell r="BK13">
            <v>206929</v>
          </cell>
          <cell r="BL13">
            <v>282367</v>
          </cell>
        </row>
        <row r="14">
          <cell r="I14">
            <v>23592</v>
          </cell>
          <cell r="J14">
            <v>14622</v>
          </cell>
          <cell r="K14">
            <v>20410</v>
          </cell>
          <cell r="L14">
            <v>21169</v>
          </cell>
          <cell r="M14">
            <v>34122</v>
          </cell>
          <cell r="N14">
            <v>23089</v>
          </cell>
          <cell r="O14">
            <v>32724</v>
          </cell>
          <cell r="P14">
            <v>33120</v>
          </cell>
          <cell r="Q14">
            <v>47950</v>
          </cell>
          <cell r="R14">
            <v>29428</v>
          </cell>
          <cell r="S14">
            <v>37200</v>
          </cell>
          <cell r="T14">
            <v>38362</v>
          </cell>
          <cell r="U14">
            <v>56465</v>
          </cell>
          <cell r="V14">
            <v>37888</v>
          </cell>
          <cell r="W14">
            <v>54937</v>
          </cell>
          <cell r="X14">
            <v>53471</v>
          </cell>
          <cell r="Y14">
            <v>77124</v>
          </cell>
          <cell r="Z14">
            <v>41812</v>
          </cell>
          <cell r="AA14">
            <v>69228</v>
          </cell>
          <cell r="AB14">
            <v>65099</v>
          </cell>
          <cell r="AP14">
            <v>0</v>
          </cell>
          <cell r="AQ14">
            <v>0</v>
          </cell>
          <cell r="AR14">
            <v>0</v>
          </cell>
          <cell r="AS14">
            <v>0</v>
          </cell>
          <cell r="AT14">
            <v>0</v>
          </cell>
          <cell r="AU14">
            <v>0</v>
          </cell>
          <cell r="AV14">
            <v>0</v>
          </cell>
          <cell r="AW14">
            <v>0</v>
          </cell>
          <cell r="AX14">
            <v>0</v>
          </cell>
          <cell r="AY14">
            <v>0</v>
          </cell>
          <cell r="BH14">
            <v>66788</v>
          </cell>
          <cell r="BI14">
            <v>98790</v>
          </cell>
          <cell r="BJ14">
            <v>143222</v>
          </cell>
          <cell r="BK14">
            <v>169915</v>
          </cell>
          <cell r="BL14">
            <v>227344</v>
          </cell>
        </row>
        <row r="16">
          <cell r="I16">
            <v>11158</v>
          </cell>
          <cell r="J16">
            <v>9510</v>
          </cell>
          <cell r="K16">
            <v>11596</v>
          </cell>
          <cell r="L16">
            <v>12124</v>
          </cell>
          <cell r="M16">
            <v>13458</v>
          </cell>
          <cell r="N16">
            <v>13557</v>
          </cell>
          <cell r="O16">
            <v>15211</v>
          </cell>
          <cell r="P16">
            <v>16536</v>
          </cell>
          <cell r="Q16">
            <v>21954</v>
          </cell>
          <cell r="R16">
            <v>20207</v>
          </cell>
          <cell r="S16">
            <v>29180</v>
          </cell>
          <cell r="T16">
            <v>24861</v>
          </cell>
          <cell r="U16">
            <v>29667</v>
          </cell>
          <cell r="V16">
            <v>29123</v>
          </cell>
          <cell r="W16">
            <v>30562</v>
          </cell>
          <cell r="X16">
            <v>33107</v>
          </cell>
          <cell r="Y16">
            <v>37564</v>
          </cell>
          <cell r="Z16">
            <v>34681</v>
          </cell>
          <cell r="AA16">
            <v>34523</v>
          </cell>
          <cell r="AB16">
            <v>51465</v>
          </cell>
          <cell r="AP16">
            <v>0</v>
          </cell>
          <cell r="AQ16">
            <v>0</v>
          </cell>
          <cell r="AR16">
            <v>0</v>
          </cell>
          <cell r="AS16">
            <v>0</v>
          </cell>
          <cell r="AT16">
            <v>0</v>
          </cell>
          <cell r="AU16">
            <v>0</v>
          </cell>
          <cell r="AV16">
            <v>0</v>
          </cell>
          <cell r="AW16">
            <v>0</v>
          </cell>
          <cell r="AX16">
            <v>0</v>
          </cell>
          <cell r="AY16">
            <v>0</v>
          </cell>
          <cell r="BH16">
            <v>37686</v>
          </cell>
          <cell r="BI16">
            <v>50735</v>
          </cell>
          <cell r="BJ16">
            <v>73908</v>
          </cell>
          <cell r="BK16">
            <v>112831</v>
          </cell>
          <cell r="BL16">
            <v>135914</v>
          </cell>
        </row>
        <row r="17">
          <cell r="I17">
            <v>3641</v>
          </cell>
          <cell r="J17">
            <v>2861</v>
          </cell>
          <cell r="K17">
            <v>3614</v>
          </cell>
          <cell r="L17">
            <v>3878</v>
          </cell>
          <cell r="M17">
            <v>4490</v>
          </cell>
          <cell r="N17">
            <v>4332</v>
          </cell>
          <cell r="O17">
            <v>4850</v>
          </cell>
          <cell r="P17">
            <v>6266</v>
          </cell>
          <cell r="Q17">
            <v>8542</v>
          </cell>
          <cell r="R17">
            <v>7641</v>
          </cell>
          <cell r="S17">
            <v>8921</v>
          </cell>
          <cell r="T17">
            <v>9106</v>
          </cell>
          <cell r="U17">
            <v>12104</v>
          </cell>
          <cell r="V17">
            <v>9649</v>
          </cell>
          <cell r="W17">
            <v>10698</v>
          </cell>
          <cell r="X17">
            <v>11996</v>
          </cell>
          <cell r="Y17">
            <v>15800</v>
          </cell>
          <cell r="Z17">
            <v>12179</v>
          </cell>
          <cell r="AA17">
            <v>13652</v>
          </cell>
          <cell r="AB17">
            <v>17371</v>
          </cell>
          <cell r="AP17">
            <v>0</v>
          </cell>
          <cell r="AQ17">
            <v>0</v>
          </cell>
          <cell r="AR17">
            <v>0</v>
          </cell>
          <cell r="AS17">
            <v>0</v>
          </cell>
          <cell r="AT17">
            <v>0</v>
          </cell>
          <cell r="AU17">
            <v>0</v>
          </cell>
          <cell r="AV17">
            <v>0</v>
          </cell>
          <cell r="AW17">
            <v>0</v>
          </cell>
          <cell r="AX17">
            <v>0</v>
          </cell>
          <cell r="AY17">
            <v>0</v>
          </cell>
          <cell r="BH17">
            <v>11307</v>
          </cell>
          <cell r="BI17">
            <v>16314</v>
          </cell>
          <cell r="BJ17">
            <v>27299</v>
          </cell>
          <cell r="BK17">
            <v>39780</v>
          </cell>
          <cell r="BL17">
            <v>50673</v>
          </cell>
        </row>
        <row r="18">
          <cell r="I18">
            <v>2500</v>
          </cell>
          <cell r="J18">
            <v>2333</v>
          </cell>
          <cell r="K18">
            <v>2743</v>
          </cell>
          <cell r="L18">
            <v>2815</v>
          </cell>
          <cell r="M18">
            <v>3287</v>
          </cell>
          <cell r="N18">
            <v>3394</v>
          </cell>
          <cell r="O18">
            <v>3679</v>
          </cell>
          <cell r="P18">
            <v>3439</v>
          </cell>
          <cell r="Q18">
            <v>4572</v>
          </cell>
          <cell r="R18">
            <v>4551</v>
          </cell>
          <cell r="S18">
            <v>6645</v>
          </cell>
          <cell r="T18">
            <v>4779</v>
          </cell>
          <cell r="U18">
            <v>5853</v>
          </cell>
          <cell r="V18">
            <v>7612</v>
          </cell>
          <cell r="W18">
            <v>6320</v>
          </cell>
          <cell r="X18">
            <v>6591</v>
          </cell>
          <cell r="Y18">
            <v>7415</v>
          </cell>
          <cell r="Z18">
            <v>7871</v>
          </cell>
          <cell r="AA18">
            <v>6837</v>
          </cell>
          <cell r="AB18">
            <v>11961</v>
          </cell>
          <cell r="AP18">
            <v>0</v>
          </cell>
          <cell r="AQ18">
            <v>0</v>
          </cell>
          <cell r="AR18">
            <v>0</v>
          </cell>
          <cell r="AS18">
            <v>0</v>
          </cell>
          <cell r="AT18">
            <v>0</v>
          </cell>
          <cell r="AU18">
            <v>0</v>
          </cell>
          <cell r="AV18">
            <v>0</v>
          </cell>
          <cell r="AW18">
            <v>0</v>
          </cell>
          <cell r="AX18">
            <v>0</v>
          </cell>
          <cell r="AY18">
            <v>0</v>
          </cell>
          <cell r="BH18">
            <v>9205</v>
          </cell>
          <cell r="BI18">
            <v>12239</v>
          </cell>
          <cell r="BJ18">
            <v>16241</v>
          </cell>
          <cell r="BK18">
            <v>24889</v>
          </cell>
          <cell r="BL18">
            <v>28197</v>
          </cell>
        </row>
        <row r="19">
          <cell r="I19">
            <v>3749</v>
          </cell>
          <cell r="J19">
            <v>3573</v>
          </cell>
          <cell r="K19">
            <v>3988</v>
          </cell>
          <cell r="L19">
            <v>4134</v>
          </cell>
          <cell r="M19">
            <v>4420</v>
          </cell>
          <cell r="N19">
            <v>4518</v>
          </cell>
          <cell r="O19">
            <v>4696</v>
          </cell>
          <cell r="P19">
            <v>5083</v>
          </cell>
          <cell r="Q19">
            <v>6289</v>
          </cell>
          <cell r="R19">
            <v>6686</v>
          </cell>
          <cell r="S19">
            <v>11510</v>
          </cell>
          <cell r="T19">
            <v>8365</v>
          </cell>
          <cell r="U19">
            <v>8901</v>
          </cell>
          <cell r="V19">
            <v>8659</v>
          </cell>
          <cell r="W19">
            <v>10478</v>
          </cell>
          <cell r="X19">
            <v>10938</v>
          </cell>
          <cell r="Y19">
            <v>11077</v>
          </cell>
          <cell r="Z19">
            <v>10587</v>
          </cell>
          <cell r="AA19">
            <v>11082</v>
          </cell>
          <cell r="AB19">
            <v>19245</v>
          </cell>
          <cell r="AP19">
            <v>0</v>
          </cell>
          <cell r="AQ19">
            <v>0</v>
          </cell>
          <cell r="AR19">
            <v>0</v>
          </cell>
          <cell r="AS19">
            <v>0</v>
          </cell>
          <cell r="AT19">
            <v>0</v>
          </cell>
          <cell r="AU19">
            <v>0</v>
          </cell>
          <cell r="AV19">
            <v>0</v>
          </cell>
          <cell r="AW19">
            <v>0</v>
          </cell>
          <cell r="AX19">
            <v>0</v>
          </cell>
          <cell r="AY19">
            <v>0</v>
          </cell>
          <cell r="BH19">
            <v>13788</v>
          </cell>
          <cell r="BI19">
            <v>17060</v>
          </cell>
          <cell r="BJ19">
            <v>22754</v>
          </cell>
          <cell r="BK19">
            <v>37435</v>
          </cell>
          <cell r="BL19">
            <v>43080</v>
          </cell>
        </row>
        <row r="20">
          <cell r="I20">
            <v>1268</v>
          </cell>
          <cell r="J20">
            <v>743</v>
          </cell>
          <cell r="K20">
            <v>1251</v>
          </cell>
          <cell r="L20">
            <v>1297</v>
          </cell>
          <cell r="M20">
            <v>1261</v>
          </cell>
          <cell r="N20">
            <v>1313</v>
          </cell>
          <cell r="O20">
            <v>1986</v>
          </cell>
          <cell r="P20">
            <v>1748</v>
          </cell>
          <cell r="Q20">
            <v>2551</v>
          </cell>
          <cell r="R20">
            <v>1329</v>
          </cell>
          <cell r="S20">
            <v>2104</v>
          </cell>
          <cell r="T20">
            <v>2611</v>
          </cell>
          <cell r="U20">
            <v>2809</v>
          </cell>
          <cell r="V20">
            <v>3203</v>
          </cell>
          <cell r="W20">
            <v>3066</v>
          </cell>
          <cell r="X20">
            <v>3582</v>
          </cell>
          <cell r="Y20">
            <v>3272</v>
          </cell>
          <cell r="Z20">
            <v>4044</v>
          </cell>
          <cell r="AA20">
            <v>2952</v>
          </cell>
          <cell r="AB20">
            <v>2888</v>
          </cell>
          <cell r="AP20">
            <v>0</v>
          </cell>
          <cell r="AQ20">
            <v>0</v>
          </cell>
          <cell r="AR20">
            <v>0</v>
          </cell>
          <cell r="AS20">
            <v>0</v>
          </cell>
          <cell r="AT20">
            <v>0</v>
          </cell>
          <cell r="AU20">
            <v>0</v>
          </cell>
          <cell r="AV20">
            <v>0</v>
          </cell>
          <cell r="AW20">
            <v>0</v>
          </cell>
          <cell r="AX20">
            <v>0</v>
          </cell>
          <cell r="AY20">
            <v>0</v>
          </cell>
          <cell r="BH20">
            <v>3386</v>
          </cell>
          <cell r="BI20">
            <v>5122</v>
          </cell>
          <cell r="BJ20">
            <v>7614</v>
          </cell>
          <cell r="BK20">
            <v>10727</v>
          </cell>
          <cell r="BL20">
            <v>13964</v>
          </cell>
        </row>
        <row r="21">
          <cell r="B21" t="str">
            <v>EBIT (Operating Income - GAAP)</v>
          </cell>
          <cell r="I21">
            <v>12434</v>
          </cell>
          <cell r="J21">
            <v>5112</v>
          </cell>
          <cell r="K21">
            <v>8814</v>
          </cell>
          <cell r="L21">
            <v>9045</v>
          </cell>
          <cell r="M21">
            <v>20664</v>
          </cell>
          <cell r="N21">
            <v>9532</v>
          </cell>
          <cell r="O21">
            <v>17513</v>
          </cell>
          <cell r="P21">
            <v>16584</v>
          </cell>
          <cell r="Q21">
            <v>25996</v>
          </cell>
          <cell r="R21">
            <v>9221</v>
          </cell>
          <cell r="S21">
            <v>8020</v>
          </cell>
          <cell r="T21">
            <v>13501</v>
          </cell>
          <cell r="U21">
            <v>26798</v>
          </cell>
          <cell r="V21">
            <v>8765</v>
          </cell>
          <cell r="W21">
            <v>24375</v>
          </cell>
          <cell r="X21">
            <v>20364</v>
          </cell>
          <cell r="Y21">
            <v>39560</v>
          </cell>
          <cell r="Z21">
            <v>7131</v>
          </cell>
          <cell r="AA21">
            <v>34705</v>
          </cell>
          <cell r="AB21">
            <v>13634</v>
          </cell>
          <cell r="AC21">
            <v>49699.25</v>
          </cell>
          <cell r="AD21">
            <v>21285.125</v>
          </cell>
          <cell r="AE21">
            <v>43867.5</v>
          </cell>
          <cell r="AF21">
            <v>35598</v>
          </cell>
          <cell r="AG21">
            <v>66080.635999999999</v>
          </cell>
          <cell r="AH21">
            <v>29616.111000000001</v>
          </cell>
          <cell r="AI21">
            <v>58713.25</v>
          </cell>
          <cell r="AJ21">
            <v>46392.75</v>
          </cell>
          <cell r="AK21">
            <v>81546.25</v>
          </cell>
          <cell r="AL21">
            <v>38317</v>
          </cell>
          <cell r="AP21">
            <v>0</v>
          </cell>
          <cell r="AQ21">
            <v>0</v>
          </cell>
          <cell r="AR21">
            <v>0</v>
          </cell>
          <cell r="AS21">
            <v>0</v>
          </cell>
          <cell r="AT21">
            <v>0</v>
          </cell>
          <cell r="AU21">
            <v>0</v>
          </cell>
          <cell r="AV21">
            <v>0</v>
          </cell>
          <cell r="AW21">
            <v>0</v>
          </cell>
          <cell r="AX21">
            <v>0</v>
          </cell>
          <cell r="AY21">
            <v>0</v>
          </cell>
          <cell r="BH21">
            <v>29102</v>
          </cell>
          <cell r="BI21">
            <v>48055</v>
          </cell>
          <cell r="BJ21">
            <v>69314</v>
          </cell>
          <cell r="BK21">
            <v>57084</v>
          </cell>
          <cell r="BL21">
            <v>91430</v>
          </cell>
          <cell r="BM21">
            <v>122148.156</v>
          </cell>
          <cell r="BN21">
            <v>174211.516</v>
          </cell>
          <cell r="BO21">
            <v>223691.25899999999</v>
          </cell>
        </row>
        <row r="22">
          <cell r="B22" t="str">
            <v>EBIT (Operating Income - NON GAAP)</v>
          </cell>
          <cell r="AC22" t="str">
            <v>#N/A N/A</v>
          </cell>
          <cell r="AD22" t="str">
            <v>#N/A N/A</v>
          </cell>
          <cell r="AE22" t="str">
            <v>#N/A N/A</v>
          </cell>
          <cell r="AF22" t="str">
            <v>#N/A N/A</v>
          </cell>
          <cell r="AG22" t="str">
            <v>#N/A N/A</v>
          </cell>
          <cell r="AH22" t="str">
            <v>#N/A N/A</v>
          </cell>
          <cell r="AI22">
            <v>77076</v>
          </cell>
          <cell r="AJ22">
            <v>71612</v>
          </cell>
          <cell r="AK22">
            <v>102369</v>
          </cell>
          <cell r="AL22">
            <v>55727</v>
          </cell>
          <cell r="BM22">
            <v>129018.455</v>
          </cell>
          <cell r="BN22">
            <v>183438.182</v>
          </cell>
          <cell r="BO22">
            <v>251254.66700000002</v>
          </cell>
        </row>
        <row r="24">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P24">
            <v>0</v>
          </cell>
          <cell r="AQ24">
            <v>0</v>
          </cell>
          <cell r="AR24">
            <v>0</v>
          </cell>
          <cell r="AS24">
            <v>0</v>
          </cell>
          <cell r="AT24">
            <v>0</v>
          </cell>
          <cell r="AU24">
            <v>0</v>
          </cell>
          <cell r="AV24">
            <v>0</v>
          </cell>
          <cell r="AW24">
            <v>0</v>
          </cell>
          <cell r="AX24">
            <v>0</v>
          </cell>
          <cell r="AY24">
            <v>0</v>
          </cell>
          <cell r="BH24">
            <v>0</v>
          </cell>
          <cell r="BI24">
            <v>0</v>
          </cell>
          <cell r="BJ24">
            <v>0</v>
          </cell>
          <cell r="BK24">
            <v>0</v>
          </cell>
          <cell r="BL24">
            <v>0</v>
          </cell>
        </row>
        <row r="25">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P25">
            <v>0</v>
          </cell>
          <cell r="AQ25">
            <v>0</v>
          </cell>
          <cell r="AR25">
            <v>0</v>
          </cell>
          <cell r="AS25">
            <v>0</v>
          </cell>
          <cell r="AT25">
            <v>0</v>
          </cell>
          <cell r="AU25">
            <v>0</v>
          </cell>
          <cell r="AV25">
            <v>0</v>
          </cell>
          <cell r="AW25">
            <v>0</v>
          </cell>
          <cell r="AX25">
            <v>0</v>
          </cell>
          <cell r="AY25">
            <v>0</v>
          </cell>
          <cell r="BH25">
            <v>0</v>
          </cell>
          <cell r="BI25">
            <v>0</v>
          </cell>
          <cell r="BJ25">
            <v>0</v>
          </cell>
          <cell r="BK25">
            <v>0</v>
          </cell>
          <cell r="BL25">
            <v>0</v>
          </cell>
        </row>
        <row r="26">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P26">
            <v>0</v>
          </cell>
          <cell r="AQ26">
            <v>0</v>
          </cell>
          <cell r="AR26">
            <v>0</v>
          </cell>
          <cell r="AS26">
            <v>0</v>
          </cell>
          <cell r="AT26">
            <v>0</v>
          </cell>
          <cell r="AU26">
            <v>0</v>
          </cell>
          <cell r="AV26">
            <v>0</v>
          </cell>
          <cell r="AW26">
            <v>0</v>
          </cell>
          <cell r="AX26">
            <v>0</v>
          </cell>
          <cell r="AY26">
            <v>0</v>
          </cell>
          <cell r="BH26">
            <v>0</v>
          </cell>
          <cell r="BI26">
            <v>0</v>
          </cell>
          <cell r="BJ26">
            <v>0</v>
          </cell>
          <cell r="BK26">
            <v>0</v>
          </cell>
          <cell r="BL26">
            <v>0</v>
          </cell>
        </row>
        <row r="27">
          <cell r="I27">
            <v>-4076</v>
          </cell>
          <cell r="J27">
            <v>-2739</v>
          </cell>
          <cell r="K27">
            <v>-1887</v>
          </cell>
          <cell r="L27">
            <v>-619</v>
          </cell>
          <cell r="M27">
            <v>-3151</v>
          </cell>
          <cell r="N27">
            <v>-6317</v>
          </cell>
          <cell r="O27">
            <v>-2559</v>
          </cell>
          <cell r="P27">
            <v>-4425</v>
          </cell>
          <cell r="Q27">
            <v>-22451</v>
          </cell>
          <cell r="R27">
            <v>-1654</v>
          </cell>
          <cell r="S27">
            <v>-5950</v>
          </cell>
          <cell r="T27">
            <v>-3763</v>
          </cell>
          <cell r="U27">
            <v>-10613</v>
          </cell>
          <cell r="V27">
            <v>-18811</v>
          </cell>
          <cell r="W27">
            <v>-942</v>
          </cell>
          <cell r="X27">
            <v>-65159</v>
          </cell>
          <cell r="Y27">
            <v>-16814</v>
          </cell>
          <cell r="Z27">
            <v>7700</v>
          </cell>
          <cell r="AA27">
            <v>-22507</v>
          </cell>
          <cell r="AB27">
            <v>-10557</v>
          </cell>
          <cell r="AP27">
            <v>0</v>
          </cell>
          <cell r="AQ27">
            <v>0</v>
          </cell>
          <cell r="AR27">
            <v>0</v>
          </cell>
          <cell r="AS27">
            <v>0</v>
          </cell>
          <cell r="AT27">
            <v>0</v>
          </cell>
          <cell r="AU27">
            <v>0</v>
          </cell>
          <cell r="AV27">
            <v>0</v>
          </cell>
          <cell r="AW27">
            <v>0</v>
          </cell>
          <cell r="AX27">
            <v>0</v>
          </cell>
          <cell r="AY27">
            <v>0</v>
          </cell>
          <cell r="BH27">
            <v>52366</v>
          </cell>
          <cell r="BI27">
            <v>11974</v>
          </cell>
          <cell r="BJ27">
            <v>31089</v>
          </cell>
          <cell r="BK27">
            <v>39137</v>
          </cell>
          <cell r="BL27">
            <v>75215</v>
          </cell>
        </row>
        <row r="28">
          <cell r="I28">
            <v>16510</v>
          </cell>
          <cell r="J28">
            <v>7851</v>
          </cell>
          <cell r="K28">
            <v>10701</v>
          </cell>
          <cell r="L28">
            <v>9664</v>
          </cell>
          <cell r="M28">
            <v>23815</v>
          </cell>
          <cell r="N28">
            <v>15849</v>
          </cell>
          <cell r="O28">
            <v>20072</v>
          </cell>
          <cell r="P28">
            <v>21009</v>
          </cell>
          <cell r="Q28">
            <v>48447</v>
          </cell>
          <cell r="R28">
            <v>10875</v>
          </cell>
          <cell r="S28">
            <v>13970</v>
          </cell>
          <cell r="T28">
            <v>17264</v>
          </cell>
          <cell r="U28">
            <v>37411</v>
          </cell>
          <cell r="V28">
            <v>27576</v>
          </cell>
          <cell r="W28">
            <v>25317</v>
          </cell>
          <cell r="X28">
            <v>85523</v>
          </cell>
          <cell r="Y28">
            <v>56374</v>
          </cell>
          <cell r="Z28">
            <v>-569</v>
          </cell>
          <cell r="AA28">
            <v>57212</v>
          </cell>
          <cell r="AB28">
            <v>24191</v>
          </cell>
          <cell r="AP28">
            <v>0</v>
          </cell>
          <cell r="AQ28">
            <v>0</v>
          </cell>
          <cell r="AR28">
            <v>0</v>
          </cell>
          <cell r="AS28">
            <v>0</v>
          </cell>
          <cell r="AT28">
            <v>0</v>
          </cell>
          <cell r="AU28">
            <v>0</v>
          </cell>
          <cell r="AV28">
            <v>0</v>
          </cell>
          <cell r="AW28">
            <v>0</v>
          </cell>
          <cell r="AX28">
            <v>0</v>
          </cell>
          <cell r="AY28">
            <v>0</v>
          </cell>
          <cell r="BH28">
            <v>81468</v>
          </cell>
          <cell r="BI28">
            <v>60029</v>
          </cell>
          <cell r="BJ28">
            <v>100403</v>
          </cell>
          <cell r="BK28">
            <v>96221</v>
          </cell>
          <cell r="BL28">
            <v>166645</v>
          </cell>
        </row>
        <row r="30">
          <cell r="I30">
            <v>3559</v>
          </cell>
          <cell r="J30">
            <v>1825</v>
          </cell>
          <cell r="K30">
            <v>2091</v>
          </cell>
          <cell r="L30">
            <v>2022</v>
          </cell>
          <cell r="M30">
            <v>5110</v>
          </cell>
          <cell r="N30">
            <v>4553</v>
          </cell>
          <cell r="O30">
            <v>4653</v>
          </cell>
          <cell r="P30">
            <v>2719</v>
          </cell>
          <cell r="Q30">
            <v>6663</v>
          </cell>
          <cell r="R30">
            <v>4164</v>
          </cell>
          <cell r="S30">
            <v>5665</v>
          </cell>
          <cell r="T30">
            <v>277</v>
          </cell>
          <cell r="U30">
            <v>5586</v>
          </cell>
          <cell r="V30">
            <v>5025</v>
          </cell>
          <cell r="W30">
            <v>6712</v>
          </cell>
          <cell r="X30">
            <v>2815</v>
          </cell>
          <cell r="Y30">
            <v>8407</v>
          </cell>
          <cell r="Z30">
            <v>2628</v>
          </cell>
          <cell r="AA30">
            <v>11124</v>
          </cell>
          <cell r="AB30">
            <v>1911</v>
          </cell>
          <cell r="AP30">
            <v>0</v>
          </cell>
          <cell r="AQ30">
            <v>0</v>
          </cell>
          <cell r="AR30">
            <v>0</v>
          </cell>
          <cell r="AS30">
            <v>0</v>
          </cell>
          <cell r="AT30">
            <v>0</v>
          </cell>
          <cell r="AU30">
            <v>0</v>
          </cell>
          <cell r="AV30">
            <v>0</v>
          </cell>
          <cell r="AW30">
            <v>0</v>
          </cell>
          <cell r="AX30">
            <v>0</v>
          </cell>
          <cell r="AY30">
            <v>0</v>
          </cell>
          <cell r="BH30">
            <v>8449</v>
          </cell>
          <cell r="BI30">
            <v>13776</v>
          </cell>
          <cell r="BJ30">
            <v>18199</v>
          </cell>
          <cell r="BK30">
            <v>16553</v>
          </cell>
          <cell r="BL30">
            <v>20562</v>
          </cell>
        </row>
        <row r="31">
          <cell r="I31">
            <v>-42</v>
          </cell>
          <cell r="J31">
            <v>-51</v>
          </cell>
          <cell r="K31">
            <v>-408</v>
          </cell>
          <cell r="L31">
            <v>-548</v>
          </cell>
          <cell r="M31">
            <v>-698</v>
          </cell>
          <cell r="N31">
            <v>-795</v>
          </cell>
          <cell r="O31">
            <v>-652</v>
          </cell>
          <cell r="P31">
            <v>-260</v>
          </cell>
          <cell r="Q31">
            <v>-741</v>
          </cell>
          <cell r="R31">
            <v>-1028</v>
          </cell>
          <cell r="S31">
            <v>-1070</v>
          </cell>
          <cell r="T31">
            <v>-1892</v>
          </cell>
          <cell r="U31">
            <v>-2156</v>
          </cell>
          <cell r="V31">
            <v>-2534</v>
          </cell>
          <cell r="W31">
            <v>-2326</v>
          </cell>
          <cell r="X31">
            <v>-1843</v>
          </cell>
          <cell r="Y31">
            <v>-2042</v>
          </cell>
          <cell r="Z31">
            <v>-2872</v>
          </cell>
          <cell r="AA31">
            <v>-1096</v>
          </cell>
          <cell r="AB31">
            <v>-2352</v>
          </cell>
          <cell r="AP31">
            <v>0</v>
          </cell>
          <cell r="AQ31">
            <v>0</v>
          </cell>
          <cell r="AR31">
            <v>0</v>
          </cell>
          <cell r="AS31">
            <v>0</v>
          </cell>
          <cell r="AT31">
            <v>0</v>
          </cell>
          <cell r="AU31">
            <v>0</v>
          </cell>
          <cell r="AV31">
            <v>0</v>
          </cell>
          <cell r="AW31">
            <v>0</v>
          </cell>
          <cell r="AX31">
            <v>0</v>
          </cell>
          <cell r="AY31">
            <v>0</v>
          </cell>
          <cell r="BH31">
            <v>-171</v>
          </cell>
          <cell r="BI31">
            <v>-2449</v>
          </cell>
          <cell r="BJ31">
            <v>-2681</v>
          </cell>
          <cell r="BK31">
            <v>-7652</v>
          </cell>
          <cell r="BL31">
            <v>-9083</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P32">
            <v>0</v>
          </cell>
          <cell r="AQ32">
            <v>0</v>
          </cell>
          <cell r="AR32">
            <v>0</v>
          </cell>
          <cell r="AS32">
            <v>0</v>
          </cell>
          <cell r="AT32">
            <v>0</v>
          </cell>
          <cell r="AU32">
            <v>0</v>
          </cell>
          <cell r="AV32">
            <v>0</v>
          </cell>
          <cell r="AW32">
            <v>0</v>
          </cell>
          <cell r="AX32">
            <v>0</v>
          </cell>
          <cell r="AY32">
            <v>0</v>
          </cell>
          <cell r="BH32">
            <v>0</v>
          </cell>
          <cell r="BI32">
            <v>0</v>
          </cell>
          <cell r="BJ32">
            <v>0</v>
          </cell>
          <cell r="BK32">
            <v>0</v>
          </cell>
          <cell r="BL32">
            <v>0</v>
          </cell>
        </row>
        <row r="33">
          <cell r="I33">
            <v>495</v>
          </cell>
          <cell r="J33">
            <v>712</v>
          </cell>
          <cell r="K33">
            <v>1468</v>
          </cell>
          <cell r="L33">
            <v>567</v>
          </cell>
          <cell r="M33">
            <v>1548</v>
          </cell>
          <cell r="N33">
            <v>1444</v>
          </cell>
          <cell r="O33">
            <v>1388</v>
          </cell>
          <cell r="P33">
            <v>882</v>
          </cell>
          <cell r="Q33">
            <v>18452</v>
          </cell>
          <cell r="R33">
            <v>70</v>
          </cell>
          <cell r="S33">
            <v>655</v>
          </cell>
          <cell r="T33">
            <v>-1254</v>
          </cell>
          <cell r="U33">
            <v>861</v>
          </cell>
          <cell r="V33">
            <v>-828</v>
          </cell>
          <cell r="W33">
            <v>-517</v>
          </cell>
          <cell r="X33">
            <v>11960</v>
          </cell>
          <cell r="Y33">
            <v>-2165</v>
          </cell>
          <cell r="Z33">
            <v>-3545</v>
          </cell>
          <cell r="AA33">
            <v>-349</v>
          </cell>
          <cell r="AB33">
            <v>-4244</v>
          </cell>
          <cell r="AP33">
            <v>0</v>
          </cell>
          <cell r="AQ33">
            <v>0</v>
          </cell>
          <cell r="AR33">
            <v>0</v>
          </cell>
          <cell r="AS33">
            <v>0</v>
          </cell>
          <cell r="AT33">
            <v>0</v>
          </cell>
          <cell r="AU33">
            <v>0</v>
          </cell>
          <cell r="AV33">
            <v>0</v>
          </cell>
          <cell r="AW33">
            <v>0</v>
          </cell>
          <cell r="AX33">
            <v>0</v>
          </cell>
          <cell r="AY33">
            <v>0</v>
          </cell>
          <cell r="BH33">
            <v>1730</v>
          </cell>
          <cell r="BI33">
            <v>5027</v>
          </cell>
          <cell r="BJ33">
            <v>20792</v>
          </cell>
          <cell r="BK33">
            <v>-566</v>
          </cell>
          <cell r="BL33">
            <v>5733</v>
          </cell>
        </row>
        <row r="34">
          <cell r="B34" t="str">
            <v>Net Income (GAAP)</v>
          </cell>
          <cell r="I34">
            <v>12498</v>
          </cell>
          <cell r="J34">
            <v>5365</v>
          </cell>
          <cell r="K34">
            <v>7550</v>
          </cell>
          <cell r="L34">
            <v>7623</v>
          </cell>
          <cell r="M34">
            <v>17855</v>
          </cell>
          <cell r="N34">
            <v>10647</v>
          </cell>
          <cell r="O34">
            <v>14683</v>
          </cell>
          <cell r="P34">
            <v>17668</v>
          </cell>
          <cell r="Q34">
            <v>24073</v>
          </cell>
          <cell r="R34">
            <v>7669</v>
          </cell>
          <cell r="S34">
            <v>8720</v>
          </cell>
          <cell r="T34">
            <v>20133</v>
          </cell>
          <cell r="U34">
            <v>33120</v>
          </cell>
          <cell r="V34">
            <v>25913</v>
          </cell>
          <cell r="W34">
            <v>21448</v>
          </cell>
          <cell r="X34">
            <v>72591</v>
          </cell>
          <cell r="Y34">
            <v>52174</v>
          </cell>
          <cell r="Z34">
            <v>3220</v>
          </cell>
          <cell r="AA34">
            <v>47533</v>
          </cell>
          <cell r="AB34">
            <v>28876</v>
          </cell>
          <cell r="AC34">
            <v>45905.938000000002</v>
          </cell>
          <cell r="AD34">
            <v>22908</v>
          </cell>
          <cell r="AE34">
            <v>41852</v>
          </cell>
          <cell r="AF34">
            <v>35299.667000000001</v>
          </cell>
          <cell r="AG34">
            <v>58411.111000000004</v>
          </cell>
          <cell r="AH34">
            <v>29558.111000000001</v>
          </cell>
          <cell r="AI34">
            <v>57302.25</v>
          </cell>
          <cell r="AJ34">
            <v>47621.5</v>
          </cell>
          <cell r="AK34">
            <v>76130.5</v>
          </cell>
          <cell r="AL34">
            <v>38365.25</v>
          </cell>
          <cell r="AP34">
            <v>0</v>
          </cell>
          <cell r="AQ34">
            <v>0</v>
          </cell>
          <cell r="AR34">
            <v>0</v>
          </cell>
          <cell r="AS34">
            <v>0</v>
          </cell>
          <cell r="AT34">
            <v>0</v>
          </cell>
          <cell r="AU34">
            <v>0</v>
          </cell>
          <cell r="AV34">
            <v>0</v>
          </cell>
          <cell r="AW34">
            <v>0</v>
          </cell>
          <cell r="AX34">
            <v>0</v>
          </cell>
          <cell r="AY34">
            <v>0</v>
          </cell>
          <cell r="BH34">
            <v>71460</v>
          </cell>
          <cell r="BI34">
            <v>43675</v>
          </cell>
          <cell r="BJ34">
            <v>64093</v>
          </cell>
          <cell r="BK34">
            <v>87886</v>
          </cell>
          <cell r="BL34">
            <v>149433</v>
          </cell>
          <cell r="BM34">
            <v>181345.7</v>
          </cell>
          <cell r="BN34">
            <v>224834.5</v>
          </cell>
          <cell r="BO34">
            <v>275377.174</v>
          </cell>
        </row>
        <row r="35">
          <cell r="B35" t="str">
            <v>Net Income (NON GAAP)</v>
          </cell>
          <cell r="AC35">
            <v>58654</v>
          </cell>
          <cell r="AD35">
            <v>35607.800000000003</v>
          </cell>
          <cell r="AE35">
            <v>55403.5</v>
          </cell>
          <cell r="AF35">
            <v>53634</v>
          </cell>
          <cell r="AG35">
            <v>72954</v>
          </cell>
          <cell r="AH35">
            <v>44974.875</v>
          </cell>
          <cell r="AI35">
            <v>70592.2</v>
          </cell>
          <cell r="AJ35">
            <v>68541.8</v>
          </cell>
          <cell r="AK35">
            <v>90703</v>
          </cell>
          <cell r="AL35">
            <v>56258.400000000001</v>
          </cell>
        </row>
        <row r="37">
          <cell r="I37">
            <v>2446</v>
          </cell>
          <cell r="J37">
            <v>2448</v>
          </cell>
          <cell r="K37">
            <v>2473</v>
          </cell>
          <cell r="L37">
            <v>2478</v>
          </cell>
          <cell r="M37">
            <v>2485</v>
          </cell>
          <cell r="N37">
            <v>2513</v>
          </cell>
          <cell r="O37">
            <v>2543</v>
          </cell>
          <cell r="P37">
            <v>2552</v>
          </cell>
          <cell r="Q37">
            <v>2557</v>
          </cell>
          <cell r="R37">
            <v>2560</v>
          </cell>
          <cell r="S37">
            <v>2581</v>
          </cell>
          <cell r="T37">
            <v>2584</v>
          </cell>
          <cell r="U37">
            <v>2576</v>
          </cell>
          <cell r="V37">
            <v>2579</v>
          </cell>
          <cell r="W37">
            <v>2598.0440100000001</v>
          </cell>
          <cell r="X37">
            <v>2600</v>
          </cell>
          <cell r="Y37">
            <v>2632</v>
          </cell>
          <cell r="Z37">
            <v>2682.723</v>
          </cell>
          <cell r="AA37">
            <v>2697.9024939999999</v>
          </cell>
          <cell r="AB37">
            <v>2698.7804879999999</v>
          </cell>
          <cell r="AP37">
            <v>0</v>
          </cell>
          <cell r="AQ37">
            <v>0</v>
          </cell>
          <cell r="AR37">
            <v>0</v>
          </cell>
          <cell r="AS37">
            <v>0</v>
          </cell>
          <cell r="AT37">
            <v>0</v>
          </cell>
          <cell r="AU37">
            <v>0</v>
          </cell>
          <cell r="AV37">
            <v>0</v>
          </cell>
          <cell r="AW37">
            <v>0</v>
          </cell>
          <cell r="AX37">
            <v>0</v>
          </cell>
          <cell r="AY37">
            <v>0</v>
          </cell>
          <cell r="BH37">
            <v>2458</v>
          </cell>
          <cell r="BI37">
            <v>2493</v>
          </cell>
          <cell r="BJ37">
            <v>2553</v>
          </cell>
          <cell r="BK37">
            <v>2580</v>
          </cell>
          <cell r="BL37">
            <v>2627</v>
          </cell>
          <cell r="BM37">
            <v>0</v>
          </cell>
          <cell r="BN37">
            <v>0</v>
          </cell>
          <cell r="BO37">
            <v>0</v>
          </cell>
        </row>
        <row r="38">
          <cell r="I38">
            <v>2550</v>
          </cell>
          <cell r="J38">
            <v>2546</v>
          </cell>
          <cell r="K38">
            <v>2568</v>
          </cell>
          <cell r="L38">
            <v>2566</v>
          </cell>
          <cell r="M38">
            <v>2571</v>
          </cell>
          <cell r="N38">
            <v>2581</v>
          </cell>
          <cell r="O38">
            <v>2599</v>
          </cell>
          <cell r="P38">
            <v>2607</v>
          </cell>
          <cell r="Q38">
            <v>2615</v>
          </cell>
          <cell r="R38">
            <v>2619</v>
          </cell>
          <cell r="S38">
            <v>2627</v>
          </cell>
          <cell r="T38">
            <v>2628</v>
          </cell>
          <cell r="U38">
            <v>2614</v>
          </cell>
          <cell r="V38">
            <v>2625</v>
          </cell>
          <cell r="W38">
            <v>2635.3598010000001</v>
          </cell>
          <cell r="X38">
            <v>2636</v>
          </cell>
          <cell r="Y38">
            <v>2674</v>
          </cell>
          <cell r="Z38">
            <v>2775.8669999999997</v>
          </cell>
          <cell r="AA38">
            <v>2740.6682027649799</v>
          </cell>
          <cell r="AB38">
            <v>2743.8931297709896</v>
          </cell>
          <cell r="AP38">
            <v>0</v>
          </cell>
          <cell r="AQ38">
            <v>0</v>
          </cell>
          <cell r="AR38">
            <v>0</v>
          </cell>
          <cell r="AS38">
            <v>0</v>
          </cell>
          <cell r="AT38">
            <v>0</v>
          </cell>
          <cell r="AU38">
            <v>0</v>
          </cell>
          <cell r="AV38">
            <v>0</v>
          </cell>
          <cell r="AW38">
            <v>0</v>
          </cell>
          <cell r="AX38">
            <v>0</v>
          </cell>
          <cell r="AY38">
            <v>0</v>
          </cell>
          <cell r="BH38">
            <v>2562</v>
          </cell>
          <cell r="BI38">
            <v>2573</v>
          </cell>
          <cell r="BJ38">
            <v>2610</v>
          </cell>
          <cell r="BK38">
            <v>2623</v>
          </cell>
          <cell r="BL38">
            <v>2668</v>
          </cell>
        </row>
        <row r="40">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P40">
            <v>0</v>
          </cell>
          <cell r="AQ40">
            <v>0</v>
          </cell>
          <cell r="AR40">
            <v>0</v>
          </cell>
          <cell r="AS40">
            <v>0</v>
          </cell>
          <cell r="AT40">
            <v>0</v>
          </cell>
          <cell r="AU40">
            <v>0</v>
          </cell>
          <cell r="AV40">
            <v>0</v>
          </cell>
          <cell r="AW40">
            <v>0</v>
          </cell>
          <cell r="AX40">
            <v>0</v>
          </cell>
          <cell r="AY40">
            <v>0</v>
          </cell>
          <cell r="BH40">
            <v>0</v>
          </cell>
          <cell r="BI40">
            <v>0</v>
          </cell>
          <cell r="BJ40">
            <v>0</v>
          </cell>
          <cell r="BK40">
            <v>0</v>
          </cell>
          <cell r="BL40">
            <v>0</v>
          </cell>
        </row>
        <row r="42">
          <cell r="B42" t="str">
            <v>EPS (Basic) - GAAP</v>
          </cell>
          <cell r="I42">
            <v>5.109566639411284</v>
          </cell>
          <cell r="J42">
            <v>2.1915849673202614</v>
          </cell>
          <cell r="K42">
            <v>3.0529720986655882</v>
          </cell>
          <cell r="L42">
            <v>3.0762711864406778</v>
          </cell>
          <cell r="M42">
            <v>7.1851106639839033</v>
          </cell>
          <cell r="N42">
            <v>4.2367688022284122</v>
          </cell>
          <cell r="O42">
            <v>5.7738891073535195</v>
          </cell>
          <cell r="P42">
            <v>6.9231974921630091</v>
          </cell>
          <cell r="Q42">
            <v>9.4145482987876417</v>
          </cell>
          <cell r="R42">
            <v>2.9957031249999999</v>
          </cell>
          <cell r="AC42">
            <v>16.484999999999999</v>
          </cell>
          <cell r="AD42">
            <v>8.4649999999999999</v>
          </cell>
          <cell r="AE42">
            <v>14.963000000000001</v>
          </cell>
          <cell r="AF42">
            <v>12.622</v>
          </cell>
          <cell r="AG42">
            <v>20.998000000000001</v>
          </cell>
          <cell r="AH42">
            <v>10.199</v>
          </cell>
          <cell r="AI42">
            <v>20.638000000000002</v>
          </cell>
          <cell r="AJ42">
            <v>17.05</v>
          </cell>
          <cell r="AK42">
            <v>27.18</v>
          </cell>
          <cell r="AL42">
            <v>13.635</v>
          </cell>
          <cell r="AP42" t="e">
            <v>#DIV/0!</v>
          </cell>
          <cell r="AQ42" t="e">
            <v>#DIV/0!</v>
          </cell>
          <cell r="AR42" t="e">
            <v>#DIV/0!</v>
          </cell>
          <cell r="AS42" t="e">
            <v>#DIV/0!</v>
          </cell>
          <cell r="AT42" t="e">
            <v>#DIV/0!</v>
          </cell>
          <cell r="AU42" t="e">
            <v>#DIV/0!</v>
          </cell>
          <cell r="AV42" t="e">
            <v>#DIV/0!</v>
          </cell>
          <cell r="AW42" t="e">
            <v>#DIV/0!</v>
          </cell>
          <cell r="AX42" t="e">
            <v>#DIV/0!</v>
          </cell>
          <cell r="AY42" t="e">
            <v>#DIV/0!</v>
          </cell>
          <cell r="AZ42" t="e">
            <v>#DIV/0!</v>
          </cell>
          <cell r="BA42" t="e">
            <v>#VALUE!</v>
          </cell>
          <cell r="BB42" t="e">
            <v>#VALUE!</v>
          </cell>
          <cell r="BC42" t="e">
            <v>#VALUE!</v>
          </cell>
          <cell r="BM42">
            <v>66.912999999999997</v>
          </cell>
          <cell r="BN42">
            <v>80.861000000000004</v>
          </cell>
          <cell r="BO42">
            <v>99.48</v>
          </cell>
        </row>
        <row r="43">
          <cell r="B43" t="str">
            <v>EPS (Diluted) - GAAP</v>
          </cell>
          <cell r="I43">
            <v>4.9011764705882355</v>
          </cell>
          <cell r="J43">
            <v>2.1072270227808327</v>
          </cell>
          <cell r="K43">
            <v>2.940031152647975</v>
          </cell>
          <cell r="L43">
            <v>2.9707716289945441</v>
          </cell>
          <cell r="M43">
            <v>6.9447685725398678</v>
          </cell>
          <cell r="N43">
            <v>4.1251452925222782</v>
          </cell>
          <cell r="O43">
            <v>5.6494805694497883</v>
          </cell>
          <cell r="P43">
            <v>6.7771384733410054</v>
          </cell>
          <cell r="Q43">
            <v>9.2057361376673033</v>
          </cell>
          <cell r="R43">
            <v>2.928216876670485</v>
          </cell>
          <cell r="AP43" t="e">
            <v>#DIV/0!</v>
          </cell>
          <cell r="AQ43" t="e">
            <v>#DIV/0!</v>
          </cell>
          <cell r="AR43" t="e">
            <v>#DIV/0!</v>
          </cell>
          <cell r="AS43" t="e">
            <v>#DIV/0!</v>
          </cell>
          <cell r="AT43" t="e">
            <v>#DIV/0!</v>
          </cell>
          <cell r="AU43" t="e">
            <v>#DIV/0!</v>
          </cell>
          <cell r="AV43" t="e">
            <v>#DIV/0!</v>
          </cell>
          <cell r="AW43" t="e">
            <v>#DIV/0!</v>
          </cell>
          <cell r="AX43" t="e">
            <v>#DIV/0!</v>
          </cell>
          <cell r="AY43" t="e">
            <v>#DIV/0!</v>
          </cell>
        </row>
        <row r="44">
          <cell r="B44" t="str">
            <v>EPS (Basic) - NON GAAP</v>
          </cell>
          <cell r="I44">
            <v>4.7444807849550283</v>
          </cell>
          <cell r="J44">
            <v>0.83088235294117652</v>
          </cell>
          <cell r="K44">
            <v>3.0667205822887182</v>
          </cell>
          <cell r="L44">
            <v>3.2090395480225991</v>
          </cell>
          <cell r="M44">
            <v>7.2675050301810868</v>
          </cell>
          <cell r="N44">
            <v>2.8219259848786313</v>
          </cell>
          <cell r="O44">
            <v>5.7203643376727484</v>
          </cell>
          <cell r="P44">
            <v>6.1610580073836996</v>
          </cell>
          <cell r="Q44">
            <v>10.614534107472506</v>
          </cell>
          <cell r="R44">
            <v>3.5063632812499996</v>
          </cell>
          <cell r="AA44" t="str">
            <v>#N/A Invalid Field</v>
          </cell>
          <cell r="AB44" t="str">
            <v>#N/A Invalid Field</v>
          </cell>
          <cell r="AC44">
            <v>21.36</v>
          </cell>
          <cell r="AD44">
            <v>13.346</v>
          </cell>
          <cell r="AE44">
            <v>19.809000000000001</v>
          </cell>
          <cell r="AF44">
            <v>19.169</v>
          </cell>
          <cell r="AG44">
            <v>26.145</v>
          </cell>
          <cell r="AH44">
            <v>16.420000000000002</v>
          </cell>
          <cell r="AI44">
            <v>24.88</v>
          </cell>
          <cell r="AJ44">
            <v>24.97</v>
          </cell>
          <cell r="AK44">
            <v>32.298000000000002</v>
          </cell>
          <cell r="AL44">
            <v>20.518000000000001</v>
          </cell>
        </row>
        <row r="45">
          <cell r="I45">
            <v>4.5509803921568626</v>
          </cell>
          <cell r="J45">
            <v>0.79890023566378632</v>
          </cell>
          <cell r="K45">
            <v>2.9532710280373831</v>
          </cell>
          <cell r="L45">
            <v>3.0989867498051442</v>
          </cell>
          <cell r="M45">
            <v>7.024406845585375</v>
          </cell>
          <cell r="N45">
            <v>2.7475784579620304</v>
          </cell>
          <cell r="O45">
            <v>5.597109084533205</v>
          </cell>
          <cell r="P45">
            <v>6.0310778806456469</v>
          </cell>
          <cell r="Q45">
            <v>10.379106582335449</v>
          </cell>
          <cell r="R45">
            <v>3.4273730431462388</v>
          </cell>
        </row>
        <row r="48">
          <cell r="AP48" t="str">
            <v>1H15</v>
          </cell>
          <cell r="AQ48" t="str">
            <v>2H16</v>
          </cell>
          <cell r="AR48" t="str">
            <v>1H16</v>
          </cell>
          <cell r="AS48" t="str">
            <v>2H17</v>
          </cell>
          <cell r="AT48" t="str">
            <v>1H17</v>
          </cell>
          <cell r="AU48" t="str">
            <v>2H18</v>
          </cell>
          <cell r="AV48" t="str">
            <v>1H18</v>
          </cell>
          <cell r="AW48" t="str">
            <v>2H19</v>
          </cell>
          <cell r="AX48" t="str">
            <v>1H19</v>
          </cell>
          <cell r="AY48" t="str">
            <v>2H20</v>
          </cell>
          <cell r="AZ48" t="str">
            <v>1H20</v>
          </cell>
          <cell r="BA48" t="str">
            <v>2H21</v>
          </cell>
          <cell r="BB48" t="str">
            <v>1H21</v>
          </cell>
          <cell r="BC48" t="str">
            <v>2H22</v>
          </cell>
          <cell r="BD48" t="str">
            <v>1H22</v>
          </cell>
          <cell r="BE48" t="str">
            <v>2H23</v>
          </cell>
        </row>
        <row r="183">
          <cell r="I183">
            <v>475</v>
          </cell>
          <cell r="J183">
            <v>510</v>
          </cell>
          <cell r="K183">
            <v>626</v>
          </cell>
          <cell r="L183">
            <v>668</v>
          </cell>
          <cell r="M183">
            <v>701</v>
          </cell>
          <cell r="N183">
            <v>676</v>
          </cell>
          <cell r="O183">
            <v>800</v>
          </cell>
          <cell r="P183">
            <v>747</v>
          </cell>
          <cell r="Q183">
            <v>844</v>
          </cell>
          <cell r="R183">
            <v>1175</v>
          </cell>
          <cell r="S183">
            <v>1213</v>
          </cell>
          <cell r="T183">
            <v>1340</v>
          </cell>
          <cell r="U183">
            <v>1334</v>
          </cell>
          <cell r="V183">
            <v>1303</v>
          </cell>
          <cell r="W183">
            <v>1346</v>
          </cell>
          <cell r="X183">
            <v>1360</v>
          </cell>
          <cell r="Y183">
            <v>1309</v>
          </cell>
          <cell r="Z183">
            <v>1165</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H183">
            <v>1946</v>
          </cell>
          <cell r="BI183">
            <v>2671</v>
          </cell>
          <cell r="BJ183">
            <v>3566</v>
          </cell>
          <cell r="BK183">
            <v>5190</v>
          </cell>
          <cell r="BL183">
            <v>5180</v>
          </cell>
        </row>
        <row r="184">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H184">
            <v>0</v>
          </cell>
          <cell r="BI184">
            <v>0</v>
          </cell>
          <cell r="BJ184">
            <v>0</v>
          </cell>
          <cell r="BK184">
            <v>0</v>
          </cell>
          <cell r="BL184">
            <v>0</v>
          </cell>
        </row>
      </sheetData>
      <sheetData sheetId="2" refreshError="1"/>
      <sheetData sheetId="3" refreshError="1">
        <row r="8">
          <cell r="AM8">
            <v>42277</v>
          </cell>
          <cell r="AN8">
            <v>42460</v>
          </cell>
          <cell r="AP8">
            <v>42824</v>
          </cell>
          <cell r="AQ8">
            <v>43008</v>
          </cell>
          <cell r="AR8">
            <v>43189</v>
          </cell>
          <cell r="AS8">
            <v>43373</v>
          </cell>
          <cell r="AT8">
            <v>43554</v>
          </cell>
          <cell r="AU8">
            <v>43738</v>
          </cell>
          <cell r="AV8">
            <v>43920</v>
          </cell>
          <cell r="AW8">
            <v>44104</v>
          </cell>
          <cell r="AX8">
            <v>44285</v>
          </cell>
          <cell r="AY8">
            <v>44469</v>
          </cell>
          <cell r="AZ8">
            <v>44650</v>
          </cell>
          <cell r="BA8">
            <v>44834</v>
          </cell>
          <cell r="BB8">
            <v>45015</v>
          </cell>
        </row>
        <row r="9">
          <cell r="AM9" t="str">
            <v>1H15</v>
          </cell>
          <cell r="AN9" t="str">
            <v>2H16</v>
          </cell>
          <cell r="AP9" t="str">
            <v>2H17</v>
          </cell>
          <cell r="AQ9" t="str">
            <v>1H17</v>
          </cell>
          <cell r="AR9" t="str">
            <v>2H18</v>
          </cell>
          <cell r="AS9" t="str">
            <v>1H18</v>
          </cell>
          <cell r="AT9" t="str">
            <v>2H19</v>
          </cell>
          <cell r="AU9" t="str">
            <v>1H19</v>
          </cell>
          <cell r="AV9" t="str">
            <v>2H20</v>
          </cell>
          <cell r="AW9" t="str">
            <v>1H20</v>
          </cell>
          <cell r="AX9" t="str">
            <v>2H21</v>
          </cell>
          <cell r="AY9" t="str">
            <v>1H21</v>
          </cell>
          <cell r="AZ9" t="str">
            <v>2H22</v>
          </cell>
          <cell r="BA9" t="str">
            <v>1H22</v>
          </cell>
          <cell r="BB9" t="str">
            <v>2H23</v>
          </cell>
        </row>
        <row r="11">
          <cell r="I11">
            <v>92088</v>
          </cell>
          <cell r="J11">
            <v>111008</v>
          </cell>
          <cell r="K11">
            <v>141796</v>
          </cell>
          <cell r="L11">
            <v>150801</v>
          </cell>
          <cell r="M11">
            <v>152614</v>
          </cell>
          <cell r="N11">
            <v>165010</v>
          </cell>
          <cell r="O11">
            <v>224132</v>
          </cell>
          <cell r="P11">
            <v>210210</v>
          </cell>
          <cell r="Q11">
            <v>185151</v>
          </cell>
          <cell r="R11">
            <v>181537</v>
          </cell>
          <cell r="S11">
            <v>200591</v>
          </cell>
          <cell r="T11">
            <v>203165</v>
          </cell>
          <cell r="U11">
            <v>220620</v>
          </cell>
          <cell r="V11">
            <v>241010</v>
          </cell>
          <cell r="W11">
            <v>357210</v>
          </cell>
          <cell r="X11">
            <v>363215</v>
          </cell>
          <cell r="Y11">
            <v>386558</v>
          </cell>
          <cell r="Z11">
            <v>410703</v>
          </cell>
          <cell r="AM11">
            <v>0</v>
          </cell>
          <cell r="AN11">
            <v>0</v>
          </cell>
          <cell r="AO11">
            <v>0</v>
          </cell>
          <cell r="AP11">
            <v>0</v>
          </cell>
          <cell r="AQ11">
            <v>0</v>
          </cell>
          <cell r="AR11">
            <v>0</v>
          </cell>
          <cell r="AS11">
            <v>0</v>
          </cell>
          <cell r="AT11">
            <v>0</v>
          </cell>
          <cell r="AU11">
            <v>0</v>
          </cell>
          <cell r="AV11">
            <v>0</v>
          </cell>
          <cell r="BE11">
            <v>115696</v>
          </cell>
          <cell r="BF11">
            <v>150801</v>
          </cell>
          <cell r="BG11">
            <v>210210</v>
          </cell>
          <cell r="BH11">
            <v>203165</v>
          </cell>
          <cell r="BI11">
            <v>363215</v>
          </cell>
        </row>
        <row r="12">
          <cell r="I12">
            <v>0</v>
          </cell>
          <cell r="J12">
            <v>0</v>
          </cell>
          <cell r="K12">
            <v>0</v>
          </cell>
          <cell r="L12">
            <v>4388</v>
          </cell>
          <cell r="M12">
            <v>0</v>
          </cell>
          <cell r="N12">
            <v>0</v>
          </cell>
          <cell r="O12">
            <v>0</v>
          </cell>
          <cell r="P12">
            <v>7284</v>
          </cell>
          <cell r="Q12">
            <v>0</v>
          </cell>
          <cell r="R12">
            <v>0</v>
          </cell>
          <cell r="S12">
            <v>0</v>
          </cell>
          <cell r="T12">
            <v>13771</v>
          </cell>
          <cell r="U12">
            <v>0</v>
          </cell>
          <cell r="V12">
            <v>0</v>
          </cell>
          <cell r="W12">
            <v>0</v>
          </cell>
          <cell r="X12">
            <v>19786</v>
          </cell>
          <cell r="Y12">
            <v>0</v>
          </cell>
          <cell r="Z12">
            <v>0</v>
          </cell>
          <cell r="AM12">
            <v>0</v>
          </cell>
          <cell r="AN12">
            <v>0</v>
          </cell>
          <cell r="AO12">
            <v>0</v>
          </cell>
          <cell r="AP12">
            <v>0</v>
          </cell>
          <cell r="AQ12">
            <v>0</v>
          </cell>
          <cell r="AR12">
            <v>0</v>
          </cell>
          <cell r="AS12">
            <v>0</v>
          </cell>
          <cell r="AT12">
            <v>0</v>
          </cell>
          <cell r="AU12">
            <v>0</v>
          </cell>
          <cell r="AV12">
            <v>0</v>
          </cell>
          <cell r="BE12">
            <v>1209</v>
          </cell>
          <cell r="BF12">
            <v>4388</v>
          </cell>
          <cell r="BG12">
            <v>7284</v>
          </cell>
          <cell r="BH12">
            <v>13771</v>
          </cell>
          <cell r="BI12">
            <v>19786</v>
          </cell>
        </row>
        <row r="13">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M13">
            <v>0</v>
          </cell>
          <cell r="AN13">
            <v>0</v>
          </cell>
          <cell r="AO13">
            <v>0</v>
          </cell>
          <cell r="AP13">
            <v>0</v>
          </cell>
          <cell r="AQ13">
            <v>0</v>
          </cell>
          <cell r="AR13">
            <v>0</v>
          </cell>
          <cell r="AS13">
            <v>0</v>
          </cell>
          <cell r="AT13">
            <v>0</v>
          </cell>
          <cell r="AU13">
            <v>0</v>
          </cell>
          <cell r="AV13">
            <v>0</v>
          </cell>
          <cell r="BE13">
            <v>0</v>
          </cell>
          <cell r="BF13">
            <v>0</v>
          </cell>
          <cell r="BG13">
            <v>0</v>
          </cell>
          <cell r="BH13">
            <v>0</v>
          </cell>
          <cell r="BI13">
            <v>0</v>
          </cell>
        </row>
        <row r="14">
          <cell r="I14">
            <v>21000</v>
          </cell>
          <cell r="J14">
            <v>25318</v>
          </cell>
          <cell r="K14">
            <v>26732</v>
          </cell>
          <cell r="L14">
            <v>26675</v>
          </cell>
          <cell r="M14">
            <v>33780</v>
          </cell>
          <cell r="N14">
            <v>39638</v>
          </cell>
          <cell r="O14">
            <v>44158</v>
          </cell>
          <cell r="P14">
            <v>39361</v>
          </cell>
          <cell r="Q14">
            <v>51843</v>
          </cell>
          <cell r="R14">
            <v>56346</v>
          </cell>
          <cell r="S14">
            <v>61089</v>
          </cell>
          <cell r="T14">
            <v>53337</v>
          </cell>
          <cell r="U14">
            <v>70012</v>
          </cell>
          <cell r="V14">
            <v>94677</v>
          </cell>
          <cell r="W14">
            <v>102236</v>
          </cell>
          <cell r="X14">
            <v>79922</v>
          </cell>
          <cell r="Y14">
            <v>104754</v>
          </cell>
          <cell r="Z14">
            <v>112232</v>
          </cell>
          <cell r="AM14">
            <v>0</v>
          </cell>
          <cell r="AN14">
            <v>0</v>
          </cell>
          <cell r="AO14">
            <v>0</v>
          </cell>
          <cell r="AP14">
            <v>0</v>
          </cell>
          <cell r="AQ14">
            <v>0</v>
          </cell>
          <cell r="AR14">
            <v>0</v>
          </cell>
          <cell r="AS14">
            <v>0</v>
          </cell>
          <cell r="AT14">
            <v>0</v>
          </cell>
          <cell r="AU14">
            <v>0</v>
          </cell>
          <cell r="AV14">
            <v>0</v>
          </cell>
          <cell r="BE14">
            <v>17165</v>
          </cell>
          <cell r="BF14">
            <v>26675</v>
          </cell>
          <cell r="BG14">
            <v>39361</v>
          </cell>
          <cell r="BH14">
            <v>53337</v>
          </cell>
          <cell r="BI14">
            <v>79922</v>
          </cell>
        </row>
        <row r="15">
          <cell r="I15">
            <v>113088</v>
          </cell>
          <cell r="J15">
            <v>136326</v>
          </cell>
          <cell r="K15">
            <v>168528</v>
          </cell>
          <cell r="L15">
            <v>181864</v>
          </cell>
          <cell r="M15">
            <v>186394</v>
          </cell>
          <cell r="N15">
            <v>204648</v>
          </cell>
          <cell r="O15">
            <v>268290</v>
          </cell>
          <cell r="P15">
            <v>256855</v>
          </cell>
          <cell r="Q15">
            <v>236994</v>
          </cell>
          <cell r="R15">
            <v>237883</v>
          </cell>
          <cell r="S15">
            <v>261680</v>
          </cell>
          <cell r="T15">
            <v>270273</v>
          </cell>
          <cell r="U15">
            <v>290632</v>
          </cell>
          <cell r="V15">
            <v>335687</v>
          </cell>
          <cell r="W15">
            <v>459446</v>
          </cell>
          <cell r="X15">
            <v>462923</v>
          </cell>
          <cell r="Y15">
            <v>491312</v>
          </cell>
          <cell r="Z15">
            <v>522935</v>
          </cell>
          <cell r="AM15">
            <v>0</v>
          </cell>
          <cell r="AN15">
            <v>0</v>
          </cell>
          <cell r="AO15">
            <v>0</v>
          </cell>
          <cell r="AP15">
            <v>0</v>
          </cell>
          <cell r="AQ15">
            <v>0</v>
          </cell>
          <cell r="AR15">
            <v>0</v>
          </cell>
          <cell r="AS15">
            <v>0</v>
          </cell>
          <cell r="AT15">
            <v>0</v>
          </cell>
          <cell r="AU15">
            <v>0</v>
          </cell>
          <cell r="AV15">
            <v>0</v>
          </cell>
          <cell r="BE15">
            <v>134070</v>
          </cell>
          <cell r="BF15">
            <v>181864</v>
          </cell>
          <cell r="BG15">
            <v>256855</v>
          </cell>
          <cell r="BH15">
            <v>270273</v>
          </cell>
          <cell r="BI15">
            <v>462923</v>
          </cell>
        </row>
        <row r="17">
          <cell r="I17">
            <v>0</v>
          </cell>
          <cell r="J17">
            <v>0</v>
          </cell>
          <cell r="K17">
            <v>0</v>
          </cell>
          <cell r="L17">
            <v>32467</v>
          </cell>
          <cell r="M17">
            <v>0</v>
          </cell>
          <cell r="N17">
            <v>0</v>
          </cell>
          <cell r="O17">
            <v>0</v>
          </cell>
          <cell r="P17">
            <v>86928</v>
          </cell>
          <cell r="Q17">
            <v>0</v>
          </cell>
          <cell r="R17">
            <v>0</v>
          </cell>
          <cell r="S17">
            <v>0</v>
          </cell>
          <cell r="T17">
            <v>125975</v>
          </cell>
          <cell r="U17">
            <v>0</v>
          </cell>
          <cell r="V17">
            <v>0</v>
          </cell>
          <cell r="W17">
            <v>0</v>
          </cell>
          <cell r="X17">
            <v>180281</v>
          </cell>
          <cell r="Y17">
            <v>0</v>
          </cell>
          <cell r="Z17">
            <v>0</v>
          </cell>
          <cell r="AM17">
            <v>0</v>
          </cell>
          <cell r="AN17">
            <v>0</v>
          </cell>
          <cell r="AO17">
            <v>0</v>
          </cell>
          <cell r="AP17">
            <v>0</v>
          </cell>
          <cell r="AQ17">
            <v>0</v>
          </cell>
          <cell r="AR17">
            <v>0</v>
          </cell>
          <cell r="AS17">
            <v>0</v>
          </cell>
          <cell r="AT17">
            <v>0</v>
          </cell>
          <cell r="AU17">
            <v>0</v>
          </cell>
          <cell r="AV17">
            <v>0</v>
          </cell>
          <cell r="BE17">
            <v>21810</v>
          </cell>
          <cell r="BF17">
            <v>32467</v>
          </cell>
          <cell r="BG17">
            <v>86928</v>
          </cell>
          <cell r="BH17">
            <v>125975</v>
          </cell>
          <cell r="BI17">
            <v>180281</v>
          </cell>
        </row>
        <row r="18">
          <cell r="I18">
            <v>0</v>
          </cell>
          <cell r="J18">
            <v>0</v>
          </cell>
          <cell r="K18">
            <v>0</v>
          </cell>
          <cell r="L18">
            <v>12261</v>
          </cell>
          <cell r="M18">
            <v>0</v>
          </cell>
          <cell r="N18">
            <v>0</v>
          </cell>
          <cell r="O18">
            <v>0</v>
          </cell>
          <cell r="P18">
            <v>20439</v>
          </cell>
          <cell r="Q18">
            <v>0</v>
          </cell>
          <cell r="R18">
            <v>0</v>
          </cell>
          <cell r="S18">
            <v>0</v>
          </cell>
          <cell r="T18">
            <v>33945</v>
          </cell>
          <cell r="U18">
            <v>0</v>
          </cell>
          <cell r="V18">
            <v>0</v>
          </cell>
          <cell r="W18">
            <v>0</v>
          </cell>
          <cell r="X18">
            <v>51994</v>
          </cell>
          <cell r="Y18">
            <v>0</v>
          </cell>
          <cell r="Z18">
            <v>0</v>
          </cell>
          <cell r="AM18">
            <v>0</v>
          </cell>
          <cell r="AN18">
            <v>0</v>
          </cell>
          <cell r="AO18">
            <v>0</v>
          </cell>
          <cell r="AP18">
            <v>0</v>
          </cell>
          <cell r="AQ18">
            <v>0</v>
          </cell>
          <cell r="AR18">
            <v>0</v>
          </cell>
          <cell r="AS18">
            <v>0</v>
          </cell>
          <cell r="AT18">
            <v>0</v>
          </cell>
          <cell r="AU18">
            <v>0</v>
          </cell>
          <cell r="AV18">
            <v>0</v>
          </cell>
          <cell r="BE18">
            <v>8181</v>
          </cell>
          <cell r="BF18">
            <v>12261</v>
          </cell>
          <cell r="BG18">
            <v>20439</v>
          </cell>
          <cell r="BH18">
            <v>33945</v>
          </cell>
          <cell r="BI18">
            <v>51994</v>
          </cell>
        </row>
        <row r="19">
          <cell r="I19">
            <v>15791</v>
          </cell>
          <cell r="J19">
            <v>16400</v>
          </cell>
          <cell r="K19">
            <v>19899</v>
          </cell>
          <cell r="L19">
            <v>20206</v>
          </cell>
          <cell r="M19">
            <v>43922</v>
          </cell>
          <cell r="N19">
            <v>49587</v>
          </cell>
          <cell r="O19">
            <v>64973</v>
          </cell>
          <cell r="P19">
            <v>66489</v>
          </cell>
          <cell r="Q19">
            <v>78659</v>
          </cell>
          <cell r="R19">
            <v>87025</v>
          </cell>
          <cell r="S19">
            <v>90814</v>
          </cell>
          <cell r="T19">
            <v>92030</v>
          </cell>
          <cell r="U19">
            <v>119084</v>
          </cell>
          <cell r="V19">
            <v>125807</v>
          </cell>
          <cell r="W19">
            <v>126420</v>
          </cell>
          <cell r="X19">
            <v>128287</v>
          </cell>
          <cell r="Y19">
            <v>111461</v>
          </cell>
          <cell r="Z19">
            <v>118037</v>
          </cell>
          <cell r="AM19">
            <v>0</v>
          </cell>
          <cell r="AN19">
            <v>0</v>
          </cell>
          <cell r="AO19">
            <v>0</v>
          </cell>
          <cell r="AP19">
            <v>0</v>
          </cell>
          <cell r="AQ19">
            <v>0</v>
          </cell>
          <cell r="AR19">
            <v>0</v>
          </cell>
          <cell r="AS19">
            <v>0</v>
          </cell>
          <cell r="AT19">
            <v>0</v>
          </cell>
          <cell r="AU19">
            <v>0</v>
          </cell>
          <cell r="AV19">
            <v>0</v>
          </cell>
          <cell r="BE19">
            <v>13629</v>
          </cell>
          <cell r="BF19">
            <v>20206</v>
          </cell>
          <cell r="BG19">
            <v>66489</v>
          </cell>
          <cell r="BH19">
            <v>92030</v>
          </cell>
          <cell r="BI19">
            <v>128287</v>
          </cell>
        </row>
        <row r="20">
          <cell r="I20">
            <v>32174</v>
          </cell>
          <cell r="J20">
            <v>82109</v>
          </cell>
          <cell r="K20">
            <v>81645</v>
          </cell>
          <cell r="L20">
            <v>125420</v>
          </cell>
          <cell r="M20">
            <v>114214</v>
          </cell>
          <cell r="N20">
            <v>121353</v>
          </cell>
          <cell r="O20">
            <v>122540</v>
          </cell>
          <cell r="P20">
            <v>162149</v>
          </cell>
          <cell r="Q20">
            <v>129539</v>
          </cell>
          <cell r="R20">
            <v>130196</v>
          </cell>
          <cell r="S20">
            <v>162683</v>
          </cell>
          <cell r="T20">
            <v>264935</v>
          </cell>
          <cell r="U20">
            <v>266894</v>
          </cell>
          <cell r="V20">
            <v>276633</v>
          </cell>
          <cell r="W20">
            <v>277029</v>
          </cell>
          <cell r="X20">
            <v>276782</v>
          </cell>
          <cell r="Y20">
            <v>276896</v>
          </cell>
          <cell r="Z20">
            <v>276172</v>
          </cell>
          <cell r="AM20">
            <v>0</v>
          </cell>
          <cell r="AN20">
            <v>0</v>
          </cell>
          <cell r="AO20">
            <v>0</v>
          </cell>
          <cell r="AP20">
            <v>0</v>
          </cell>
          <cell r="AQ20">
            <v>0</v>
          </cell>
          <cell r="AR20">
            <v>0</v>
          </cell>
          <cell r="AS20">
            <v>0</v>
          </cell>
          <cell r="AT20">
            <v>0</v>
          </cell>
          <cell r="AU20">
            <v>0</v>
          </cell>
          <cell r="AV20">
            <v>0</v>
          </cell>
          <cell r="BE20">
            <v>81645</v>
          </cell>
          <cell r="BF20">
            <v>125420</v>
          </cell>
          <cell r="BG20">
            <v>162149</v>
          </cell>
          <cell r="BH20">
            <v>264935</v>
          </cell>
          <cell r="BI20">
            <v>276782</v>
          </cell>
        </row>
        <row r="21">
          <cell r="I21">
            <v>6202</v>
          </cell>
          <cell r="J21">
            <v>6661</v>
          </cell>
          <cell r="K21">
            <v>5980</v>
          </cell>
          <cell r="L21">
            <v>14108</v>
          </cell>
          <cell r="M21">
            <v>14236</v>
          </cell>
          <cell r="N21">
            <v>14010</v>
          </cell>
          <cell r="O21">
            <v>12921</v>
          </cell>
          <cell r="P21">
            <v>27465</v>
          </cell>
          <cell r="Q21">
            <v>16244</v>
          </cell>
          <cell r="R21">
            <v>14542</v>
          </cell>
          <cell r="S21">
            <v>27119</v>
          </cell>
          <cell r="T21">
            <v>68276</v>
          </cell>
          <cell r="U21">
            <v>66019</v>
          </cell>
          <cell r="V21">
            <v>66100</v>
          </cell>
          <cell r="W21">
            <v>64748</v>
          </cell>
          <cell r="X21">
            <v>60947</v>
          </cell>
          <cell r="Y21">
            <v>57580</v>
          </cell>
          <cell r="Z21">
            <v>56378</v>
          </cell>
          <cell r="AM21">
            <v>0</v>
          </cell>
          <cell r="AN21">
            <v>0</v>
          </cell>
          <cell r="AO21">
            <v>0</v>
          </cell>
          <cell r="AP21">
            <v>0</v>
          </cell>
          <cell r="AQ21">
            <v>0</v>
          </cell>
          <cell r="AR21">
            <v>0</v>
          </cell>
          <cell r="AS21">
            <v>0</v>
          </cell>
          <cell r="AT21">
            <v>0</v>
          </cell>
          <cell r="AU21">
            <v>0</v>
          </cell>
          <cell r="AV21">
            <v>0</v>
          </cell>
          <cell r="BE21">
            <v>5370</v>
          </cell>
          <cell r="BF21">
            <v>14108</v>
          </cell>
          <cell r="BG21">
            <v>27465</v>
          </cell>
          <cell r="BH21">
            <v>68276</v>
          </cell>
          <cell r="BI21">
            <v>60947</v>
          </cell>
        </row>
        <row r="22">
          <cell r="I22">
            <v>25775</v>
          </cell>
          <cell r="J22">
            <v>37758</v>
          </cell>
          <cell r="K22">
            <v>34331</v>
          </cell>
          <cell r="L22">
            <v>31452</v>
          </cell>
          <cell r="M22">
            <v>30888</v>
          </cell>
          <cell r="N22">
            <v>33049</v>
          </cell>
          <cell r="O22">
            <v>34855</v>
          </cell>
          <cell r="P22">
            <v>38192</v>
          </cell>
          <cell r="Q22">
            <v>115286</v>
          </cell>
          <cell r="R22">
            <v>132467</v>
          </cell>
          <cell r="S22">
            <v>137000</v>
          </cell>
          <cell r="T22">
            <v>157090</v>
          </cell>
          <cell r="U22">
            <v>168709</v>
          </cell>
          <cell r="V22">
            <v>167690</v>
          </cell>
          <cell r="W22">
            <v>178155</v>
          </cell>
          <cell r="X22">
            <v>161329</v>
          </cell>
          <cell r="Y22">
            <v>182209</v>
          </cell>
          <cell r="Z22">
            <v>189134</v>
          </cell>
          <cell r="AM22">
            <v>0</v>
          </cell>
          <cell r="AN22">
            <v>0</v>
          </cell>
          <cell r="AO22">
            <v>0</v>
          </cell>
          <cell r="AP22">
            <v>0</v>
          </cell>
          <cell r="AQ22">
            <v>0</v>
          </cell>
          <cell r="AR22">
            <v>0</v>
          </cell>
          <cell r="AS22">
            <v>0</v>
          </cell>
          <cell r="AT22">
            <v>0</v>
          </cell>
          <cell r="AU22">
            <v>0</v>
          </cell>
          <cell r="AV22">
            <v>0</v>
          </cell>
          <cell r="BE22">
            <v>29392</v>
          </cell>
          <cell r="BF22">
            <v>31452</v>
          </cell>
          <cell r="BG22">
            <v>38192</v>
          </cell>
          <cell r="BH22">
            <v>157090</v>
          </cell>
          <cell r="BI22">
            <v>161329</v>
          </cell>
        </row>
        <row r="23">
          <cell r="I23">
            <v>216940</v>
          </cell>
          <cell r="J23">
            <v>177148</v>
          </cell>
          <cell r="K23">
            <v>180483</v>
          </cell>
          <cell r="L23">
            <v>133762</v>
          </cell>
          <cell r="M23">
            <v>154060</v>
          </cell>
          <cell r="N23">
            <v>156177</v>
          </cell>
          <cell r="O23">
            <v>207853</v>
          </cell>
          <cell r="P23">
            <v>165974</v>
          </cell>
          <cell r="Q23">
            <v>219940</v>
          </cell>
          <cell r="R23">
            <v>222654</v>
          </cell>
          <cell r="S23">
            <v>238647</v>
          </cell>
          <cell r="T23">
            <v>112472</v>
          </cell>
          <cell r="U23">
            <v>107516</v>
          </cell>
          <cell r="V23">
            <v>187660</v>
          </cell>
          <cell r="W23">
            <v>213697</v>
          </cell>
          <cell r="X23">
            <v>222717</v>
          </cell>
          <cell r="Y23">
            <v>249719</v>
          </cell>
          <cell r="Z23">
            <v>270970</v>
          </cell>
          <cell r="AM23">
            <v>0</v>
          </cell>
          <cell r="AN23">
            <v>0</v>
          </cell>
          <cell r="AO23">
            <v>0</v>
          </cell>
          <cell r="AP23">
            <v>0</v>
          </cell>
          <cell r="AQ23">
            <v>0</v>
          </cell>
          <cell r="AR23">
            <v>0</v>
          </cell>
          <cell r="AS23">
            <v>0</v>
          </cell>
          <cell r="AT23">
            <v>0</v>
          </cell>
          <cell r="AU23">
            <v>0</v>
          </cell>
          <cell r="AV23">
            <v>0</v>
          </cell>
          <cell r="BE23">
            <v>100344</v>
          </cell>
          <cell r="BF23">
            <v>133762</v>
          </cell>
          <cell r="BG23">
            <v>165974</v>
          </cell>
          <cell r="BH23">
            <v>112472</v>
          </cell>
          <cell r="BI23">
            <v>222717</v>
          </cell>
        </row>
        <row r="24">
          <cell r="I24">
            <v>409970</v>
          </cell>
          <cell r="J24">
            <v>456402</v>
          </cell>
          <cell r="K24">
            <v>490866</v>
          </cell>
          <cell r="L24">
            <v>506812</v>
          </cell>
          <cell r="M24">
            <v>543714</v>
          </cell>
          <cell r="N24">
            <v>578824</v>
          </cell>
          <cell r="O24">
            <v>711432</v>
          </cell>
          <cell r="P24">
            <v>717124</v>
          </cell>
          <cell r="Q24">
            <v>796662</v>
          </cell>
          <cell r="R24">
            <v>824767</v>
          </cell>
          <cell r="S24">
            <v>917943</v>
          </cell>
          <cell r="T24">
            <v>965076</v>
          </cell>
          <cell r="U24">
            <v>1018854</v>
          </cell>
          <cell r="V24">
            <v>1159577</v>
          </cell>
          <cell r="W24">
            <v>1319495</v>
          </cell>
          <cell r="X24">
            <v>1312985</v>
          </cell>
          <cell r="Y24">
            <v>1369177</v>
          </cell>
          <cell r="Z24">
            <v>1433626</v>
          </cell>
          <cell r="AM24">
            <v>0</v>
          </cell>
          <cell r="AN24">
            <v>0</v>
          </cell>
          <cell r="AO24">
            <v>0</v>
          </cell>
          <cell r="AP24">
            <v>0</v>
          </cell>
          <cell r="AQ24">
            <v>0</v>
          </cell>
          <cell r="AR24">
            <v>0</v>
          </cell>
          <cell r="AS24">
            <v>0</v>
          </cell>
          <cell r="AT24">
            <v>0</v>
          </cell>
          <cell r="AU24">
            <v>0</v>
          </cell>
          <cell r="AV24">
            <v>0</v>
          </cell>
          <cell r="BE24">
            <v>364450</v>
          </cell>
          <cell r="BF24">
            <v>506812</v>
          </cell>
          <cell r="BG24">
            <v>717124</v>
          </cell>
          <cell r="BH24">
            <v>965076</v>
          </cell>
          <cell r="BI24">
            <v>1312985</v>
          </cell>
        </row>
        <row r="27">
          <cell r="I27">
            <v>4684</v>
          </cell>
          <cell r="J27">
            <v>5520</v>
          </cell>
          <cell r="K27">
            <v>13679</v>
          </cell>
          <cell r="L27">
            <v>14897</v>
          </cell>
          <cell r="M27">
            <v>16455</v>
          </cell>
          <cell r="N27">
            <v>16361</v>
          </cell>
          <cell r="O27">
            <v>6447</v>
          </cell>
          <cell r="P27">
            <v>6028</v>
          </cell>
          <cell r="Q27">
            <v>13693</v>
          </cell>
          <cell r="R27">
            <v>9022</v>
          </cell>
          <cell r="S27">
            <v>22812</v>
          </cell>
          <cell r="T27">
            <v>22466</v>
          </cell>
          <cell r="U27">
            <v>23019</v>
          </cell>
          <cell r="V27">
            <v>24155</v>
          </cell>
          <cell r="W27">
            <v>4215</v>
          </cell>
          <cell r="X27">
            <v>5154</v>
          </cell>
          <cell r="Y27">
            <v>4543</v>
          </cell>
          <cell r="Z27">
            <v>4903</v>
          </cell>
          <cell r="AM27">
            <v>0</v>
          </cell>
          <cell r="AN27">
            <v>0</v>
          </cell>
          <cell r="AO27">
            <v>0</v>
          </cell>
          <cell r="AP27">
            <v>0</v>
          </cell>
          <cell r="AQ27">
            <v>0</v>
          </cell>
          <cell r="AR27">
            <v>0</v>
          </cell>
          <cell r="AS27">
            <v>0</v>
          </cell>
          <cell r="AT27">
            <v>0</v>
          </cell>
          <cell r="AU27">
            <v>0</v>
          </cell>
          <cell r="AV27">
            <v>0</v>
          </cell>
          <cell r="BE27">
            <v>4304</v>
          </cell>
          <cell r="BF27">
            <v>14897</v>
          </cell>
          <cell r="BG27">
            <v>6028</v>
          </cell>
          <cell r="BH27">
            <v>22466</v>
          </cell>
          <cell r="BI27">
            <v>5154</v>
          </cell>
        </row>
        <row r="28">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M28">
            <v>0</v>
          </cell>
          <cell r="AN28">
            <v>0</v>
          </cell>
          <cell r="AO28">
            <v>0</v>
          </cell>
          <cell r="AP28">
            <v>0</v>
          </cell>
          <cell r="AQ28">
            <v>0</v>
          </cell>
          <cell r="AR28">
            <v>0</v>
          </cell>
          <cell r="AS28">
            <v>0</v>
          </cell>
          <cell r="AT28">
            <v>0</v>
          </cell>
          <cell r="AU28">
            <v>0</v>
          </cell>
          <cell r="AV28">
            <v>0</v>
          </cell>
          <cell r="BE28">
            <v>0</v>
          </cell>
          <cell r="BF28">
            <v>0</v>
          </cell>
          <cell r="BG28">
            <v>0</v>
          </cell>
          <cell r="BH28">
            <v>0</v>
          </cell>
          <cell r="BI28">
            <v>0</v>
          </cell>
        </row>
        <row r="29">
          <cell r="I29">
            <v>2348</v>
          </cell>
          <cell r="J29">
            <v>3158</v>
          </cell>
          <cell r="K29">
            <v>5736</v>
          </cell>
          <cell r="L29">
            <v>6125</v>
          </cell>
          <cell r="M29">
            <v>10229</v>
          </cell>
          <cell r="N29">
            <v>11637</v>
          </cell>
          <cell r="O29">
            <v>12474</v>
          </cell>
          <cell r="P29">
            <v>13689</v>
          </cell>
          <cell r="Q29">
            <v>14247</v>
          </cell>
          <cell r="R29">
            <v>12361</v>
          </cell>
          <cell r="S29">
            <v>17348</v>
          </cell>
          <cell r="T29">
            <v>17685</v>
          </cell>
          <cell r="U29">
            <v>17764</v>
          </cell>
          <cell r="V29">
            <v>17152</v>
          </cell>
          <cell r="W29">
            <v>21883</v>
          </cell>
          <cell r="X29">
            <v>20190</v>
          </cell>
          <cell r="Y29">
            <v>22327</v>
          </cell>
          <cell r="Z29">
            <v>19564</v>
          </cell>
          <cell r="AM29">
            <v>0</v>
          </cell>
          <cell r="AN29">
            <v>0</v>
          </cell>
          <cell r="AO29">
            <v>0</v>
          </cell>
          <cell r="AP29">
            <v>0</v>
          </cell>
          <cell r="AQ29">
            <v>0</v>
          </cell>
          <cell r="AR29">
            <v>0</v>
          </cell>
          <cell r="AS29">
            <v>0</v>
          </cell>
          <cell r="AT29">
            <v>0</v>
          </cell>
          <cell r="AU29">
            <v>0</v>
          </cell>
          <cell r="AV29">
            <v>0</v>
          </cell>
          <cell r="BE29">
            <v>2790</v>
          </cell>
          <cell r="BF29">
            <v>6125</v>
          </cell>
          <cell r="BG29">
            <v>13689</v>
          </cell>
          <cell r="BH29">
            <v>17685</v>
          </cell>
          <cell r="BI29">
            <v>20190</v>
          </cell>
        </row>
        <row r="30">
          <cell r="I30">
            <v>12577</v>
          </cell>
          <cell r="J30">
            <v>13422</v>
          </cell>
          <cell r="K30">
            <v>14494</v>
          </cell>
          <cell r="L30">
            <v>15052</v>
          </cell>
          <cell r="M30">
            <v>17312</v>
          </cell>
          <cell r="N30">
            <v>19665</v>
          </cell>
          <cell r="O30">
            <v>22028</v>
          </cell>
          <cell r="P30">
            <v>22297</v>
          </cell>
          <cell r="Q30">
            <v>24436</v>
          </cell>
          <cell r="R30">
            <v>26625</v>
          </cell>
          <cell r="S30">
            <v>28944</v>
          </cell>
          <cell r="T30">
            <v>30795</v>
          </cell>
          <cell r="U30">
            <v>31917</v>
          </cell>
          <cell r="V30">
            <v>35422</v>
          </cell>
          <cell r="W30">
            <v>37913</v>
          </cell>
          <cell r="X30">
            <v>38338</v>
          </cell>
          <cell r="Y30">
            <v>40797</v>
          </cell>
          <cell r="Z30">
            <v>45905</v>
          </cell>
          <cell r="AM30">
            <v>0</v>
          </cell>
          <cell r="AN30">
            <v>0</v>
          </cell>
          <cell r="AO30">
            <v>0</v>
          </cell>
          <cell r="AP30">
            <v>0</v>
          </cell>
          <cell r="AQ30">
            <v>0</v>
          </cell>
          <cell r="AR30">
            <v>0</v>
          </cell>
          <cell r="AS30">
            <v>0</v>
          </cell>
          <cell r="AT30">
            <v>0</v>
          </cell>
          <cell r="AU30">
            <v>0</v>
          </cell>
          <cell r="AV30">
            <v>0</v>
          </cell>
          <cell r="BE30">
            <v>10297</v>
          </cell>
          <cell r="BF30">
            <v>15052</v>
          </cell>
          <cell r="BG30">
            <v>22297</v>
          </cell>
          <cell r="BH30">
            <v>30795</v>
          </cell>
          <cell r="BI30">
            <v>38338</v>
          </cell>
        </row>
        <row r="31">
          <cell r="I31">
            <v>41229</v>
          </cell>
          <cell r="J31">
            <v>45331</v>
          </cell>
          <cell r="K31">
            <v>58687</v>
          </cell>
          <cell r="L31">
            <v>57490</v>
          </cell>
          <cell r="M31">
            <v>63010</v>
          </cell>
          <cell r="N31">
            <v>71871</v>
          </cell>
          <cell r="O31">
            <v>95489</v>
          </cell>
          <cell r="P31">
            <v>93796</v>
          </cell>
          <cell r="Q31">
            <v>111820</v>
          </cell>
          <cell r="R31">
            <v>120088</v>
          </cell>
          <cell r="S31">
            <v>139668</v>
          </cell>
          <cell r="T31">
            <v>136723</v>
          </cell>
          <cell r="U31">
            <v>138000</v>
          </cell>
          <cell r="V31">
            <v>167220</v>
          </cell>
          <cell r="W31">
            <v>198447</v>
          </cell>
          <cell r="X31">
            <v>178190</v>
          </cell>
          <cell r="Y31">
            <v>180426</v>
          </cell>
          <cell r="Z31">
            <v>192570</v>
          </cell>
          <cell r="AM31">
            <v>0</v>
          </cell>
          <cell r="AN31">
            <v>0</v>
          </cell>
          <cell r="AO31">
            <v>0</v>
          </cell>
          <cell r="AP31">
            <v>0</v>
          </cell>
          <cell r="AQ31">
            <v>0</v>
          </cell>
          <cell r="AR31">
            <v>0</v>
          </cell>
          <cell r="AS31">
            <v>0</v>
          </cell>
          <cell r="AT31">
            <v>0</v>
          </cell>
          <cell r="AU31">
            <v>0</v>
          </cell>
          <cell r="AV31">
            <v>0</v>
          </cell>
          <cell r="BE31">
            <v>34648</v>
          </cell>
          <cell r="BF31">
            <v>57490</v>
          </cell>
          <cell r="BG31">
            <v>93796</v>
          </cell>
          <cell r="BH31">
            <v>136723</v>
          </cell>
          <cell r="BI31">
            <v>178190</v>
          </cell>
        </row>
        <row r="32">
          <cell r="I32">
            <v>60838</v>
          </cell>
          <cell r="J32">
            <v>67431</v>
          </cell>
          <cell r="K32">
            <v>92596</v>
          </cell>
          <cell r="L32">
            <v>93564</v>
          </cell>
          <cell r="M32">
            <v>107006</v>
          </cell>
          <cell r="N32">
            <v>119534</v>
          </cell>
          <cell r="O32">
            <v>136438</v>
          </cell>
          <cell r="P32">
            <v>135810</v>
          </cell>
          <cell r="Q32">
            <v>164196</v>
          </cell>
          <cell r="R32">
            <v>168096</v>
          </cell>
          <cell r="S32">
            <v>208772</v>
          </cell>
          <cell r="T32">
            <v>207669</v>
          </cell>
          <cell r="U32">
            <v>210700</v>
          </cell>
          <cell r="V32">
            <v>243949</v>
          </cell>
          <cell r="W32">
            <v>262458</v>
          </cell>
          <cell r="X32">
            <v>241872</v>
          </cell>
          <cell r="Y32">
            <v>248093</v>
          </cell>
          <cell r="Z32">
            <v>262942</v>
          </cell>
          <cell r="AM32">
            <v>0</v>
          </cell>
          <cell r="AN32">
            <v>0</v>
          </cell>
          <cell r="AO32">
            <v>0</v>
          </cell>
          <cell r="AP32">
            <v>0</v>
          </cell>
          <cell r="AQ32">
            <v>0</v>
          </cell>
          <cell r="AR32">
            <v>0</v>
          </cell>
          <cell r="AS32">
            <v>0</v>
          </cell>
          <cell r="AT32">
            <v>0</v>
          </cell>
          <cell r="AU32">
            <v>0</v>
          </cell>
          <cell r="AV32">
            <v>0</v>
          </cell>
          <cell r="BE32">
            <v>52039</v>
          </cell>
          <cell r="BF32">
            <v>93564</v>
          </cell>
          <cell r="BG32">
            <v>135810</v>
          </cell>
          <cell r="BH32">
            <v>207669</v>
          </cell>
          <cell r="BI32">
            <v>241872</v>
          </cell>
        </row>
        <row r="34">
          <cell r="I34">
            <v>74510</v>
          </cell>
          <cell r="J34">
            <v>82575</v>
          </cell>
          <cell r="K34">
            <v>77146</v>
          </cell>
          <cell r="L34">
            <v>76835</v>
          </cell>
          <cell r="M34">
            <v>76863</v>
          </cell>
          <cell r="N34">
            <v>75373</v>
          </cell>
          <cell r="O34">
            <v>122884</v>
          </cell>
          <cell r="P34">
            <v>119525</v>
          </cell>
          <cell r="Q34">
            <v>124400</v>
          </cell>
          <cell r="R34">
            <v>129194</v>
          </cell>
          <cell r="S34">
            <v>113241</v>
          </cell>
          <cell r="T34">
            <v>111834</v>
          </cell>
          <cell r="U34">
            <v>135770</v>
          </cell>
          <cell r="V34">
            <v>140922</v>
          </cell>
          <cell r="W34">
            <v>137572</v>
          </cell>
          <cell r="X34">
            <v>139676</v>
          </cell>
          <cell r="Y34">
            <v>120894</v>
          </cell>
          <cell r="Z34">
            <v>116885</v>
          </cell>
          <cell r="AM34">
            <v>0</v>
          </cell>
          <cell r="AN34">
            <v>0</v>
          </cell>
          <cell r="AO34">
            <v>0</v>
          </cell>
          <cell r="AP34">
            <v>0</v>
          </cell>
          <cell r="AQ34">
            <v>0</v>
          </cell>
          <cell r="AR34">
            <v>0</v>
          </cell>
          <cell r="AS34">
            <v>0</v>
          </cell>
          <cell r="AT34">
            <v>0</v>
          </cell>
          <cell r="AU34">
            <v>0</v>
          </cell>
          <cell r="AV34">
            <v>0</v>
          </cell>
          <cell r="BE34">
            <v>53467</v>
          </cell>
          <cell r="BF34">
            <v>76835</v>
          </cell>
          <cell r="BG34">
            <v>119525</v>
          </cell>
          <cell r="BH34">
            <v>111834</v>
          </cell>
          <cell r="BI34">
            <v>139676</v>
          </cell>
        </row>
        <row r="35">
          <cell r="I35">
            <v>8469</v>
          </cell>
          <cell r="J35">
            <v>10030</v>
          </cell>
          <cell r="K35">
            <v>9734</v>
          </cell>
          <cell r="L35">
            <v>10361</v>
          </cell>
          <cell r="M35">
            <v>12968</v>
          </cell>
          <cell r="N35">
            <v>13523</v>
          </cell>
          <cell r="O35">
            <v>19076</v>
          </cell>
          <cell r="P35">
            <v>19312</v>
          </cell>
          <cell r="Q35">
            <v>26041</v>
          </cell>
          <cell r="R35">
            <v>19628</v>
          </cell>
          <cell r="S35">
            <v>21006</v>
          </cell>
          <cell r="T35">
            <v>22517</v>
          </cell>
          <cell r="U35">
            <v>21874</v>
          </cell>
          <cell r="V35">
            <v>41892</v>
          </cell>
          <cell r="W35">
            <v>43879</v>
          </cell>
          <cell r="X35">
            <v>43898</v>
          </cell>
          <cell r="Y35">
            <v>46557</v>
          </cell>
          <cell r="Z35">
            <v>48374</v>
          </cell>
          <cell r="AM35">
            <v>0</v>
          </cell>
          <cell r="AN35">
            <v>0</v>
          </cell>
          <cell r="AO35">
            <v>0</v>
          </cell>
          <cell r="AP35">
            <v>0</v>
          </cell>
          <cell r="AQ35">
            <v>0</v>
          </cell>
          <cell r="AR35">
            <v>0</v>
          </cell>
          <cell r="AS35">
            <v>0</v>
          </cell>
          <cell r="AT35">
            <v>0</v>
          </cell>
          <cell r="AU35">
            <v>0</v>
          </cell>
          <cell r="AV35">
            <v>0</v>
          </cell>
          <cell r="BE35">
            <v>6471</v>
          </cell>
          <cell r="BF35">
            <v>10361</v>
          </cell>
          <cell r="BG35">
            <v>19312</v>
          </cell>
          <cell r="BH35">
            <v>22517</v>
          </cell>
          <cell r="BI35">
            <v>43898</v>
          </cell>
        </row>
        <row r="36">
          <cell r="I36">
            <v>3057</v>
          </cell>
          <cell r="J36">
            <v>3294</v>
          </cell>
          <cell r="K36">
            <v>1831</v>
          </cell>
          <cell r="L36">
            <v>1931</v>
          </cell>
          <cell r="M36">
            <v>2472</v>
          </cell>
          <cell r="N36">
            <v>2395</v>
          </cell>
          <cell r="O36">
            <v>3084</v>
          </cell>
          <cell r="P36">
            <v>3038</v>
          </cell>
          <cell r="Q36">
            <v>6276</v>
          </cell>
          <cell r="R36">
            <v>6501</v>
          </cell>
          <cell r="S36">
            <v>6837</v>
          </cell>
          <cell r="T36">
            <v>7654</v>
          </cell>
          <cell r="U36">
            <v>5453</v>
          </cell>
          <cell r="V36">
            <v>5077</v>
          </cell>
          <cell r="W36">
            <v>8476</v>
          </cell>
          <cell r="X36">
            <v>7888</v>
          </cell>
          <cell r="Y36">
            <v>25151</v>
          </cell>
          <cell r="Z36">
            <v>24202</v>
          </cell>
          <cell r="AM36">
            <v>0</v>
          </cell>
          <cell r="AN36">
            <v>0</v>
          </cell>
          <cell r="AO36">
            <v>0</v>
          </cell>
          <cell r="AP36">
            <v>0</v>
          </cell>
          <cell r="AQ36">
            <v>0</v>
          </cell>
          <cell r="AR36">
            <v>0</v>
          </cell>
          <cell r="AS36">
            <v>0</v>
          </cell>
          <cell r="AT36">
            <v>0</v>
          </cell>
          <cell r="AU36">
            <v>0</v>
          </cell>
          <cell r="AV36">
            <v>0</v>
          </cell>
          <cell r="BE36">
            <v>2584</v>
          </cell>
          <cell r="BF36">
            <v>1931</v>
          </cell>
          <cell r="BG36">
            <v>3038</v>
          </cell>
          <cell r="BH36">
            <v>7654</v>
          </cell>
          <cell r="BI36">
            <v>7888</v>
          </cell>
        </row>
        <row r="37">
          <cell r="I37">
            <v>146874</v>
          </cell>
          <cell r="J37">
            <v>163330</v>
          </cell>
          <cell r="K37">
            <v>181307</v>
          </cell>
          <cell r="L37">
            <v>182691</v>
          </cell>
          <cell r="M37">
            <v>199309</v>
          </cell>
          <cell r="N37">
            <v>210825</v>
          </cell>
          <cell r="O37">
            <v>281482</v>
          </cell>
          <cell r="P37">
            <v>277685</v>
          </cell>
          <cell r="Q37">
            <v>320913</v>
          </cell>
          <cell r="R37">
            <v>323419</v>
          </cell>
          <cell r="S37">
            <v>349856</v>
          </cell>
          <cell r="T37">
            <v>349674</v>
          </cell>
          <cell r="U37">
            <v>373797</v>
          </cell>
          <cell r="V37">
            <v>431840</v>
          </cell>
          <cell r="W37">
            <v>452385</v>
          </cell>
          <cell r="X37">
            <v>433334</v>
          </cell>
          <cell r="Y37">
            <v>440695</v>
          </cell>
          <cell r="Z37">
            <v>452403</v>
          </cell>
          <cell r="AM37">
            <v>0</v>
          </cell>
          <cell r="AN37">
            <v>0</v>
          </cell>
          <cell r="AO37">
            <v>0</v>
          </cell>
          <cell r="AP37">
            <v>0</v>
          </cell>
          <cell r="AQ37">
            <v>0</v>
          </cell>
          <cell r="AR37">
            <v>0</v>
          </cell>
          <cell r="AS37">
            <v>0</v>
          </cell>
          <cell r="AT37">
            <v>0</v>
          </cell>
          <cell r="AU37">
            <v>0</v>
          </cell>
          <cell r="AV37">
            <v>0</v>
          </cell>
          <cell r="BE37">
            <v>114561</v>
          </cell>
          <cell r="BF37">
            <v>182691</v>
          </cell>
          <cell r="BG37">
            <v>277685</v>
          </cell>
          <cell r="BH37">
            <v>349674</v>
          </cell>
          <cell r="BI37">
            <v>433334</v>
          </cell>
        </row>
        <row r="39">
          <cell r="I39">
            <v>4424</v>
          </cell>
          <cell r="J39">
            <v>3863</v>
          </cell>
          <cell r="K39">
            <v>3547</v>
          </cell>
          <cell r="L39">
            <v>2992</v>
          </cell>
          <cell r="M39">
            <v>763</v>
          </cell>
          <cell r="N39">
            <v>898</v>
          </cell>
          <cell r="O39">
            <v>2979</v>
          </cell>
          <cell r="P39">
            <v>3001</v>
          </cell>
          <cell r="Q39">
            <v>3155</v>
          </cell>
          <cell r="R39">
            <v>6001</v>
          </cell>
          <cell r="S39">
            <v>7165</v>
          </cell>
          <cell r="T39">
            <v>6819</v>
          </cell>
          <cell r="U39">
            <v>7091</v>
          </cell>
          <cell r="V39">
            <v>7506</v>
          </cell>
          <cell r="W39">
            <v>7795</v>
          </cell>
          <cell r="X39">
            <v>9103</v>
          </cell>
          <cell r="Y39">
            <v>7820</v>
          </cell>
          <cell r="Z39">
            <v>8033</v>
          </cell>
          <cell r="AM39">
            <v>0</v>
          </cell>
          <cell r="AN39">
            <v>0</v>
          </cell>
          <cell r="AO39">
            <v>0</v>
          </cell>
          <cell r="AP39">
            <v>0</v>
          </cell>
          <cell r="AQ39">
            <v>0</v>
          </cell>
          <cell r="AR39">
            <v>0</v>
          </cell>
          <cell r="AS39">
            <v>0</v>
          </cell>
          <cell r="AT39">
            <v>0</v>
          </cell>
          <cell r="AU39">
            <v>0</v>
          </cell>
          <cell r="AV39">
            <v>0</v>
          </cell>
          <cell r="BE39">
            <v>350</v>
          </cell>
          <cell r="BF39">
            <v>2992</v>
          </cell>
          <cell r="BG39">
            <v>3001</v>
          </cell>
          <cell r="BH39">
            <v>6819</v>
          </cell>
          <cell r="BI39">
            <v>9103</v>
          </cell>
        </row>
        <row r="40">
          <cell r="I40">
            <v>150554</v>
          </cell>
          <cell r="J40">
            <v>154928</v>
          </cell>
          <cell r="K40">
            <v>158597</v>
          </cell>
          <cell r="L40">
            <v>164586</v>
          </cell>
          <cell r="M40">
            <v>170708</v>
          </cell>
          <cell r="N40">
            <v>175187</v>
          </cell>
          <cell r="O40">
            <v>179687</v>
          </cell>
          <cell r="P40">
            <v>186765</v>
          </cell>
          <cell r="Q40">
            <v>203368</v>
          </cell>
          <cell r="R40">
            <v>212683</v>
          </cell>
          <cell r="S40">
            <v>225329</v>
          </cell>
          <cell r="T40">
            <v>231784</v>
          </cell>
          <cell r="U40">
            <v>238024</v>
          </cell>
          <cell r="V40">
            <v>246074</v>
          </cell>
          <cell r="W40">
            <v>337047</v>
          </cell>
          <cell r="X40">
            <v>343708</v>
          </cell>
          <cell r="Y40">
            <v>349743</v>
          </cell>
          <cell r="Z40">
            <v>377770</v>
          </cell>
          <cell r="AM40">
            <v>0</v>
          </cell>
          <cell r="AN40">
            <v>0</v>
          </cell>
          <cell r="AO40">
            <v>0</v>
          </cell>
          <cell r="AP40">
            <v>0</v>
          </cell>
          <cell r="AQ40">
            <v>0</v>
          </cell>
          <cell r="AR40">
            <v>0</v>
          </cell>
          <cell r="AS40">
            <v>0</v>
          </cell>
          <cell r="AT40">
            <v>0</v>
          </cell>
          <cell r="AU40">
            <v>0</v>
          </cell>
          <cell r="AV40">
            <v>0</v>
          </cell>
          <cell r="BE40">
            <v>132207</v>
          </cell>
          <cell r="BF40">
            <v>164586</v>
          </cell>
          <cell r="BG40">
            <v>186765</v>
          </cell>
          <cell r="BH40">
            <v>231784</v>
          </cell>
          <cell r="BI40">
            <v>343708</v>
          </cell>
        </row>
        <row r="41">
          <cell r="I41">
            <v>72992</v>
          </cell>
          <cell r="J41">
            <v>80484</v>
          </cell>
          <cell r="K41">
            <v>97969</v>
          </cell>
          <cell r="L41">
            <v>108558</v>
          </cell>
          <cell r="M41">
            <v>123271</v>
          </cell>
          <cell r="N41">
            <v>140872</v>
          </cell>
          <cell r="O41">
            <v>164879</v>
          </cell>
          <cell r="P41">
            <v>172353</v>
          </cell>
          <cell r="Q41">
            <v>189119</v>
          </cell>
          <cell r="R41">
            <v>207847</v>
          </cell>
          <cell r="S41">
            <v>232850</v>
          </cell>
          <cell r="T41">
            <v>257886</v>
          </cell>
          <cell r="U41">
            <v>279236</v>
          </cell>
          <cell r="V41">
            <v>351412</v>
          </cell>
          <cell r="W41">
            <v>403198</v>
          </cell>
          <cell r="X41">
            <v>406287</v>
          </cell>
          <cell r="Y41">
            <v>453528</v>
          </cell>
          <cell r="Z41">
            <v>481920</v>
          </cell>
          <cell r="AM41">
            <v>0</v>
          </cell>
          <cell r="AN41">
            <v>0</v>
          </cell>
          <cell r="AO41">
            <v>0</v>
          </cell>
          <cell r="AP41">
            <v>0</v>
          </cell>
          <cell r="AQ41">
            <v>0</v>
          </cell>
          <cell r="AR41">
            <v>0</v>
          </cell>
          <cell r="AS41">
            <v>0</v>
          </cell>
          <cell r="AT41">
            <v>0</v>
          </cell>
          <cell r="AU41">
            <v>0</v>
          </cell>
          <cell r="AV41">
            <v>0</v>
          </cell>
          <cell r="BE41">
            <v>78752</v>
          </cell>
          <cell r="BF41">
            <v>108558</v>
          </cell>
          <cell r="BG41">
            <v>172353</v>
          </cell>
          <cell r="BH41">
            <v>257886</v>
          </cell>
          <cell r="BI41">
            <v>406287</v>
          </cell>
        </row>
        <row r="43">
          <cell r="I43">
            <v>229671</v>
          </cell>
          <cell r="J43">
            <v>250279</v>
          </cell>
          <cell r="K43">
            <v>267232</v>
          </cell>
          <cell r="L43">
            <v>281791</v>
          </cell>
          <cell r="M43">
            <v>299383</v>
          </cell>
          <cell r="N43">
            <v>323070</v>
          </cell>
          <cell r="O43">
            <v>352940</v>
          </cell>
          <cell r="P43">
            <v>368823</v>
          </cell>
          <cell r="Q43">
            <v>396244</v>
          </cell>
          <cell r="R43">
            <v>427561</v>
          </cell>
          <cell r="S43">
            <v>468058</v>
          </cell>
          <cell r="T43">
            <v>499076</v>
          </cell>
          <cell r="U43">
            <v>528124</v>
          </cell>
          <cell r="V43">
            <v>610305</v>
          </cell>
          <cell r="W43">
            <v>751911</v>
          </cell>
          <cell r="X43">
            <v>764504</v>
          </cell>
          <cell r="Y43">
            <v>816523</v>
          </cell>
          <cell r="Z43">
            <v>865436</v>
          </cell>
          <cell r="AM43">
            <v>0</v>
          </cell>
          <cell r="AN43">
            <v>0</v>
          </cell>
          <cell r="AO43">
            <v>0</v>
          </cell>
          <cell r="AP43">
            <v>0</v>
          </cell>
          <cell r="AQ43">
            <v>0</v>
          </cell>
          <cell r="AR43">
            <v>0</v>
          </cell>
          <cell r="AS43">
            <v>0</v>
          </cell>
          <cell r="AT43">
            <v>0</v>
          </cell>
          <cell r="AU43">
            <v>0</v>
          </cell>
          <cell r="AV43">
            <v>0</v>
          </cell>
          <cell r="BE43">
            <v>217337</v>
          </cell>
          <cell r="BF43">
            <v>281791</v>
          </cell>
          <cell r="BG43">
            <v>368823</v>
          </cell>
          <cell r="BH43">
            <v>499076</v>
          </cell>
          <cell r="BI43">
            <v>764504</v>
          </cell>
        </row>
        <row r="44">
          <cell r="I44">
            <v>33425</v>
          </cell>
          <cell r="J44">
            <v>42793</v>
          </cell>
          <cell r="K44">
            <v>42327</v>
          </cell>
          <cell r="L44">
            <v>42330</v>
          </cell>
          <cell r="M44">
            <v>45022</v>
          </cell>
          <cell r="N44">
            <v>44929</v>
          </cell>
          <cell r="O44">
            <v>77010</v>
          </cell>
          <cell r="P44">
            <v>70616</v>
          </cell>
          <cell r="Q44">
            <v>79505</v>
          </cell>
          <cell r="R44">
            <v>73787</v>
          </cell>
          <cell r="S44">
            <v>100029</v>
          </cell>
          <cell r="T44">
            <v>116326</v>
          </cell>
          <cell r="U44">
            <v>116933</v>
          </cell>
          <cell r="V44">
            <v>117432</v>
          </cell>
          <cell r="W44">
            <v>115199</v>
          </cell>
          <cell r="X44">
            <v>115147</v>
          </cell>
          <cell r="Y44">
            <v>111959</v>
          </cell>
          <cell r="Z44">
            <v>115787</v>
          </cell>
          <cell r="AM44">
            <v>0</v>
          </cell>
          <cell r="AN44">
            <v>0</v>
          </cell>
          <cell r="AO44">
            <v>0</v>
          </cell>
          <cell r="AP44">
            <v>0</v>
          </cell>
          <cell r="AQ44">
            <v>0</v>
          </cell>
          <cell r="AR44">
            <v>0</v>
          </cell>
          <cell r="AS44">
            <v>0</v>
          </cell>
          <cell r="AT44">
            <v>0</v>
          </cell>
          <cell r="AU44">
            <v>0</v>
          </cell>
          <cell r="AV44">
            <v>0</v>
          </cell>
          <cell r="BE44">
            <v>32552</v>
          </cell>
          <cell r="BF44">
            <v>42330</v>
          </cell>
          <cell r="BG44">
            <v>70616</v>
          </cell>
          <cell r="BH44">
            <v>116326</v>
          </cell>
          <cell r="BI44">
            <v>115147</v>
          </cell>
        </row>
        <row r="45">
          <cell r="I45">
            <v>263096</v>
          </cell>
          <cell r="J45">
            <v>293072</v>
          </cell>
          <cell r="K45">
            <v>309559</v>
          </cell>
          <cell r="L45">
            <v>324121</v>
          </cell>
          <cell r="M45">
            <v>344405</v>
          </cell>
          <cell r="N45">
            <v>367999</v>
          </cell>
          <cell r="O45">
            <v>429950</v>
          </cell>
          <cell r="P45">
            <v>439439</v>
          </cell>
          <cell r="Q45">
            <v>475749</v>
          </cell>
          <cell r="R45">
            <v>501348</v>
          </cell>
          <cell r="S45">
            <v>568087</v>
          </cell>
          <cell r="T45">
            <v>615402</v>
          </cell>
          <cell r="U45">
            <v>645057</v>
          </cell>
          <cell r="V45">
            <v>727737</v>
          </cell>
          <cell r="W45">
            <v>867110</v>
          </cell>
          <cell r="X45">
            <v>879651</v>
          </cell>
          <cell r="Y45">
            <v>928482</v>
          </cell>
          <cell r="Z45">
            <v>981223</v>
          </cell>
          <cell r="AM45">
            <v>0</v>
          </cell>
          <cell r="AN45">
            <v>0</v>
          </cell>
          <cell r="AO45">
            <v>0</v>
          </cell>
          <cell r="AP45">
            <v>0</v>
          </cell>
          <cell r="AQ45">
            <v>0</v>
          </cell>
          <cell r="AR45">
            <v>0</v>
          </cell>
          <cell r="AS45">
            <v>0</v>
          </cell>
          <cell r="AT45">
            <v>0</v>
          </cell>
          <cell r="AU45">
            <v>0</v>
          </cell>
          <cell r="AV45">
            <v>0</v>
          </cell>
          <cell r="BE45">
            <v>249889</v>
          </cell>
          <cell r="BF45">
            <v>324121</v>
          </cell>
          <cell r="BG45">
            <v>439439</v>
          </cell>
          <cell r="BH45">
            <v>615402</v>
          </cell>
          <cell r="BI45">
            <v>879651</v>
          </cell>
        </row>
        <row r="46">
          <cell r="I46">
            <v>409970</v>
          </cell>
          <cell r="J46">
            <v>456402</v>
          </cell>
          <cell r="K46">
            <v>490866</v>
          </cell>
          <cell r="L46">
            <v>506812</v>
          </cell>
          <cell r="M46">
            <v>543714</v>
          </cell>
          <cell r="N46">
            <v>578824</v>
          </cell>
          <cell r="O46">
            <v>711432</v>
          </cell>
          <cell r="P46">
            <v>717124</v>
          </cell>
          <cell r="Q46">
            <v>796662</v>
          </cell>
          <cell r="R46">
            <v>824767</v>
          </cell>
          <cell r="S46">
            <v>917943</v>
          </cell>
          <cell r="T46">
            <v>965076</v>
          </cell>
          <cell r="U46">
            <v>1018854</v>
          </cell>
          <cell r="V46">
            <v>1159577</v>
          </cell>
          <cell r="W46">
            <v>1319495</v>
          </cell>
          <cell r="X46">
            <v>1312985</v>
          </cell>
          <cell r="Y46">
            <v>1369177</v>
          </cell>
          <cell r="Z46">
            <v>1433626</v>
          </cell>
          <cell r="AM46">
            <v>0</v>
          </cell>
          <cell r="AN46">
            <v>0</v>
          </cell>
          <cell r="AO46">
            <v>0</v>
          </cell>
          <cell r="AP46">
            <v>0</v>
          </cell>
          <cell r="AQ46">
            <v>0</v>
          </cell>
          <cell r="AR46">
            <v>0</v>
          </cell>
          <cell r="AS46">
            <v>0</v>
          </cell>
          <cell r="AT46">
            <v>0</v>
          </cell>
          <cell r="AU46">
            <v>0</v>
          </cell>
          <cell r="AV46">
            <v>0</v>
          </cell>
          <cell r="BE46">
            <v>364450</v>
          </cell>
          <cell r="BF46">
            <v>506812</v>
          </cell>
          <cell r="BG46">
            <v>717124</v>
          </cell>
          <cell r="BH46">
            <v>965076</v>
          </cell>
          <cell r="BI46">
            <v>1312985</v>
          </cell>
        </row>
        <row r="48">
          <cell r="I48">
            <v>90.268504789003316</v>
          </cell>
          <cell r="J48">
            <v>98.752976684931795</v>
          </cell>
          <cell r="K48">
            <v>105.67365210524576</v>
          </cell>
          <cell r="L48">
            <v>110.22493368589399</v>
          </cell>
          <cell r="M48">
            <v>116.5958782642512</v>
          </cell>
          <cell r="N48">
            <v>125.79173294538322</v>
          </cell>
          <cell r="O48">
            <v>136.64192000949572</v>
          </cell>
          <cell r="P48">
            <v>142.23638370061093</v>
          </cell>
          <cell r="Q48">
            <v>151.64394194239296</v>
          </cell>
          <cell r="R48">
            <v>162.62732553391362</v>
          </cell>
          <cell r="S48">
            <v>177.80103572894515</v>
          </cell>
          <cell r="T48">
            <v>191.39596724995116</v>
          </cell>
          <cell r="U48">
            <v>200.12244774613683</v>
          </cell>
          <cell r="V48">
            <v>231.52777535957134</v>
          </cell>
          <cell r="W48">
            <v>277.37340008640473</v>
          </cell>
          <cell r="X48">
            <v>281.18413463926044</v>
          </cell>
          <cell r="Y48">
            <v>301.44856179791856</v>
          </cell>
          <cell r="Z48">
            <v>316.89506020208916</v>
          </cell>
          <cell r="AM48">
            <v>0</v>
          </cell>
          <cell r="AN48">
            <v>0</v>
          </cell>
          <cell r="AO48">
            <v>0</v>
          </cell>
          <cell r="AP48">
            <v>0</v>
          </cell>
          <cell r="AQ48">
            <v>0</v>
          </cell>
          <cell r="AR48">
            <v>0</v>
          </cell>
          <cell r="AS48">
            <v>0</v>
          </cell>
          <cell r="AT48">
            <v>0</v>
          </cell>
          <cell r="AU48">
            <v>0</v>
          </cell>
          <cell r="AV48">
            <v>0</v>
          </cell>
        </row>
        <row r="49">
          <cell r="I49">
            <v>6.0485240598463408</v>
          </cell>
          <cell r="J49">
            <v>6.9435028248587569</v>
          </cell>
          <cell r="K49">
            <v>15.056740442655936</v>
          </cell>
          <cell r="L49">
            <v>4.2761639474731394</v>
          </cell>
          <cell r="M49">
            <v>9.9532048761305543</v>
          </cell>
          <cell r="N49">
            <v>11.954153605015675</v>
          </cell>
          <cell r="O49">
            <v>21.577238951896753</v>
          </cell>
          <cell r="P49">
            <v>5.6183593749999998</v>
          </cell>
          <cell r="Q49">
            <v>13.993413405656723</v>
          </cell>
          <cell r="R49">
            <v>12.154411764705882</v>
          </cell>
          <cell r="S49">
            <v>25.19332298136646</v>
          </cell>
          <cell r="T49">
            <v>7.1938735944164405</v>
          </cell>
          <cell r="U49">
            <v>13.322330132506108</v>
          </cell>
          <cell r="V49">
            <v>18.202307692307691</v>
          </cell>
          <cell r="W49">
            <v>36.666033434650458</v>
          </cell>
          <cell r="X49">
            <v>0.8066431010581413</v>
          </cell>
          <cell r="Y49">
            <v>18.569611063193598</v>
          </cell>
          <cell r="Z49">
            <v>20.118716672743339</v>
          </cell>
          <cell r="AA49">
            <v>22.490000000000002</v>
          </cell>
          <cell r="AB49">
            <v>22.490000000000002</v>
          </cell>
          <cell r="AC49">
            <v>22.490000000000002</v>
          </cell>
          <cell r="AD49">
            <v>22.490000000000002</v>
          </cell>
          <cell r="AE49">
            <v>22.490000000000002</v>
          </cell>
          <cell r="AF49">
            <v>22.490000000000002</v>
          </cell>
          <cell r="AG49">
            <v>22.490000000000002</v>
          </cell>
          <cell r="AH49">
            <v>22.490000000000002</v>
          </cell>
          <cell r="AI49">
            <v>22.490000000000002</v>
          </cell>
          <cell r="AJ49">
            <v>22.490000000000002</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E49">
            <v>23.122864117168429</v>
          </cell>
          <cell r="BF49">
            <v>32.220617729643003</v>
          </cell>
          <cell r="BG49">
            <v>49.277320799059929</v>
          </cell>
          <cell r="BH49">
            <v>58.517441860465119</v>
          </cell>
          <cell r="BI49">
            <v>68.750285496764377</v>
          </cell>
        </row>
        <row r="50">
          <cell r="B50" t="str">
            <v>SHARES OUTSTANDING</v>
          </cell>
          <cell r="I50">
            <v>2603.5709929999998</v>
          </cell>
          <cell r="J50">
            <v>2603.5709929999998</v>
          </cell>
          <cell r="K50">
            <v>2682.723</v>
          </cell>
          <cell r="L50">
            <v>2686.4993679999998</v>
          </cell>
          <cell r="M50">
            <v>2603.5709929999998</v>
          </cell>
          <cell r="N50">
            <v>2603.5709929999998</v>
          </cell>
          <cell r="O50">
            <v>2682.723</v>
          </cell>
          <cell r="P50">
            <v>2686.4993679999998</v>
          </cell>
          <cell r="Q50">
            <v>2603.5709929999998</v>
          </cell>
          <cell r="R50">
            <v>2603.5709929999998</v>
          </cell>
          <cell r="S50">
            <v>2682.723</v>
          </cell>
          <cell r="T50">
            <v>2686.4993679999998</v>
          </cell>
          <cell r="U50">
            <v>2603.5709929999998</v>
          </cell>
          <cell r="V50">
            <v>2603.5709929999998</v>
          </cell>
          <cell r="W50">
            <v>2682.723</v>
          </cell>
          <cell r="X50">
            <v>2686.4993679999998</v>
          </cell>
          <cell r="Y50">
            <v>2682.7230330000002</v>
          </cell>
          <cell r="Z50">
            <v>2705.6370000000002</v>
          </cell>
          <cell r="AM50" t="str">
            <v>#N/A N/A</v>
          </cell>
          <cell r="AN50" t="str">
            <v>#N/A N/A</v>
          </cell>
          <cell r="AO50" t="str">
            <v>#N/A N/A</v>
          </cell>
          <cell r="AP50" t="str">
            <v>#N/A N/A</v>
          </cell>
          <cell r="AQ50" t="str">
            <v>#N/A N/A</v>
          </cell>
          <cell r="AR50" t="str">
            <v>#N/A N/A</v>
          </cell>
          <cell r="AS50" t="str">
            <v>#N/A N/A</v>
          </cell>
          <cell r="AT50" t="str">
            <v>#N/A N/A</v>
          </cell>
          <cell r="AU50" t="str">
            <v>#N/A N/A</v>
          </cell>
          <cell r="AV50" t="str">
            <v>#N/A N/A</v>
          </cell>
          <cell r="AW50" t="str">
            <v>#N/A N/A</v>
          </cell>
          <cell r="AX50" t="str">
            <v>#N/A N/A</v>
          </cell>
          <cell r="AY50" t="str">
            <v>#N/A N/A</v>
          </cell>
          <cell r="AZ50" t="str">
            <v>#N/A N/A</v>
          </cell>
          <cell r="BA50" t="str">
            <v>#N/A N/A</v>
          </cell>
          <cell r="BB50" t="str">
            <v>#N/A N/A</v>
          </cell>
          <cell r="BE50">
            <v>2473.9278589999999</v>
          </cell>
          <cell r="BF50">
            <v>2529.3641889999999</v>
          </cell>
          <cell r="BG50">
            <v>2571.9298429999999</v>
          </cell>
          <cell r="BH50">
            <v>2571.9298429999999</v>
          </cell>
          <cell r="BI50">
            <v>2686.4993679999998</v>
          </cell>
        </row>
      </sheetData>
      <sheetData sheetId="4" refreshError="1">
        <row r="10">
          <cell r="I10">
            <v>12498</v>
          </cell>
          <cell r="J10">
            <v>5365</v>
          </cell>
          <cell r="K10">
            <v>7550</v>
          </cell>
          <cell r="L10">
            <v>7623</v>
          </cell>
          <cell r="M10">
            <v>17855</v>
          </cell>
          <cell r="N10">
            <v>10647</v>
          </cell>
          <cell r="O10">
            <v>14683</v>
          </cell>
          <cell r="P10">
            <v>17668</v>
          </cell>
          <cell r="Q10">
            <v>24073</v>
          </cell>
          <cell r="R10">
            <v>7669</v>
          </cell>
          <cell r="S10">
            <v>8720</v>
          </cell>
          <cell r="T10">
            <v>20133</v>
          </cell>
          <cell r="U10">
            <v>33120</v>
          </cell>
          <cell r="V10">
            <v>25913</v>
          </cell>
          <cell r="W10">
            <v>21448</v>
          </cell>
          <cell r="X10">
            <v>72591</v>
          </cell>
          <cell r="Y10">
            <v>52174</v>
          </cell>
          <cell r="Z10">
            <v>3220</v>
          </cell>
          <cell r="AA10">
            <v>47533</v>
          </cell>
          <cell r="AB10">
            <v>28876</v>
          </cell>
          <cell r="AP10">
            <v>0</v>
          </cell>
          <cell r="AQ10">
            <v>0</v>
          </cell>
          <cell r="AR10">
            <v>0</v>
          </cell>
          <cell r="AS10">
            <v>0</v>
          </cell>
          <cell r="AT10">
            <v>0</v>
          </cell>
          <cell r="AU10">
            <v>0</v>
          </cell>
          <cell r="AV10">
            <v>0</v>
          </cell>
          <cell r="AW10">
            <v>0</v>
          </cell>
          <cell r="AX10">
            <v>0</v>
          </cell>
          <cell r="AY10">
            <v>0</v>
          </cell>
          <cell r="AZ10">
            <v>0</v>
          </cell>
          <cell r="BH10">
            <v>71460</v>
          </cell>
          <cell r="BI10">
            <v>43675</v>
          </cell>
          <cell r="BJ10">
            <v>64093</v>
          </cell>
          <cell r="BK10">
            <v>87886</v>
          </cell>
          <cell r="BL10">
            <v>149433</v>
          </cell>
        </row>
        <row r="11">
          <cell r="I11">
            <v>1852</v>
          </cell>
          <cell r="J11">
            <v>1833</v>
          </cell>
          <cell r="K11">
            <v>2455</v>
          </cell>
          <cell r="L11">
            <v>2579</v>
          </cell>
          <cell r="M11">
            <v>2613</v>
          </cell>
          <cell r="N11">
            <v>2759</v>
          </cell>
          <cell r="O11">
            <v>3592</v>
          </cell>
          <cell r="P11">
            <v>3761</v>
          </cell>
          <cell r="Q11">
            <v>4578</v>
          </cell>
          <cell r="R11">
            <v>3978</v>
          </cell>
          <cell r="S11">
            <v>4961</v>
          </cell>
          <cell r="T11">
            <v>6166</v>
          </cell>
          <cell r="U11">
            <v>6950</v>
          </cell>
          <cell r="V11">
            <v>7612</v>
          </cell>
          <cell r="W11">
            <v>7748</v>
          </cell>
          <cell r="X11">
            <v>8016</v>
          </cell>
          <cell r="Y11">
            <v>8490</v>
          </cell>
          <cell r="Z11">
            <v>9657</v>
          </cell>
          <cell r="AA11">
            <v>8619</v>
          </cell>
          <cell r="AB11">
            <v>9197</v>
          </cell>
          <cell r="AP11">
            <v>0</v>
          </cell>
          <cell r="AQ11">
            <v>0</v>
          </cell>
          <cell r="AR11">
            <v>0</v>
          </cell>
          <cell r="AS11">
            <v>0</v>
          </cell>
          <cell r="AT11">
            <v>0</v>
          </cell>
          <cell r="AU11">
            <v>0</v>
          </cell>
          <cell r="AV11">
            <v>0</v>
          </cell>
          <cell r="AW11">
            <v>0</v>
          </cell>
          <cell r="AX11">
            <v>0</v>
          </cell>
          <cell r="AY11">
            <v>0</v>
          </cell>
          <cell r="AZ11">
            <v>0</v>
          </cell>
          <cell r="BH11">
            <v>7048</v>
          </cell>
          <cell r="BI11">
            <v>14292</v>
          </cell>
          <cell r="BJ11">
            <v>22020</v>
          </cell>
          <cell r="BK11">
            <v>37080</v>
          </cell>
          <cell r="BL11">
            <v>42427</v>
          </cell>
        </row>
        <row r="12">
          <cell r="W12">
            <v>0</v>
          </cell>
          <cell r="X12">
            <v>0</v>
          </cell>
          <cell r="Y12">
            <v>0</v>
          </cell>
          <cell r="Z12">
            <v>0</v>
          </cell>
          <cell r="AA12">
            <v>0</v>
          </cell>
          <cell r="AB12">
            <v>0</v>
          </cell>
          <cell r="AP12">
            <v>0</v>
          </cell>
          <cell r="AQ12">
            <v>0</v>
          </cell>
          <cell r="AR12">
            <v>0</v>
          </cell>
          <cell r="AS12">
            <v>0</v>
          </cell>
          <cell r="AT12">
            <v>0</v>
          </cell>
          <cell r="AU12">
            <v>0</v>
          </cell>
          <cell r="AV12">
            <v>0</v>
          </cell>
          <cell r="AW12">
            <v>0</v>
          </cell>
          <cell r="AX12">
            <v>0</v>
          </cell>
          <cell r="AY12">
            <v>0</v>
          </cell>
          <cell r="AZ12">
            <v>0</v>
          </cell>
          <cell r="BH12">
            <v>1295</v>
          </cell>
          <cell r="BI12">
            <v>5177</v>
          </cell>
          <cell r="BJ12">
            <v>8654</v>
          </cell>
          <cell r="BK12">
            <v>14818</v>
          </cell>
          <cell r="BL12">
            <v>20325</v>
          </cell>
        </row>
        <row r="13">
          <cell r="W13">
            <v>3066</v>
          </cell>
          <cell r="X13">
            <v>3006</v>
          </cell>
          <cell r="Y13">
            <v>3272</v>
          </cell>
          <cell r="Z13">
            <v>4044</v>
          </cell>
          <cell r="AA13">
            <v>2952</v>
          </cell>
          <cell r="AB13">
            <v>2888</v>
          </cell>
          <cell r="AP13">
            <v>0</v>
          </cell>
          <cell r="AQ13">
            <v>0</v>
          </cell>
          <cell r="AR13">
            <v>0</v>
          </cell>
          <cell r="AS13">
            <v>0</v>
          </cell>
          <cell r="AT13">
            <v>0</v>
          </cell>
          <cell r="AU13">
            <v>0</v>
          </cell>
          <cell r="AV13">
            <v>0</v>
          </cell>
          <cell r="AW13">
            <v>0</v>
          </cell>
          <cell r="AX13">
            <v>0</v>
          </cell>
          <cell r="AY13">
            <v>0</v>
          </cell>
          <cell r="AZ13">
            <v>0</v>
          </cell>
          <cell r="BH13">
            <v>2931</v>
          </cell>
          <cell r="BI13">
            <v>5122</v>
          </cell>
          <cell r="BJ13">
            <v>7120</v>
          </cell>
          <cell r="BK13">
            <v>10727</v>
          </cell>
          <cell r="BL13">
            <v>13388</v>
          </cell>
        </row>
        <row r="14">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P14">
            <v>0</v>
          </cell>
          <cell r="AQ14">
            <v>0</v>
          </cell>
          <cell r="AR14">
            <v>0</v>
          </cell>
          <cell r="AS14">
            <v>0</v>
          </cell>
          <cell r="AT14">
            <v>0</v>
          </cell>
          <cell r="AU14">
            <v>0</v>
          </cell>
          <cell r="AV14">
            <v>0</v>
          </cell>
          <cell r="AW14">
            <v>0</v>
          </cell>
          <cell r="AX14">
            <v>0</v>
          </cell>
          <cell r="AY14">
            <v>0</v>
          </cell>
          <cell r="AZ14">
            <v>0</v>
          </cell>
          <cell r="BH14">
            <v>1226</v>
          </cell>
          <cell r="BI14">
            <v>281</v>
          </cell>
          <cell r="BJ14">
            <v>976</v>
          </cell>
          <cell r="BK14">
            <v>-2197</v>
          </cell>
          <cell r="BL14">
            <v>-3443</v>
          </cell>
        </row>
        <row r="15">
          <cell r="I15">
            <v>0</v>
          </cell>
          <cell r="J15">
            <v>-2116</v>
          </cell>
          <cell r="K15">
            <v>4953</v>
          </cell>
          <cell r="L15">
            <v>0</v>
          </cell>
          <cell r="M15">
            <v>0</v>
          </cell>
          <cell r="N15">
            <v>0</v>
          </cell>
          <cell r="O15">
            <v>0</v>
          </cell>
          <cell r="P15">
            <v>0</v>
          </cell>
          <cell r="Q15">
            <v>0</v>
          </cell>
          <cell r="R15">
            <v>2736</v>
          </cell>
          <cell r="S15">
            <v>22436</v>
          </cell>
          <cell r="T15">
            <v>0</v>
          </cell>
          <cell r="U15">
            <v>0</v>
          </cell>
          <cell r="V15">
            <v>-14972</v>
          </cell>
          <cell r="W15">
            <v>5416</v>
          </cell>
          <cell r="X15">
            <v>-33281</v>
          </cell>
          <cell r="Y15">
            <v>0</v>
          </cell>
          <cell r="Z15">
            <v>0</v>
          </cell>
          <cell r="AA15">
            <v>-6053</v>
          </cell>
          <cell r="AB15">
            <v>16223</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H15">
            <v>-29851</v>
          </cell>
          <cell r="BI15">
            <v>14819</v>
          </cell>
          <cell r="BJ15">
            <v>15991</v>
          </cell>
          <cell r="BK15">
            <v>-4044</v>
          </cell>
          <cell r="BL15">
            <v>-29228</v>
          </cell>
        </row>
        <row r="16">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P16">
            <v>0</v>
          </cell>
          <cell r="AQ16">
            <v>0</v>
          </cell>
          <cell r="AR16">
            <v>0</v>
          </cell>
          <cell r="AS16">
            <v>0</v>
          </cell>
          <cell r="AT16">
            <v>0</v>
          </cell>
          <cell r="AU16">
            <v>0</v>
          </cell>
          <cell r="AV16">
            <v>0</v>
          </cell>
          <cell r="AW16">
            <v>0</v>
          </cell>
          <cell r="AX16">
            <v>0</v>
          </cell>
          <cell r="AY16">
            <v>0</v>
          </cell>
          <cell r="AZ16">
            <v>0</v>
          </cell>
          <cell r="BI16">
            <v>7259</v>
          </cell>
          <cell r="BJ16">
            <v>22725</v>
          </cell>
          <cell r="BK16">
            <v>32250</v>
          </cell>
          <cell r="BL16">
            <v>21418</v>
          </cell>
        </row>
        <row r="17">
          <cell r="I17">
            <v>26230</v>
          </cell>
          <cell r="J17">
            <v>5082</v>
          </cell>
          <cell r="K17">
            <v>14958</v>
          </cell>
          <cell r="L17">
            <v>17206</v>
          </cell>
          <cell r="M17">
            <v>37416</v>
          </cell>
          <cell r="N17">
            <v>10746</v>
          </cell>
          <cell r="O17">
            <v>25311</v>
          </cell>
          <cell r="P17">
            <v>30507</v>
          </cell>
          <cell r="Q17">
            <v>55173</v>
          </cell>
          <cell r="R17">
            <v>14383</v>
          </cell>
          <cell r="S17">
            <v>36117</v>
          </cell>
          <cell r="T17">
            <v>31407</v>
          </cell>
          <cell r="U17">
            <v>64898</v>
          </cell>
          <cell r="V17">
            <v>18553</v>
          </cell>
          <cell r="W17">
            <v>34612</v>
          </cell>
          <cell r="X17">
            <v>47326</v>
          </cell>
          <cell r="Y17">
            <v>96505</v>
          </cell>
          <cell r="Z17">
            <v>2164</v>
          </cell>
          <cell r="AA17">
            <v>50099</v>
          </cell>
          <cell r="AB17">
            <v>54296</v>
          </cell>
          <cell r="AP17">
            <v>0</v>
          </cell>
          <cell r="AQ17">
            <v>0</v>
          </cell>
          <cell r="AR17">
            <v>0</v>
          </cell>
          <cell r="AS17">
            <v>0</v>
          </cell>
          <cell r="AT17">
            <v>0</v>
          </cell>
          <cell r="AU17">
            <v>0</v>
          </cell>
          <cell r="AV17">
            <v>0</v>
          </cell>
          <cell r="AW17">
            <v>0</v>
          </cell>
          <cell r="AX17">
            <v>0</v>
          </cell>
          <cell r="AY17">
            <v>0</v>
          </cell>
          <cell r="AZ17">
            <v>0</v>
          </cell>
          <cell r="BH17">
            <v>56836</v>
          </cell>
          <cell r="BI17">
            <v>80326</v>
          </cell>
          <cell r="BJ17">
            <v>125805</v>
          </cell>
          <cell r="BK17">
            <v>150975</v>
          </cell>
          <cell r="BL17">
            <v>180607</v>
          </cell>
        </row>
        <row r="20">
          <cell r="I20">
            <v>-2365</v>
          </cell>
          <cell r="J20">
            <v>-683</v>
          </cell>
          <cell r="K20">
            <v>-2794</v>
          </cell>
          <cell r="L20">
            <v>-3348</v>
          </cell>
          <cell r="M20">
            <v>-3246</v>
          </cell>
          <cell r="N20">
            <v>-2832</v>
          </cell>
          <cell r="O20">
            <v>-3162</v>
          </cell>
          <cell r="P20">
            <v>-8002</v>
          </cell>
          <cell r="Q20">
            <v>-9029</v>
          </cell>
          <cell r="R20">
            <v>-2603</v>
          </cell>
          <cell r="S20">
            <v>-9759</v>
          </cell>
          <cell r="T20">
            <v>-11632</v>
          </cell>
          <cell r="U20">
            <v>-10011</v>
          </cell>
          <cell r="V20">
            <v>-5688</v>
          </cell>
          <cell r="W20">
            <v>-8251</v>
          </cell>
          <cell r="X20">
            <v>-11627</v>
          </cell>
          <cell r="Y20">
            <v>-5749</v>
          </cell>
          <cell r="Z20">
            <v>-3881</v>
          </cell>
          <cell r="AA20">
            <v>-13428</v>
          </cell>
          <cell r="AB20">
            <v>-13538</v>
          </cell>
          <cell r="AP20">
            <v>0</v>
          </cell>
          <cell r="AQ20">
            <v>0</v>
          </cell>
          <cell r="AR20">
            <v>0</v>
          </cell>
          <cell r="AS20">
            <v>0</v>
          </cell>
          <cell r="AT20">
            <v>0</v>
          </cell>
          <cell r="AU20">
            <v>0</v>
          </cell>
          <cell r="AV20">
            <v>0</v>
          </cell>
          <cell r="AW20">
            <v>0</v>
          </cell>
          <cell r="AX20">
            <v>0</v>
          </cell>
          <cell r="AY20">
            <v>0</v>
          </cell>
          <cell r="BH20">
            <v>-10845</v>
          </cell>
          <cell r="BI20">
            <v>-17546</v>
          </cell>
          <cell r="BJ20">
            <v>-29836</v>
          </cell>
          <cell r="BK20">
            <v>-49643</v>
          </cell>
          <cell r="BL20">
            <v>-45386</v>
          </cell>
        </row>
        <row r="21">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P21">
            <v>0</v>
          </cell>
          <cell r="AQ21">
            <v>0</v>
          </cell>
          <cell r="AR21">
            <v>0</v>
          </cell>
          <cell r="AS21">
            <v>0</v>
          </cell>
          <cell r="AT21">
            <v>0</v>
          </cell>
          <cell r="AU21">
            <v>0</v>
          </cell>
          <cell r="AV21">
            <v>0</v>
          </cell>
          <cell r="AW21">
            <v>0</v>
          </cell>
          <cell r="AX21">
            <v>0</v>
          </cell>
          <cell r="AY21">
            <v>0</v>
          </cell>
          <cell r="AZ21">
            <v>0</v>
          </cell>
          <cell r="BH21" t="str">
            <v>#N/A N/A</v>
          </cell>
          <cell r="BI21" t="str">
            <v>#N/A N/A</v>
          </cell>
          <cell r="BJ21" t="str">
            <v>#N/A N/A</v>
          </cell>
          <cell r="BK21" t="str">
            <v>#N/A N/A</v>
          </cell>
          <cell r="BL21" t="str">
            <v>#N/A N/A</v>
          </cell>
        </row>
        <row r="22">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H22">
            <v>-1495</v>
          </cell>
          <cell r="BI22">
            <v>-33454</v>
          </cell>
          <cell r="BJ22">
            <v>-515</v>
          </cell>
          <cell r="BK22">
            <v>-35434</v>
          </cell>
          <cell r="BL22">
            <v>-14536</v>
          </cell>
        </row>
        <row r="23">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H23">
            <v>0</v>
          </cell>
          <cell r="BI23">
            <v>0</v>
          </cell>
          <cell r="BJ23">
            <v>0</v>
          </cell>
          <cell r="BK23">
            <v>0</v>
          </cell>
          <cell r="BL23">
            <v>0</v>
          </cell>
        </row>
        <row r="24">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H24">
            <v>0</v>
          </cell>
          <cell r="BI24">
            <v>0</v>
          </cell>
          <cell r="BJ24">
            <v>0</v>
          </cell>
          <cell r="BK24">
            <v>0</v>
          </cell>
          <cell r="BL24">
            <v>0</v>
          </cell>
        </row>
        <row r="25">
          <cell r="I25">
            <v>-11906</v>
          </cell>
          <cell r="J25">
            <v>-6710</v>
          </cell>
          <cell r="K25">
            <v>-58674</v>
          </cell>
          <cell r="L25">
            <v>-2367</v>
          </cell>
          <cell r="M25">
            <v>-4900</v>
          </cell>
          <cell r="N25">
            <v>-203</v>
          </cell>
          <cell r="O25">
            <v>-10750</v>
          </cell>
          <cell r="P25">
            <v>-17681</v>
          </cell>
          <cell r="Q25">
            <v>-15450</v>
          </cell>
          <cell r="R25">
            <v>-17373</v>
          </cell>
          <cell r="S25">
            <v>-61911</v>
          </cell>
          <cell r="T25">
            <v>-19952</v>
          </cell>
          <cell r="U25">
            <v>-21044</v>
          </cell>
          <cell r="V25">
            <v>-11063</v>
          </cell>
          <cell r="W25">
            <v>-12885</v>
          </cell>
          <cell r="X25">
            <v>-9726</v>
          </cell>
          <cell r="Y25">
            <v>-26839</v>
          </cell>
          <cell r="Z25">
            <v>-29114</v>
          </cell>
          <cell r="AA25">
            <v>-54300</v>
          </cell>
          <cell r="AB25">
            <v>-55515</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H25">
            <v>-30491</v>
          </cell>
          <cell r="BI25">
            <v>-27364</v>
          </cell>
          <cell r="BJ25">
            <v>-53413</v>
          </cell>
          <cell r="BK25">
            <v>-65983</v>
          </cell>
          <cell r="BL25">
            <v>-48150</v>
          </cell>
        </row>
        <row r="26">
          <cell r="I26">
            <v>-14271</v>
          </cell>
          <cell r="J26">
            <v>-7393</v>
          </cell>
          <cell r="K26">
            <v>-61468</v>
          </cell>
          <cell r="L26">
            <v>-5715</v>
          </cell>
          <cell r="M26">
            <v>-8146</v>
          </cell>
          <cell r="N26">
            <v>-3035</v>
          </cell>
          <cell r="O26">
            <v>-13912</v>
          </cell>
          <cell r="P26">
            <v>-25683</v>
          </cell>
          <cell r="Q26">
            <v>-24479</v>
          </cell>
          <cell r="R26">
            <v>-19976</v>
          </cell>
          <cell r="S26">
            <v>-71670</v>
          </cell>
          <cell r="T26">
            <v>-31584</v>
          </cell>
          <cell r="U26">
            <v>-31055</v>
          </cell>
          <cell r="V26">
            <v>-16751</v>
          </cell>
          <cell r="W26">
            <v>-21136</v>
          </cell>
          <cell r="X26">
            <v>-21353</v>
          </cell>
          <cell r="Y26">
            <v>-32588</v>
          </cell>
          <cell r="Z26">
            <v>-32995</v>
          </cell>
          <cell r="AA26">
            <v>-67728</v>
          </cell>
          <cell r="AB26">
            <v>-69053</v>
          </cell>
          <cell r="AP26">
            <v>0</v>
          </cell>
          <cell r="AQ26">
            <v>0</v>
          </cell>
          <cell r="AR26">
            <v>0</v>
          </cell>
          <cell r="AS26">
            <v>0</v>
          </cell>
          <cell r="AT26">
            <v>0</v>
          </cell>
          <cell r="AU26">
            <v>0</v>
          </cell>
          <cell r="AV26">
            <v>0</v>
          </cell>
          <cell r="AW26">
            <v>0</v>
          </cell>
          <cell r="AX26">
            <v>0</v>
          </cell>
          <cell r="AY26">
            <v>0</v>
          </cell>
          <cell r="AZ26">
            <v>0</v>
          </cell>
          <cell r="BH26">
            <v>-42831</v>
          </cell>
          <cell r="BI26">
            <v>-78364</v>
          </cell>
          <cell r="BJ26">
            <v>-83764</v>
          </cell>
          <cell r="BK26">
            <v>-151060</v>
          </cell>
          <cell r="BL26">
            <v>-108072</v>
          </cell>
        </row>
        <row r="29">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P29">
            <v>0</v>
          </cell>
          <cell r="AQ29">
            <v>0</v>
          </cell>
          <cell r="AR29">
            <v>0</v>
          </cell>
          <cell r="AS29">
            <v>0</v>
          </cell>
          <cell r="AT29">
            <v>0</v>
          </cell>
          <cell r="AU29">
            <v>0</v>
          </cell>
          <cell r="AV29">
            <v>0</v>
          </cell>
          <cell r="AW29">
            <v>0</v>
          </cell>
          <cell r="AX29">
            <v>0</v>
          </cell>
          <cell r="AY29">
            <v>0</v>
          </cell>
          <cell r="AZ29">
            <v>0</v>
          </cell>
          <cell r="BH29">
            <v>0</v>
          </cell>
          <cell r="BI29">
            <v>0</v>
          </cell>
          <cell r="BJ29">
            <v>0</v>
          </cell>
          <cell r="BK29">
            <v>0</v>
          </cell>
          <cell r="BL29">
            <v>0</v>
          </cell>
        </row>
        <row r="30">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P30">
            <v>0</v>
          </cell>
          <cell r="AQ30">
            <v>0</v>
          </cell>
          <cell r="AR30">
            <v>0</v>
          </cell>
          <cell r="AS30">
            <v>0</v>
          </cell>
          <cell r="AT30">
            <v>0</v>
          </cell>
          <cell r="AU30">
            <v>0</v>
          </cell>
          <cell r="AV30">
            <v>0</v>
          </cell>
          <cell r="AW30">
            <v>0</v>
          </cell>
          <cell r="AX30">
            <v>0</v>
          </cell>
          <cell r="AY30">
            <v>0</v>
          </cell>
          <cell r="AZ30">
            <v>0</v>
          </cell>
          <cell r="BH30">
            <v>-19102</v>
          </cell>
          <cell r="BI30">
            <v>2114</v>
          </cell>
          <cell r="BJ30">
            <v>399</v>
          </cell>
          <cell r="BK30">
            <v>-10518</v>
          </cell>
          <cell r="BL30">
            <v>91506</v>
          </cell>
        </row>
        <row r="31">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P31">
            <v>0</v>
          </cell>
          <cell r="AQ31">
            <v>0</v>
          </cell>
          <cell r="AR31">
            <v>0</v>
          </cell>
          <cell r="AS31">
            <v>0</v>
          </cell>
          <cell r="AT31">
            <v>0</v>
          </cell>
          <cell r="AU31">
            <v>0</v>
          </cell>
          <cell r="AV31">
            <v>0</v>
          </cell>
          <cell r="AW31">
            <v>0</v>
          </cell>
          <cell r="AX31">
            <v>0</v>
          </cell>
          <cell r="AY31">
            <v>0</v>
          </cell>
          <cell r="AZ31">
            <v>0</v>
          </cell>
          <cell r="BH31">
            <v>2478</v>
          </cell>
          <cell r="BI31">
            <v>29333</v>
          </cell>
          <cell r="BJ31">
            <v>33345</v>
          </cell>
          <cell r="BK31">
            <v>-4231</v>
          </cell>
          <cell r="BL31">
            <v>-16022</v>
          </cell>
        </row>
        <row r="32">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H32">
            <v>778</v>
          </cell>
          <cell r="BI32">
            <v>1467</v>
          </cell>
          <cell r="BJ32">
            <v>-13385</v>
          </cell>
          <cell r="BK32">
            <v>7357</v>
          </cell>
          <cell r="BL32">
            <v>-4631</v>
          </cell>
        </row>
        <row r="33">
          <cell r="I33">
            <v>327</v>
          </cell>
          <cell r="J33">
            <v>-182</v>
          </cell>
          <cell r="K33">
            <v>626</v>
          </cell>
          <cell r="L33">
            <v>117</v>
          </cell>
          <cell r="M33">
            <v>1745</v>
          </cell>
          <cell r="N33">
            <v>-446</v>
          </cell>
          <cell r="O33">
            <v>-1097</v>
          </cell>
          <cell r="P33">
            <v>-806</v>
          </cell>
          <cell r="Q33">
            <v>-1518</v>
          </cell>
          <cell r="R33">
            <v>-2653</v>
          </cell>
          <cell r="S33">
            <v>2783</v>
          </cell>
          <cell r="T33">
            <v>1670</v>
          </cell>
          <cell r="U33">
            <v>-66</v>
          </cell>
          <cell r="V33">
            <v>-1142</v>
          </cell>
          <cell r="W33">
            <v>1377</v>
          </cell>
          <cell r="X33">
            <v>2353</v>
          </cell>
          <cell r="Y33">
            <v>-1952</v>
          </cell>
          <cell r="Z33">
            <v>2322</v>
          </cell>
          <cell r="AA33">
            <v>-351</v>
          </cell>
          <cell r="AB33">
            <v>-3853</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H33">
            <v>466</v>
          </cell>
          <cell r="BI33">
            <v>2042</v>
          </cell>
          <cell r="BJ33">
            <v>-6065</v>
          </cell>
          <cell r="BK33">
            <v>3245</v>
          </cell>
          <cell r="BL33">
            <v>4100</v>
          </cell>
        </row>
        <row r="34">
          <cell r="I34">
            <v>1268</v>
          </cell>
          <cell r="J34">
            <v>-990</v>
          </cell>
          <cell r="K34">
            <v>21312</v>
          </cell>
          <cell r="L34">
            <v>9830</v>
          </cell>
          <cell r="M34">
            <v>-710</v>
          </cell>
          <cell r="N34">
            <v>2482</v>
          </cell>
          <cell r="O34">
            <v>-8894</v>
          </cell>
          <cell r="P34">
            <v>-416</v>
          </cell>
          <cell r="Q34">
            <v>34274</v>
          </cell>
          <cell r="R34">
            <v>-4605</v>
          </cell>
          <cell r="S34">
            <v>4281</v>
          </cell>
          <cell r="T34">
            <v>-3477</v>
          </cell>
          <cell r="U34">
            <v>-8915</v>
          </cell>
          <cell r="V34">
            <v>719</v>
          </cell>
          <cell r="W34">
            <v>4493</v>
          </cell>
          <cell r="X34">
            <v>2106</v>
          </cell>
          <cell r="Y34">
            <v>61287</v>
          </cell>
          <cell r="Z34">
            <v>2967</v>
          </cell>
          <cell r="AA34">
            <v>-4609</v>
          </cell>
          <cell r="AB34">
            <v>10106</v>
          </cell>
          <cell r="AP34">
            <v>0</v>
          </cell>
          <cell r="AQ34">
            <v>0</v>
          </cell>
          <cell r="AR34">
            <v>0</v>
          </cell>
          <cell r="AS34">
            <v>0</v>
          </cell>
          <cell r="AT34">
            <v>0</v>
          </cell>
          <cell r="AU34">
            <v>0</v>
          </cell>
          <cell r="AV34">
            <v>0</v>
          </cell>
          <cell r="AW34">
            <v>0</v>
          </cell>
          <cell r="AX34">
            <v>0</v>
          </cell>
          <cell r="AY34">
            <v>0</v>
          </cell>
          <cell r="AZ34">
            <v>0</v>
          </cell>
          <cell r="BH34">
            <v>-15846</v>
          </cell>
          <cell r="BI34">
            <v>32914</v>
          </cell>
          <cell r="BJ34">
            <v>20359</v>
          </cell>
          <cell r="BK34">
            <v>-7392</v>
          </cell>
          <cell r="BL34">
            <v>70853</v>
          </cell>
        </row>
        <row r="36">
          <cell r="BH36">
            <v>-1375</v>
          </cell>
          <cell r="BI36">
            <v>36918</v>
          </cell>
          <cell r="BJ36">
            <v>56335</v>
          </cell>
          <cell r="BK36">
            <v>-4232</v>
          </cell>
          <cell r="BL36">
            <v>147488</v>
          </cell>
        </row>
        <row r="37">
          <cell r="BH37">
            <v>108193</v>
          </cell>
          <cell r="BI37">
            <v>106818</v>
          </cell>
          <cell r="BJ37">
            <v>146391</v>
          </cell>
          <cell r="BK37">
            <v>202726</v>
          </cell>
          <cell r="BL37">
            <v>198494</v>
          </cell>
        </row>
        <row r="38">
          <cell r="BH38">
            <v>106818</v>
          </cell>
          <cell r="BI38">
            <v>143736</v>
          </cell>
          <cell r="BJ38">
            <v>202726</v>
          </cell>
          <cell r="BK38">
            <v>198494</v>
          </cell>
          <cell r="BL38">
            <v>345982</v>
          </cell>
        </row>
        <row r="40">
          <cell r="AA40">
            <v>7148.576</v>
          </cell>
          <cell r="AB40">
            <v>33221</v>
          </cell>
          <cell r="AC40">
            <v>57224</v>
          </cell>
          <cell r="AD40">
            <v>35212</v>
          </cell>
          <cell r="AE40">
            <v>52055</v>
          </cell>
          <cell r="AF40">
            <v>49278</v>
          </cell>
          <cell r="AG40">
            <v>76360</v>
          </cell>
          <cell r="AH40">
            <v>47066</v>
          </cell>
          <cell r="AI40" t="str">
            <v>#N/A N/A</v>
          </cell>
          <cell r="AJ40" t="str">
            <v>#N/A N/A</v>
          </cell>
          <cell r="AK40" t="str">
            <v>#N/A N/A</v>
          </cell>
          <cell r="AL40" t="str">
            <v>#N/A N/A</v>
          </cell>
          <cell r="AV40">
            <v>57224</v>
          </cell>
          <cell r="AW40">
            <v>57224</v>
          </cell>
          <cell r="AX40">
            <v>57224</v>
          </cell>
          <cell r="AY40">
            <v>57224</v>
          </cell>
          <cell r="AZ40">
            <v>57224</v>
          </cell>
          <cell r="BA40" t="str">
            <v>#N/A N/A</v>
          </cell>
          <cell r="BB40" t="str">
            <v>#N/A N/A</v>
          </cell>
          <cell r="BC40" t="str">
            <v>#N/A N/A</v>
          </cell>
          <cell r="BD40" t="str">
            <v>#N/A N/A</v>
          </cell>
          <cell r="BE40" t="str">
            <v>#N/A N/A</v>
          </cell>
          <cell r="BL40">
            <v>57224</v>
          </cell>
          <cell r="BM40">
            <v>176095.34599999999</v>
          </cell>
          <cell r="BN40">
            <v>196263.38500000001</v>
          </cell>
          <cell r="BO40">
            <v>234633.45699999999</v>
          </cell>
        </row>
      </sheetData>
      <sheetData sheetId="5" refreshError="1">
        <row r="8">
          <cell r="Y8" t="str">
            <v>PRICE</v>
          </cell>
          <cell r="AB8">
            <v>20.847000000000001</v>
          </cell>
          <cell r="AC8">
            <v>23.112080291970805</v>
          </cell>
          <cell r="AD8">
            <v>25.377160583941613</v>
          </cell>
          <cell r="AE8">
            <v>28.185080291970806</v>
          </cell>
          <cell r="AF8">
            <v>30.992999999999999</v>
          </cell>
        </row>
        <row r="10">
          <cell r="X10">
            <v>43105</v>
          </cell>
          <cell r="Y10">
            <v>190.7</v>
          </cell>
          <cell r="AB10">
            <v>871.25867100000005</v>
          </cell>
          <cell r="AC10">
            <v>965.92317164233589</v>
          </cell>
          <cell r="AD10">
            <v>1060.5876722846717</v>
          </cell>
          <cell r="AE10">
            <v>1177.9390606423358</v>
          </cell>
          <cell r="AF10">
            <v>1295.2904489999999</v>
          </cell>
        </row>
        <row r="11">
          <cell r="X11">
            <v>43112</v>
          </cell>
          <cell r="Y11">
            <v>187.79</v>
          </cell>
          <cell r="AB11">
            <v>870.8417310000001</v>
          </cell>
          <cell r="AC11">
            <v>965.46093003649651</v>
          </cell>
          <cell r="AD11">
            <v>1060.080129072993</v>
          </cell>
          <cell r="AE11">
            <v>1177.3753590364965</v>
          </cell>
          <cell r="AF11">
            <v>1294.6705890000001</v>
          </cell>
        </row>
        <row r="12">
          <cell r="X12">
            <v>43119</v>
          </cell>
          <cell r="Y12">
            <v>184.05</v>
          </cell>
          <cell r="AB12">
            <v>873.67692299999999</v>
          </cell>
          <cell r="AC12">
            <v>968.60417295620448</v>
          </cell>
          <cell r="AD12">
            <v>1063.531422912409</v>
          </cell>
          <cell r="AE12">
            <v>1181.2085299562045</v>
          </cell>
          <cell r="AF12">
            <v>1298.8856369999999</v>
          </cell>
        </row>
        <row r="13">
          <cell r="X13">
            <v>43126</v>
          </cell>
          <cell r="Y13">
            <v>205.22</v>
          </cell>
          <cell r="AB13">
            <v>872.9681250000001</v>
          </cell>
          <cell r="AC13">
            <v>967.81836222627749</v>
          </cell>
          <cell r="AD13">
            <v>1062.6685994525551</v>
          </cell>
          <cell r="AE13">
            <v>1180.2502372262775</v>
          </cell>
          <cell r="AF13">
            <v>1297.8318749999999</v>
          </cell>
        </row>
        <row r="14">
          <cell r="X14">
            <v>43133</v>
          </cell>
          <cell r="Y14">
            <v>187.31</v>
          </cell>
          <cell r="AB14">
            <v>861.02279400000009</v>
          </cell>
          <cell r="AC14">
            <v>954.57514021897816</v>
          </cell>
          <cell r="AD14">
            <v>1048.1274864379566</v>
          </cell>
          <cell r="AE14">
            <v>1164.1001862189783</v>
          </cell>
          <cell r="AF14">
            <v>1280.0728859999999</v>
          </cell>
        </row>
        <row r="15">
          <cell r="X15">
            <v>43140</v>
          </cell>
          <cell r="Y15">
            <v>176.67</v>
          </cell>
          <cell r="AB15">
            <v>856.77000600000008</v>
          </cell>
          <cell r="AC15">
            <v>949.86027583941609</v>
          </cell>
          <cell r="AD15">
            <v>1042.9505456788324</v>
          </cell>
          <cell r="AE15">
            <v>1158.3504298394162</v>
          </cell>
          <cell r="AF15">
            <v>1273.7503139999999</v>
          </cell>
        </row>
        <row r="16">
          <cell r="X16">
            <v>43147</v>
          </cell>
          <cell r="Y16">
            <v>183.68</v>
          </cell>
          <cell r="AB16">
            <v>860.96025300000008</v>
          </cell>
          <cell r="AC16">
            <v>954.50580397810234</v>
          </cell>
          <cell r="AD16">
            <v>1048.0513549562047</v>
          </cell>
          <cell r="AE16">
            <v>1164.0156309781023</v>
          </cell>
          <cell r="AF16">
            <v>1279.9799069999999</v>
          </cell>
        </row>
        <row r="17">
          <cell r="X17">
            <v>43154</v>
          </cell>
          <cell r="Y17">
            <v>193.29</v>
          </cell>
          <cell r="AB17">
            <v>864.73356000000001</v>
          </cell>
          <cell r="AC17">
            <v>958.68909051094897</v>
          </cell>
          <cell r="AD17">
            <v>1052.644621021898</v>
          </cell>
          <cell r="AE17">
            <v>1169.117130510949</v>
          </cell>
          <cell r="AF17">
            <v>1285.5896399999999</v>
          </cell>
        </row>
        <row r="18">
          <cell r="X18">
            <v>43161</v>
          </cell>
          <cell r="Y18">
            <v>179.76</v>
          </cell>
          <cell r="AB18">
            <v>868.63194900000008</v>
          </cell>
          <cell r="AC18">
            <v>963.01104952554761</v>
          </cell>
          <cell r="AD18">
            <v>1057.3901500510951</v>
          </cell>
          <cell r="AE18">
            <v>1174.3877405255475</v>
          </cell>
          <cell r="AF18">
            <v>1291.385331</v>
          </cell>
        </row>
        <row r="19">
          <cell r="X19">
            <v>43168</v>
          </cell>
          <cell r="Y19">
            <v>190.55</v>
          </cell>
          <cell r="AB19">
            <v>872.9472780000001</v>
          </cell>
          <cell r="AC19">
            <v>967.79525014598562</v>
          </cell>
          <cell r="AD19">
            <v>1062.6432222919711</v>
          </cell>
          <cell r="AE19">
            <v>1180.2220521459856</v>
          </cell>
          <cell r="AF19">
            <v>1297.800882</v>
          </cell>
        </row>
        <row r="20">
          <cell r="X20">
            <v>43175</v>
          </cell>
          <cell r="Y20">
            <v>200.28</v>
          </cell>
          <cell r="AB20">
            <v>876.69973800000014</v>
          </cell>
          <cell r="AC20">
            <v>971.95542459854028</v>
          </cell>
          <cell r="AD20">
            <v>1067.2111111970808</v>
          </cell>
          <cell r="AE20">
            <v>1185.2953665985403</v>
          </cell>
          <cell r="AF20">
            <v>1303.3796219999999</v>
          </cell>
        </row>
        <row r="21">
          <cell r="X21">
            <v>43182</v>
          </cell>
          <cell r="Y21">
            <v>181.2</v>
          </cell>
          <cell r="AB21">
            <v>880.47304500000007</v>
          </cell>
          <cell r="AC21">
            <v>976.13871113138691</v>
          </cell>
          <cell r="AD21">
            <v>1071.8043772627741</v>
          </cell>
          <cell r="AE21">
            <v>1190.396866131387</v>
          </cell>
          <cell r="AF21">
            <v>1308.9893549999999</v>
          </cell>
        </row>
        <row r="22">
          <cell r="X22">
            <v>43189</v>
          </cell>
          <cell r="Y22">
            <v>183.54</v>
          </cell>
          <cell r="AB22">
            <v>884.87176199999999</v>
          </cell>
          <cell r="AC22">
            <v>981.01536007299273</v>
          </cell>
          <cell r="AD22">
            <v>1077.1589581459857</v>
          </cell>
          <cell r="AE22">
            <v>1196.3439180729927</v>
          </cell>
          <cell r="AF22">
            <v>1315.5288779999998</v>
          </cell>
        </row>
        <row r="23">
          <cell r="X23">
            <v>43196</v>
          </cell>
          <cell r="Y23">
            <v>167.52</v>
          </cell>
          <cell r="AB23">
            <v>882.34927500000015</v>
          </cell>
          <cell r="AC23">
            <v>978.21879835766435</v>
          </cell>
          <cell r="AD23">
            <v>1074.0883217153289</v>
          </cell>
          <cell r="AE23">
            <v>1192.9335233576644</v>
          </cell>
          <cell r="AF23">
            <v>1311.7787250000001</v>
          </cell>
        </row>
        <row r="24">
          <cell r="X24">
            <v>43203</v>
          </cell>
          <cell r="Y24">
            <v>172.04</v>
          </cell>
          <cell r="AB24">
            <v>883.24569600000007</v>
          </cell>
          <cell r="AC24">
            <v>979.21261781021917</v>
          </cell>
          <cell r="AD24">
            <v>1075.1795396204384</v>
          </cell>
          <cell r="AE24">
            <v>1194.1454818102191</v>
          </cell>
          <cell r="AF24">
            <v>1313.1114239999999</v>
          </cell>
        </row>
        <row r="25">
          <cell r="X25">
            <v>43210</v>
          </cell>
          <cell r="Y25">
            <v>179.11</v>
          </cell>
          <cell r="AB25">
            <v>878.13818100000003</v>
          </cell>
          <cell r="AC25">
            <v>973.55015813868613</v>
          </cell>
          <cell r="AD25">
            <v>1068.9621352773725</v>
          </cell>
          <cell r="AE25">
            <v>1187.2401371386861</v>
          </cell>
          <cell r="AF25">
            <v>1305.5181389999998</v>
          </cell>
        </row>
        <row r="26">
          <cell r="X26">
            <v>43217</v>
          </cell>
          <cell r="Y26">
            <v>177.16</v>
          </cell>
          <cell r="AB26">
            <v>874.21894500000008</v>
          </cell>
          <cell r="AC26">
            <v>969.20508704379574</v>
          </cell>
          <cell r="AD26">
            <v>1064.1912290875916</v>
          </cell>
          <cell r="AE26">
            <v>1181.9413420437959</v>
          </cell>
          <cell r="AF26">
            <v>1299.6914549999999</v>
          </cell>
        </row>
        <row r="27">
          <cell r="X27">
            <v>43224</v>
          </cell>
          <cell r="Y27">
            <v>188.89</v>
          </cell>
          <cell r="AB27">
            <v>877.90886400000011</v>
          </cell>
          <cell r="AC27">
            <v>973.29592525547457</v>
          </cell>
          <cell r="AD27">
            <v>1068.6829865109494</v>
          </cell>
          <cell r="AE27">
            <v>1186.9301012554747</v>
          </cell>
          <cell r="AF27">
            <v>1305.177216</v>
          </cell>
        </row>
        <row r="28">
          <cell r="X28">
            <v>43231</v>
          </cell>
          <cell r="Y28">
            <v>194.36</v>
          </cell>
          <cell r="AB28">
            <v>879.01375500000006</v>
          </cell>
          <cell r="AC28">
            <v>974.52086551094897</v>
          </cell>
          <cell r="AD28">
            <v>1070.0279760218982</v>
          </cell>
          <cell r="AE28">
            <v>1188.4239105109491</v>
          </cell>
          <cell r="AF28">
            <v>1306.819845</v>
          </cell>
        </row>
        <row r="29">
          <cell r="X29">
            <v>43238</v>
          </cell>
          <cell r="Y29">
            <v>195</v>
          </cell>
          <cell r="AB29">
            <v>891.230097</v>
          </cell>
          <cell r="AC29">
            <v>988.06454456204381</v>
          </cell>
          <cell r="AD29">
            <v>1084.898992124088</v>
          </cell>
          <cell r="AE29">
            <v>1204.9403675620438</v>
          </cell>
          <cell r="AF29">
            <v>1324.9817429999998</v>
          </cell>
        </row>
        <row r="30">
          <cell r="X30">
            <v>43245</v>
          </cell>
          <cell r="Y30">
            <v>199.2</v>
          </cell>
          <cell r="AB30">
            <v>895.37865000000011</v>
          </cell>
          <cell r="AC30">
            <v>992.6638485401462</v>
          </cell>
          <cell r="AD30">
            <v>1089.9490470802923</v>
          </cell>
          <cell r="AE30">
            <v>1210.5491985401461</v>
          </cell>
          <cell r="AF30">
            <v>1331.1493499999999</v>
          </cell>
        </row>
        <row r="31">
          <cell r="X31">
            <v>43252</v>
          </cell>
          <cell r="Y31">
            <v>204.34</v>
          </cell>
          <cell r="AB31">
            <v>917.789175</v>
          </cell>
          <cell r="AC31">
            <v>1017.5093348540147</v>
          </cell>
          <cell r="AD31">
            <v>1117.2294947080295</v>
          </cell>
          <cell r="AE31">
            <v>1240.8481598540147</v>
          </cell>
          <cell r="AF31">
            <v>1364.466825</v>
          </cell>
        </row>
        <row r="32">
          <cell r="X32">
            <v>43259</v>
          </cell>
          <cell r="Y32">
            <v>205.07</v>
          </cell>
          <cell r="AB32">
            <v>922.79245500000002</v>
          </cell>
          <cell r="AC32">
            <v>1023.0562341240877</v>
          </cell>
          <cell r="AD32">
            <v>1123.3200132481754</v>
          </cell>
          <cell r="AE32">
            <v>1247.6125791240877</v>
          </cell>
          <cell r="AF32">
            <v>1371.9051449999999</v>
          </cell>
        </row>
        <row r="33">
          <cell r="X33">
            <v>43266</v>
          </cell>
          <cell r="Y33">
            <v>208</v>
          </cell>
          <cell r="AB33">
            <v>923.58464100000003</v>
          </cell>
          <cell r="AC33">
            <v>1023.9344931751825</v>
          </cell>
          <cell r="AD33">
            <v>1124.2843453503651</v>
          </cell>
          <cell r="AE33">
            <v>1248.6836121751826</v>
          </cell>
          <cell r="AF33">
            <v>1373.0828789999998</v>
          </cell>
        </row>
        <row r="34">
          <cell r="X34">
            <v>43273</v>
          </cell>
          <cell r="Y34">
            <v>202.01</v>
          </cell>
          <cell r="AB34">
            <v>925.77357600000005</v>
          </cell>
          <cell r="AC34">
            <v>1026.3612616058397</v>
          </cell>
          <cell r="AD34">
            <v>1126.9489472116793</v>
          </cell>
          <cell r="AE34">
            <v>1251.6430456058397</v>
          </cell>
          <cell r="AF34">
            <v>1376.3371440000001</v>
          </cell>
        </row>
        <row r="35">
          <cell r="X35">
            <v>43280</v>
          </cell>
          <cell r="Y35">
            <v>185.53</v>
          </cell>
          <cell r="AB35">
            <v>936.05114700000013</v>
          </cell>
          <cell r="AC35">
            <v>1037.7555171897811</v>
          </cell>
          <cell r="AD35">
            <v>1139.4598873795624</v>
          </cell>
          <cell r="AE35">
            <v>1265.5382901897813</v>
          </cell>
          <cell r="AF35">
            <v>1391.6166929999999</v>
          </cell>
        </row>
        <row r="36">
          <cell r="X36">
            <v>43287</v>
          </cell>
          <cell r="Y36">
            <v>192.27</v>
          </cell>
          <cell r="AB36">
            <v>928.96316700000011</v>
          </cell>
          <cell r="AC36">
            <v>1029.897409890511</v>
          </cell>
          <cell r="AD36">
            <v>1130.8316527810223</v>
          </cell>
          <cell r="AE36">
            <v>1255.955362890511</v>
          </cell>
          <cell r="AF36">
            <v>1381.0790729999999</v>
          </cell>
        </row>
        <row r="37">
          <cell r="X37">
            <v>43294</v>
          </cell>
          <cell r="Y37">
            <v>190.04</v>
          </cell>
          <cell r="AB37">
            <v>939.61598400000014</v>
          </cell>
          <cell r="AC37">
            <v>1041.7076829197083</v>
          </cell>
          <cell r="AD37">
            <v>1143.7993818394164</v>
          </cell>
          <cell r="AE37">
            <v>1270.3579389197082</v>
          </cell>
          <cell r="AF37">
            <v>1396.9164960000001</v>
          </cell>
        </row>
        <row r="38">
          <cell r="X38">
            <v>43301</v>
          </cell>
          <cell r="Y38">
            <v>187.25</v>
          </cell>
          <cell r="AB38">
            <v>927.89997000000005</v>
          </cell>
          <cell r="AC38">
            <v>1028.7186937956205</v>
          </cell>
          <cell r="AD38">
            <v>1129.5374175912411</v>
          </cell>
          <cell r="AE38">
            <v>1254.5179237956206</v>
          </cell>
          <cell r="AF38">
            <v>1379.4984299999999</v>
          </cell>
        </row>
        <row r="39">
          <cell r="X39">
            <v>43308</v>
          </cell>
          <cell r="Y39">
            <v>189.42</v>
          </cell>
          <cell r="AB39">
            <v>938.15669400000013</v>
          </cell>
          <cell r="AC39">
            <v>1040.0898372992704</v>
          </cell>
          <cell r="AD39">
            <v>1142.0229805985405</v>
          </cell>
          <cell r="AE39">
            <v>1268.3849832992703</v>
          </cell>
          <cell r="AF39">
            <v>1394.7469860000001</v>
          </cell>
        </row>
        <row r="40">
          <cell r="X40">
            <v>43315</v>
          </cell>
          <cell r="Y40">
            <v>180.84</v>
          </cell>
          <cell r="AB40">
            <v>938.09415300000012</v>
          </cell>
          <cell r="AC40">
            <v>1040.0205010583943</v>
          </cell>
          <cell r="AD40">
            <v>1141.9468491167888</v>
          </cell>
          <cell r="AE40">
            <v>1268.3004280583943</v>
          </cell>
          <cell r="AF40">
            <v>1394.6540070000001</v>
          </cell>
        </row>
        <row r="41">
          <cell r="X41">
            <v>43322</v>
          </cell>
          <cell r="Y41">
            <v>180.01</v>
          </cell>
          <cell r="AB41">
            <v>938.86549200000013</v>
          </cell>
          <cell r="AC41">
            <v>1040.8756480291972</v>
          </cell>
          <cell r="AD41">
            <v>1142.8858040583946</v>
          </cell>
          <cell r="AE41">
            <v>1269.3432760291973</v>
          </cell>
          <cell r="AF41">
            <v>1395.8007479999999</v>
          </cell>
        </row>
        <row r="42">
          <cell r="X42">
            <v>43329</v>
          </cell>
          <cell r="Y42">
            <v>172.78</v>
          </cell>
          <cell r="AB42">
            <v>944.70265200000006</v>
          </cell>
          <cell r="AC42">
            <v>1047.347030510949</v>
          </cell>
          <cell r="AD42">
            <v>1149.9914090218981</v>
          </cell>
          <cell r="AE42">
            <v>1277.235098510949</v>
          </cell>
          <cell r="AF42">
            <v>1404.4787880000001</v>
          </cell>
        </row>
        <row r="43">
          <cell r="X43">
            <v>43336</v>
          </cell>
          <cell r="Y43">
            <v>174.23</v>
          </cell>
          <cell r="AB43">
            <v>918.81067800000005</v>
          </cell>
          <cell r="AC43">
            <v>1018.6418267883213</v>
          </cell>
          <cell r="AD43">
            <v>1118.4729755766425</v>
          </cell>
          <cell r="AE43">
            <v>1242.2292287883213</v>
          </cell>
          <cell r="AF43">
            <v>1365.9854819999998</v>
          </cell>
        </row>
        <row r="44">
          <cell r="X44">
            <v>43343</v>
          </cell>
          <cell r="Y44">
            <v>175.01</v>
          </cell>
          <cell r="AB44">
            <v>918.43543199999999</v>
          </cell>
          <cell r="AC44">
            <v>1018.2258093430657</v>
          </cell>
          <cell r="AD44">
            <v>1118.0161866861317</v>
          </cell>
          <cell r="AE44">
            <v>1241.7218973430658</v>
          </cell>
          <cell r="AF44">
            <v>1365.427608</v>
          </cell>
        </row>
        <row r="45">
          <cell r="X45">
            <v>43350</v>
          </cell>
          <cell r="Y45">
            <v>162.37</v>
          </cell>
          <cell r="AB45">
            <v>923.64718200000004</v>
          </cell>
          <cell r="AC45">
            <v>1024.0038294160584</v>
          </cell>
          <cell r="AD45">
            <v>1124.360476832117</v>
          </cell>
          <cell r="AE45">
            <v>1248.7681674160585</v>
          </cell>
          <cell r="AF45">
            <v>1373.1758579999998</v>
          </cell>
        </row>
        <row r="46">
          <cell r="X46">
            <v>43357</v>
          </cell>
          <cell r="Y46">
            <v>164.74</v>
          </cell>
          <cell r="AB46">
            <v>928.52538000000004</v>
          </cell>
          <cell r="AC46">
            <v>1029.4120562043797</v>
          </cell>
          <cell r="AD46">
            <v>1130.2987324087594</v>
          </cell>
          <cell r="AE46">
            <v>1255.3634762043796</v>
          </cell>
          <cell r="AF46">
            <v>1380.42822</v>
          </cell>
        </row>
        <row r="47">
          <cell r="X47">
            <v>43364</v>
          </cell>
          <cell r="Y47">
            <v>164.63</v>
          </cell>
          <cell r="AB47">
            <v>937.61467200000004</v>
          </cell>
          <cell r="AC47">
            <v>1039.4889232116789</v>
          </cell>
          <cell r="AD47">
            <v>1141.363174423358</v>
          </cell>
          <cell r="AE47">
            <v>1267.6521712116789</v>
          </cell>
          <cell r="AF47">
            <v>1393.9411679999998</v>
          </cell>
        </row>
        <row r="48">
          <cell r="X48">
            <v>43371</v>
          </cell>
          <cell r="Y48">
            <v>164.76</v>
          </cell>
          <cell r="AB48">
            <v>940.44986400000005</v>
          </cell>
          <cell r="AC48">
            <v>1042.6321661313871</v>
          </cell>
          <cell r="AD48">
            <v>1144.8144682627742</v>
          </cell>
          <cell r="AE48">
            <v>1271.4853421313871</v>
          </cell>
          <cell r="AF48">
            <v>1398.1562160000001</v>
          </cell>
        </row>
        <row r="49">
          <cell r="X49">
            <v>43378</v>
          </cell>
          <cell r="Y49">
            <v>154.63</v>
          </cell>
          <cell r="AB49">
            <v>947.141751</v>
          </cell>
          <cell r="AC49">
            <v>1050.0511439051097</v>
          </cell>
          <cell r="AD49">
            <v>1152.9605368102193</v>
          </cell>
          <cell r="AE49">
            <v>1280.5327529051096</v>
          </cell>
          <cell r="AF49">
            <v>1408.104969</v>
          </cell>
        </row>
        <row r="50">
          <cell r="X50">
            <v>43385</v>
          </cell>
          <cell r="Y50">
            <v>147.29</v>
          </cell>
          <cell r="AB50">
            <v>935.80098300000009</v>
          </cell>
          <cell r="AC50">
            <v>1037.4781722262776</v>
          </cell>
          <cell r="AD50">
            <v>1139.1553614525551</v>
          </cell>
          <cell r="AE50">
            <v>1265.2000692262775</v>
          </cell>
          <cell r="AF50">
            <v>1391.2447770000001</v>
          </cell>
        </row>
        <row r="51">
          <cell r="X51">
            <v>43392</v>
          </cell>
          <cell r="Y51">
            <v>142.93</v>
          </cell>
          <cell r="AB51">
            <v>927.19117200000005</v>
          </cell>
          <cell r="AC51">
            <v>1027.9328830656934</v>
          </cell>
          <cell r="AD51">
            <v>1128.6745941313873</v>
          </cell>
          <cell r="AE51">
            <v>1253.5596310656936</v>
          </cell>
          <cell r="AF51">
            <v>1378.4446679999999</v>
          </cell>
        </row>
        <row r="52">
          <cell r="X52">
            <v>43399</v>
          </cell>
          <cell r="Y52">
            <v>142.87</v>
          </cell>
          <cell r="AB52">
            <v>924.73122599999999</v>
          </cell>
          <cell r="AC52">
            <v>1025.2056575912409</v>
          </cell>
          <cell r="AD52">
            <v>1125.6800891824821</v>
          </cell>
          <cell r="AE52">
            <v>1250.233791591241</v>
          </cell>
          <cell r="AF52">
            <v>1374.7874939999999</v>
          </cell>
        </row>
        <row r="53">
          <cell r="X53">
            <v>43406</v>
          </cell>
          <cell r="Y53">
            <v>147.59</v>
          </cell>
          <cell r="AB53">
            <v>914.78720700000008</v>
          </cell>
          <cell r="AC53">
            <v>1014.1811952919709</v>
          </cell>
          <cell r="AD53">
            <v>1113.5751835839419</v>
          </cell>
          <cell r="AE53">
            <v>1236.7895082919708</v>
          </cell>
          <cell r="AF53">
            <v>1360.003833</v>
          </cell>
        </row>
        <row r="54">
          <cell r="X54">
            <v>43413</v>
          </cell>
          <cell r="Y54">
            <v>144.85</v>
          </cell>
          <cell r="AB54">
            <v>863.8788330000001</v>
          </cell>
          <cell r="AC54">
            <v>957.74149521897823</v>
          </cell>
          <cell r="AD54">
            <v>1051.6041574379565</v>
          </cell>
          <cell r="AE54">
            <v>1167.9615422189781</v>
          </cell>
          <cell r="AF54">
            <v>1284.318927</v>
          </cell>
        </row>
        <row r="55">
          <cell r="X55">
            <v>43420</v>
          </cell>
          <cell r="Y55">
            <v>154.1</v>
          </cell>
          <cell r="AB55">
            <v>861.79413299999999</v>
          </cell>
          <cell r="AC55">
            <v>955.4302871897811</v>
          </cell>
          <cell r="AD55">
            <v>1049.0664413795623</v>
          </cell>
          <cell r="AE55">
            <v>1165.143034189781</v>
          </cell>
          <cell r="AF55">
            <v>1281.2196269999999</v>
          </cell>
        </row>
        <row r="56">
          <cell r="X56">
            <v>43427</v>
          </cell>
          <cell r="Y56">
            <v>150.33000000000001</v>
          </cell>
          <cell r="AB56">
            <v>872.65542000000005</v>
          </cell>
          <cell r="AC56">
            <v>967.47168102189789</v>
          </cell>
          <cell r="AD56">
            <v>1062.287942043796</v>
          </cell>
          <cell r="AE56">
            <v>1179.827461021898</v>
          </cell>
          <cell r="AF56">
            <v>1297.36698</v>
          </cell>
        </row>
        <row r="57">
          <cell r="X57">
            <v>43434</v>
          </cell>
          <cell r="Y57">
            <v>160.86000000000001</v>
          </cell>
          <cell r="AB57">
            <v>873.11405400000001</v>
          </cell>
          <cell r="AC57">
            <v>967.98014678832124</v>
          </cell>
          <cell r="AD57">
            <v>1062.8462395766426</v>
          </cell>
          <cell r="AE57">
            <v>1180.4475327883213</v>
          </cell>
          <cell r="AF57">
            <v>1298.048826</v>
          </cell>
        </row>
        <row r="58">
          <cell r="X58">
            <v>43441</v>
          </cell>
          <cell r="Y58">
            <v>153.06</v>
          </cell>
          <cell r="AB58">
            <v>877.61700600000006</v>
          </cell>
          <cell r="AC58">
            <v>972.97235613138696</v>
          </cell>
          <cell r="AD58">
            <v>1068.327706262774</v>
          </cell>
          <cell r="AE58">
            <v>1186.5355101313869</v>
          </cell>
          <cell r="AF58">
            <v>1304.7433139999998</v>
          </cell>
        </row>
        <row r="59">
          <cell r="X59">
            <v>43448</v>
          </cell>
          <cell r="Y59">
            <v>149</v>
          </cell>
          <cell r="AB59">
            <v>881.11930200000006</v>
          </cell>
          <cell r="AC59">
            <v>976.85518562043808</v>
          </cell>
          <cell r="AD59">
            <v>1072.5910692408761</v>
          </cell>
          <cell r="AE59">
            <v>1191.2706036204381</v>
          </cell>
          <cell r="AF59">
            <v>1309.9501379999999</v>
          </cell>
        </row>
        <row r="60">
          <cell r="X60">
            <v>43455</v>
          </cell>
          <cell r="Y60">
            <v>132</v>
          </cell>
          <cell r="AB60">
            <v>885.24700800000005</v>
          </cell>
          <cell r="AC60">
            <v>981.43137751824827</v>
          </cell>
          <cell r="AD60">
            <v>1077.6157470364967</v>
          </cell>
          <cell r="AE60">
            <v>1196.8512495182483</v>
          </cell>
          <cell r="AF60">
            <v>1316.0867519999999</v>
          </cell>
        </row>
        <row r="61">
          <cell r="X61">
            <v>43462</v>
          </cell>
          <cell r="Y61">
            <v>139.09</v>
          </cell>
          <cell r="AB61">
            <v>888.68676300000004</v>
          </cell>
          <cell r="AC61">
            <v>985.24487076642345</v>
          </cell>
          <cell r="AD61">
            <v>1081.802978532847</v>
          </cell>
          <cell r="AE61">
            <v>1201.5017877664234</v>
          </cell>
          <cell r="AF61">
            <v>1321.2005969999998</v>
          </cell>
        </row>
        <row r="62">
          <cell r="X62">
            <v>43469</v>
          </cell>
          <cell r="Y62">
            <v>139.75</v>
          </cell>
          <cell r="AB62">
            <v>889.812501</v>
          </cell>
          <cell r="AC62">
            <v>986.49292310218993</v>
          </cell>
          <cell r="AD62">
            <v>1083.17334520438</v>
          </cell>
          <cell r="AE62">
            <v>1203.0237821021899</v>
          </cell>
          <cell r="AF62">
            <v>1322.874219</v>
          </cell>
        </row>
        <row r="63">
          <cell r="X63">
            <v>43476</v>
          </cell>
          <cell r="Y63">
            <v>151.32</v>
          </cell>
          <cell r="AB63">
            <v>892.04313000000002</v>
          </cell>
          <cell r="AC63">
            <v>988.9659156934307</v>
          </cell>
          <cell r="AD63">
            <v>1085.8887013868616</v>
          </cell>
          <cell r="AE63">
            <v>1206.0395856934308</v>
          </cell>
          <cell r="AF63">
            <v>1326.19047</v>
          </cell>
        </row>
        <row r="64">
          <cell r="X64">
            <v>43483</v>
          </cell>
          <cell r="Y64">
            <v>157.02000000000001</v>
          </cell>
          <cell r="AB64">
            <v>895.04509800000005</v>
          </cell>
          <cell r="AC64">
            <v>992.29405525547452</v>
          </cell>
          <cell r="AD64">
            <v>1089.5430125109492</v>
          </cell>
          <cell r="AE64">
            <v>1210.0982372554745</v>
          </cell>
          <cell r="AF64">
            <v>1330.6534619999998</v>
          </cell>
        </row>
        <row r="65">
          <cell r="X65">
            <v>43490</v>
          </cell>
          <cell r="Y65">
            <v>159.21</v>
          </cell>
          <cell r="AB65">
            <v>882.18249900000001</v>
          </cell>
          <cell r="AC65">
            <v>978.03390171532862</v>
          </cell>
          <cell r="AD65">
            <v>1073.8853044306572</v>
          </cell>
          <cell r="AE65">
            <v>1192.7080427153287</v>
          </cell>
          <cell r="AF65">
            <v>1311.5307809999999</v>
          </cell>
        </row>
        <row r="66">
          <cell r="X66">
            <v>43497</v>
          </cell>
          <cell r="Y66">
            <v>167.97</v>
          </cell>
          <cell r="AB66">
            <v>903.42559200000005</v>
          </cell>
          <cell r="AC66">
            <v>1001.5851115328468</v>
          </cell>
          <cell r="AD66">
            <v>1099.7446310656937</v>
          </cell>
          <cell r="AE66">
            <v>1221.4286395328468</v>
          </cell>
          <cell r="AF66">
            <v>1343.1126479999998</v>
          </cell>
        </row>
        <row r="67">
          <cell r="X67">
            <v>43504</v>
          </cell>
          <cell r="Y67">
            <v>167.36</v>
          </cell>
          <cell r="AB67">
            <v>907.15720500000009</v>
          </cell>
          <cell r="AC67">
            <v>1005.7221739051096</v>
          </cell>
          <cell r="AD67">
            <v>1104.2871428102194</v>
          </cell>
          <cell r="AE67">
            <v>1226.4737689051096</v>
          </cell>
          <cell r="AF67">
            <v>1348.6603949999999</v>
          </cell>
        </row>
        <row r="68">
          <cell r="X68">
            <v>43511</v>
          </cell>
          <cell r="Y68">
            <v>166.15</v>
          </cell>
          <cell r="AB68">
            <v>908.86665900000014</v>
          </cell>
          <cell r="AC68">
            <v>1007.6173644890513</v>
          </cell>
          <cell r="AD68">
            <v>1106.3680699781025</v>
          </cell>
          <cell r="AE68">
            <v>1228.7849454890513</v>
          </cell>
          <cell r="AF68">
            <v>1351.2018209999999</v>
          </cell>
        </row>
        <row r="69">
          <cell r="X69">
            <v>43518</v>
          </cell>
          <cell r="Y69">
            <v>176.92</v>
          </cell>
          <cell r="AB69">
            <v>918.18526799999995</v>
          </cell>
          <cell r="AC69">
            <v>1017.9484643795621</v>
          </cell>
          <cell r="AD69">
            <v>1117.7116607591242</v>
          </cell>
          <cell r="AE69">
            <v>1241.3836763795621</v>
          </cell>
          <cell r="AF69">
            <v>1365.0556919999999</v>
          </cell>
        </row>
        <row r="70">
          <cell r="X70">
            <v>43525</v>
          </cell>
          <cell r="Y70">
            <v>183.88</v>
          </cell>
          <cell r="AB70">
            <v>921.35401200000001</v>
          </cell>
          <cell r="AC70">
            <v>1021.4615005839416</v>
          </cell>
          <cell r="AD70">
            <v>1121.5689891678835</v>
          </cell>
          <cell r="AE70">
            <v>1245.6678085839417</v>
          </cell>
          <cell r="AF70">
            <v>1369.7666279999999</v>
          </cell>
        </row>
        <row r="71">
          <cell r="X71">
            <v>43532</v>
          </cell>
          <cell r="Y71">
            <v>175.03</v>
          </cell>
          <cell r="AB71">
            <v>924.75207300000011</v>
          </cell>
          <cell r="AC71">
            <v>1025.228769671533</v>
          </cell>
          <cell r="AD71">
            <v>1125.7054663430661</v>
          </cell>
          <cell r="AE71">
            <v>1250.2619766715329</v>
          </cell>
          <cell r="AF71">
            <v>1374.818487</v>
          </cell>
        </row>
        <row r="72">
          <cell r="X72">
            <v>43539</v>
          </cell>
          <cell r="Y72">
            <v>180.97</v>
          </cell>
          <cell r="AB72">
            <v>928.48368600000003</v>
          </cell>
          <cell r="AC72">
            <v>1029.3658320437958</v>
          </cell>
          <cell r="AD72">
            <v>1130.2479780875915</v>
          </cell>
          <cell r="AE72">
            <v>1255.3071060437956</v>
          </cell>
          <cell r="AF72">
            <v>1380.3662339999998</v>
          </cell>
        </row>
        <row r="73">
          <cell r="X73">
            <v>43546</v>
          </cell>
          <cell r="Y73">
            <v>176.26</v>
          </cell>
          <cell r="AB73">
            <v>931.88174700000002</v>
          </cell>
          <cell r="AC73">
            <v>1033.1331011313871</v>
          </cell>
          <cell r="AD73">
            <v>1134.3844552627741</v>
          </cell>
          <cell r="AE73">
            <v>1259.901274131387</v>
          </cell>
          <cell r="AF73">
            <v>1385.418093</v>
          </cell>
        </row>
        <row r="74">
          <cell r="X74">
            <v>43553</v>
          </cell>
          <cell r="Y74">
            <v>182.45</v>
          </cell>
          <cell r="AB74">
            <v>930.2765280000001</v>
          </cell>
          <cell r="AC74">
            <v>1031.3534709489052</v>
          </cell>
          <cell r="AD74">
            <v>1132.4304138978107</v>
          </cell>
          <cell r="AE74">
            <v>1257.7310229489053</v>
          </cell>
          <cell r="AF74">
            <v>1383.0316319999999</v>
          </cell>
        </row>
        <row r="75">
          <cell r="X75">
            <v>43560</v>
          </cell>
          <cell r="Y75">
            <v>185.35</v>
          </cell>
          <cell r="AB75">
            <v>938.761257</v>
          </cell>
          <cell r="AC75">
            <v>1040.7600876277372</v>
          </cell>
          <cell r="AD75">
            <v>1142.7589182554748</v>
          </cell>
          <cell r="AE75">
            <v>1269.2023506277374</v>
          </cell>
          <cell r="AF75">
            <v>1395.6457829999999</v>
          </cell>
        </row>
        <row r="76">
          <cell r="X76">
            <v>43567</v>
          </cell>
          <cell r="Y76">
            <v>188.91</v>
          </cell>
          <cell r="AB76">
            <v>937.88568299999997</v>
          </cell>
          <cell r="AC76">
            <v>1039.7893802554745</v>
          </cell>
          <cell r="AD76">
            <v>1141.6930775109493</v>
          </cell>
          <cell r="AE76">
            <v>1268.0185772554746</v>
          </cell>
          <cell r="AF76">
            <v>1394.3440769999997</v>
          </cell>
        </row>
        <row r="77">
          <cell r="X77">
            <v>43574</v>
          </cell>
          <cell r="Y77">
            <v>186.94</v>
          </cell>
          <cell r="AB77">
            <v>945.59907300000009</v>
          </cell>
          <cell r="AC77">
            <v>1048.3408499635038</v>
          </cell>
          <cell r="AD77">
            <v>1151.0826269270076</v>
          </cell>
          <cell r="AE77">
            <v>1278.4470569635039</v>
          </cell>
          <cell r="AF77">
            <v>1405.8114869999999</v>
          </cell>
        </row>
        <row r="78">
          <cell r="X78">
            <v>43581</v>
          </cell>
          <cell r="Y78">
            <v>187.09</v>
          </cell>
          <cell r="AB78">
            <v>955.52224500000011</v>
          </cell>
          <cell r="AC78">
            <v>1059.342200182482</v>
          </cell>
          <cell r="AD78">
            <v>1163.1621553649638</v>
          </cell>
          <cell r="AE78">
            <v>1291.8631551824819</v>
          </cell>
          <cell r="AF78">
            <v>1420.564155</v>
          </cell>
        </row>
        <row r="79">
          <cell r="X79">
            <v>43588</v>
          </cell>
          <cell r="Y79">
            <v>195.21</v>
          </cell>
          <cell r="AB79">
            <v>969.05194800000015</v>
          </cell>
          <cell r="AC79">
            <v>1074.341940291971</v>
          </cell>
          <cell r="AD79">
            <v>1179.631932583942</v>
          </cell>
          <cell r="AE79">
            <v>1310.155272291971</v>
          </cell>
          <cell r="AF79">
            <v>1440.6786119999999</v>
          </cell>
        </row>
        <row r="80">
          <cell r="X80">
            <v>43595</v>
          </cell>
          <cell r="Y80">
            <v>178</v>
          </cell>
          <cell r="AB80">
            <v>977.16143099999999</v>
          </cell>
          <cell r="AC80">
            <v>1083.3325395255474</v>
          </cell>
          <cell r="AD80">
            <v>1189.5036480510951</v>
          </cell>
          <cell r="AE80">
            <v>1321.1192685255476</v>
          </cell>
          <cell r="AF80">
            <v>1452.7348889999998</v>
          </cell>
        </row>
        <row r="81">
          <cell r="X81">
            <v>43602</v>
          </cell>
          <cell r="Y81">
            <v>169.57</v>
          </cell>
          <cell r="AB81">
            <v>1010.975265</v>
          </cell>
          <cell r="AC81">
            <v>1120.8203337591242</v>
          </cell>
          <cell r="AD81">
            <v>1230.6654025182484</v>
          </cell>
          <cell r="AE81">
            <v>1366.8354687591241</v>
          </cell>
          <cell r="AF81">
            <v>1503.0055349999998</v>
          </cell>
        </row>
        <row r="82">
          <cell r="X82">
            <v>43609</v>
          </cell>
          <cell r="Y82">
            <v>155</v>
          </cell>
          <cell r="AB82">
            <v>998.57130000000006</v>
          </cell>
          <cell r="AC82">
            <v>1107.0686459854016</v>
          </cell>
          <cell r="AD82">
            <v>1215.5659919708032</v>
          </cell>
          <cell r="AE82">
            <v>1350.0653459854016</v>
          </cell>
          <cell r="AF82">
            <v>1484.5646999999999</v>
          </cell>
        </row>
        <row r="83">
          <cell r="X83">
            <v>43616</v>
          </cell>
          <cell r="Y83">
            <v>149.26</v>
          </cell>
          <cell r="AB83">
            <v>1030.6548330000001</v>
          </cell>
          <cell r="AC83">
            <v>1142.6381375547446</v>
          </cell>
          <cell r="AD83">
            <v>1254.6214421094894</v>
          </cell>
          <cell r="AE83">
            <v>1393.4421845547447</v>
          </cell>
          <cell r="AF83">
            <v>1532.262927</v>
          </cell>
        </row>
        <row r="84">
          <cell r="X84">
            <v>43623</v>
          </cell>
          <cell r="Y84">
            <v>154.22999999999999</v>
          </cell>
          <cell r="AB84">
            <v>1030.6965270000001</v>
          </cell>
          <cell r="AC84">
            <v>1142.6843617153286</v>
          </cell>
          <cell r="AD84">
            <v>1254.6721964306573</v>
          </cell>
          <cell r="AE84">
            <v>1393.4985547153287</v>
          </cell>
          <cell r="AF84">
            <v>1532.3249129999999</v>
          </cell>
        </row>
        <row r="85">
          <cell r="X85">
            <v>43630</v>
          </cell>
          <cell r="Y85">
            <v>158.1</v>
          </cell>
          <cell r="AB85">
            <v>1034.469834</v>
          </cell>
          <cell r="AC85">
            <v>1146.8676482481753</v>
          </cell>
          <cell r="AD85">
            <v>1259.2654624963507</v>
          </cell>
          <cell r="AE85">
            <v>1398.6000542481754</v>
          </cell>
          <cell r="AF85">
            <v>1537.9346459999999</v>
          </cell>
        </row>
        <row r="86">
          <cell r="X86">
            <v>43637</v>
          </cell>
          <cell r="Y86">
            <v>167.55</v>
          </cell>
          <cell r="AB86">
            <v>1040.9324040000001</v>
          </cell>
          <cell r="AC86">
            <v>1154.0323931386863</v>
          </cell>
          <cell r="AD86">
            <v>1267.1323822773727</v>
          </cell>
          <cell r="AE86">
            <v>1407.3374291386863</v>
          </cell>
          <cell r="AF86">
            <v>1547.5424760000001</v>
          </cell>
        </row>
        <row r="87">
          <cell r="X87">
            <v>43644</v>
          </cell>
          <cell r="Y87">
            <v>169.45</v>
          </cell>
          <cell r="AB87">
            <v>1046.2692360000001</v>
          </cell>
          <cell r="AC87">
            <v>1159.9490856934308</v>
          </cell>
          <cell r="AD87">
            <v>1273.6289353868617</v>
          </cell>
          <cell r="AE87">
            <v>1414.5528096934308</v>
          </cell>
          <cell r="AF87">
            <v>1555.476684</v>
          </cell>
        </row>
        <row r="88">
          <cell r="X88">
            <v>43651</v>
          </cell>
          <cell r="Y88">
            <v>173.3</v>
          </cell>
          <cell r="AB88">
            <v>1049.4796739999999</v>
          </cell>
          <cell r="AC88">
            <v>1163.5083460583942</v>
          </cell>
          <cell r="AD88">
            <v>1277.5370181167887</v>
          </cell>
          <cell r="AE88">
            <v>1418.8933120583943</v>
          </cell>
          <cell r="AF88">
            <v>1560.2496059999999</v>
          </cell>
        </row>
        <row r="89">
          <cell r="X89">
            <v>43658</v>
          </cell>
          <cell r="Y89">
            <v>169.07</v>
          </cell>
          <cell r="AB89">
            <v>1055.608692</v>
          </cell>
          <cell r="AC89">
            <v>1170.3032976642337</v>
          </cell>
          <cell r="AD89">
            <v>1284.9979033284676</v>
          </cell>
          <cell r="AE89">
            <v>1427.1797256642337</v>
          </cell>
          <cell r="AF89">
            <v>1569.3615480000001</v>
          </cell>
        </row>
        <row r="90">
          <cell r="X90">
            <v>43665</v>
          </cell>
          <cell r="Y90">
            <v>172.99</v>
          </cell>
          <cell r="AB90">
            <v>1057.067982</v>
          </cell>
          <cell r="AC90">
            <v>1171.9211432846716</v>
          </cell>
          <cell r="AD90">
            <v>1286.7743045693435</v>
          </cell>
          <cell r="AE90">
            <v>1429.1526812846719</v>
          </cell>
          <cell r="AF90">
            <v>1571.531058</v>
          </cell>
        </row>
        <row r="91">
          <cell r="X91">
            <v>43672</v>
          </cell>
          <cell r="Y91">
            <v>178.74</v>
          </cell>
          <cell r="AB91">
            <v>1060.5285840000001</v>
          </cell>
          <cell r="AC91">
            <v>1175.7577486131388</v>
          </cell>
          <cell r="AD91">
            <v>1290.9869132262777</v>
          </cell>
          <cell r="AE91">
            <v>1433.8314046131388</v>
          </cell>
          <cell r="AF91">
            <v>1576.675896</v>
          </cell>
        </row>
        <row r="92">
          <cell r="X92">
            <v>43679</v>
          </cell>
          <cell r="Y92">
            <v>161</v>
          </cell>
          <cell r="AB92">
            <v>1063.718175</v>
          </cell>
          <cell r="AC92">
            <v>1179.2938968978103</v>
          </cell>
          <cell r="AD92">
            <v>1294.8696187956207</v>
          </cell>
          <cell r="AE92">
            <v>1438.1437218978103</v>
          </cell>
          <cell r="AF92">
            <v>1581.417825</v>
          </cell>
        </row>
        <row r="93">
          <cell r="X93">
            <v>43686</v>
          </cell>
          <cell r="Y93">
            <v>159.12</v>
          </cell>
          <cell r="AB93">
            <v>1069.8471930000001</v>
          </cell>
          <cell r="AC93">
            <v>1186.0888485036498</v>
          </cell>
          <cell r="AD93">
            <v>1302.3305040072996</v>
          </cell>
          <cell r="AE93">
            <v>1446.4301355036498</v>
          </cell>
          <cell r="AF93">
            <v>1590.529767</v>
          </cell>
        </row>
        <row r="94">
          <cell r="X94">
            <v>43693</v>
          </cell>
          <cell r="Y94">
            <v>174.6</v>
          </cell>
          <cell r="AB94">
            <v>1101.4929390000002</v>
          </cell>
          <cell r="AC94">
            <v>1221.1729863868616</v>
          </cell>
          <cell r="AD94">
            <v>1340.8530337737232</v>
          </cell>
          <cell r="AE94">
            <v>1489.2150873868616</v>
          </cell>
          <cell r="AF94">
            <v>1637.577141</v>
          </cell>
        </row>
        <row r="95">
          <cell r="X95">
            <v>43700</v>
          </cell>
          <cell r="Y95">
            <v>164.54</v>
          </cell>
          <cell r="AB95">
            <v>1108.2265199999999</v>
          </cell>
          <cell r="AC95">
            <v>1228.6381883211679</v>
          </cell>
          <cell r="AD95">
            <v>1349.0498566423362</v>
          </cell>
          <cell r="AE95">
            <v>1498.3188683211679</v>
          </cell>
          <cell r="AF95">
            <v>1647.5878799999998</v>
          </cell>
        </row>
        <row r="96">
          <cell r="X96">
            <v>43707</v>
          </cell>
          <cell r="Y96">
            <v>175.03</v>
          </cell>
          <cell r="AB96">
            <v>1114.2721500000002</v>
          </cell>
          <cell r="AC96">
            <v>1235.3406916058395</v>
          </cell>
          <cell r="AD96">
            <v>1356.4092332116793</v>
          </cell>
          <cell r="AE96">
            <v>1506.4925416058397</v>
          </cell>
          <cell r="AF96">
            <v>1656.5758499999999</v>
          </cell>
        </row>
        <row r="97">
          <cell r="X97">
            <v>43714</v>
          </cell>
          <cell r="Y97">
            <v>176.69</v>
          </cell>
          <cell r="AB97">
            <v>1118.7542550000001</v>
          </cell>
          <cell r="AC97">
            <v>1240.3097888686132</v>
          </cell>
          <cell r="AD97">
            <v>1361.8653227372267</v>
          </cell>
          <cell r="AE97">
            <v>1512.5523338686132</v>
          </cell>
          <cell r="AF97">
            <v>1663.239345</v>
          </cell>
        </row>
        <row r="98">
          <cell r="X98">
            <v>43721</v>
          </cell>
          <cell r="Y98">
            <v>179.17</v>
          </cell>
          <cell r="AB98">
            <v>1131.5126190000001</v>
          </cell>
          <cell r="AC98">
            <v>1254.4543820072995</v>
          </cell>
          <cell r="AD98">
            <v>1377.3961450145989</v>
          </cell>
          <cell r="AE98">
            <v>1529.8016030072995</v>
          </cell>
          <cell r="AF98">
            <v>1682.2070609999998</v>
          </cell>
        </row>
        <row r="99">
          <cell r="X99">
            <v>43728</v>
          </cell>
          <cell r="Y99">
            <v>182.51</v>
          </cell>
          <cell r="AB99">
            <v>1134.7855979999999</v>
          </cell>
          <cell r="AC99">
            <v>1258.0829786131387</v>
          </cell>
          <cell r="AD99">
            <v>1381.3803592262777</v>
          </cell>
          <cell r="AE99">
            <v>1534.2266606131388</v>
          </cell>
          <cell r="AF99">
            <v>1687.0729619999997</v>
          </cell>
        </row>
        <row r="100">
          <cell r="X100">
            <v>43735</v>
          </cell>
          <cell r="Y100">
            <v>165.98</v>
          </cell>
          <cell r="AB100">
            <v>1141.7068019999999</v>
          </cell>
          <cell r="AC100">
            <v>1265.756189270073</v>
          </cell>
          <cell r="AD100">
            <v>1389.8055765401464</v>
          </cell>
          <cell r="AE100">
            <v>1543.5841072700732</v>
          </cell>
          <cell r="AF100">
            <v>1697.3626379999998</v>
          </cell>
        </row>
        <row r="101">
          <cell r="X101">
            <v>43742</v>
          </cell>
          <cell r="Y101">
            <v>170.34</v>
          </cell>
          <cell r="AB101">
            <v>1152.7140179999999</v>
          </cell>
          <cell r="AC101">
            <v>1277.9593676642337</v>
          </cell>
          <cell r="AD101">
            <v>1403.2047173284675</v>
          </cell>
          <cell r="AE101">
            <v>1558.4658296642338</v>
          </cell>
          <cell r="AF101">
            <v>1713.7269419999998</v>
          </cell>
        </row>
        <row r="102">
          <cell r="X102">
            <v>43749</v>
          </cell>
          <cell r="Y102">
            <v>172.94</v>
          </cell>
          <cell r="AB102">
            <v>1155.3407400000001</v>
          </cell>
          <cell r="AC102">
            <v>1280.8714897810221</v>
          </cell>
          <cell r="AD102">
            <v>1406.4022395620443</v>
          </cell>
          <cell r="AE102">
            <v>1562.017149781022</v>
          </cell>
          <cell r="AF102">
            <v>1717.6320599999999</v>
          </cell>
        </row>
        <row r="103">
          <cell r="X103">
            <v>43756</v>
          </cell>
          <cell r="Y103">
            <v>169.13</v>
          </cell>
          <cell r="AB103">
            <v>1161.719922</v>
          </cell>
          <cell r="AC103">
            <v>1287.9437863503651</v>
          </cell>
          <cell r="AD103">
            <v>1414.1676507007303</v>
          </cell>
          <cell r="AE103">
            <v>1570.641784350365</v>
          </cell>
          <cell r="AF103">
            <v>1727.115918</v>
          </cell>
        </row>
        <row r="104">
          <cell r="X104">
            <v>43763</v>
          </cell>
          <cell r="Y104">
            <v>174.31</v>
          </cell>
          <cell r="AB104">
            <v>1161.3029820000002</v>
          </cell>
          <cell r="AC104">
            <v>1287.4815447445258</v>
          </cell>
          <cell r="AD104">
            <v>1413.6601074890516</v>
          </cell>
          <cell r="AE104">
            <v>1570.0780827445258</v>
          </cell>
          <cell r="AF104">
            <v>1726.4960579999999</v>
          </cell>
        </row>
        <row r="105">
          <cell r="X105">
            <v>43770</v>
          </cell>
          <cell r="Y105">
            <v>176.46</v>
          </cell>
          <cell r="AB105">
            <v>1167.0984480000002</v>
          </cell>
          <cell r="AC105">
            <v>1293.9067030656936</v>
          </cell>
          <cell r="AD105">
            <v>1420.7149581313872</v>
          </cell>
          <cell r="AE105">
            <v>1577.9135350656936</v>
          </cell>
          <cell r="AF105">
            <v>1735.112112</v>
          </cell>
        </row>
        <row r="106">
          <cell r="X106">
            <v>43777</v>
          </cell>
          <cell r="Y106">
            <v>187.16</v>
          </cell>
          <cell r="AB106">
            <v>1203.2679930000002</v>
          </cell>
          <cell r="AC106">
            <v>1334.0061623722629</v>
          </cell>
          <cell r="AD106">
            <v>1464.7443317445261</v>
          </cell>
          <cell r="AE106">
            <v>1626.8146493722629</v>
          </cell>
          <cell r="AF106">
            <v>1788.884967</v>
          </cell>
        </row>
        <row r="107">
          <cell r="X107">
            <v>43784</v>
          </cell>
          <cell r="Y107">
            <v>185.49</v>
          </cell>
          <cell r="AB107">
            <v>1212.5032140000001</v>
          </cell>
          <cell r="AC107">
            <v>1344.244813941606</v>
          </cell>
          <cell r="AD107">
            <v>1475.986413883212</v>
          </cell>
          <cell r="AE107">
            <v>1639.3006399416061</v>
          </cell>
          <cell r="AF107">
            <v>1802.6148659999999</v>
          </cell>
        </row>
        <row r="108">
          <cell r="X108">
            <v>43791</v>
          </cell>
          <cell r="Y108">
            <v>186.78</v>
          </cell>
          <cell r="AB108">
            <v>1219.8622050000001</v>
          </cell>
          <cell r="AC108">
            <v>1352.4033782846716</v>
          </cell>
          <cell r="AD108">
            <v>1484.9445515693435</v>
          </cell>
          <cell r="AE108">
            <v>1649.2499732846718</v>
          </cell>
          <cell r="AF108">
            <v>1813.5553949999999</v>
          </cell>
        </row>
        <row r="109">
          <cell r="X109">
            <v>43798</v>
          </cell>
          <cell r="Y109">
            <v>200</v>
          </cell>
          <cell r="AB109">
            <v>1225.4492010000001</v>
          </cell>
          <cell r="AC109">
            <v>1358.5974158029198</v>
          </cell>
          <cell r="AD109">
            <v>1491.7456306058398</v>
          </cell>
          <cell r="AE109">
            <v>1656.8035748029199</v>
          </cell>
          <cell r="AF109">
            <v>1821.861519</v>
          </cell>
        </row>
        <row r="110">
          <cell r="X110">
            <v>43805</v>
          </cell>
          <cell r="Y110">
            <v>201.89</v>
          </cell>
          <cell r="AB110">
            <v>1217.902587</v>
          </cell>
          <cell r="AC110">
            <v>1350.2308427372263</v>
          </cell>
          <cell r="AD110">
            <v>1482.5590984744529</v>
          </cell>
          <cell r="AE110">
            <v>1646.6005757372263</v>
          </cell>
          <cell r="AF110">
            <v>1810.6420529999998</v>
          </cell>
        </row>
        <row r="111">
          <cell r="X111">
            <v>43812</v>
          </cell>
          <cell r="Y111">
            <v>204.91</v>
          </cell>
          <cell r="AB111">
            <v>1230.0146940000002</v>
          </cell>
          <cell r="AC111">
            <v>1363.6589613868616</v>
          </cell>
          <cell r="AD111">
            <v>1497.303228773723</v>
          </cell>
          <cell r="AE111">
            <v>1662.9761073868615</v>
          </cell>
          <cell r="AF111">
            <v>1828.6489859999999</v>
          </cell>
        </row>
        <row r="112">
          <cell r="X112">
            <v>43819</v>
          </cell>
          <cell r="Y112">
            <v>212.25</v>
          </cell>
          <cell r="AB112">
            <v>1231.5990660000002</v>
          </cell>
          <cell r="AC112">
            <v>1365.4154794890512</v>
          </cell>
          <cell r="AD112">
            <v>1499.2318929781027</v>
          </cell>
          <cell r="AE112">
            <v>1665.1181734890513</v>
          </cell>
          <cell r="AF112">
            <v>1831.0044539999999</v>
          </cell>
        </row>
        <row r="113">
          <cell r="X113">
            <v>43826</v>
          </cell>
          <cell r="Y113">
            <v>215.47</v>
          </cell>
          <cell r="AB113">
            <v>1240.4798880000001</v>
          </cell>
          <cell r="AC113">
            <v>1375.2612256934308</v>
          </cell>
          <cell r="AD113">
            <v>1510.0425633868617</v>
          </cell>
          <cell r="AE113">
            <v>1677.1250176934307</v>
          </cell>
          <cell r="AF113">
            <v>1844.2074719999998</v>
          </cell>
        </row>
        <row r="114">
          <cell r="X114">
            <v>43833</v>
          </cell>
          <cell r="Y114">
            <v>217</v>
          </cell>
          <cell r="AB114">
            <v>1246.3170480000001</v>
          </cell>
          <cell r="AC114">
            <v>1381.7326081751826</v>
          </cell>
          <cell r="AD114">
            <v>1517.1481683503653</v>
          </cell>
          <cell r="AE114">
            <v>1685.0168401751826</v>
          </cell>
          <cell r="AF114">
            <v>1852.8855119999998</v>
          </cell>
        </row>
        <row r="115">
          <cell r="X115">
            <v>43840</v>
          </cell>
          <cell r="Y115">
            <v>223.83</v>
          </cell>
          <cell r="AB115">
            <v>1249.9027320000002</v>
          </cell>
          <cell r="AC115">
            <v>1385.7078859854016</v>
          </cell>
          <cell r="AD115">
            <v>1521.5130399708034</v>
          </cell>
          <cell r="AE115">
            <v>1689.8646739854016</v>
          </cell>
          <cell r="AF115">
            <v>1858.216308</v>
          </cell>
        </row>
        <row r="116">
          <cell r="X116">
            <v>43847</v>
          </cell>
          <cell r="Y116">
            <v>227.43</v>
          </cell>
          <cell r="AB116">
            <v>1247.8805730000001</v>
          </cell>
          <cell r="AC116">
            <v>1383.4660141970805</v>
          </cell>
          <cell r="AD116">
            <v>1519.0514553941612</v>
          </cell>
          <cell r="AE116">
            <v>1687.1307211970804</v>
          </cell>
          <cell r="AF116">
            <v>1855.209987</v>
          </cell>
        </row>
        <row r="117">
          <cell r="X117">
            <v>43854</v>
          </cell>
          <cell r="Y117">
            <v>213.75</v>
          </cell>
          <cell r="AB117">
            <v>1255.0102470000002</v>
          </cell>
          <cell r="AC117">
            <v>1391.3703456569344</v>
          </cell>
          <cell r="AD117">
            <v>1527.7304443138692</v>
          </cell>
          <cell r="AE117">
            <v>1696.7700186569346</v>
          </cell>
          <cell r="AF117">
            <v>1865.8095929999999</v>
          </cell>
        </row>
        <row r="118">
          <cell r="X118">
            <v>43861</v>
          </cell>
          <cell r="Y118">
            <v>206.59</v>
          </cell>
          <cell r="AB118">
            <v>1263.3073529999999</v>
          </cell>
          <cell r="AC118">
            <v>1400.5689536131388</v>
          </cell>
          <cell r="AD118">
            <v>1537.8305542262776</v>
          </cell>
          <cell r="AE118">
            <v>1707.9876806131388</v>
          </cell>
          <cell r="AF118">
            <v>1878.1448069999999</v>
          </cell>
        </row>
        <row r="119">
          <cell r="X119">
            <v>43868</v>
          </cell>
          <cell r="Y119">
            <v>216.53</v>
          </cell>
          <cell r="AB119">
            <v>1267.8311520000002</v>
          </cell>
          <cell r="AC119">
            <v>1405.5842750364966</v>
          </cell>
          <cell r="AD119">
            <v>1543.3373980729932</v>
          </cell>
          <cell r="AE119">
            <v>1714.1038430364965</v>
          </cell>
          <cell r="AF119">
            <v>1884.8702880000001</v>
          </cell>
        </row>
        <row r="120">
          <cell r="X120">
            <v>43875</v>
          </cell>
          <cell r="Y120">
            <v>219.63</v>
          </cell>
          <cell r="AB120">
            <v>1191.7812960000001</v>
          </cell>
          <cell r="AC120">
            <v>1321.271406131387</v>
          </cell>
          <cell r="AD120">
            <v>1450.7615162627742</v>
          </cell>
          <cell r="AE120">
            <v>1611.284670131387</v>
          </cell>
          <cell r="AF120">
            <v>1771.807824</v>
          </cell>
        </row>
        <row r="121">
          <cell r="X121">
            <v>43882</v>
          </cell>
          <cell r="Y121">
            <v>212.59</v>
          </cell>
          <cell r="AB121">
            <v>1208.2504260000001</v>
          </cell>
          <cell r="AC121">
            <v>1339.5299495620438</v>
          </cell>
          <cell r="AD121">
            <v>1470.8094731240881</v>
          </cell>
          <cell r="AE121">
            <v>1633.550883562044</v>
          </cell>
          <cell r="AF121">
            <v>1796.2922939999999</v>
          </cell>
        </row>
        <row r="122">
          <cell r="X122">
            <v>43889</v>
          </cell>
          <cell r="Y122">
            <v>208</v>
          </cell>
          <cell r="AB122">
            <v>1205.185917</v>
          </cell>
          <cell r="AC122">
            <v>1336.1324737591242</v>
          </cell>
          <cell r="AD122">
            <v>1467.0790305182486</v>
          </cell>
          <cell r="AE122">
            <v>1629.4076767591243</v>
          </cell>
          <cell r="AF122">
            <v>1791.7363229999999</v>
          </cell>
        </row>
        <row r="123">
          <cell r="X123">
            <v>43896</v>
          </cell>
          <cell r="Y123">
            <v>204.64</v>
          </cell>
          <cell r="AB123">
            <v>1204.0601790000001</v>
          </cell>
          <cell r="AC123">
            <v>1334.8844214233577</v>
          </cell>
          <cell r="AD123">
            <v>1465.7086638467158</v>
          </cell>
          <cell r="AE123">
            <v>1627.8856824233578</v>
          </cell>
          <cell r="AF123">
            <v>1790.0627009999998</v>
          </cell>
        </row>
        <row r="124">
          <cell r="X124">
            <v>43903</v>
          </cell>
          <cell r="Y124">
            <v>194</v>
          </cell>
          <cell r="AB124">
            <v>1232.3495580000001</v>
          </cell>
          <cell r="AC124">
            <v>1366.2475143795621</v>
          </cell>
          <cell r="AD124">
            <v>1500.1454707591245</v>
          </cell>
          <cell r="AE124">
            <v>1666.1328363795621</v>
          </cell>
          <cell r="AF124">
            <v>1832.1202019999998</v>
          </cell>
        </row>
        <row r="125">
          <cell r="X125">
            <v>43910</v>
          </cell>
          <cell r="Y125">
            <v>181.3</v>
          </cell>
          <cell r="AB125">
            <v>1234.309176</v>
          </cell>
          <cell r="AC125">
            <v>1368.4200499270073</v>
          </cell>
          <cell r="AD125">
            <v>1502.5309238540151</v>
          </cell>
          <cell r="AE125">
            <v>1668.7822339270074</v>
          </cell>
          <cell r="AF125">
            <v>1835.0335439999999</v>
          </cell>
        </row>
        <row r="126">
          <cell r="X126">
            <v>43917</v>
          </cell>
          <cell r="Y126">
            <v>188.59</v>
          </cell>
          <cell r="AB126">
            <v>1239.5000790000001</v>
          </cell>
          <cell r="AC126">
            <v>1374.1749579197083</v>
          </cell>
          <cell r="AD126">
            <v>1508.8498368394164</v>
          </cell>
          <cell r="AE126">
            <v>1675.8003189197082</v>
          </cell>
          <cell r="AF126">
            <v>1842.7508009999999</v>
          </cell>
        </row>
        <row r="127">
          <cell r="X127">
            <v>43924</v>
          </cell>
          <cell r="Y127">
            <v>187.11</v>
          </cell>
          <cell r="AB127">
            <v>1236.2479470000001</v>
          </cell>
          <cell r="AC127">
            <v>1370.5694733941607</v>
          </cell>
          <cell r="AD127">
            <v>1504.8909997883216</v>
          </cell>
          <cell r="AE127">
            <v>1671.4034463941607</v>
          </cell>
          <cell r="AF127">
            <v>1837.9158929999999</v>
          </cell>
        </row>
        <row r="128">
          <cell r="X128">
            <v>43931</v>
          </cell>
          <cell r="Y128">
            <v>196.37</v>
          </cell>
          <cell r="AB128">
            <v>1226.5332450000001</v>
          </cell>
          <cell r="AC128">
            <v>1359.7992439781024</v>
          </cell>
          <cell r="AD128">
            <v>1493.0652429562049</v>
          </cell>
          <cell r="AE128">
            <v>1658.2691989781024</v>
          </cell>
          <cell r="AF128">
            <v>1823.4731549999999</v>
          </cell>
        </row>
        <row r="129">
          <cell r="X129">
            <v>43938</v>
          </cell>
          <cell r="Y129">
            <v>209.5</v>
          </cell>
          <cell r="AB129">
            <v>1236.6023460000001</v>
          </cell>
          <cell r="AC129">
            <v>1370.9623787591242</v>
          </cell>
          <cell r="AD129">
            <v>1505.3224115182486</v>
          </cell>
          <cell r="AE129">
            <v>1671.8825927591242</v>
          </cell>
          <cell r="AF129">
            <v>1838.4427739999999</v>
          </cell>
        </row>
        <row r="130">
          <cell r="X130">
            <v>43945</v>
          </cell>
          <cell r="Y130">
            <v>204.36</v>
          </cell>
          <cell r="AB130">
            <v>1221.0921780000001</v>
          </cell>
          <cell r="AC130">
            <v>1353.7669910218979</v>
          </cell>
          <cell r="AD130">
            <v>1486.4418040437961</v>
          </cell>
          <cell r="AE130">
            <v>1650.9128930218978</v>
          </cell>
          <cell r="AF130">
            <v>1815.3839819999998</v>
          </cell>
        </row>
        <row r="131">
          <cell r="X131">
            <v>43952</v>
          </cell>
          <cell r="Y131">
            <v>194.48</v>
          </cell>
          <cell r="AB131">
            <v>1213.441329</v>
          </cell>
          <cell r="AC131">
            <v>1345.2848575547448</v>
          </cell>
          <cell r="AD131">
            <v>1477.1283861094896</v>
          </cell>
          <cell r="AE131">
            <v>1640.5689685547447</v>
          </cell>
          <cell r="AF131">
            <v>1804.0095509999999</v>
          </cell>
        </row>
        <row r="132">
          <cell r="X132">
            <v>43959</v>
          </cell>
          <cell r="Y132">
            <v>201.19</v>
          </cell>
          <cell r="AB132">
            <v>1247.4010920000001</v>
          </cell>
          <cell r="AC132">
            <v>1382.9344363503651</v>
          </cell>
          <cell r="AD132">
            <v>1518.4677807007304</v>
          </cell>
          <cell r="AE132">
            <v>1686.482464350365</v>
          </cell>
          <cell r="AF132">
            <v>1854.4971479999999</v>
          </cell>
        </row>
        <row r="133">
          <cell r="X133">
            <v>43966</v>
          </cell>
          <cell r="Y133">
            <v>203.68</v>
          </cell>
          <cell r="AB133">
            <v>1268.9777370000002</v>
          </cell>
          <cell r="AC133">
            <v>1406.8554394525549</v>
          </cell>
          <cell r="AD133">
            <v>1544.73314190511</v>
          </cell>
          <cell r="AE133">
            <v>1715.654022452555</v>
          </cell>
          <cell r="AF133">
            <v>1886.5749029999999</v>
          </cell>
        </row>
        <row r="134">
          <cell r="X134">
            <v>43973</v>
          </cell>
          <cell r="Y134">
            <v>199.7</v>
          </cell>
          <cell r="AB134">
            <v>1270.0200870000001</v>
          </cell>
          <cell r="AC134">
            <v>1408.0110434671535</v>
          </cell>
          <cell r="AD134">
            <v>1546.0019999343069</v>
          </cell>
          <cell r="AE134">
            <v>1717.0632764671534</v>
          </cell>
          <cell r="AF134">
            <v>1888.1245529999999</v>
          </cell>
        </row>
        <row r="135">
          <cell r="X135">
            <v>43980</v>
          </cell>
          <cell r="Y135">
            <v>207.39</v>
          </cell>
          <cell r="AB135">
            <v>1304.8345770000001</v>
          </cell>
          <cell r="AC135">
            <v>1446.6082175547447</v>
          </cell>
          <cell r="AD135">
            <v>1588.3818581094895</v>
          </cell>
          <cell r="AE135">
            <v>1764.1323605547448</v>
          </cell>
          <cell r="AF135">
            <v>1939.882863</v>
          </cell>
        </row>
        <row r="136">
          <cell r="X136">
            <v>43987</v>
          </cell>
          <cell r="Y136">
            <v>219.55</v>
          </cell>
          <cell r="AB136">
            <v>1315.591629</v>
          </cell>
          <cell r="AC136">
            <v>1458.5340509854016</v>
          </cell>
          <cell r="AD136">
            <v>1601.4764729708033</v>
          </cell>
          <cell r="AE136">
            <v>1778.6758619854015</v>
          </cell>
          <cell r="AF136">
            <v>1955.8752509999999</v>
          </cell>
        </row>
        <row r="137">
          <cell r="X137">
            <v>43994</v>
          </cell>
          <cell r="Y137">
            <v>217.64</v>
          </cell>
          <cell r="AB137">
            <v>1330.3513050000001</v>
          </cell>
          <cell r="AC137">
            <v>1474.8974038321169</v>
          </cell>
          <cell r="AD137">
            <v>1619.4435026642341</v>
          </cell>
          <cell r="AE137">
            <v>1798.6308988321168</v>
          </cell>
          <cell r="AF137">
            <v>1977.8182949999998</v>
          </cell>
        </row>
        <row r="138">
          <cell r="X138">
            <v>44001</v>
          </cell>
          <cell r="Y138">
            <v>220.64</v>
          </cell>
          <cell r="AB138">
            <v>1337.7519900000002</v>
          </cell>
          <cell r="AC138">
            <v>1483.1021923357666</v>
          </cell>
          <cell r="AD138">
            <v>1628.4523946715333</v>
          </cell>
          <cell r="AE138">
            <v>1808.6366023357666</v>
          </cell>
          <cell r="AF138">
            <v>1988.8208099999999</v>
          </cell>
        </row>
        <row r="139">
          <cell r="X139">
            <v>44008</v>
          </cell>
          <cell r="Y139">
            <v>215.71</v>
          </cell>
          <cell r="AB139">
            <v>1310.7134310000001</v>
          </cell>
          <cell r="AC139">
            <v>1453.1258241970804</v>
          </cell>
          <cell r="AD139">
            <v>1595.5382173941609</v>
          </cell>
          <cell r="AE139">
            <v>1772.0805531970805</v>
          </cell>
          <cell r="AF139">
            <v>1948.6228889999998</v>
          </cell>
        </row>
        <row r="140">
          <cell r="X140">
            <v>44015</v>
          </cell>
          <cell r="Y140">
            <v>223.6</v>
          </cell>
          <cell r="AB140">
            <v>1327.2034080000001</v>
          </cell>
          <cell r="AC140">
            <v>1471.4074797080293</v>
          </cell>
          <cell r="AD140">
            <v>1615.611551416059</v>
          </cell>
          <cell r="AE140">
            <v>1794.3749517080294</v>
          </cell>
          <cell r="AF140">
            <v>1973.1383519999999</v>
          </cell>
        </row>
        <row r="141">
          <cell r="X141">
            <v>44022</v>
          </cell>
          <cell r="Y141">
            <v>261.01</v>
          </cell>
          <cell r="AB141">
            <v>1335.5839020000001</v>
          </cell>
          <cell r="AC141">
            <v>1480.6985359854016</v>
          </cell>
          <cell r="AD141">
            <v>1625.8131699708035</v>
          </cell>
          <cell r="AE141">
            <v>1805.7053539854016</v>
          </cell>
          <cell r="AF141">
            <v>1985.597538</v>
          </cell>
        </row>
        <row r="142">
          <cell r="X142">
            <v>44029</v>
          </cell>
          <cell r="Y142">
            <v>247.14</v>
          </cell>
          <cell r="AB142">
            <v>1318.8854550000001</v>
          </cell>
          <cell r="AC142">
            <v>1462.1857596715331</v>
          </cell>
          <cell r="AD142">
            <v>1605.4860643430661</v>
          </cell>
          <cell r="AE142">
            <v>1783.129104671533</v>
          </cell>
          <cell r="AF142">
            <v>1960.7721449999999</v>
          </cell>
        </row>
        <row r="143">
          <cell r="X143">
            <v>44036</v>
          </cell>
          <cell r="Y143">
            <v>249</v>
          </cell>
          <cell r="AB143">
            <v>1337.4809789999999</v>
          </cell>
          <cell r="AC143">
            <v>1482.801735291971</v>
          </cell>
          <cell r="AD143">
            <v>1628.1224915839421</v>
          </cell>
          <cell r="AE143">
            <v>1808.2701962919709</v>
          </cell>
          <cell r="AF143">
            <v>1988.4179009999998</v>
          </cell>
        </row>
        <row r="144">
          <cell r="X144">
            <v>44043</v>
          </cell>
          <cell r="Y144">
            <v>251.02</v>
          </cell>
          <cell r="AB144">
            <v>1345.7989319999999</v>
          </cell>
          <cell r="AC144">
            <v>1492.0234553284672</v>
          </cell>
          <cell r="AD144">
            <v>1638.2479786569347</v>
          </cell>
          <cell r="AE144">
            <v>1819.5160433284673</v>
          </cell>
          <cell r="AF144">
            <v>2000.7841079999998</v>
          </cell>
        </row>
        <row r="145">
          <cell r="X145">
            <v>44050</v>
          </cell>
          <cell r="Y145">
            <v>252.1</v>
          </cell>
          <cell r="AB145">
            <v>1361.496723</v>
          </cell>
          <cell r="AC145">
            <v>1509.4268517883213</v>
          </cell>
          <cell r="AD145">
            <v>1657.3569805766429</v>
          </cell>
          <cell r="AE145">
            <v>1840.7394087883213</v>
          </cell>
          <cell r="AF145">
            <v>2024.1218369999999</v>
          </cell>
        </row>
        <row r="146">
          <cell r="X146">
            <v>44057</v>
          </cell>
          <cell r="Y146">
            <v>253.97</v>
          </cell>
          <cell r="AB146">
            <v>1367.6048940000001</v>
          </cell>
          <cell r="AC146">
            <v>1516.1986913138689</v>
          </cell>
          <cell r="AD146">
            <v>1664.7924886277378</v>
          </cell>
          <cell r="AE146">
            <v>1848.9976373138688</v>
          </cell>
          <cell r="AF146">
            <v>2033.2027860000001</v>
          </cell>
        </row>
      </sheetData>
      <sheetData sheetId="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sheetNames>
    <sheetDataSet>
      <sheetData sheetId="0">
        <row r="14">
          <cell r="C14">
            <v>154840.83333333299</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nL"/>
      <sheetName val="OperatingMetrics"/>
      <sheetName val="GMV+Users"/>
      <sheetName val="GMV"/>
      <sheetName val="NBS"/>
      <sheetName val="Sum"/>
      <sheetName val="Users"/>
      <sheetName val="OperatingMertics (1)"/>
      <sheetName val="BS"/>
      <sheetName val="CF"/>
      <sheetName val="ReadMe"/>
      <sheetName val="CHECK LIST"/>
      <sheetName val="OperatingMetrics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Publish Page"/>
      <sheetName val="SOTP"/>
      <sheetName val="Model"/>
      <sheetName val="Eleme"/>
      <sheetName val="Hema"/>
    </sheetNames>
    <sheetDataSet>
      <sheetData sheetId="0" refreshError="1"/>
      <sheetData sheetId="1" refreshError="1"/>
      <sheetData sheetId="2" refreshError="1"/>
      <sheetData sheetId="3" refreshError="1"/>
      <sheetData sheetId="4">
        <row r="64">
          <cell r="Q64">
            <v>8764.1688643760808</v>
          </cell>
          <cell r="R64">
            <v>9442.5082181272228</v>
          </cell>
          <cell r="S64">
            <v>7250.9436545363196</v>
          </cell>
          <cell r="T64">
            <v>9446.4239493750665</v>
          </cell>
          <cell r="U64">
            <v>11163.709109519794</v>
          </cell>
          <cell r="V64">
            <v>11966.716958554487</v>
          </cell>
          <cell r="W64">
            <v>9419.0221108526093</v>
          </cell>
        </row>
        <row r="66">
          <cell r="K66">
            <v>-2222.818546257231</v>
          </cell>
          <cell r="L66">
            <v>-1893.0157103264708</v>
          </cell>
          <cell r="M66">
            <v>-2427.4315883637496</v>
          </cell>
          <cell r="N66">
            <v>-2711.0778292337754</v>
          </cell>
          <cell r="O66">
            <v>-1880.4122872727305</v>
          </cell>
          <cell r="P66">
            <v>-1405.0276861262221</v>
          </cell>
          <cell r="Q66">
            <v>-1695.5734396247133</v>
          </cell>
          <cell r="R66">
            <v>-1716.5503956058349</v>
          </cell>
          <cell r="S66">
            <v>-817.80106798550241</v>
          </cell>
          <cell r="T66">
            <v>-52.735182882989122</v>
          </cell>
          <cell r="U66">
            <v>-413.35004035820094</v>
          </cell>
          <cell r="V66">
            <v>-172.4746598610256</v>
          </cell>
          <cell r="W66">
            <v>-631.87659336675972</v>
          </cell>
        </row>
      </sheetData>
      <sheetData sheetId="5">
        <row r="13">
          <cell r="D13">
            <v>12.47</v>
          </cell>
          <cell r="E13">
            <v>35.396999999999998</v>
          </cell>
          <cell r="F13">
            <v>56.75</v>
          </cell>
          <cell r="G13">
            <v>74.760000000000005</v>
          </cell>
          <cell r="H13">
            <v>92.872500000000002</v>
          </cell>
          <cell r="I13">
            <v>110.33750000000001</v>
          </cell>
        </row>
        <row r="17">
          <cell r="C17">
            <v>-2.6366900000000002</v>
          </cell>
          <cell r="D17">
            <v>-5.3012000000000006</v>
          </cell>
          <cell r="E17">
            <v>-5.2009439999999998</v>
          </cell>
          <cell r="F17">
            <v>-5.1955000000000018</v>
          </cell>
          <cell r="G17">
            <v>-5.6684400000000004</v>
          </cell>
          <cell r="H17">
            <v>-5.4776500000000006</v>
          </cell>
          <cell r="I17">
            <v>-4.7030624999999997</v>
          </cell>
        </row>
        <row r="58">
          <cell r="D58">
            <v>3.2496586048909995E-2</v>
          </cell>
          <cell r="E58">
            <v>0.28011773854576477</v>
          </cell>
          <cell r="F58">
            <v>1.1004921796757112</v>
          </cell>
          <cell r="G58">
            <v>3.7431891903395726</v>
          </cell>
          <cell r="H58">
            <v>8.2341463145184441</v>
          </cell>
          <cell r="I58">
            <v>14.115543261824117</v>
          </cell>
        </row>
        <row r="60">
          <cell r="D60">
            <v>3.2496586048909996E-3</v>
          </cell>
          <cell r="E60">
            <v>4.2017660781864717E-2</v>
          </cell>
          <cell r="F60">
            <v>0.22009843593514225</v>
          </cell>
          <cell r="G60">
            <v>0.93579729758489316</v>
          </cell>
          <cell r="H60">
            <v>2.4702438943555332</v>
          </cell>
          <cell r="I60">
            <v>4.9404401416384403</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92"/>
  <sheetViews>
    <sheetView showGridLines="0" topLeftCell="A31" workbookViewId="0">
      <selection activeCell="L54" sqref="L54"/>
    </sheetView>
  </sheetViews>
  <sheetFormatPr defaultRowHeight="13.5" x14ac:dyDescent="0.3"/>
  <cols>
    <col min="1" max="1" width="2.59765625" customWidth="1"/>
    <col min="2" max="2" width="14" customWidth="1"/>
    <col min="3" max="3" width="10.59765625" customWidth="1"/>
    <col min="4" max="4" width="1.3984375" customWidth="1"/>
    <col min="5" max="5" width="11.3984375" customWidth="1"/>
    <col min="6" max="6" width="1.3984375" customWidth="1"/>
    <col min="7" max="7" width="13.59765625" customWidth="1"/>
    <col min="8" max="10" width="8.73046875" customWidth="1"/>
    <col min="11" max="14" width="9.86328125" bestFit="1" customWidth="1"/>
    <col min="15" max="15" width="1.3984375" customWidth="1"/>
    <col min="16" max="16" width="18.86328125" customWidth="1"/>
    <col min="17" max="22" width="8.59765625" customWidth="1"/>
    <col min="23" max="23" width="1.3984375" customWidth="1"/>
    <col min="24" max="24" width="21" customWidth="1"/>
  </cols>
  <sheetData>
    <row r="1" spans="1:55" ht="17.45" customHeight="1" x14ac:dyDescent="0.5">
      <c r="A1" s="1" t="str">
        <f>[32]Summary!$A$1</f>
        <v>Alibaba Group Holding-Sp Adr</v>
      </c>
      <c r="B1" s="2"/>
      <c r="C1" s="2"/>
      <c r="D1" s="3"/>
      <c r="E1" s="3"/>
      <c r="F1" s="3"/>
      <c r="G1" s="4"/>
      <c r="H1" s="4"/>
      <c r="I1" s="4"/>
      <c r="J1" s="4"/>
      <c r="K1" s="4"/>
      <c r="L1" s="4"/>
      <c r="M1" s="4"/>
      <c r="N1" s="4"/>
      <c r="O1" s="4"/>
      <c r="P1" s="4"/>
      <c r="Q1" s="4"/>
      <c r="R1" s="4"/>
      <c r="S1" s="4"/>
      <c r="T1" s="4"/>
      <c r="U1" s="4"/>
      <c r="V1" s="4"/>
      <c r="W1" s="4"/>
      <c r="X1" s="5"/>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row>
    <row r="2" spans="1:55" ht="13.9" customHeight="1" thickBot="1" x14ac:dyDescent="0.45">
      <c r="A2" s="7"/>
      <c r="B2" s="8" t="s">
        <v>0</v>
      </c>
      <c r="C2" s="343" t="str">
        <f>[32]Summary!$C$2</f>
        <v>BABA US</v>
      </c>
      <c r="D2" s="9" t="str">
        <f>[32]Summary!D2</f>
        <v>USD</v>
      </c>
      <c r="E2" s="10"/>
      <c r="F2" s="10"/>
      <c r="G2" s="11"/>
      <c r="H2" s="11"/>
      <c r="I2" s="11"/>
      <c r="J2" s="11"/>
      <c r="K2" s="11"/>
      <c r="L2" s="11"/>
      <c r="M2" s="11"/>
      <c r="N2" s="11"/>
      <c r="O2" s="11"/>
      <c r="P2" s="11"/>
      <c r="Q2" s="11"/>
      <c r="R2" s="11"/>
      <c r="S2" s="11"/>
      <c r="T2" s="11"/>
      <c r="U2" s="11"/>
      <c r="V2" s="11"/>
      <c r="W2" s="12"/>
      <c r="X2" s="13"/>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row>
    <row r="3" spans="1:55" ht="14.45" customHeight="1" thickTop="1" thickBot="1" x14ac:dyDescent="0.45">
      <c r="A3" s="14"/>
      <c r="B3" s="8" t="s">
        <v>1</v>
      </c>
      <c r="C3" s="15">
        <f>[32]Summary!$C$3</f>
        <v>255.11</v>
      </c>
      <c r="D3" s="9" t="str">
        <f>[32]Summary!D3</f>
        <v>CNY</v>
      </c>
      <c r="E3" s="16"/>
      <c r="F3" s="17"/>
      <c r="G3" s="16"/>
      <c r="H3" s="16"/>
      <c r="I3" s="16"/>
      <c r="J3" s="16"/>
      <c r="K3" s="16"/>
      <c r="L3" s="16"/>
      <c r="M3" s="16"/>
      <c r="N3" s="16"/>
      <c r="O3" s="16"/>
      <c r="P3" s="18" t="s">
        <v>316</v>
      </c>
      <c r="Q3" s="19"/>
      <c r="R3" s="19"/>
      <c r="S3" s="19"/>
      <c r="T3" s="19"/>
      <c r="U3" s="19"/>
      <c r="V3" s="19"/>
      <c r="W3" s="20"/>
      <c r="X3" s="21" t="s">
        <v>361</v>
      </c>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row>
    <row r="4" spans="1:55" ht="13.15" customHeight="1" x14ac:dyDescent="0.4">
      <c r="A4" s="23"/>
      <c r="B4" s="8" t="s">
        <v>2</v>
      </c>
      <c r="C4" s="24">
        <f>[32]Summary!$C$4</f>
        <v>44181</v>
      </c>
      <c r="D4" s="10"/>
      <c r="E4" s="25"/>
      <c r="F4" s="25"/>
      <c r="G4" s="25"/>
      <c r="H4" s="25"/>
      <c r="I4" s="25"/>
      <c r="J4" s="25"/>
      <c r="K4" s="25"/>
      <c r="L4" s="25"/>
      <c r="M4" s="25"/>
      <c r="N4" s="25"/>
      <c r="O4" s="25"/>
      <c r="P4" s="26" t="s">
        <v>317</v>
      </c>
      <c r="Q4" s="27" t="str">
        <f>I22</f>
        <v>FY20</v>
      </c>
      <c r="R4" s="27" t="str">
        <f t="shared" ref="R4:V4" si="0">J22</f>
        <v>FY21</v>
      </c>
      <c r="S4" s="27" t="str">
        <f t="shared" si="0"/>
        <v>FY22</v>
      </c>
      <c r="T4" s="27" t="str">
        <f t="shared" si="0"/>
        <v>FY23</v>
      </c>
      <c r="U4" s="27" t="str">
        <f t="shared" si="0"/>
        <v>FY25</v>
      </c>
      <c r="V4" s="27" t="str">
        <f t="shared" si="0"/>
        <v>FY30</v>
      </c>
      <c r="W4" s="29"/>
      <c r="X4" s="30" t="str">
        <f>R4</f>
        <v>FY21</v>
      </c>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row>
    <row r="5" spans="1:55" ht="12" customHeight="1" x14ac:dyDescent="0.3">
      <c r="A5" s="31"/>
      <c r="B5" s="32"/>
      <c r="C5" s="32"/>
      <c r="D5" s="32"/>
      <c r="E5" s="33"/>
      <c r="F5" s="34"/>
      <c r="G5" s="34"/>
      <c r="H5" s="34"/>
      <c r="I5" s="34"/>
      <c r="J5" s="34"/>
      <c r="K5" s="34"/>
      <c r="L5" s="34"/>
      <c r="M5" s="34"/>
      <c r="N5" s="34"/>
      <c r="O5" s="34"/>
      <c r="P5" s="35" t="s">
        <v>3</v>
      </c>
      <c r="Q5" s="2729">
        <f>Q10*Q16</f>
        <v>428.68691025495031</v>
      </c>
      <c r="R5" s="2868">
        <f>R10*R16</f>
        <v>294.47824723848771</v>
      </c>
      <c r="S5" s="2729">
        <f t="shared" ref="Q5:T7" si="1">S10*S16</f>
        <v>273.49823828741086</v>
      </c>
      <c r="T5" s="2729">
        <f t="shared" si="1"/>
        <v>282.89643925096806</v>
      </c>
      <c r="U5" s="2729">
        <f t="shared" ref="U5" si="2">U10*U16</f>
        <v>325.90868050880823</v>
      </c>
      <c r="V5" s="2729">
        <f>V10*T16</f>
        <v>534.19443463679283</v>
      </c>
      <c r="W5" s="28"/>
      <c r="X5" s="37">
        <f>R5/$C$3-1</f>
        <v>0.15431871443098144</v>
      </c>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38"/>
    </row>
    <row r="6" spans="1:55" ht="11.45" customHeight="1" x14ac:dyDescent="0.3">
      <c r="A6" s="39" t="s">
        <v>318</v>
      </c>
      <c r="B6" s="33"/>
      <c r="C6" s="33"/>
      <c r="D6" s="33"/>
      <c r="E6" s="40">
        <f>[32]Summary!$E$6</f>
        <v>0.125</v>
      </c>
      <c r="F6" s="29"/>
      <c r="G6" s="29"/>
      <c r="H6" s="29"/>
      <c r="I6" s="29"/>
      <c r="J6" s="29"/>
      <c r="K6" s="29"/>
      <c r="L6" s="29"/>
      <c r="M6" s="29"/>
      <c r="N6" s="29"/>
      <c r="O6" s="29"/>
      <c r="P6" s="35" t="s">
        <v>319</v>
      </c>
      <c r="Q6" s="2729">
        <f>Q11*Q17</f>
        <v>371.15749805623398</v>
      </c>
      <c r="R6" s="2868">
        <f>R11*R17</f>
        <v>186.97031570697632</v>
      </c>
      <c r="S6" s="2729">
        <f>S11*S17</f>
        <v>186.05322332476928</v>
      </c>
      <c r="T6" s="2729">
        <f t="shared" ref="T6" si="3">T11*T17</f>
        <v>179.61678682601149</v>
      </c>
      <c r="U6" s="2729">
        <f t="shared" ref="U6" si="4">U11*U17</f>
        <v>206.92614635479885</v>
      </c>
      <c r="V6" s="2729">
        <f>V11*T17</f>
        <v>339.17106961066213</v>
      </c>
      <c r="W6" s="29"/>
      <c r="X6" s="37">
        <f t="shared" ref="X6:X7" si="5">R6/$C$3-1</f>
        <v>-0.26709922893271021</v>
      </c>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2"/>
    </row>
    <row r="7" spans="1:55" ht="12" customHeight="1" thickBot="1" x14ac:dyDescent="0.35">
      <c r="A7" s="39" t="str">
        <f>"FX "&amp;D3&amp;"/"&amp;D2</f>
        <v>FX CNY/USD</v>
      </c>
      <c r="B7" s="33"/>
      <c r="C7" s="33"/>
      <c r="D7" s="33"/>
      <c r="E7" s="40">
        <f>[32]Summary!E7</f>
        <v>6.5326000000000004</v>
      </c>
      <c r="F7" s="29"/>
      <c r="G7" s="29"/>
      <c r="H7" s="41"/>
      <c r="I7" s="41"/>
      <c r="J7" s="41"/>
      <c r="K7" s="29"/>
      <c r="L7" s="29"/>
      <c r="M7" s="29"/>
      <c r="N7" s="29"/>
      <c r="O7" s="29"/>
      <c r="P7" s="42" t="s">
        <v>5</v>
      </c>
      <c r="Q7" s="2730">
        <f t="shared" si="1"/>
        <v>321.34848316557054</v>
      </c>
      <c r="R7" s="2869">
        <f t="shared" si="1"/>
        <v>161.8790612181613</v>
      </c>
      <c r="S7" s="2730">
        <f t="shared" si="1"/>
        <v>136.30272771045369</v>
      </c>
      <c r="T7" s="2730">
        <f t="shared" si="1"/>
        <v>131.58738961612562</v>
      </c>
      <c r="U7" s="2730">
        <f t="shared" ref="U7" si="6">U12*U18</f>
        <v>151.59424641377203</v>
      </c>
      <c r="V7" s="2730">
        <f>V12*T18</f>
        <v>248.47697407374517</v>
      </c>
      <c r="W7" s="43"/>
      <c r="X7" s="44">
        <f t="shared" si="5"/>
        <v>-0.36545387786381844</v>
      </c>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2"/>
    </row>
    <row r="8" spans="1:55" ht="12.6" customHeight="1" thickTop="1" x14ac:dyDescent="0.3">
      <c r="A8" s="45"/>
      <c r="B8" s="46"/>
      <c r="C8" s="46"/>
      <c r="D8" s="46"/>
      <c r="E8" s="46"/>
      <c r="F8" s="28"/>
      <c r="G8" s="29"/>
      <c r="H8" s="29"/>
      <c r="I8" s="29"/>
      <c r="J8" s="29"/>
      <c r="K8" s="29"/>
      <c r="L8" s="29"/>
      <c r="M8" s="29"/>
      <c r="N8" s="29"/>
      <c r="O8" s="29"/>
      <c r="P8" s="28"/>
      <c r="Q8" s="28"/>
      <c r="R8" s="28"/>
      <c r="S8" s="28"/>
      <c r="T8" s="28"/>
      <c r="U8" s="28"/>
      <c r="V8" s="28"/>
      <c r="W8" s="29"/>
      <c r="X8" s="47"/>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2"/>
    </row>
    <row r="9" spans="1:55" ht="12" customHeight="1" x14ac:dyDescent="0.3">
      <c r="A9" s="48" t="s">
        <v>320</v>
      </c>
      <c r="B9" s="49"/>
      <c r="C9" s="49"/>
      <c r="D9" s="49"/>
      <c r="E9" s="49"/>
      <c r="F9" s="29"/>
      <c r="G9" s="49" t="s">
        <v>321</v>
      </c>
      <c r="H9" s="28" t="str">
        <f>H22</f>
        <v>FY19</v>
      </c>
      <c r="I9" s="28" t="str">
        <f t="shared" ref="I9:N9" si="7">I22</f>
        <v>FY20</v>
      </c>
      <c r="J9" s="28" t="str">
        <f t="shared" si="7"/>
        <v>FY21</v>
      </c>
      <c r="K9" s="28" t="str">
        <f t="shared" si="7"/>
        <v>FY22</v>
      </c>
      <c r="L9" s="28" t="str">
        <f t="shared" si="7"/>
        <v>FY23</v>
      </c>
      <c r="M9" s="28" t="str">
        <f t="shared" si="7"/>
        <v>FY25</v>
      </c>
      <c r="N9" s="28" t="str">
        <f t="shared" si="7"/>
        <v>FY30</v>
      </c>
      <c r="O9" s="28"/>
      <c r="P9" s="49" t="str">
        <f>"EPS ("&amp;D2&amp;")"</f>
        <v>EPS (USD)</v>
      </c>
      <c r="Q9" s="28" t="str">
        <f>Q4</f>
        <v>FY20</v>
      </c>
      <c r="R9" s="28" t="str">
        <f t="shared" ref="R9:V9" si="8">R4</f>
        <v>FY21</v>
      </c>
      <c r="S9" s="28" t="str">
        <f t="shared" si="8"/>
        <v>FY22</v>
      </c>
      <c r="T9" s="28" t="str">
        <f t="shared" si="8"/>
        <v>FY23</v>
      </c>
      <c r="U9" s="28" t="str">
        <f t="shared" si="8"/>
        <v>FY25</v>
      </c>
      <c r="V9" s="28" t="str">
        <f t="shared" si="8"/>
        <v>FY30</v>
      </c>
      <c r="W9" s="29"/>
      <c r="X9" s="47"/>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2"/>
    </row>
    <row r="10" spans="1:55" ht="11.45" customHeight="1" x14ac:dyDescent="0.3">
      <c r="A10" s="45" t="s">
        <v>6</v>
      </c>
      <c r="B10" s="46"/>
      <c r="C10" s="46"/>
      <c r="D10" s="46"/>
      <c r="E10" s="50">
        <f>[32]Summary!$E$10</f>
        <v>255.11</v>
      </c>
      <c r="F10" s="29"/>
      <c r="G10" s="46" t="s">
        <v>7</v>
      </c>
      <c r="H10" s="29">
        <f t="shared" ref="H10:M10" si="9">$E$10/H35</f>
        <v>6.6429751516415001</v>
      </c>
      <c r="I10" s="29">
        <f t="shared" si="9"/>
        <v>4.8154394951324431</v>
      </c>
      <c r="J10" s="29">
        <f t="shared" si="9"/>
        <v>4.1773296687086665</v>
      </c>
      <c r="K10" s="29">
        <f>$E$10/K35</f>
        <v>3.5682324555384848</v>
      </c>
      <c r="L10" s="29">
        <f t="shared" si="9"/>
        <v>3.1416828427225991</v>
      </c>
      <c r="M10" s="29">
        <f t="shared" si="9"/>
        <v>2.3179967310577747</v>
      </c>
      <c r="N10" s="29">
        <f>$E$10/N35</f>
        <v>1.6637591705094636</v>
      </c>
      <c r="O10" s="29"/>
      <c r="P10" s="46" t="s">
        <v>322</v>
      </c>
      <c r="Q10" s="2870">
        <f>Q11*1.05</f>
        <v>8.5151986661661052</v>
      </c>
      <c r="R10" s="2870">
        <f t="shared" ref="R10:V10" si="10">R11*1.05</f>
        <v>9.8159415746162573</v>
      </c>
      <c r="S10" s="2870">
        <f t="shared" si="10"/>
        <v>11.491522617118104</v>
      </c>
      <c r="T10" s="2870">
        <f t="shared" si="10"/>
        <v>13.051738835108102</v>
      </c>
      <c r="U10" s="2870">
        <f t="shared" si="10"/>
        <v>17.689595251173525</v>
      </c>
      <c r="V10" s="2870">
        <f t="shared" si="10"/>
        <v>24.645648656830122</v>
      </c>
      <c r="W10" s="29"/>
      <c r="X10" s="47"/>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2"/>
    </row>
    <row r="11" spans="1:55" ht="11.45" customHeight="1" x14ac:dyDescent="0.3">
      <c r="A11" s="51" t="str">
        <f>"Price ("&amp;D3&amp;")"</f>
        <v>Price (CNY)</v>
      </c>
      <c r="B11" s="29"/>
      <c r="C11" s="29"/>
      <c r="D11" s="29"/>
      <c r="E11" s="50">
        <f>[32]Summary!$E$11</f>
        <v>1666.557</v>
      </c>
      <c r="F11" s="29"/>
      <c r="G11" s="46" t="s">
        <v>323</v>
      </c>
      <c r="H11" s="29">
        <f t="shared" ref="H11" si="11">$E$10/H38</f>
        <v>1.0873437687885317</v>
      </c>
      <c r="I11" s="29">
        <f>$E$10/I38</f>
        <v>0.77375400016597495</v>
      </c>
      <c r="J11" s="29">
        <f>$E$10/J38</f>
        <v>0.64610690455849273</v>
      </c>
      <c r="K11" s="29">
        <f>$E$10/K38</f>
        <v>0.56482303937837441</v>
      </c>
      <c r="L11" s="29">
        <f t="shared" ref="L11:M11" si="12">$E$10/L38</f>
        <v>0.49804916494688894</v>
      </c>
      <c r="M11" s="29">
        <f t="shared" si="12"/>
        <v>0.38817693675638698</v>
      </c>
      <c r="N11" s="29">
        <f>$E$10/N38</f>
        <v>0.22705358198039666</v>
      </c>
      <c r="O11" s="29"/>
      <c r="P11" s="46" t="s">
        <v>4</v>
      </c>
      <c r="Q11" s="2871">
        <f>I36</f>
        <v>8.1097130153962897</v>
      </c>
      <c r="R11" s="2871">
        <f>J36</f>
        <v>9.3485157853488161</v>
      </c>
      <c r="S11" s="2871">
        <f t="shared" ref="S11:V11" si="13">K36</f>
        <v>10.944307254398193</v>
      </c>
      <c r="T11" s="2871">
        <f t="shared" si="13"/>
        <v>12.430227462007716</v>
      </c>
      <c r="U11" s="2871">
        <f t="shared" si="13"/>
        <v>16.847233572546212</v>
      </c>
      <c r="V11" s="2871">
        <f t="shared" si="13"/>
        <v>23.472046339838212</v>
      </c>
      <c r="W11" s="29"/>
      <c r="X11" s="47"/>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2"/>
    </row>
    <row r="12" spans="1:55" ht="11.45" customHeight="1" x14ac:dyDescent="0.3">
      <c r="A12" s="45" t="s">
        <v>324</v>
      </c>
      <c r="B12" s="46"/>
      <c r="C12" s="46"/>
      <c r="D12" s="46"/>
      <c r="E12" s="52">
        <f>[32]Summary!$E$12</f>
        <v>2705.6369999999997</v>
      </c>
      <c r="F12" s="29"/>
      <c r="G12" s="46" t="s">
        <v>325</v>
      </c>
      <c r="H12" s="29">
        <f t="shared" ref="H12:M12" si="14">$E$10/(H25/$E$12)</f>
        <v>1.8316201268164014</v>
      </c>
      <c r="I12" s="29">
        <f t="shared" si="14"/>
        <v>1.3541694314425232</v>
      </c>
      <c r="J12" s="29">
        <f t="shared" si="14"/>
        <v>1.0330674163388283</v>
      </c>
      <c r="K12" s="29">
        <f t="shared" si="14"/>
        <v>0.8149817382025123</v>
      </c>
      <c r="L12" s="29">
        <f t="shared" si="14"/>
        <v>0.65784880198718887</v>
      </c>
      <c r="M12" s="29">
        <f t="shared" si="14"/>
        <v>0.46475532374977929</v>
      </c>
      <c r="N12" s="29">
        <f t="shared" ref="N12:O12" si="15">$E$10/(N25/$E$12)</f>
        <v>0.28524884079182833</v>
      </c>
      <c r="O12" s="29" t="e">
        <f t="shared" si="15"/>
        <v>#DIV/0!</v>
      </c>
      <c r="P12" s="46" t="s">
        <v>5</v>
      </c>
      <c r="Q12" s="2870">
        <f>Q11/1.05</f>
        <v>7.7235362051393235</v>
      </c>
      <c r="R12" s="2870">
        <f t="shared" ref="R12:V12" si="16">R11/1.05</f>
        <v>8.9033483669988716</v>
      </c>
      <c r="S12" s="2870">
        <f t="shared" si="16"/>
        <v>10.423149766093518</v>
      </c>
      <c r="T12" s="2870">
        <f t="shared" si="16"/>
        <v>11.838311868578776</v>
      </c>
      <c r="U12" s="2870">
        <f t="shared" si="16"/>
        <v>16.044984354805916</v>
      </c>
      <c r="V12" s="2870">
        <f t="shared" si="16"/>
        <v>22.354329847464964</v>
      </c>
      <c r="W12" s="29"/>
      <c r="X12" s="47"/>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2"/>
    </row>
    <row r="13" spans="1:55" ht="11.45" customHeight="1" x14ac:dyDescent="0.3">
      <c r="A13" s="45" t="s">
        <v>326</v>
      </c>
      <c r="B13" s="46"/>
      <c r="C13" s="46"/>
      <c r="D13" s="46"/>
      <c r="E13" s="50">
        <f>[32]Summary!$E$13</f>
        <v>690235.05507</v>
      </c>
      <c r="F13" s="29"/>
      <c r="G13" s="46" t="s">
        <v>9</v>
      </c>
      <c r="H13" s="29">
        <f t="shared" ref="H13:I13" si="17">$E$15/H29</f>
        <v>31.558762505282363</v>
      </c>
      <c r="I13" s="29">
        <f t="shared" si="17"/>
        <v>25.08993941770753</v>
      </c>
      <c r="J13" s="29">
        <f>$E$15/J29</f>
        <v>15.379300646321639</v>
      </c>
      <c r="K13" s="29">
        <f>$E$15/K29</f>
        <v>12.989711426124357</v>
      </c>
      <c r="L13" s="29">
        <f>$E$15/L29</f>
        <v>10.980521297046627</v>
      </c>
      <c r="M13" s="29">
        <f t="shared" ref="M13:N13" si="18">$E$15/M29</f>
        <v>7.7489844101786876</v>
      </c>
      <c r="N13" s="29">
        <f t="shared" si="18"/>
        <v>4.8168853158278138</v>
      </c>
      <c r="O13" s="29"/>
      <c r="P13" s="29"/>
      <c r="Q13" s="29"/>
      <c r="R13" s="29"/>
      <c r="S13" s="29"/>
      <c r="T13" s="29"/>
      <c r="U13" s="29"/>
      <c r="V13" s="29"/>
      <c r="W13" s="29"/>
      <c r="X13" s="47"/>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2"/>
    </row>
    <row r="14" spans="1:55" ht="11.45" customHeight="1" x14ac:dyDescent="0.3">
      <c r="A14" s="45" t="str">
        <f>"Mkt Cap (USD)"</f>
        <v>Mkt Cap (USD)</v>
      </c>
      <c r="B14" s="46"/>
      <c r="C14" s="46"/>
      <c r="D14" s="46"/>
      <c r="E14" s="50">
        <f>[32]Summary!$E$14</f>
        <v>690234.95302599994</v>
      </c>
      <c r="F14" s="29"/>
      <c r="G14" s="29"/>
      <c r="H14" s="28"/>
      <c r="I14" s="29"/>
      <c r="J14" s="29"/>
      <c r="K14" s="29"/>
      <c r="L14" s="29"/>
      <c r="M14" s="29"/>
      <c r="N14" s="29"/>
      <c r="O14" s="29"/>
      <c r="P14" s="29"/>
      <c r="Q14" s="29"/>
      <c r="R14" s="29"/>
      <c r="S14" s="29"/>
      <c r="T14" s="29"/>
      <c r="U14" s="29"/>
      <c r="V14" s="29"/>
      <c r="W14" s="29"/>
      <c r="X14" s="47"/>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2"/>
    </row>
    <row r="15" spans="1:55" ht="11.45" customHeight="1" x14ac:dyDescent="0.3">
      <c r="A15" s="45" t="str">
        <f>"EV (USD)"</f>
        <v>EV (USD)</v>
      </c>
      <c r="B15" s="29"/>
      <c r="C15" s="29"/>
      <c r="D15" s="29"/>
      <c r="E15" s="50">
        <f>[32]Summary!$E$15</f>
        <v>4154868.8776329495</v>
      </c>
      <c r="F15" s="29"/>
      <c r="G15" s="49" t="s">
        <v>10</v>
      </c>
      <c r="H15" s="28" t="str">
        <f>H22</f>
        <v>FY19</v>
      </c>
      <c r="I15" s="28" t="str">
        <f t="shared" ref="I15:N15" si="19">I22</f>
        <v>FY20</v>
      </c>
      <c r="J15" s="28" t="str">
        <f t="shared" si="19"/>
        <v>FY21</v>
      </c>
      <c r="K15" s="28" t="str">
        <f t="shared" si="19"/>
        <v>FY22</v>
      </c>
      <c r="L15" s="28" t="str">
        <f t="shared" si="19"/>
        <v>FY23</v>
      </c>
      <c r="M15" s="28" t="str">
        <f t="shared" si="19"/>
        <v>FY25</v>
      </c>
      <c r="N15" s="28" t="str">
        <f t="shared" si="19"/>
        <v>FY30</v>
      </c>
      <c r="O15" s="29"/>
      <c r="P15" s="49" t="s">
        <v>327</v>
      </c>
      <c r="Q15" s="28" t="str">
        <f>Q4</f>
        <v>FY20</v>
      </c>
      <c r="R15" s="28" t="str">
        <f t="shared" ref="R15:V15" si="20">R4</f>
        <v>FY21</v>
      </c>
      <c r="S15" s="28" t="str">
        <f t="shared" si="20"/>
        <v>FY22</v>
      </c>
      <c r="T15" s="28" t="str">
        <f t="shared" si="20"/>
        <v>FY23</v>
      </c>
      <c r="U15" s="28" t="str">
        <f t="shared" si="20"/>
        <v>FY25</v>
      </c>
      <c r="V15" s="28" t="str">
        <f t="shared" si="20"/>
        <v>FY30</v>
      </c>
      <c r="W15" s="28"/>
      <c r="X15" s="53"/>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38"/>
    </row>
    <row r="16" spans="1:55" ht="11.45" customHeight="1" x14ac:dyDescent="0.3">
      <c r="A16" s="45" t="s">
        <v>328</v>
      </c>
      <c r="B16" s="46"/>
      <c r="C16" s="46"/>
      <c r="D16" s="46"/>
      <c r="E16" s="29">
        <f>[32]Summary!$E$16</f>
        <v>12189.03</v>
      </c>
      <c r="F16" s="29"/>
      <c r="G16" s="46" t="s">
        <v>327</v>
      </c>
      <c r="I16" s="29">
        <f>[32]Summary!$I$16</f>
        <v>45.767032366199828</v>
      </c>
      <c r="J16" s="29">
        <f>[32]Summary!$J$16</f>
        <v>24.906327810220919</v>
      </c>
      <c r="K16" s="29">
        <f>[32]Summary!$K$16</f>
        <v>20.610147200322928</v>
      </c>
      <c r="L16" s="29">
        <f>[32]Summary!$L$16</f>
        <v>16.752685090121755</v>
      </c>
      <c r="M16" s="29"/>
      <c r="N16" s="29"/>
      <c r="O16" s="29"/>
      <c r="P16" s="46" t="s">
        <v>329</v>
      </c>
      <c r="Q16" s="54">
        <f>Q17*1.1</f>
        <v>50.343735602819812</v>
      </c>
      <c r="R16" s="54">
        <v>30</v>
      </c>
      <c r="S16" s="54">
        <f>S17*1.4</f>
        <v>23.799999999999997</v>
      </c>
      <c r="T16" s="54">
        <f>T17*1.5</f>
        <v>21.674999999999997</v>
      </c>
      <c r="U16" s="54">
        <f>U17*1.5</f>
        <v>18.423749999999998</v>
      </c>
      <c r="V16" s="54">
        <f t="shared" ref="V16" si="21">V17*1.4</f>
        <v>14.616174999999997</v>
      </c>
      <c r="W16" s="29"/>
      <c r="X16" s="47"/>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2"/>
    </row>
    <row r="17" spans="1:55" ht="11.45" customHeight="1" x14ac:dyDescent="0.3">
      <c r="A17" s="45" t="s">
        <v>368</v>
      </c>
      <c r="B17" s="46"/>
      <c r="C17" s="46"/>
      <c r="D17" s="46"/>
      <c r="E17" s="50" t="e">
        <f>[32]Summary!$E$17</f>
        <v>#VALUE!</v>
      </c>
      <c r="F17" s="29"/>
      <c r="G17" s="46" t="s">
        <v>8</v>
      </c>
      <c r="I17" s="29">
        <f>[32]Summary!$I$17</f>
        <v>6.0586875030094705</v>
      </c>
      <c r="J17" s="29">
        <f>[32]Summary!$J$17</f>
        <v>4.6607074097962728</v>
      </c>
      <c r="K17" s="29">
        <f>[32]Summary!$K$17</f>
        <v>4.0157228601986281</v>
      </c>
      <c r="L17" s="29">
        <f>[32]Summary!$L$17</f>
        <v>3.2897682392107832</v>
      </c>
      <c r="M17" s="29"/>
      <c r="N17" s="29"/>
      <c r="O17" s="29"/>
      <c r="P17" s="46" t="s">
        <v>4</v>
      </c>
      <c r="Q17" s="54">
        <f>I16</f>
        <v>45.767032366199828</v>
      </c>
      <c r="R17" s="54">
        <v>20</v>
      </c>
      <c r="S17" s="54">
        <f t="shared" ref="S17:T17" si="22">R17*0.85</f>
        <v>17</v>
      </c>
      <c r="T17" s="54">
        <f t="shared" si="22"/>
        <v>14.45</v>
      </c>
      <c r="U17" s="54">
        <f>T17*0.85</f>
        <v>12.282499999999999</v>
      </c>
      <c r="V17" s="54">
        <f>U17*0.85</f>
        <v>10.440124999999998</v>
      </c>
      <c r="W17" s="29"/>
      <c r="X17" s="47"/>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2"/>
    </row>
    <row r="18" spans="1:55" ht="11.45" customHeight="1" x14ac:dyDescent="0.3">
      <c r="A18" s="45" t="s">
        <v>11</v>
      </c>
      <c r="B18" s="46"/>
      <c r="C18" s="46"/>
      <c r="D18" s="46"/>
      <c r="E18" s="110" t="str">
        <f>[32]Summary!$E$18</f>
        <v>$319.32/$169.95</v>
      </c>
      <c r="F18" s="28"/>
      <c r="G18" s="46" t="s">
        <v>325</v>
      </c>
      <c r="I18" s="29">
        <f>[32]Summary!$I$18</f>
        <v>8.9801092569377268</v>
      </c>
      <c r="J18" s="29">
        <f>[32]Summary!$J$18</f>
        <v>6.4459657292099193</v>
      </c>
      <c r="K18" s="29">
        <f>[32]Summary!$K$18</f>
        <v>4.9280765631906291</v>
      </c>
      <c r="L18" s="29">
        <f>[32]Summary!$L$18</f>
        <v>4.0976342288642806</v>
      </c>
      <c r="M18" s="29"/>
      <c r="N18" s="29"/>
      <c r="O18" s="29"/>
      <c r="P18" s="46" t="s">
        <v>330</v>
      </c>
      <c r="Q18" s="54">
        <f>Q17/1.1</f>
        <v>41.606393060181659</v>
      </c>
      <c r="R18" s="54">
        <f t="shared" ref="R18" si="23">R17/1.1</f>
        <v>18.18181818181818</v>
      </c>
      <c r="S18" s="54">
        <f>S17/1.3</f>
        <v>13.076923076923077</v>
      </c>
      <c r="T18" s="54">
        <f>T17/1.3</f>
        <v>11.115384615384615</v>
      </c>
      <c r="U18" s="54">
        <f t="shared" ref="U18:V18" si="24">U17/1.3</f>
        <v>9.4480769230769219</v>
      </c>
      <c r="V18" s="54">
        <f t="shared" si="24"/>
        <v>8.0308653846153835</v>
      </c>
      <c r="W18" s="28"/>
      <c r="X18" s="53"/>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38"/>
    </row>
    <row r="19" spans="1:55" ht="11.45" customHeight="1" x14ac:dyDescent="0.3">
      <c r="A19" s="55"/>
      <c r="B19" s="56"/>
      <c r="C19" s="56"/>
      <c r="D19" s="56"/>
      <c r="E19" s="56"/>
      <c r="F19" s="56"/>
      <c r="G19" s="57" t="s">
        <v>9</v>
      </c>
      <c r="H19" s="57"/>
      <c r="I19" s="58">
        <f>[32]Summary!$I$19</f>
        <v>27.336546835407326</v>
      </c>
      <c r="J19" s="58">
        <f>[32]Summary!$J$19</f>
        <v>20.151912959729778</v>
      </c>
      <c r="K19" s="58">
        <f>[32]Summary!$K$19</f>
        <v>15.87453295497339</v>
      </c>
      <c r="L19" s="58">
        <f>[32]Summary!$L$19</f>
        <v>13.068512927433396</v>
      </c>
      <c r="M19" s="58"/>
      <c r="N19" s="58"/>
      <c r="O19" s="56"/>
      <c r="P19" s="56"/>
      <c r="Q19" s="56"/>
      <c r="R19" s="56"/>
      <c r="S19" s="56"/>
      <c r="T19" s="56"/>
      <c r="U19" s="56"/>
      <c r="V19" s="56"/>
      <c r="W19" s="56"/>
      <c r="X19" s="5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2"/>
    </row>
    <row r="20" spans="1:55" ht="11.45" customHeight="1" x14ac:dyDescent="0.3">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2"/>
    </row>
    <row r="21" spans="1:55" ht="11.45" customHeight="1" x14ac:dyDescent="0.3">
      <c r="A21" s="60" t="s">
        <v>331</v>
      </c>
      <c r="B21" s="61"/>
      <c r="C21" s="61"/>
      <c r="D21" s="61"/>
      <c r="E21" s="61"/>
      <c r="F21" s="61"/>
      <c r="G21" s="62"/>
      <c r="H21" s="62"/>
      <c r="I21" s="62"/>
      <c r="J21" s="62"/>
      <c r="K21" s="62"/>
      <c r="L21" s="62"/>
      <c r="M21" s="62"/>
      <c r="N21" s="63"/>
      <c r="O21" s="29"/>
      <c r="P21" s="60" t="s">
        <v>332</v>
      </c>
      <c r="Q21" s="374"/>
      <c r="R21" s="374"/>
      <c r="S21" s="374"/>
      <c r="T21" s="374"/>
      <c r="U21" s="374"/>
      <c r="V21" s="374"/>
      <c r="W21" s="374"/>
      <c r="X21" s="409" t="s">
        <v>333</v>
      </c>
      <c r="Y21" s="29"/>
      <c r="Z21" s="28"/>
      <c r="AA21" s="28"/>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2"/>
    </row>
    <row r="22" spans="1:55" ht="11.45" customHeight="1" x14ac:dyDescent="0.3">
      <c r="A22" s="64" t="str">
        <f>D3</f>
        <v>CNY</v>
      </c>
      <c r="B22" s="65"/>
      <c r="C22" s="65"/>
      <c r="D22" s="65"/>
      <c r="E22" s="65" t="s">
        <v>12</v>
      </c>
      <c r="F22" s="66"/>
      <c r="G22" s="67"/>
      <c r="H22" s="67" t="str">
        <f>PnL!BH9</f>
        <v>FY19</v>
      </c>
      <c r="I22" s="67" t="str">
        <f>PnL!BI9</f>
        <v>FY20</v>
      </c>
      <c r="J22" s="67" t="str">
        <f>PnL!BJ9</f>
        <v>FY21</v>
      </c>
      <c r="K22" s="67" t="str">
        <f>PnL!BK9</f>
        <v>FY22</v>
      </c>
      <c r="L22" s="67" t="str">
        <f>PnL!BL9</f>
        <v>FY23</v>
      </c>
      <c r="M22" s="67" t="str">
        <f>PnL!BN9</f>
        <v>FY25</v>
      </c>
      <c r="N22" s="68" t="str">
        <f>PnL!BS9</f>
        <v>FY30</v>
      </c>
      <c r="O22" s="29"/>
      <c r="P22" s="86" t="s">
        <v>13</v>
      </c>
      <c r="Q22" s="46"/>
      <c r="R22" s="46"/>
      <c r="S22" s="69" t="str">
        <f>[32]Summary!S22</f>
        <v>#N/A Field Not Applicable</v>
      </c>
      <c r="T22" s="69"/>
      <c r="U22" s="69"/>
      <c r="V22" s="69"/>
      <c r="W22" s="46"/>
      <c r="X22" s="410" t="str">
        <f>[32]Summary!U22</f>
        <v>BLACKROCK</v>
      </c>
      <c r="Y22" s="28"/>
      <c r="Z22" s="29"/>
      <c r="AA22" s="29"/>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38"/>
    </row>
    <row r="23" spans="1:55" ht="11.45" customHeight="1" x14ac:dyDescent="0.3">
      <c r="A23" s="70"/>
      <c r="B23" s="71"/>
      <c r="C23" s="71"/>
      <c r="D23" s="71"/>
      <c r="E23" s="72"/>
      <c r="F23" s="66"/>
      <c r="G23" s="73"/>
      <c r="H23" s="73" t="str">
        <f>[32]Summary!H23</f>
        <v>2019/03/31</v>
      </c>
      <c r="I23" s="73" t="str">
        <f>[32]Summary!I23</f>
        <v>2020/03/31</v>
      </c>
      <c r="J23" s="73" t="str">
        <f>[32]Summary!J23</f>
        <v>2021/03/31</v>
      </c>
      <c r="K23" s="73" t="str">
        <f>[32]Summary!K23</f>
        <v>2022/03/31</v>
      </c>
      <c r="L23" s="73" t="str">
        <f>PnL!BL10</f>
        <v>2023/03/31</v>
      </c>
      <c r="M23" s="73" t="str">
        <f>PnL!BN10</f>
        <v>2025/03/31</v>
      </c>
      <c r="N23" s="74" t="str">
        <f>PnL!BS10</f>
        <v>2030/03/31</v>
      </c>
      <c r="O23" s="28"/>
      <c r="P23" s="86" t="s">
        <v>14</v>
      </c>
      <c r="Q23" s="46"/>
      <c r="R23" s="46"/>
      <c r="S23" s="446" t="str">
        <f>[32]Summary!S23</f>
        <v>#N/A N/A</v>
      </c>
      <c r="T23" s="446"/>
      <c r="U23" s="446"/>
      <c r="V23" s="446"/>
      <c r="W23" s="46"/>
      <c r="X23" s="411" t="str">
        <f>[32]Summary!U23</f>
        <v>T ROWE PRICE GROUP I</v>
      </c>
      <c r="Y23" s="29"/>
      <c r="Z23" s="29"/>
      <c r="AA23" s="29"/>
      <c r="AB23" s="29"/>
      <c r="AC23" s="29"/>
      <c r="AD23" s="29"/>
      <c r="AE23" s="29"/>
      <c r="AF23" s="29"/>
      <c r="AG23" s="29"/>
      <c r="AH23" s="29"/>
      <c r="AI23" s="29"/>
      <c r="AJ23" s="29"/>
      <c r="AK23" s="29"/>
      <c r="AL23" s="29"/>
      <c r="AM23" s="29"/>
      <c r="AN23" s="29"/>
      <c r="AO23" s="29"/>
      <c r="AP23" s="29"/>
      <c r="AQ23" s="29"/>
      <c r="AR23" s="29"/>
      <c r="AS23" s="29"/>
      <c r="AT23" s="29"/>
      <c r="AU23" s="75"/>
      <c r="AV23" s="29"/>
      <c r="AW23" s="29"/>
      <c r="AX23" s="29"/>
      <c r="AY23" s="29"/>
      <c r="AZ23" s="29"/>
      <c r="BA23" s="29"/>
      <c r="BB23" s="29"/>
      <c r="BC23" s="22"/>
    </row>
    <row r="24" spans="1:55" ht="11.45" customHeight="1" x14ac:dyDescent="0.3">
      <c r="A24" s="76"/>
      <c r="B24" s="49"/>
      <c r="C24" s="49"/>
      <c r="D24" s="49"/>
      <c r="E24" s="49"/>
      <c r="F24" s="49"/>
      <c r="G24" s="28"/>
      <c r="H24" s="28"/>
      <c r="I24" s="28"/>
      <c r="J24" s="28"/>
      <c r="K24" s="28"/>
      <c r="L24" s="28"/>
      <c r="M24" s="28"/>
      <c r="N24" s="77"/>
      <c r="O24" s="29"/>
      <c r="P24" s="86" t="s">
        <v>15</v>
      </c>
      <c r="Q24" s="46"/>
      <c r="R24" s="46"/>
      <c r="S24" s="446">
        <f>[32]Summary!S24</f>
        <v>0</v>
      </c>
      <c r="T24" s="446"/>
      <c r="U24" s="446"/>
      <c r="V24" s="446"/>
      <c r="W24" s="46"/>
      <c r="X24" s="411" t="str">
        <f>[32]Summary!U24</f>
        <v>VANGUARD GROUP</v>
      </c>
      <c r="Y24" s="29"/>
      <c r="Z24" s="29"/>
      <c r="AA24" s="29"/>
      <c r="AB24" s="29"/>
      <c r="AC24" s="29"/>
      <c r="AD24" s="29"/>
      <c r="AE24" s="29"/>
      <c r="AF24" s="29"/>
      <c r="AG24" s="29"/>
      <c r="AH24" s="29"/>
      <c r="AI24" s="29"/>
      <c r="AJ24" s="29"/>
      <c r="AK24" s="29"/>
      <c r="AL24" s="29"/>
      <c r="AM24" s="29"/>
      <c r="AN24" s="29"/>
      <c r="AO24" s="29"/>
      <c r="AP24" s="29"/>
      <c r="AQ24" s="29"/>
      <c r="AR24" s="29"/>
      <c r="AS24" s="29"/>
      <c r="AT24" s="29"/>
      <c r="AU24" s="75"/>
      <c r="AV24" s="29"/>
      <c r="AW24" s="29"/>
      <c r="AX24" s="29"/>
      <c r="AY24" s="29"/>
      <c r="AZ24" s="29"/>
      <c r="BA24" s="29"/>
      <c r="BB24" s="29"/>
      <c r="BC24" s="22"/>
    </row>
    <row r="25" spans="1:55" ht="11.45" customHeight="1" x14ac:dyDescent="0.3">
      <c r="A25" s="78" t="s">
        <v>16</v>
      </c>
      <c r="B25" s="79"/>
      <c r="C25" s="79"/>
      <c r="D25" s="79"/>
      <c r="E25" s="79"/>
      <c r="F25" s="79"/>
      <c r="G25" s="80"/>
      <c r="H25" s="80">
        <f>PnL!BH12</f>
        <v>376844</v>
      </c>
      <c r="I25" s="80">
        <f>PnL!BI12</f>
        <v>509711</v>
      </c>
      <c r="J25" s="80">
        <f>PnL!BJ12</f>
        <v>668141.3469763475</v>
      </c>
      <c r="K25" s="80">
        <f>PnL!BK12</f>
        <v>846933.15532732289</v>
      </c>
      <c r="L25" s="80">
        <f>PnL!BL12</f>
        <v>1049230.542010536</v>
      </c>
      <c r="M25" s="80">
        <f>PnL!BN12</f>
        <v>1485157.9310614143</v>
      </c>
      <c r="N25" s="81">
        <f>PnL!BS12</f>
        <v>2419764.627803436</v>
      </c>
      <c r="O25" s="29"/>
      <c r="P25" s="412"/>
      <c r="Q25" s="82"/>
      <c r="R25" s="82"/>
      <c r="S25" s="69"/>
      <c r="T25" s="69"/>
      <c r="U25" s="69"/>
      <c r="V25" s="69"/>
      <c r="W25" s="82"/>
      <c r="X25" s="411" t="str">
        <f>[32]Summary!U25</f>
        <v>FMR LLC</v>
      </c>
      <c r="Y25" s="29"/>
      <c r="Z25" s="28"/>
      <c r="AA25" s="28"/>
      <c r="AB25" s="29"/>
      <c r="AC25" s="29"/>
      <c r="AD25" s="29"/>
      <c r="AE25" s="29"/>
      <c r="AF25" s="29"/>
      <c r="AG25" s="29"/>
      <c r="AH25" s="29"/>
      <c r="AI25" s="29"/>
      <c r="AJ25" s="29"/>
      <c r="AK25" s="29"/>
      <c r="AL25" s="29"/>
      <c r="AM25" s="29"/>
      <c r="AN25" s="29"/>
      <c r="AO25" s="29"/>
      <c r="AP25" s="29"/>
      <c r="AQ25" s="29"/>
      <c r="AR25" s="29"/>
      <c r="AS25" s="29"/>
      <c r="AT25" s="29"/>
      <c r="AU25" s="75"/>
      <c r="AV25" s="29"/>
      <c r="AW25" s="29"/>
      <c r="AX25" s="29"/>
      <c r="AY25" s="29"/>
      <c r="AZ25" s="29"/>
      <c r="BA25" s="29"/>
      <c r="BB25" s="29"/>
      <c r="BC25" s="22"/>
    </row>
    <row r="26" spans="1:55" ht="11.45" customHeight="1" x14ac:dyDescent="0.3">
      <c r="A26" s="83"/>
      <c r="B26" s="84" t="s">
        <v>365</v>
      </c>
      <c r="C26" s="84"/>
      <c r="D26" s="84"/>
      <c r="E26" s="84"/>
      <c r="F26" s="84"/>
      <c r="G26" s="82"/>
      <c r="H26" s="82" t="str">
        <f>+IF(ISERR(H25/G25),"--",H25/G25-1)</f>
        <v>--</v>
      </c>
      <c r="I26" s="82">
        <f>+IF(ISERR(I25/H25),"--",I25/H25-1)</f>
        <v>0.35257825519313024</v>
      </c>
      <c r="J26" s="82">
        <f>+IF(ISERR(J25/I25),"--",J25/I25-1)</f>
        <v>0.3108238726971706</v>
      </c>
      <c r="K26" s="82">
        <f>+IF(ISERR(K25/J25),"--",K25/J25-1)</f>
        <v>0.26759578517343985</v>
      </c>
      <c r="L26" s="82">
        <f>+IF(ISERR(L25/K25),"--",L25/K25-1)</f>
        <v>0.23885874039850186</v>
      </c>
      <c r="M26" s="82"/>
      <c r="N26" s="85"/>
      <c r="O26" s="29"/>
      <c r="P26" s="76" t="s">
        <v>334</v>
      </c>
      <c r="Q26" s="29"/>
      <c r="R26" s="29"/>
      <c r="S26" s="69"/>
      <c r="T26" s="69"/>
      <c r="U26" s="69"/>
      <c r="V26" s="69"/>
      <c r="W26" s="29"/>
      <c r="X26" s="411" t="str">
        <f>[32]Summary!U26</f>
        <v>STATE STREET CORP</v>
      </c>
      <c r="Y26" s="29"/>
      <c r="Z26" s="29"/>
      <c r="AA26" s="29"/>
      <c r="AB26" s="29"/>
      <c r="AC26" s="29"/>
      <c r="AD26" s="29"/>
      <c r="AE26" s="29"/>
      <c r="AF26" s="29"/>
      <c r="AG26" s="29"/>
      <c r="AH26" s="29"/>
      <c r="AI26" s="29"/>
      <c r="AJ26" s="29"/>
      <c r="AK26" s="29"/>
      <c r="AL26" s="29"/>
      <c r="AM26" s="29"/>
      <c r="AN26" s="29"/>
      <c r="AO26" s="29"/>
      <c r="AP26" s="29"/>
      <c r="AQ26" s="29"/>
      <c r="AR26" s="29"/>
      <c r="AS26" s="29"/>
      <c r="AT26" s="29"/>
      <c r="AU26" s="75"/>
      <c r="AV26" s="29"/>
      <c r="AW26" s="29"/>
      <c r="AX26" s="29"/>
      <c r="AY26" s="29"/>
      <c r="AZ26" s="29"/>
      <c r="BA26" s="29"/>
      <c r="BB26" s="29"/>
      <c r="BC26" s="22"/>
    </row>
    <row r="27" spans="1:55" ht="11.45" customHeight="1" x14ac:dyDescent="0.3">
      <c r="A27" s="86" t="s">
        <v>17</v>
      </c>
      <c r="B27" s="46"/>
      <c r="C27" s="46"/>
      <c r="D27" s="46"/>
      <c r="E27" s="46"/>
      <c r="F27" s="46"/>
      <c r="G27" s="29"/>
      <c r="H27" s="29">
        <f>PnL!BH17</f>
        <v>169915</v>
      </c>
      <c r="I27" s="29">
        <f>PnL!BI17</f>
        <v>227344</v>
      </c>
      <c r="J27" s="29">
        <f>PnL!BJ17</f>
        <v>287577.95469781879</v>
      </c>
      <c r="K27" s="29">
        <f>PnL!BK17</f>
        <v>349615.4790501247</v>
      </c>
      <c r="L27" s="29">
        <f>PnL!BL17</f>
        <v>422590.70332305651</v>
      </c>
      <c r="M27" s="29">
        <f>PnL!BN17</f>
        <v>589273.8079342281</v>
      </c>
      <c r="N27" s="87">
        <f>PnL!BS17</f>
        <v>923244.2532299736</v>
      </c>
      <c r="O27" s="29"/>
      <c r="P27" s="86" t="s">
        <v>18</v>
      </c>
      <c r="Q27" s="29"/>
      <c r="R27" s="29"/>
      <c r="S27" s="446" t="str">
        <f>[32]Summary!S27</f>
        <v>2014/9/19</v>
      </c>
      <c r="T27" s="446"/>
      <c r="U27" s="446"/>
      <c r="V27" s="446"/>
      <c r="W27" s="29"/>
      <c r="X27" s="411" t="str">
        <f>[32]Summary!U27</f>
        <v>BAILLIE GIFFORD AND</v>
      </c>
      <c r="Y27" s="29"/>
      <c r="Z27" s="29"/>
      <c r="AA27" s="29"/>
      <c r="AB27" s="29"/>
      <c r="AC27" s="29"/>
      <c r="AD27" s="29"/>
      <c r="AE27" s="29"/>
      <c r="AF27" s="29"/>
      <c r="AG27" s="29"/>
      <c r="AH27" s="29"/>
      <c r="AI27" s="29"/>
      <c r="AJ27" s="29"/>
      <c r="AK27" s="29"/>
      <c r="AL27" s="29"/>
      <c r="AM27" s="29"/>
      <c r="AN27" s="29"/>
      <c r="AO27" s="29"/>
      <c r="AP27" s="29"/>
      <c r="AQ27" s="29"/>
      <c r="AR27" s="29"/>
      <c r="AS27" s="29"/>
      <c r="AT27" s="29"/>
      <c r="AU27" s="75"/>
      <c r="AV27" s="29"/>
      <c r="AW27" s="29"/>
      <c r="AX27" s="29"/>
      <c r="AY27" s="29"/>
      <c r="AZ27" s="29"/>
      <c r="BA27" s="29"/>
      <c r="BB27" s="29"/>
      <c r="BC27" s="22"/>
    </row>
    <row r="28" spans="1:55" ht="11.45" customHeight="1" x14ac:dyDescent="0.3">
      <c r="A28" s="83"/>
      <c r="B28" s="84" t="s">
        <v>21</v>
      </c>
      <c r="C28" s="84"/>
      <c r="D28" s="84"/>
      <c r="E28" s="84"/>
      <c r="F28" s="84"/>
      <c r="G28" s="82"/>
      <c r="H28" s="82">
        <f>+IF(ISERR(H27/H$25),"--",H27/H$25)</f>
        <v>0.45088949273439405</v>
      </c>
      <c r="I28" s="82">
        <f t="shared" ref="I28:N28" si="25">+IF(ISERR(I27/I$25),"--",I27/I$25)</f>
        <v>0.44602529668773089</v>
      </c>
      <c r="J28" s="82">
        <f t="shared" si="25"/>
        <v>0.43041484560002718</v>
      </c>
      <c r="K28" s="82">
        <f t="shared" si="25"/>
        <v>0.41280173866260467</v>
      </c>
      <c r="L28" s="82">
        <f t="shared" si="25"/>
        <v>0.40276248774963036</v>
      </c>
      <c r="M28" s="82">
        <f t="shared" si="25"/>
        <v>0.39677518168932058</v>
      </c>
      <c r="N28" s="85">
        <f t="shared" si="25"/>
        <v>0.3815429991089907</v>
      </c>
      <c r="O28" s="29"/>
      <c r="P28" s="86" t="s">
        <v>20</v>
      </c>
      <c r="Q28" s="49"/>
      <c r="R28" s="49"/>
      <c r="S28" s="69">
        <f>[32]Summary!S28</f>
        <v>68</v>
      </c>
      <c r="T28" s="69"/>
      <c r="U28" s="69"/>
      <c r="V28" s="69"/>
      <c r="W28" s="49"/>
      <c r="X28" s="411" t="str">
        <f>[32]Summary!U28</f>
        <v>INVESCO LTD</v>
      </c>
      <c r="Y28" s="28"/>
      <c r="Z28" s="29"/>
      <c r="AA28" s="29"/>
      <c r="AB28" s="28"/>
      <c r="AC28" s="28"/>
      <c r="AD28" s="28"/>
      <c r="AE28" s="28"/>
      <c r="AF28" s="28"/>
      <c r="AG28" s="28"/>
      <c r="AH28" s="28"/>
      <c r="AI28" s="28"/>
      <c r="AJ28" s="28"/>
      <c r="AK28" s="28"/>
      <c r="AL28" s="28"/>
      <c r="AM28" s="28"/>
      <c r="AN28" s="28"/>
      <c r="AO28" s="28"/>
      <c r="AP28" s="28"/>
      <c r="AQ28" s="28"/>
      <c r="AR28" s="28"/>
      <c r="AS28" s="28"/>
      <c r="AT28" s="28"/>
      <c r="AU28" s="75"/>
      <c r="AV28" s="29"/>
      <c r="AW28" s="29"/>
      <c r="AX28" s="29"/>
      <c r="AY28" s="29"/>
      <c r="AZ28" s="29"/>
      <c r="BA28" s="29"/>
      <c r="BB28" s="28"/>
      <c r="BC28" s="38"/>
    </row>
    <row r="29" spans="1:55" ht="11.45" customHeight="1" x14ac:dyDescent="0.3">
      <c r="A29" s="86" t="s">
        <v>1333</v>
      </c>
      <c r="B29" s="46"/>
      <c r="C29" s="46"/>
      <c r="D29" s="46"/>
      <c r="E29" s="46"/>
      <c r="F29" s="46"/>
      <c r="G29" s="29"/>
      <c r="H29" s="29">
        <f>PnL!BH27+CF!BH11</f>
        <v>131655</v>
      </c>
      <c r="I29" s="29">
        <f>PnL!BI27+CF!BI11</f>
        <v>165599</v>
      </c>
      <c r="J29" s="29">
        <f>PnL!BJ27+CF!BJ11</f>
        <v>270159.80590942508</v>
      </c>
      <c r="K29" s="29">
        <f>PnL!BK27+CF!BK11</f>
        <v>319858.4434506261</v>
      </c>
      <c r="L29" s="29">
        <f>PnL!BL27+CF!BL11</f>
        <v>378385.39402955875</v>
      </c>
      <c r="M29" s="29">
        <f>PnL!BN27+CF!BN11</f>
        <v>536182.376644779</v>
      </c>
      <c r="N29" s="87">
        <f>PnL!BS27+CF!BS11</f>
        <v>862563.37969692925</v>
      </c>
      <c r="O29" s="29"/>
      <c r="P29" s="86" t="s">
        <v>335</v>
      </c>
      <c r="Q29" s="46"/>
      <c r="R29" s="46"/>
      <c r="S29" s="446" t="str">
        <f>[32]Summary!S29</f>
        <v>CS,CITI,DB,GS,JPM,MS</v>
      </c>
      <c r="T29" s="446"/>
      <c r="U29" s="446"/>
      <c r="V29" s="446"/>
      <c r="W29" s="46"/>
      <c r="X29" s="411" t="str">
        <f>[32]Summary!U29</f>
        <v>UBS</v>
      </c>
      <c r="Y29" s="29"/>
      <c r="Z29" s="29"/>
      <c r="AA29" s="29"/>
      <c r="AB29" s="29"/>
      <c r="AC29" s="29"/>
      <c r="AD29" s="29"/>
      <c r="AE29" s="29"/>
      <c r="AF29" s="29"/>
      <c r="AG29" s="29"/>
      <c r="AH29" s="29"/>
      <c r="AI29" s="29"/>
      <c r="AJ29" s="29"/>
      <c r="AK29" s="29"/>
      <c r="AL29" s="29"/>
      <c r="AM29" s="29"/>
      <c r="AN29" s="29"/>
      <c r="AO29" s="29"/>
      <c r="AP29" s="29"/>
      <c r="AQ29" s="29"/>
      <c r="AR29" s="29"/>
      <c r="AS29" s="29"/>
      <c r="AT29" s="29"/>
      <c r="AU29" s="75"/>
      <c r="AV29" s="29"/>
      <c r="AW29" s="29"/>
      <c r="AX29" s="29"/>
      <c r="AY29" s="29"/>
      <c r="AZ29" s="29"/>
      <c r="BA29" s="29"/>
      <c r="BB29" s="29"/>
      <c r="BC29" s="22"/>
    </row>
    <row r="30" spans="1:55" ht="11.45" customHeight="1" x14ac:dyDescent="0.3">
      <c r="A30" s="83"/>
      <c r="B30" s="84" t="s">
        <v>19</v>
      </c>
      <c r="C30" s="84"/>
      <c r="D30" s="84"/>
      <c r="E30" s="84"/>
      <c r="F30" s="84"/>
      <c r="G30" s="82"/>
      <c r="H30" s="82">
        <f>+IF(ISERR(H29/H$25),"--",H29/H$25)</f>
        <v>0.34936207024657417</v>
      </c>
      <c r="I30" s="82">
        <f t="shared" ref="I30:N30" si="26">+IF(ISERR(I29/I$25),"--",I29/I$25)</f>
        <v>0.32488802478267098</v>
      </c>
      <c r="J30" s="82">
        <f t="shared" si="26"/>
        <v>0.40434528881055593</v>
      </c>
      <c r="K30" s="82">
        <f t="shared" si="26"/>
        <v>0.37766669239322337</v>
      </c>
      <c r="L30" s="82">
        <f t="shared" si="26"/>
        <v>0.36063131874191967</v>
      </c>
      <c r="M30" s="82">
        <f t="shared" si="26"/>
        <v>0.36102717793896816</v>
      </c>
      <c r="N30" s="85">
        <f t="shared" si="26"/>
        <v>0.35646581894203866</v>
      </c>
      <c r="O30" s="67"/>
      <c r="P30" s="86" t="s">
        <v>336</v>
      </c>
      <c r="Q30" s="46"/>
      <c r="R30" s="46"/>
      <c r="S30" s="446" t="str">
        <f>[32]Summary!S30</f>
        <v>#N/A N/A</v>
      </c>
      <c r="T30" s="446"/>
      <c r="U30" s="446"/>
      <c r="V30" s="446"/>
      <c r="W30" s="46"/>
      <c r="X30" s="411" t="str">
        <f>[32]Summary!U30</f>
        <v>SCHRODERS PLC</v>
      </c>
      <c r="Y30" s="29"/>
      <c r="Z30" s="29"/>
      <c r="AA30" s="29"/>
      <c r="AB30" s="29"/>
      <c r="AC30" s="29"/>
      <c r="AD30" s="29"/>
      <c r="AE30" s="29"/>
      <c r="AF30" s="88"/>
      <c r="AG30" s="29"/>
      <c r="AH30" s="29"/>
      <c r="AI30" s="29"/>
      <c r="AJ30" s="29"/>
      <c r="AK30" s="29"/>
      <c r="AL30" s="29"/>
      <c r="AM30" s="29"/>
      <c r="AN30" s="29"/>
      <c r="AO30" s="29"/>
      <c r="AP30" s="29"/>
      <c r="AQ30" s="29"/>
      <c r="AR30" s="29"/>
      <c r="AS30" s="29"/>
      <c r="AT30" s="29"/>
      <c r="AU30" s="75"/>
      <c r="AV30" s="29"/>
      <c r="AW30" s="29"/>
      <c r="AX30" s="29"/>
      <c r="AY30" s="29"/>
      <c r="AZ30" s="29"/>
      <c r="BA30" s="29"/>
      <c r="BB30" s="29"/>
      <c r="BC30" s="22"/>
    </row>
    <row r="31" spans="1:55" ht="11.45" customHeight="1" x14ac:dyDescent="0.3">
      <c r="A31" s="78" t="s">
        <v>1334</v>
      </c>
      <c r="B31" s="79"/>
      <c r="C31" s="79"/>
      <c r="D31" s="79"/>
      <c r="E31" s="79"/>
      <c r="F31" s="79"/>
      <c r="G31" s="80"/>
      <c r="H31" s="80">
        <f>PnL!BH27</f>
        <v>94575</v>
      </c>
      <c r="I31" s="80">
        <f>PnL!BI27</f>
        <v>123172</v>
      </c>
      <c r="J31" s="80">
        <f>PnL!BJ27</f>
        <v>233113.79860942508</v>
      </c>
      <c r="K31" s="80">
        <f>PnL!BK27</f>
        <v>277813.78607354179</v>
      </c>
      <c r="L31" s="80">
        <f>PnL!BL27</f>
        <v>331063.76173821883</v>
      </c>
      <c r="M31" s="80">
        <f>PnL!BN27</f>
        <v>484010.27704357682</v>
      </c>
      <c r="N31" s="81">
        <f>PnL!BS27</f>
        <v>795977.09089900122</v>
      </c>
      <c r="O31" s="88"/>
      <c r="P31" s="413"/>
      <c r="Q31" s="28"/>
      <c r="R31" s="28"/>
      <c r="S31" s="69"/>
      <c r="T31" s="69"/>
      <c r="U31" s="69"/>
      <c r="V31" s="69"/>
      <c r="W31" s="28"/>
      <c r="X31" s="411" t="str">
        <f>[32]Summary!U31</f>
        <v>NORGES BANK</v>
      </c>
      <c r="Y31" s="29"/>
      <c r="Z31" s="29"/>
      <c r="AA31" s="29"/>
      <c r="AB31" s="29"/>
      <c r="AC31" s="29"/>
      <c r="AD31" s="29"/>
      <c r="AE31" s="29"/>
      <c r="AF31" s="89"/>
      <c r="AG31" s="29"/>
      <c r="AH31" s="29"/>
      <c r="AI31" s="29"/>
      <c r="AJ31" s="29"/>
      <c r="AK31" s="29"/>
      <c r="AL31" s="29"/>
      <c r="AM31" s="29"/>
      <c r="AN31" s="29"/>
      <c r="AO31" s="29"/>
      <c r="AP31" s="29"/>
      <c r="AQ31" s="29"/>
      <c r="AR31" s="29"/>
      <c r="AS31" s="29"/>
      <c r="AT31" s="29"/>
      <c r="AU31" s="75"/>
      <c r="AV31" s="29"/>
      <c r="AW31" s="29"/>
      <c r="AX31" s="29"/>
      <c r="AY31" s="29"/>
      <c r="AZ31" s="29"/>
      <c r="BA31" s="29"/>
      <c r="BB31" s="29"/>
      <c r="BC31" s="22"/>
    </row>
    <row r="32" spans="1:55" ht="11.45" customHeight="1" x14ac:dyDescent="0.3">
      <c r="A32" s="83"/>
      <c r="B32" s="84" t="s">
        <v>21</v>
      </c>
      <c r="C32" s="84"/>
      <c r="D32" s="84"/>
      <c r="E32" s="84"/>
      <c r="F32" s="84"/>
      <c r="G32" s="82"/>
      <c r="H32" s="82">
        <f>+IF(ISERR(H31/H$25),"--",H31/H$25)</f>
        <v>0.2509659169311439</v>
      </c>
      <c r="I32" s="82">
        <f t="shared" ref="I32:N32" si="27">+IF(ISERR(I31/I$25),"--",I31/I$25)</f>
        <v>0.24165066086468606</v>
      </c>
      <c r="J32" s="82">
        <f t="shared" si="27"/>
        <v>0.34889892634900416</v>
      </c>
      <c r="K32" s="82">
        <f t="shared" si="27"/>
        <v>0.32802327353233945</v>
      </c>
      <c r="L32" s="82">
        <f t="shared" si="27"/>
        <v>0.315530046527081</v>
      </c>
      <c r="M32" s="82">
        <f t="shared" si="27"/>
        <v>0.32589818693400763</v>
      </c>
      <c r="N32" s="85">
        <f t="shared" si="27"/>
        <v>0.32894814716816356</v>
      </c>
      <c r="O32" s="28"/>
      <c r="P32" s="76" t="s">
        <v>22</v>
      </c>
      <c r="Q32" s="28"/>
      <c r="R32" s="28" t="s">
        <v>337</v>
      </c>
      <c r="S32" s="28" t="str">
        <f>[32]Summary!S32</f>
        <v>%</v>
      </c>
      <c r="T32" s="28"/>
      <c r="U32" s="28"/>
      <c r="V32" s="28"/>
      <c r="W32" s="90"/>
      <c r="X32" s="411" t="str">
        <f>[32]Summary!U32</f>
        <v>JPMORGAN CHASE &amp; CO</v>
      </c>
      <c r="Y32" s="29"/>
      <c r="Z32" s="90"/>
      <c r="AA32" s="90"/>
      <c r="AB32" s="29"/>
      <c r="AC32" s="29"/>
      <c r="AD32" s="29"/>
      <c r="AE32" s="29"/>
      <c r="AF32" s="91"/>
      <c r="AG32" s="29"/>
      <c r="AH32" s="29"/>
      <c r="AI32" s="29"/>
      <c r="AJ32" s="29"/>
      <c r="AK32" s="29"/>
      <c r="AL32" s="29"/>
      <c r="AM32" s="29"/>
      <c r="AN32" s="29"/>
      <c r="AO32" s="29"/>
      <c r="AP32" s="29"/>
      <c r="AQ32" s="29"/>
      <c r="AR32" s="29"/>
      <c r="AS32" s="29"/>
      <c r="AT32" s="29"/>
      <c r="AU32" s="75"/>
      <c r="AV32" s="29"/>
      <c r="AW32" s="29"/>
      <c r="AX32" s="29"/>
      <c r="AY32" s="29"/>
      <c r="AZ32" s="29"/>
      <c r="BA32" s="29"/>
      <c r="BB32" s="29"/>
      <c r="BC32" s="22"/>
    </row>
    <row r="33" spans="1:55" ht="11.45" customHeight="1" x14ac:dyDescent="0.3">
      <c r="A33" s="86" t="s">
        <v>1335</v>
      </c>
      <c r="B33" s="46"/>
      <c r="C33" s="46"/>
      <c r="D33" s="46"/>
      <c r="E33" s="46"/>
      <c r="F33" s="46"/>
      <c r="G33" s="29"/>
      <c r="H33" s="29">
        <f>PnL!BH44</f>
        <v>100731</v>
      </c>
      <c r="I33" s="29">
        <f>PnL!BI44</f>
        <v>141344</v>
      </c>
      <c r="J33" s="29">
        <f>PnL!BJ44</f>
        <v>162935.06473727833</v>
      </c>
      <c r="K33" s="29">
        <f>PnL!BK44</f>
        <v>190748.07722897784</v>
      </c>
      <c r="L33" s="29">
        <f>PnL!BL44</f>
        <v>216646.14605405537</v>
      </c>
      <c r="M33" s="29">
        <f>PnL!BN44</f>
        <v>293630.04308008909</v>
      </c>
      <c r="N33" s="87">
        <f>PnL!BS44</f>
        <v>409093.75110556511</v>
      </c>
      <c r="O33" s="29"/>
      <c r="P33" s="86" t="s">
        <v>24</v>
      </c>
      <c r="Q33" s="29"/>
      <c r="R33" s="29">
        <f>+IF(ISERR($E$12*S33),"--",$E$12*S33)</f>
        <v>1220.9008695815101</v>
      </c>
      <c r="S33" s="92">
        <f>[32]Summary!S33</f>
        <v>0.45124341128595974</v>
      </c>
      <c r="T33" s="92"/>
      <c r="U33" s="92"/>
      <c r="V33" s="92"/>
      <c r="W33" s="88"/>
      <c r="X33" s="411" t="str">
        <f>[32]Summary!U33</f>
        <v>WELLINGTON MANAGEMEN</v>
      </c>
      <c r="Y33" s="29"/>
      <c r="Z33" s="88"/>
      <c r="AA33" s="88"/>
      <c r="AB33" s="29"/>
      <c r="AC33" s="29"/>
      <c r="AD33" s="29"/>
      <c r="AE33" s="29"/>
      <c r="AF33" s="89"/>
      <c r="AG33" s="29"/>
      <c r="AH33" s="29"/>
      <c r="AI33" s="29"/>
      <c r="AJ33" s="29"/>
      <c r="AK33" s="29"/>
      <c r="AL33" s="29"/>
      <c r="AM33" s="29"/>
      <c r="AN33" s="29"/>
      <c r="AO33" s="29"/>
      <c r="AP33" s="29"/>
      <c r="AQ33" s="29"/>
      <c r="AR33" s="29"/>
      <c r="AS33" s="29"/>
      <c r="AT33" s="29"/>
      <c r="AU33" s="75"/>
      <c r="AV33" s="29"/>
      <c r="AW33" s="29"/>
      <c r="AX33" s="29"/>
      <c r="AY33" s="29"/>
      <c r="AZ33" s="29"/>
      <c r="BA33" s="29"/>
      <c r="BB33" s="29"/>
      <c r="BC33" s="22"/>
    </row>
    <row r="34" spans="1:55" ht="11.45" customHeight="1" x14ac:dyDescent="0.3">
      <c r="A34" s="83"/>
      <c r="B34" s="84" t="s">
        <v>21</v>
      </c>
      <c r="C34" s="84"/>
      <c r="D34" s="84"/>
      <c r="E34" s="84"/>
      <c r="F34" s="84"/>
      <c r="G34" s="82"/>
      <c r="H34" s="82">
        <f t="shared" ref="H34:N34" si="28">+IF(ISERR(H33/H$25),"--",H33/H$25)</f>
        <v>0.26730158898642409</v>
      </c>
      <c r="I34" s="82">
        <f t="shared" si="28"/>
        <v>0.27730223597293369</v>
      </c>
      <c r="J34" s="82">
        <f t="shared" si="28"/>
        <v>0.2438631667904341</v>
      </c>
      <c r="K34" s="82">
        <f t="shared" si="28"/>
        <v>0.22522211585311888</v>
      </c>
      <c r="L34" s="82">
        <f t="shared" si="28"/>
        <v>0.20648097570522295</v>
      </c>
      <c r="M34" s="82">
        <f t="shared" si="28"/>
        <v>0.1977096421457597</v>
      </c>
      <c r="N34" s="85">
        <f t="shared" si="28"/>
        <v>0.1690634479093629</v>
      </c>
      <c r="O34" s="82"/>
      <c r="P34" s="86" t="s">
        <v>25</v>
      </c>
      <c r="Q34" s="29"/>
      <c r="R34" s="29">
        <f>+IF(ISERR($E$12*S34),"--",$E$12*S34)</f>
        <v>5.3643409999999996</v>
      </c>
      <c r="S34" s="93">
        <f>[32]Summary!S34</f>
        <v>1.982653622788275E-3</v>
      </c>
      <c r="T34" s="93"/>
      <c r="U34" s="93"/>
      <c r="V34" s="93"/>
      <c r="W34" s="28"/>
      <c r="X34" s="411" t="str">
        <f>[32]Summary!U34</f>
        <v>MORGAN STANLEY</v>
      </c>
      <c r="Y34" s="29"/>
      <c r="Z34" s="28"/>
      <c r="AA34" s="28"/>
      <c r="AB34" s="29"/>
      <c r="AC34" s="29"/>
      <c r="AD34" s="29"/>
      <c r="AE34" s="29"/>
      <c r="AF34" s="89"/>
      <c r="AG34" s="29"/>
      <c r="AH34" s="29"/>
      <c r="AI34" s="29"/>
      <c r="AJ34" s="29"/>
      <c r="AK34" s="29"/>
      <c r="AL34" s="29"/>
      <c r="AM34" s="29"/>
      <c r="AN34" s="29"/>
      <c r="AO34" s="29"/>
      <c r="AP34" s="29"/>
      <c r="AQ34" s="29"/>
      <c r="AR34" s="29"/>
      <c r="AS34" s="29"/>
      <c r="AT34" s="29"/>
      <c r="AU34" s="75"/>
      <c r="AV34" s="29"/>
      <c r="AW34" s="29"/>
      <c r="AX34" s="29"/>
      <c r="AY34" s="29"/>
      <c r="AZ34" s="29"/>
      <c r="BA34" s="29"/>
      <c r="BB34" s="29"/>
      <c r="BC34" s="22"/>
    </row>
    <row r="35" spans="1:55" ht="11.45" customHeight="1" x14ac:dyDescent="0.3">
      <c r="A35" s="94" t="s">
        <v>1349</v>
      </c>
      <c r="B35" s="95"/>
      <c r="C35" s="95"/>
      <c r="D35" s="95"/>
      <c r="E35" s="95"/>
      <c r="F35" s="95"/>
      <c r="G35" s="96"/>
      <c r="H35" s="96">
        <f>PnL!BH60</f>
        <v>38.402973694243236</v>
      </c>
      <c r="I35" s="96">
        <f>PnL!BI60</f>
        <v>52.977511244377808</v>
      </c>
      <c r="J35" s="96">
        <f>PnL!BJ60</f>
        <v>61.070114219369685</v>
      </c>
      <c r="K35" s="96">
        <f>PnL!BK60</f>
        <v>71.494781570081642</v>
      </c>
      <c r="L35" s="96">
        <f>PnL!BL60</f>
        <v>81.201703918311608</v>
      </c>
      <c r="M35" s="96">
        <f>PnL!BN60</f>
        <v>110.0562380360154</v>
      </c>
      <c r="N35" s="97">
        <f>PnL!BS60</f>
        <v>153.33348991962711</v>
      </c>
      <c r="O35" s="29"/>
      <c r="P35" s="86" t="s">
        <v>26</v>
      </c>
      <c r="Q35" s="29"/>
      <c r="R35" s="29" t="str">
        <f>+IF(ISERR($E$12*S35),"--",$E$12*S35)</f>
        <v>--</v>
      </c>
      <c r="S35" s="92" t="str">
        <f>[32]Summary!S35</f>
        <v>--</v>
      </c>
      <c r="T35" s="92"/>
      <c r="U35" s="92"/>
      <c r="V35" s="92"/>
      <c r="W35" s="29"/>
      <c r="X35" s="411" t="str">
        <f>[32]Summary!U35</f>
        <v>HSBC</v>
      </c>
      <c r="Y35" s="29"/>
      <c r="Z35" s="29"/>
      <c r="AA35" s="29"/>
      <c r="AB35" s="29"/>
      <c r="AC35" s="29"/>
      <c r="AD35" s="29"/>
      <c r="AE35" s="29"/>
      <c r="AF35" s="89"/>
      <c r="AG35" s="29"/>
      <c r="AH35" s="29"/>
      <c r="AI35" s="29"/>
      <c r="AJ35" s="29"/>
      <c r="AK35" s="29"/>
      <c r="AL35" s="29"/>
      <c r="AM35" s="29"/>
      <c r="AN35" s="29"/>
      <c r="AO35" s="29"/>
      <c r="AP35" s="29"/>
      <c r="AQ35" s="29"/>
      <c r="AR35" s="29"/>
      <c r="AS35" s="29"/>
      <c r="AT35" s="29"/>
      <c r="AU35" s="75"/>
      <c r="AV35" s="29"/>
      <c r="AW35" s="29"/>
      <c r="AX35" s="29"/>
      <c r="AY35" s="29"/>
      <c r="AZ35" s="29"/>
      <c r="BA35" s="29"/>
      <c r="BB35" s="29"/>
      <c r="BC35" s="22"/>
    </row>
    <row r="36" spans="1:55" ht="11.45" customHeight="1" x14ac:dyDescent="0.3">
      <c r="A36" s="94" t="str">
        <f>"EPS (" &amp; D2 &amp;")"</f>
        <v>EPS (USD)</v>
      </c>
      <c r="B36" s="95"/>
      <c r="C36" s="95"/>
      <c r="D36" s="95"/>
      <c r="E36" s="95"/>
      <c r="F36" s="95"/>
      <c r="G36" s="96"/>
      <c r="H36" s="96">
        <f>H35/$E$7</f>
        <v>5.8786660279587357</v>
      </c>
      <c r="I36" s="96">
        <f t="shared" ref="I36:N36" si="29">I35/$E$7</f>
        <v>8.1097130153962897</v>
      </c>
      <c r="J36" s="96">
        <f t="shared" si="29"/>
        <v>9.3485157853488161</v>
      </c>
      <c r="K36" s="96">
        <f t="shared" si="29"/>
        <v>10.944307254398193</v>
      </c>
      <c r="L36" s="96">
        <f t="shared" si="29"/>
        <v>12.430227462007716</v>
      </c>
      <c r="M36" s="96">
        <f t="shared" si="29"/>
        <v>16.847233572546212</v>
      </c>
      <c r="N36" s="97">
        <f t="shared" si="29"/>
        <v>23.472046339838212</v>
      </c>
      <c r="O36" s="82"/>
      <c r="P36" s="86" t="s">
        <v>27</v>
      </c>
      <c r="Q36" s="29"/>
      <c r="R36" s="29" t="str">
        <f>+IF(ISERR($E$12*S36),"--",$E$12*S36)</f>
        <v>--</v>
      </c>
      <c r="S36" s="92" t="e">
        <f>[32]Summary!S36</f>
        <v>#VALUE!</v>
      </c>
      <c r="T36" s="92"/>
      <c r="U36" s="92"/>
      <c r="V36" s="92"/>
      <c r="W36" s="82"/>
      <c r="X36" s="411" t="str">
        <f>[32]Summary!U36</f>
        <v>GOLDMAN SACHS GROUP</v>
      </c>
      <c r="Y36" s="29"/>
      <c r="Z36" s="82"/>
      <c r="AA36" s="82"/>
      <c r="AB36" s="29"/>
      <c r="AC36" s="29"/>
      <c r="AD36" s="29"/>
      <c r="AE36" s="29"/>
      <c r="AF36" s="89"/>
      <c r="AG36" s="29"/>
      <c r="AH36" s="29"/>
      <c r="AI36" s="29"/>
      <c r="AJ36" s="29"/>
      <c r="AK36" s="29"/>
      <c r="AL36" s="29"/>
      <c r="AM36" s="29"/>
      <c r="AN36" s="29"/>
      <c r="AO36" s="29"/>
      <c r="AP36" s="29"/>
      <c r="AQ36" s="29"/>
      <c r="AR36" s="29"/>
      <c r="AS36" s="29"/>
      <c r="AT36" s="29"/>
      <c r="AU36" s="75"/>
      <c r="AV36" s="29"/>
      <c r="AW36" s="29"/>
      <c r="AX36" s="29"/>
      <c r="AY36" s="29"/>
      <c r="AZ36" s="29"/>
      <c r="BA36" s="29"/>
      <c r="BB36" s="29"/>
      <c r="BC36" s="22"/>
    </row>
    <row r="37" spans="1:55" ht="11.45" customHeight="1" x14ac:dyDescent="0.3">
      <c r="A37" s="98"/>
      <c r="B37" s="99" t="s">
        <v>350</v>
      </c>
      <c r="C37" s="99"/>
      <c r="D37" s="99"/>
      <c r="E37" s="99"/>
      <c r="F37" s="99"/>
      <c r="G37" s="100"/>
      <c r="H37" s="100">
        <f>+IF(ISERR($E$10/H36),"--",$E$10/H36*$E$6)</f>
        <v>5.4244874344516578</v>
      </c>
      <c r="I37" s="100">
        <f t="shared" ref="I37:N37" si="30">+IF(ISERR($E$10/I36),"--",$E$10/I36*$E$6)</f>
        <v>3.9321675057377754</v>
      </c>
      <c r="J37" s="100">
        <f t="shared" si="30"/>
        <v>3.4111029742257801</v>
      </c>
      <c r="K37" s="100">
        <f t="shared" si="30"/>
        <v>2.9137294173813384</v>
      </c>
      <c r="L37" s="100">
        <f t="shared" si="30"/>
        <v>2.5654196672962062</v>
      </c>
      <c r="M37" s="100">
        <f t="shared" si="30"/>
        <v>1.8928181806635025</v>
      </c>
      <c r="N37" s="101">
        <f t="shared" si="30"/>
        <v>1.3585841446587654</v>
      </c>
      <c r="O37" s="29"/>
      <c r="P37" s="86"/>
      <c r="Q37" s="29"/>
      <c r="R37" s="29"/>
      <c r="S37" s="69"/>
      <c r="T37" s="69"/>
      <c r="U37" s="69"/>
      <c r="V37" s="69"/>
      <c r="W37" s="29"/>
      <c r="X37" s="411" t="str">
        <f>[32]Summary!U37</f>
        <v>GOVMT PENSION INVST</v>
      </c>
      <c r="Y37" s="29"/>
      <c r="Z37" s="29"/>
      <c r="AA37" s="29"/>
      <c r="AB37" s="29"/>
      <c r="AC37" s="29"/>
      <c r="AD37" s="29"/>
      <c r="AE37" s="29"/>
      <c r="AF37" s="105"/>
      <c r="AG37" s="29"/>
      <c r="AH37" s="29"/>
      <c r="AI37" s="29"/>
      <c r="AJ37" s="29"/>
      <c r="AK37" s="29"/>
      <c r="AL37" s="29"/>
      <c r="AM37" s="29"/>
      <c r="AN37" s="29"/>
      <c r="AO37" s="29"/>
      <c r="AP37" s="29"/>
      <c r="AQ37" s="29"/>
      <c r="AR37" s="29"/>
      <c r="AS37" s="29"/>
      <c r="AT37" s="29"/>
      <c r="AU37" s="29"/>
      <c r="AV37" s="29"/>
      <c r="AW37" s="29"/>
      <c r="AX37" s="29"/>
      <c r="AY37" s="29"/>
      <c r="AZ37" s="29"/>
      <c r="BA37" s="29"/>
      <c r="BB37" s="29"/>
      <c r="BC37" s="22"/>
    </row>
    <row r="38" spans="1:55" ht="11.45" customHeight="1" x14ac:dyDescent="0.3">
      <c r="A38" s="102" t="s">
        <v>360</v>
      </c>
      <c r="B38" s="103"/>
      <c r="C38" s="103"/>
      <c r="D38" s="103"/>
      <c r="E38" s="103"/>
      <c r="F38" s="103"/>
      <c r="G38" s="69"/>
      <c r="H38" s="69">
        <f>BS!BH44/PnL!BH49</f>
        <v>234.61761341974838</v>
      </c>
      <c r="I38" s="69">
        <f>BS!BI44/PnL!BI49</f>
        <v>329.70427286356824</v>
      </c>
      <c r="J38" s="69">
        <f>BS!BJ44/PnL!BJ49</f>
        <v>394.84177958804747</v>
      </c>
      <c r="K38" s="69">
        <f>BS!BK44/PnL!BK49</f>
        <v>451.66358702500105</v>
      </c>
      <c r="L38" s="69">
        <f>BS!BL44/PnL!BL49</f>
        <v>512.21850763910925</v>
      </c>
      <c r="M38" s="69">
        <f>BS!BN44/PnL!BN49</f>
        <v>657.20030183066376</v>
      </c>
      <c r="N38" s="104">
        <f>BS!BS44/PnL!BS49</f>
        <v>1123.5673878160869</v>
      </c>
      <c r="O38" s="82"/>
      <c r="P38" s="86" t="s">
        <v>339</v>
      </c>
      <c r="Q38" s="29"/>
      <c r="R38" s="29"/>
      <c r="S38" s="69">
        <f>[32]Summary!S38</f>
        <v>43.019744000000003</v>
      </c>
      <c r="T38" s="69"/>
      <c r="U38" s="69"/>
      <c r="V38" s="69"/>
      <c r="W38" s="82"/>
      <c r="X38" s="411" t="str">
        <f>[32]Summary!U38</f>
        <v>CANADA PENSION PLAN</v>
      </c>
      <c r="Y38" s="29"/>
      <c r="Z38" s="82"/>
      <c r="AA38" s="82"/>
      <c r="AB38" s="29"/>
      <c r="AC38" s="29"/>
      <c r="AD38" s="29"/>
      <c r="AE38" s="29"/>
      <c r="AF38" s="105"/>
      <c r="AG38" s="29"/>
      <c r="AH38" s="29"/>
      <c r="AI38" s="29"/>
      <c r="AJ38" s="29"/>
      <c r="AK38" s="29"/>
      <c r="AL38" s="29"/>
      <c r="AM38" s="29"/>
      <c r="AN38" s="29"/>
      <c r="AO38" s="29"/>
      <c r="AP38" s="29"/>
      <c r="AQ38" s="29"/>
      <c r="AR38" s="29"/>
      <c r="AS38" s="29"/>
      <c r="AT38" s="29"/>
      <c r="AU38" s="29"/>
      <c r="AV38" s="29"/>
      <c r="AW38" s="29"/>
      <c r="AX38" s="29"/>
      <c r="AY38" s="106"/>
      <c r="AZ38" s="29"/>
      <c r="BA38" s="29"/>
      <c r="BB38" s="29"/>
      <c r="BC38" s="22"/>
    </row>
    <row r="39" spans="1:55" ht="11.45" customHeight="1" x14ac:dyDescent="0.3">
      <c r="A39" s="102" t="str">
        <f>"BPS (" &amp; D2 &amp;")"</f>
        <v>BPS (USD)</v>
      </c>
      <c r="B39" s="103"/>
      <c r="C39" s="103"/>
      <c r="D39" s="103"/>
      <c r="E39" s="103"/>
      <c r="F39" s="103"/>
      <c r="G39" s="69"/>
      <c r="H39" s="69">
        <f>H38/$E$7</f>
        <v>35.914890460115174</v>
      </c>
      <c r="I39" s="69">
        <f t="shared" ref="I39:L39" si="31">I38/$E$7</f>
        <v>50.47060479190035</v>
      </c>
      <c r="J39" s="69">
        <f t="shared" si="31"/>
        <v>60.441750541598665</v>
      </c>
      <c r="K39" s="69">
        <f t="shared" si="31"/>
        <v>69.139942293267765</v>
      </c>
      <c r="L39" s="69">
        <f t="shared" si="31"/>
        <v>78.40959306235024</v>
      </c>
      <c r="M39" s="69">
        <f>M38/$E$7</f>
        <v>100.60317512639129</v>
      </c>
      <c r="N39" s="104">
        <f>N38/$E$7</f>
        <v>171.99390561431693</v>
      </c>
      <c r="O39" s="29"/>
      <c r="P39" s="86" t="s">
        <v>28</v>
      </c>
      <c r="Q39" s="29"/>
      <c r="R39" s="29"/>
      <c r="S39" s="69">
        <f>[32]Summary!S39</f>
        <v>1.5900042762573105E-2</v>
      </c>
      <c r="T39" s="69"/>
      <c r="U39" s="69"/>
      <c r="V39" s="69"/>
      <c r="W39" s="29"/>
      <c r="X39" s="411" t="str">
        <f>[32]Summary!U39</f>
        <v>MAGELLAN ASSET MANAG</v>
      </c>
      <c r="Y39" s="29"/>
      <c r="Z39" s="29"/>
      <c r="AA39" s="29"/>
      <c r="AB39" s="29"/>
      <c r="AC39" s="29"/>
      <c r="AD39" s="29"/>
      <c r="AE39" s="29"/>
      <c r="AF39" s="105"/>
      <c r="AG39" s="29"/>
      <c r="AH39" s="29"/>
      <c r="AI39" s="29"/>
      <c r="AJ39" s="29"/>
      <c r="AK39" s="29"/>
      <c r="AL39" s="29"/>
      <c r="AM39" s="29"/>
      <c r="AN39" s="29"/>
      <c r="AO39" s="29"/>
      <c r="AP39" s="29"/>
      <c r="AQ39" s="29"/>
      <c r="AR39" s="29"/>
      <c r="AS39" s="29"/>
      <c r="AT39" s="29"/>
      <c r="AU39" s="29"/>
      <c r="AV39" s="29"/>
      <c r="AW39" s="29"/>
      <c r="AX39" s="29"/>
      <c r="AY39" s="106"/>
      <c r="AZ39" s="29"/>
      <c r="BA39" s="29"/>
      <c r="BB39" s="29"/>
      <c r="BC39" s="22"/>
    </row>
    <row r="40" spans="1:55" ht="11.45" customHeight="1" x14ac:dyDescent="0.3">
      <c r="A40" s="98"/>
      <c r="B40" s="99" t="s">
        <v>338</v>
      </c>
      <c r="C40" s="99"/>
      <c r="D40" s="99"/>
      <c r="E40" s="99"/>
      <c r="F40" s="99"/>
      <c r="G40" s="100"/>
      <c r="H40" s="100">
        <f t="shared" ref="H40:N40" si="32">+IF(ISERR($E$10/H39),"--",$E$10/H39*$E$6)</f>
        <v>0.88789773799849536</v>
      </c>
      <c r="I40" s="100">
        <f t="shared" si="32"/>
        <v>0.63182817268553093</v>
      </c>
      <c r="J40" s="100">
        <f t="shared" si="32"/>
        <v>0.5275947455898512</v>
      </c>
      <c r="K40" s="100">
        <f t="shared" si="32"/>
        <v>0.46122037338039612</v>
      </c>
      <c r="L40" s="100">
        <f t="shared" si="32"/>
        <v>0.40669449686650588</v>
      </c>
      <c r="M40" s="100">
        <f t="shared" si="32"/>
        <v>0.31697558213184673</v>
      </c>
      <c r="N40" s="101">
        <f t="shared" si="32"/>
        <v>0.18540627870564241</v>
      </c>
      <c r="O40" s="82"/>
      <c r="P40" s="414"/>
      <c r="Q40" s="29"/>
      <c r="R40" s="29"/>
      <c r="S40" s="29"/>
      <c r="T40" s="29"/>
      <c r="U40" s="29"/>
      <c r="V40" s="29"/>
      <c r="W40" s="29"/>
      <c r="X40" s="411" t="str">
        <f>[32]Summary!U40</f>
        <v>FISHER ASSET MANAGEM</v>
      </c>
      <c r="Y40" s="29"/>
      <c r="Z40" s="82"/>
      <c r="AA40" s="82"/>
      <c r="AB40" s="29"/>
      <c r="AC40" s="29"/>
      <c r="AD40" s="29"/>
      <c r="AE40" s="29"/>
      <c r="AF40" s="105"/>
      <c r="AG40" s="29"/>
      <c r="AH40" s="29"/>
      <c r="AI40" s="29"/>
      <c r="AJ40" s="29"/>
      <c r="AK40" s="29"/>
      <c r="AL40" s="29"/>
      <c r="AM40" s="29"/>
      <c r="AN40" s="29"/>
      <c r="AO40" s="29"/>
      <c r="AP40" s="29"/>
      <c r="AQ40" s="29"/>
      <c r="AR40" s="29"/>
      <c r="AS40" s="29"/>
      <c r="AT40" s="29"/>
      <c r="AU40" s="29"/>
      <c r="AV40" s="29"/>
      <c r="AW40" s="29"/>
      <c r="AX40" s="29"/>
      <c r="AY40" s="106"/>
      <c r="AZ40" s="29"/>
      <c r="BA40" s="29"/>
      <c r="BB40" s="29"/>
      <c r="BC40" s="22"/>
    </row>
    <row r="41" spans="1:55" ht="11.45" customHeight="1" x14ac:dyDescent="0.3">
      <c r="A41" s="107"/>
      <c r="B41" s="108"/>
      <c r="C41" s="108"/>
      <c r="D41" s="108"/>
      <c r="E41" s="108"/>
      <c r="F41" s="108"/>
      <c r="G41" s="109"/>
      <c r="H41" s="109"/>
      <c r="I41" s="110"/>
      <c r="J41" s="109"/>
      <c r="K41" s="109"/>
      <c r="L41" s="109"/>
      <c r="M41" s="109"/>
      <c r="N41" s="111"/>
      <c r="O41" s="29"/>
      <c r="P41" s="76" t="s">
        <v>31</v>
      </c>
      <c r="Q41" s="28"/>
      <c r="R41" s="49" t="s">
        <v>32</v>
      </c>
      <c r="S41" s="29"/>
      <c r="T41" s="29"/>
      <c r="U41" s="29"/>
      <c r="V41" s="29"/>
      <c r="W41" s="82"/>
      <c r="X41" s="411" t="str">
        <f>[32]Summary!U41</f>
        <v>LOOMIS SAYLES &amp; COMP</v>
      </c>
      <c r="Y41" s="29"/>
      <c r="Z41" s="29"/>
      <c r="AA41" s="29"/>
      <c r="AB41" s="29"/>
      <c r="AC41" s="29"/>
      <c r="AD41" s="29"/>
      <c r="AE41" s="29"/>
      <c r="AF41" s="105"/>
      <c r="AG41" s="29"/>
      <c r="AH41" s="29"/>
      <c r="AI41" s="29"/>
      <c r="AJ41" s="29"/>
      <c r="AK41" s="29"/>
      <c r="AL41" s="29"/>
      <c r="AM41" s="29"/>
      <c r="AN41" s="29"/>
      <c r="AO41" s="29"/>
      <c r="AP41" s="29"/>
      <c r="AQ41" s="29"/>
      <c r="AR41" s="29"/>
      <c r="AS41" s="29"/>
      <c r="AT41" s="29"/>
      <c r="AU41" s="29"/>
      <c r="AV41" s="29"/>
      <c r="AW41" s="29"/>
      <c r="AX41" s="29"/>
      <c r="AY41" s="106"/>
      <c r="AZ41" s="29"/>
      <c r="BA41" s="29"/>
      <c r="BB41" s="29"/>
      <c r="BC41" s="22"/>
    </row>
    <row r="42" spans="1:55" ht="11.45" customHeight="1" x14ac:dyDescent="0.3">
      <c r="A42" s="76" t="str">
        <f>"Consensus ("&amp;D3&amp;")"</f>
        <v>Consensus (CNY)</v>
      </c>
      <c r="B42" s="49"/>
      <c r="C42" s="49"/>
      <c r="D42" s="49"/>
      <c r="E42" s="49"/>
      <c r="F42" s="49"/>
      <c r="G42" s="28"/>
      <c r="H42" s="28"/>
      <c r="I42" s="28"/>
      <c r="J42" s="28"/>
      <c r="K42" s="28"/>
      <c r="L42" s="28"/>
      <c r="M42" s="28"/>
      <c r="N42" s="77"/>
      <c r="O42" s="82"/>
      <c r="P42" s="86" t="str">
        <f>[32]Summary!P42</f>
        <v>Yong Zhang "Daniel"</v>
      </c>
      <c r="Q42" s="46"/>
      <c r="R42" s="46" t="str">
        <f>[32]Summary!R42</f>
        <v>Chairman/CEO</v>
      </c>
      <c r="S42" s="82"/>
      <c r="T42" s="82"/>
      <c r="U42" s="82"/>
      <c r="V42" s="82"/>
      <c r="W42" s="29"/>
      <c r="X42" s="87"/>
      <c r="Y42" s="29"/>
      <c r="Z42" s="29"/>
      <c r="AA42" s="29"/>
      <c r="AB42" s="29"/>
      <c r="AC42" s="29"/>
      <c r="AD42" s="29"/>
      <c r="AE42" s="105"/>
      <c r="AF42" s="29"/>
      <c r="AG42" s="29"/>
      <c r="AH42" s="29"/>
      <c r="AI42" s="29"/>
      <c r="AJ42" s="29"/>
      <c r="AK42" s="29"/>
      <c r="AL42" s="29"/>
      <c r="AM42" s="29"/>
      <c r="AN42" s="29"/>
      <c r="AO42" s="29"/>
      <c r="AP42" s="29"/>
      <c r="AQ42" s="29"/>
      <c r="AR42" s="29"/>
      <c r="AS42" s="29"/>
      <c r="AT42" s="29"/>
      <c r="AU42" s="29"/>
      <c r="AV42" s="29"/>
      <c r="AW42" s="29"/>
      <c r="AX42" s="106"/>
      <c r="AY42" s="29"/>
      <c r="AZ42" s="29"/>
      <c r="BA42" s="29"/>
      <c r="BB42" s="29"/>
      <c r="BC42" s="22"/>
    </row>
    <row r="43" spans="1:55" ht="11.45" customHeight="1" x14ac:dyDescent="0.3">
      <c r="A43" s="86" t="s">
        <v>29</v>
      </c>
      <c r="B43" s="46"/>
      <c r="C43" s="46"/>
      <c r="D43" s="46"/>
      <c r="E43" s="46" t="s">
        <v>30</v>
      </c>
      <c r="F43" s="46"/>
      <c r="G43" s="29"/>
      <c r="H43" s="29">
        <f>[32]Summary!$H$43</f>
        <v>375124.06699999998</v>
      </c>
      <c r="I43" s="29">
        <f>[32]Summary!$I$43</f>
        <v>502120.60800000001</v>
      </c>
      <c r="J43" s="29">
        <f>[32]Summary!$J$43</f>
        <v>699522.478</v>
      </c>
      <c r="K43" s="29">
        <f>[32]Summary!$K$43</f>
        <v>914981.304</v>
      </c>
      <c r="L43" s="29">
        <f>[32]Summary!$L$43</f>
        <v>1100414.939</v>
      </c>
      <c r="M43" s="29">
        <f>[32]Summary!$M$43</f>
        <v>1458269.5</v>
      </c>
      <c r="N43" s="87">
        <f>[32]Summary!$N$43</f>
        <v>1994846</v>
      </c>
      <c r="O43" s="69"/>
      <c r="P43" s="86" t="str">
        <f>[32]Summary!P43</f>
        <v>Joseph Chung Tsai "Joe"</v>
      </c>
      <c r="Q43" s="46"/>
      <c r="R43" s="46" t="str">
        <f>[32]Summary!R43</f>
        <v>Vice Chairman/Co-Founder</v>
      </c>
      <c r="S43" s="29"/>
      <c r="T43" s="29"/>
      <c r="U43" s="29"/>
      <c r="V43" s="29"/>
      <c r="W43" s="28"/>
      <c r="X43" s="87"/>
      <c r="Y43" s="100"/>
      <c r="Z43" s="100"/>
      <c r="AA43" s="29"/>
      <c r="AB43" s="29"/>
      <c r="AC43" s="29"/>
      <c r="AD43" s="29"/>
      <c r="AE43" s="105"/>
      <c r="AF43" s="29"/>
      <c r="AG43" s="29"/>
      <c r="AH43" s="29"/>
      <c r="AI43" s="29"/>
      <c r="AJ43" s="29"/>
      <c r="AK43" s="29"/>
      <c r="AL43" s="29"/>
      <c r="AM43" s="29"/>
      <c r="AN43" s="29"/>
      <c r="AO43" s="29"/>
      <c r="AP43" s="29"/>
      <c r="AQ43" s="29"/>
      <c r="AR43" s="29"/>
      <c r="AS43" s="29"/>
      <c r="AT43" s="29"/>
      <c r="AU43" s="29"/>
      <c r="AV43" s="29"/>
      <c r="AW43" s="29"/>
      <c r="AX43" s="106"/>
      <c r="AY43" s="29"/>
      <c r="AZ43" s="29"/>
      <c r="BA43" s="29"/>
      <c r="BB43" s="29"/>
      <c r="BC43" s="22"/>
    </row>
    <row r="44" spans="1:55" ht="11.45" customHeight="1" x14ac:dyDescent="0.3">
      <c r="A44" s="86"/>
      <c r="B44" s="46"/>
      <c r="C44" s="46"/>
      <c r="D44" s="46"/>
      <c r="E44" s="46" t="s">
        <v>340</v>
      </c>
      <c r="F44" s="46"/>
      <c r="G44" s="29"/>
      <c r="H44" s="29">
        <f>[32]Summary!$H$44</f>
        <v>378931</v>
      </c>
      <c r="I44" s="29">
        <f>[32]Summary!$I$44</f>
        <v>509390</v>
      </c>
      <c r="J44" s="29">
        <f>[32]Summary!$J$44</f>
        <v>732600</v>
      </c>
      <c r="K44" s="29">
        <f>[32]Summary!$K$44</f>
        <v>986500</v>
      </c>
      <c r="L44" s="29">
        <f>[32]Summary!$L$44</f>
        <v>1221794</v>
      </c>
      <c r="M44" s="29">
        <f>[32]Summary!$M$44</f>
        <v>1565939</v>
      </c>
      <c r="N44" s="87">
        <f>[32]Summary!$N$44</f>
        <v>1994846</v>
      </c>
      <c r="O44" s="100"/>
      <c r="P44" s="86" t="str">
        <f>[32]Summary!P44</f>
        <v>J Michael Evans "Mike"</v>
      </c>
      <c r="Q44" s="46"/>
      <c r="R44" s="46" t="str">
        <f>[32]Summary!R44</f>
        <v>President</v>
      </c>
      <c r="S44" s="82"/>
      <c r="T44" s="82"/>
      <c r="U44" s="82"/>
      <c r="V44" s="82"/>
      <c r="W44" s="29"/>
      <c r="X44" s="104"/>
      <c r="Y44" s="69"/>
      <c r="Z44" s="69"/>
      <c r="AA44" s="69"/>
      <c r="AB44" s="69"/>
      <c r="AC44" s="69"/>
      <c r="AD44" s="69"/>
      <c r="AE44" s="105"/>
      <c r="AF44" s="29"/>
      <c r="AG44" s="29"/>
      <c r="AH44" s="29"/>
      <c r="AI44" s="29"/>
      <c r="AJ44" s="29"/>
      <c r="AK44" s="29"/>
      <c r="AL44" s="29"/>
      <c r="AM44" s="29"/>
      <c r="AN44" s="29"/>
      <c r="AO44" s="29"/>
      <c r="AP44" s="29"/>
      <c r="AQ44" s="29"/>
      <c r="AR44" s="29"/>
      <c r="AS44" s="29"/>
      <c r="AT44" s="29"/>
      <c r="AU44" s="29"/>
      <c r="AV44" s="29"/>
      <c r="AW44" s="29"/>
      <c r="AX44" s="106"/>
      <c r="AY44" s="29"/>
      <c r="AZ44" s="29"/>
      <c r="BA44" s="29"/>
      <c r="BB44" s="29"/>
      <c r="BC44" s="22"/>
    </row>
    <row r="45" spans="1:55" ht="11.45" customHeight="1" x14ac:dyDescent="0.3">
      <c r="A45" s="86"/>
      <c r="B45" s="46"/>
      <c r="C45" s="46"/>
      <c r="D45" s="46"/>
      <c r="E45" s="46" t="s">
        <v>34</v>
      </c>
      <c r="F45" s="46"/>
      <c r="G45" s="29"/>
      <c r="H45" s="29">
        <f>[32]Summary!$H$45</f>
        <v>366948</v>
      </c>
      <c r="I45" s="29">
        <f>[32]Summary!$I$45</f>
        <v>477724</v>
      </c>
      <c r="J45" s="29">
        <f>[32]Summary!$J$45</f>
        <v>653041</v>
      </c>
      <c r="K45" s="29">
        <f>[32]Summary!$K$45</f>
        <v>803542</v>
      </c>
      <c r="L45" s="29">
        <f>[32]Summary!$L$45</f>
        <v>960501</v>
      </c>
      <c r="M45" s="29">
        <f>[32]Summary!$M$45</f>
        <v>1381440</v>
      </c>
      <c r="N45" s="87">
        <f>[32]Summary!$N$45</f>
        <v>1994846</v>
      </c>
      <c r="O45" s="69"/>
      <c r="P45" s="86" t="str">
        <f>[32]Summary!P45</f>
        <v>Wu Wei "Maggie"</v>
      </c>
      <c r="Q45" s="46"/>
      <c r="R45" s="46" t="str">
        <f>[32]Summary!R45</f>
        <v>CFO/Head:Strategic Investments</v>
      </c>
      <c r="S45" s="69"/>
      <c r="T45" s="69"/>
      <c r="U45" s="69"/>
      <c r="V45" s="69"/>
      <c r="W45" s="29"/>
      <c r="X45" s="101"/>
      <c r="Y45" s="100"/>
      <c r="Z45" s="100"/>
      <c r="AA45" s="100"/>
      <c r="AB45" s="100"/>
      <c r="AC45" s="100"/>
      <c r="AD45" s="100"/>
      <c r="AE45" s="105"/>
      <c r="AF45" s="29"/>
      <c r="AG45" s="29"/>
      <c r="AH45" s="29"/>
      <c r="AI45" s="29"/>
      <c r="AJ45" s="29"/>
      <c r="AK45" s="29"/>
      <c r="AL45" s="29"/>
      <c r="AM45" s="29"/>
      <c r="AN45" s="29"/>
      <c r="AO45" s="29"/>
      <c r="AP45" s="29"/>
      <c r="AQ45" s="29"/>
      <c r="AR45" s="29"/>
      <c r="AS45" s="29"/>
      <c r="AT45" s="29"/>
      <c r="AU45" s="29"/>
      <c r="AV45" s="29"/>
      <c r="AW45" s="29"/>
      <c r="AX45" s="106"/>
      <c r="AY45" s="29"/>
      <c r="AZ45" s="29"/>
      <c r="BA45" s="29"/>
      <c r="BB45" s="29"/>
      <c r="BC45" s="22"/>
    </row>
    <row r="46" spans="1:55" ht="11.45" customHeight="1" x14ac:dyDescent="0.3">
      <c r="A46" s="112"/>
      <c r="B46" s="113"/>
      <c r="C46" s="113"/>
      <c r="D46" s="113"/>
      <c r="E46" s="430" t="s">
        <v>341</v>
      </c>
      <c r="F46" s="430"/>
      <c r="G46" s="431"/>
      <c r="H46" s="431">
        <f t="shared" ref="H46:K46" si="33">+IF(ISERR(H25/H43),"--",H25/H43-1)</f>
        <v>4.5849710837135849E-3</v>
      </c>
      <c r="I46" s="431">
        <f t="shared" si="33"/>
        <v>1.5116670933370546E-2</v>
      </c>
      <c r="J46" s="431">
        <f t="shared" si="33"/>
        <v>-4.4860790054058186E-2</v>
      </c>
      <c r="K46" s="431">
        <f t="shared" si="33"/>
        <v>-7.4371080999352412E-2</v>
      </c>
      <c r="L46" s="431">
        <f>+IF(ISERR(L25/L43),"--",L25/L43-1)</f>
        <v>-4.6513724210230922E-2</v>
      </c>
      <c r="M46" s="431">
        <f t="shared" ref="M46:N46" si="34">+IF(ISERR(M25/M43),"--",M25/M43-1)</f>
        <v>1.8438588382609922E-2</v>
      </c>
      <c r="N46" s="432">
        <f t="shared" si="34"/>
        <v>0.21300823612621533</v>
      </c>
      <c r="O46" s="100"/>
      <c r="P46" s="86" t="str">
        <f>[32]Summary!P46</f>
        <v>Cheng Li</v>
      </c>
      <c r="Q46" s="46"/>
      <c r="R46" s="46" t="str">
        <f>[32]Summary!R46</f>
        <v>CTO</v>
      </c>
      <c r="S46" s="100"/>
      <c r="T46" s="100"/>
      <c r="U46" s="100"/>
      <c r="V46" s="100"/>
      <c r="W46" s="29"/>
      <c r="X46" s="111"/>
      <c r="Y46" s="109"/>
      <c r="Z46" s="109"/>
      <c r="AA46" s="109"/>
      <c r="AB46" s="109"/>
      <c r="AC46" s="109"/>
      <c r="AD46" s="109"/>
      <c r="AE46" s="105"/>
      <c r="AF46" s="29"/>
      <c r="AG46" s="29"/>
      <c r="AH46" s="29"/>
      <c r="AI46" s="29"/>
      <c r="AJ46" s="29"/>
      <c r="AK46" s="29"/>
      <c r="AL46" s="29"/>
      <c r="AM46" s="29"/>
      <c r="AN46" s="29"/>
      <c r="AO46" s="29"/>
      <c r="AP46" s="29"/>
      <c r="AQ46" s="29"/>
      <c r="AR46" s="29"/>
      <c r="AS46" s="29"/>
      <c r="AT46" s="29"/>
      <c r="AU46" s="29"/>
      <c r="AV46" s="29"/>
      <c r="AW46" s="29"/>
      <c r="AX46" s="106"/>
      <c r="AY46" s="29"/>
      <c r="AZ46" s="29"/>
      <c r="BA46" s="29"/>
      <c r="BB46" s="29"/>
      <c r="BC46" s="22"/>
    </row>
    <row r="47" spans="1:55" ht="11.45" customHeight="1" x14ac:dyDescent="0.3">
      <c r="A47" s="112"/>
      <c r="B47" s="113"/>
      <c r="C47" s="113"/>
      <c r="D47" s="113"/>
      <c r="E47" s="113"/>
      <c r="F47" s="113"/>
      <c r="G47" s="114"/>
      <c r="H47" s="114"/>
      <c r="I47" s="114"/>
      <c r="J47" s="114"/>
      <c r="K47" s="114"/>
      <c r="L47" s="114"/>
      <c r="M47" s="114"/>
      <c r="N47" s="115"/>
      <c r="O47" s="109"/>
      <c r="P47" s="86" t="str">
        <f>[32]Summary!P47</f>
        <v>Pen Hung Tung "Chris"</v>
      </c>
      <c r="Q47" s="46"/>
      <c r="R47" s="46" t="str">
        <f>[32]Summary!R47</f>
        <v>Chief Marketing Officer</v>
      </c>
      <c r="S47" s="69"/>
      <c r="T47" s="69"/>
      <c r="U47" s="69"/>
      <c r="V47" s="69"/>
      <c r="W47" s="29"/>
      <c r="X47" s="77"/>
      <c r="Y47" s="28"/>
      <c r="Z47" s="28"/>
      <c r="AA47" s="28"/>
      <c r="AB47" s="28"/>
      <c r="AC47" s="28"/>
      <c r="AD47" s="28"/>
      <c r="AE47" s="105"/>
      <c r="AF47" s="29"/>
      <c r="AG47" s="29"/>
      <c r="AH47" s="29"/>
      <c r="AI47" s="29"/>
      <c r="AJ47" s="29"/>
      <c r="AK47" s="29"/>
      <c r="AL47" s="29"/>
      <c r="AM47" s="29"/>
      <c r="AN47" s="29"/>
      <c r="AO47" s="29"/>
      <c r="AP47" s="29"/>
      <c r="AQ47" s="29"/>
      <c r="AR47" s="29"/>
      <c r="AS47" s="29"/>
      <c r="AT47" s="29"/>
      <c r="AU47" s="29"/>
      <c r="AV47" s="29"/>
      <c r="AW47" s="29"/>
      <c r="AX47" s="106"/>
      <c r="AY47" s="29"/>
      <c r="AZ47" s="29"/>
      <c r="BA47" s="29"/>
      <c r="BB47" s="29"/>
      <c r="BC47" s="22"/>
    </row>
    <row r="48" spans="1:55" ht="11.45" customHeight="1" x14ac:dyDescent="0.3">
      <c r="A48" s="86" t="s">
        <v>342</v>
      </c>
      <c r="B48" s="46"/>
      <c r="C48" s="46"/>
      <c r="D48" s="46"/>
      <c r="E48" s="46" t="s">
        <v>343</v>
      </c>
      <c r="F48" s="46"/>
      <c r="G48" s="29"/>
      <c r="H48" s="29">
        <f>[32]Summary!$H$48</f>
        <v>119608.833</v>
      </c>
      <c r="I48" s="29">
        <f>[32]Summary!$I$48</f>
        <v>151989.52900000001</v>
      </c>
      <c r="J48" s="29">
        <f>[32]Summary!$J$48</f>
        <v>206177.39300000001</v>
      </c>
      <c r="K48" s="29">
        <f>[32]Summary!$K$48</f>
        <v>261731.72400000002</v>
      </c>
      <c r="L48" s="29">
        <f>[32]Summary!$L$48</f>
        <v>317929.73700000002</v>
      </c>
      <c r="M48" s="29">
        <f>[32]Summary!$M$48</f>
        <v>490314</v>
      </c>
      <c r="N48" s="87">
        <f>[32]Summary!$N$48</f>
        <v>657625</v>
      </c>
      <c r="O48" s="28"/>
      <c r="P48" s="415" t="str">
        <f t="shared" ref="P48" si="35">PROPER(IF(ISTEXT(AL37),MID(AL37,1,-1+FIND(",",AL37))," "))</f>
        <v xml:space="preserve"> </v>
      </c>
      <c r="Q48" s="29"/>
      <c r="R48" s="46" t="str">
        <f t="shared" ref="R48" si="36">IF(ISTEXT(AL37),MID(AL37,FIND(",",AL37)+3,LEN(AL37)),"")</f>
        <v/>
      </c>
      <c r="S48" s="100"/>
      <c r="T48" s="100"/>
      <c r="U48" s="100"/>
      <c r="V48" s="100"/>
      <c r="W48" s="29"/>
      <c r="X48" s="87"/>
      <c r="Y48" s="29"/>
      <c r="Z48" s="29"/>
      <c r="AA48" s="29"/>
      <c r="AB48" s="29"/>
      <c r="AC48" s="29"/>
      <c r="AD48" s="29"/>
      <c r="AE48" s="105"/>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2"/>
    </row>
    <row r="49" spans="1:55" ht="11.45" customHeight="1" x14ac:dyDescent="0.3">
      <c r="A49" s="86"/>
      <c r="B49" s="46"/>
      <c r="C49" s="46"/>
      <c r="D49" s="46"/>
      <c r="E49" s="46" t="s">
        <v>33</v>
      </c>
      <c r="F49" s="46"/>
      <c r="G49" s="29"/>
      <c r="H49" s="29">
        <f>[32]Summary!$H$49</f>
        <v>124186</v>
      </c>
      <c r="I49" s="29">
        <f>[32]Summary!$I$49</f>
        <v>157436</v>
      </c>
      <c r="J49" s="29">
        <f>[32]Summary!$J$49</f>
        <v>216137</v>
      </c>
      <c r="K49" s="29">
        <f>[32]Summary!$K$49</f>
        <v>284369</v>
      </c>
      <c r="L49" s="29">
        <f>[32]Summary!$L$49</f>
        <v>372764</v>
      </c>
      <c r="M49" s="29">
        <f>[32]Summary!$M$49</f>
        <v>602825</v>
      </c>
      <c r="N49" s="87">
        <f>[32]Summary!$N$49</f>
        <v>657625</v>
      </c>
      <c r="O49" s="29"/>
      <c r="P49" s="414"/>
      <c r="Q49" s="29"/>
      <c r="R49" s="29"/>
      <c r="S49" s="109"/>
      <c r="T49" s="109"/>
      <c r="U49" s="109"/>
      <c r="V49" s="109"/>
      <c r="W49" s="29"/>
      <c r="X49" s="87"/>
      <c r="Y49" s="29"/>
      <c r="Z49" s="29"/>
      <c r="AA49" s="46"/>
      <c r="AB49" s="46"/>
      <c r="AC49" s="46"/>
      <c r="AD49" s="29"/>
      <c r="AE49" s="105"/>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2"/>
    </row>
    <row r="50" spans="1:55" ht="11.45" customHeight="1" x14ac:dyDescent="0.3">
      <c r="A50" s="86"/>
      <c r="B50" s="46"/>
      <c r="C50" s="46"/>
      <c r="D50" s="46"/>
      <c r="E50" s="46" t="s">
        <v>34</v>
      </c>
      <c r="F50" s="46"/>
      <c r="G50" s="29"/>
      <c r="H50" s="29">
        <f>[32]Summary!$H$50</f>
        <v>115328</v>
      </c>
      <c r="I50" s="29">
        <f>[32]Summary!$I$50</f>
        <v>107435</v>
      </c>
      <c r="J50" s="29">
        <f>[32]Summary!$J$50</f>
        <v>174390</v>
      </c>
      <c r="K50" s="29">
        <f>[32]Summary!$K$50</f>
        <v>218428</v>
      </c>
      <c r="L50" s="29">
        <f>[32]Summary!$L$50</f>
        <v>263935</v>
      </c>
      <c r="M50" s="29">
        <f>[32]Summary!$M$50</f>
        <v>364080</v>
      </c>
      <c r="N50" s="87">
        <f>[32]Summary!$N$50</f>
        <v>657625</v>
      </c>
      <c r="O50" s="29"/>
      <c r="P50" s="416" t="s">
        <v>36</v>
      </c>
      <c r="Q50" s="29"/>
      <c r="R50" s="116" t="s">
        <v>344</v>
      </c>
      <c r="S50" s="28" t="s">
        <v>369</v>
      </c>
      <c r="T50" s="28"/>
      <c r="U50" s="28"/>
      <c r="V50" s="28"/>
      <c r="W50" s="29"/>
      <c r="X50" s="87"/>
      <c r="Y50" s="29"/>
      <c r="Z50" s="29"/>
      <c r="AA50" s="46"/>
      <c r="AB50" s="46"/>
      <c r="AC50" s="46"/>
      <c r="AD50" s="29"/>
      <c r="AE50" s="105"/>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2"/>
    </row>
    <row r="51" spans="1:55" ht="11.45" customHeight="1" x14ac:dyDescent="0.3">
      <c r="A51" s="112"/>
      <c r="B51" s="113"/>
      <c r="C51" s="113"/>
      <c r="D51" s="113"/>
      <c r="E51" s="113" t="s">
        <v>35</v>
      </c>
      <c r="F51" s="113"/>
      <c r="G51" s="114"/>
      <c r="H51" s="114">
        <f t="shared" ref="H51:K51" si="37">+IF(ISERR(H29/H48),"--",H29/H48-1)</f>
        <v>0.10071302175483976</v>
      </c>
      <c r="I51" s="114">
        <f t="shared" si="37"/>
        <v>8.9542161815634014E-2</v>
      </c>
      <c r="J51" s="114">
        <f t="shared" si="37"/>
        <v>0.31032700519898926</v>
      </c>
      <c r="K51" s="114">
        <f t="shared" si="37"/>
        <v>0.22208511281049792</v>
      </c>
      <c r="L51" s="114">
        <f>+IF(ISERR(L29/L48),"--",L29/L48-1)</f>
        <v>0.19015414412008491</v>
      </c>
      <c r="M51" s="114">
        <f>+IF(ISERR(M29/M48),"--",M29/M48-1)</f>
        <v>9.3548984211707209E-2</v>
      </c>
      <c r="N51" s="115">
        <f>+IF(ISERR(N29/N48),"--",N29/N48-1)</f>
        <v>0.3116341071232529</v>
      </c>
      <c r="O51" s="29"/>
      <c r="P51" s="417" t="str">
        <f>[32]Summary!P51</f>
        <v>Wu Yongming</v>
      </c>
      <c r="Q51" s="117"/>
      <c r="R51" s="118">
        <f>[32]Summary!R51</f>
        <v>5316109</v>
      </c>
      <c r="S51" s="440">
        <f>[32]Summary!S51</f>
        <v>1.9648271368258199E-3</v>
      </c>
      <c r="T51" s="440"/>
      <c r="U51" s="440"/>
      <c r="V51" s="440"/>
      <c r="W51" s="29"/>
      <c r="X51" s="115"/>
      <c r="Y51" s="114"/>
      <c r="Z51" s="114"/>
      <c r="AA51" s="114"/>
      <c r="AB51" s="114"/>
      <c r="AC51" s="114"/>
      <c r="AD51" s="114"/>
      <c r="AE51" s="119"/>
      <c r="AF51" s="114"/>
      <c r="AG51" s="114"/>
      <c r="AH51" s="114"/>
      <c r="AI51" s="114"/>
      <c r="AJ51" s="114"/>
      <c r="AK51" s="114"/>
      <c r="AL51" s="114"/>
      <c r="AM51" s="114"/>
      <c r="AN51" s="114"/>
      <c r="AO51" s="114"/>
      <c r="AP51" s="114"/>
      <c r="AQ51" s="114"/>
      <c r="AR51" s="114"/>
      <c r="AS51" s="120"/>
      <c r="AT51" s="114"/>
      <c r="AU51" s="114"/>
      <c r="AV51" s="114"/>
      <c r="AW51" s="114"/>
      <c r="AX51" s="114"/>
      <c r="AY51" s="114"/>
      <c r="AZ51" s="114"/>
      <c r="BA51" s="114"/>
      <c r="BB51" s="114"/>
      <c r="BC51" s="121"/>
    </row>
    <row r="52" spans="1:55" ht="11.45" customHeight="1" x14ac:dyDescent="0.3">
      <c r="A52" s="112"/>
      <c r="B52" s="113"/>
      <c r="C52" s="113"/>
      <c r="D52" s="113"/>
      <c r="E52" s="113"/>
      <c r="F52" s="113"/>
      <c r="G52" s="114"/>
      <c r="H52" s="114"/>
      <c r="I52" s="114"/>
      <c r="J52" s="114"/>
      <c r="K52" s="114"/>
      <c r="L52" s="114"/>
      <c r="M52" s="114"/>
      <c r="N52" s="115"/>
      <c r="O52" s="114"/>
      <c r="P52" s="417" t="str">
        <f>[32]Summary!P52</f>
        <v>Meng Jun</v>
      </c>
      <c r="Q52" s="117"/>
      <c r="R52" s="118">
        <f>[32]Summary!R52</f>
        <v>48232</v>
      </c>
      <c r="S52" s="440">
        <f>[32]Summary!S52</f>
        <v>1.7826485962455422E-5</v>
      </c>
      <c r="T52" s="440"/>
      <c r="U52" s="440"/>
      <c r="V52" s="440"/>
      <c r="W52" s="29"/>
      <c r="X52" s="115"/>
      <c r="Y52" s="114"/>
      <c r="Z52" s="114"/>
      <c r="AA52" s="114"/>
      <c r="AB52" s="114"/>
      <c r="AC52" s="114"/>
      <c r="AD52" s="114"/>
      <c r="AE52" s="119"/>
      <c r="AF52" s="114"/>
      <c r="AG52" s="114"/>
      <c r="AH52" s="114"/>
      <c r="AI52" s="114"/>
      <c r="AJ52" s="114"/>
      <c r="AK52" s="114"/>
      <c r="AL52" s="114"/>
      <c r="AM52" s="114"/>
      <c r="AN52" s="114"/>
      <c r="AO52" s="114"/>
      <c r="AP52" s="114"/>
      <c r="AQ52" s="114"/>
      <c r="AR52" s="114"/>
      <c r="AS52" s="120"/>
      <c r="AT52" s="114"/>
      <c r="AU52" s="114"/>
      <c r="AV52" s="114"/>
      <c r="AW52" s="114"/>
      <c r="AX52" s="114"/>
      <c r="AY52" s="114"/>
      <c r="AZ52" s="114"/>
      <c r="BA52" s="114"/>
      <c r="BB52" s="114"/>
      <c r="BC52" s="121"/>
    </row>
    <row r="53" spans="1:55" ht="11.45" customHeight="1" x14ac:dyDescent="0.3">
      <c r="A53" s="86" t="s">
        <v>37</v>
      </c>
      <c r="B53" s="46"/>
      <c r="C53" s="46"/>
      <c r="D53" s="46"/>
      <c r="E53" s="46" t="s">
        <v>343</v>
      </c>
      <c r="F53" s="46"/>
      <c r="G53" s="29"/>
      <c r="H53" s="29">
        <f>[32]Summary!$H$53</f>
        <v>59178.582999999999</v>
      </c>
      <c r="I53" s="29">
        <f>[32]Summary!$I$53</f>
        <v>93820.357000000004</v>
      </c>
      <c r="J53" s="29">
        <f>[32]Summary!$J$53</f>
        <v>129018.455</v>
      </c>
      <c r="K53" s="29">
        <f>[32]Summary!$K$53</f>
        <v>183438.182</v>
      </c>
      <c r="L53" s="29">
        <f>[32]Summary!$L$53</f>
        <v>251254.66700000002</v>
      </c>
      <c r="M53" s="29" t="str">
        <f>[32]Summary!$M$53</f>
        <v>#N/A N/A</v>
      </c>
      <c r="N53" s="87" t="str">
        <f>[32]Summary!$N$53</f>
        <v>#N/A N/A</v>
      </c>
      <c r="O53" s="114"/>
      <c r="P53" s="417" t="str">
        <f>[32]Summary!P53</f>
        <v>#N/A N/A</v>
      </c>
      <c r="Q53" s="117"/>
      <c r="R53" s="118" t="str">
        <f>[32]Summary!R53</f>
        <v>#N/A N/A</v>
      </c>
      <c r="S53" s="440" t="e">
        <f>[32]Summary!S53</f>
        <v>#VALUE!</v>
      </c>
      <c r="T53" s="440"/>
      <c r="U53" s="440"/>
      <c r="V53" s="440"/>
      <c r="W53" s="29"/>
      <c r="X53" s="87"/>
      <c r="Y53" s="29"/>
      <c r="Z53" s="29"/>
      <c r="AA53" s="29"/>
      <c r="AB53" s="29"/>
      <c r="AC53" s="29"/>
      <c r="AD53" s="29"/>
      <c r="AE53" s="105"/>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2"/>
    </row>
    <row r="54" spans="1:55" ht="11.45" customHeight="1" x14ac:dyDescent="0.3">
      <c r="A54" s="86"/>
      <c r="B54" s="46"/>
      <c r="C54" s="46"/>
      <c r="D54" s="46"/>
      <c r="E54" s="46" t="s">
        <v>340</v>
      </c>
      <c r="F54" s="46"/>
      <c r="G54" s="29"/>
      <c r="H54" s="29">
        <f>[32]Summary!$H$54</f>
        <v>75242</v>
      </c>
      <c r="I54" s="29">
        <f>[32]Summary!$I$54</f>
        <v>122166</v>
      </c>
      <c r="J54" s="29">
        <f>[32]Summary!$J$54</f>
        <v>163345</v>
      </c>
      <c r="K54" s="29">
        <f>[32]Summary!$K$54</f>
        <v>235974</v>
      </c>
      <c r="L54" s="29">
        <f>[32]Summary!$L$54</f>
        <v>306785</v>
      </c>
      <c r="M54" s="29" t="str">
        <f>[32]Summary!$M$54</f>
        <v>#N/A N/A</v>
      </c>
      <c r="N54" s="87" t="str">
        <f>[32]Summary!$N$54</f>
        <v>#N/A N/A</v>
      </c>
      <c r="O54" s="29"/>
      <c r="P54" s="417">
        <f>[32]Summary!P54</f>
        <v>0</v>
      </c>
      <c r="Q54" s="117"/>
      <c r="R54" s="118">
        <f>[32]Summary!R54</f>
        <v>0</v>
      </c>
      <c r="S54" s="440">
        <f>[32]Summary!S54</f>
        <v>0</v>
      </c>
      <c r="T54" s="440"/>
      <c r="U54" s="440"/>
      <c r="V54" s="440"/>
      <c r="W54" s="29"/>
      <c r="X54" s="87"/>
      <c r="Y54" s="29"/>
      <c r="Z54" s="29"/>
      <c r="AA54" s="29"/>
      <c r="AB54" s="29"/>
      <c r="AC54" s="29"/>
      <c r="AD54" s="29"/>
      <c r="AE54" s="105"/>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2"/>
    </row>
    <row r="55" spans="1:55" ht="11.45" customHeight="1" x14ac:dyDescent="0.3">
      <c r="A55" s="86"/>
      <c r="B55" s="46"/>
      <c r="C55" s="46"/>
      <c r="D55" s="46"/>
      <c r="E55" s="46" t="s">
        <v>34</v>
      </c>
      <c r="F55" s="46"/>
      <c r="G55" s="29"/>
      <c r="H55" s="29">
        <f>[32]Summary!$H$55</f>
        <v>53941</v>
      </c>
      <c r="I55" s="29">
        <f>[32]Summary!$I$55</f>
        <v>78797</v>
      </c>
      <c r="J55" s="29">
        <f>[32]Summary!$J$55</f>
        <v>114238</v>
      </c>
      <c r="K55" s="29">
        <f>[32]Summary!$K$55</f>
        <v>152544</v>
      </c>
      <c r="L55" s="29">
        <f>[32]Summary!$L$55</f>
        <v>215507</v>
      </c>
      <c r="M55" s="29" t="str">
        <f>[32]Summary!$M$55</f>
        <v>#N/A N/A</v>
      </c>
      <c r="N55" s="87" t="str">
        <f>[32]Summary!$N$55</f>
        <v>#N/A N/A</v>
      </c>
      <c r="O55" s="29"/>
      <c r="P55" s="417">
        <f>[32]Summary!P55</f>
        <v>0</v>
      </c>
      <c r="Q55" s="117"/>
      <c r="R55" s="118">
        <f>[32]Summary!R55</f>
        <v>0</v>
      </c>
      <c r="S55" s="440">
        <f>[32]Summary!S55</f>
        <v>0</v>
      </c>
      <c r="T55" s="440"/>
      <c r="U55" s="440"/>
      <c r="V55" s="440"/>
      <c r="W55" s="29"/>
      <c r="X55" s="87"/>
      <c r="Y55" s="29"/>
      <c r="Z55" s="29"/>
      <c r="AA55" s="29"/>
      <c r="AB55" s="29"/>
      <c r="AC55" s="29"/>
      <c r="AD55" s="29"/>
      <c r="AE55" s="105"/>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2"/>
    </row>
    <row r="56" spans="1:55" ht="11.45" customHeight="1" x14ac:dyDescent="0.3">
      <c r="A56" s="112"/>
      <c r="B56" s="113"/>
      <c r="C56" s="113"/>
      <c r="D56" s="113"/>
      <c r="E56" s="113" t="s">
        <v>35</v>
      </c>
      <c r="F56" s="113"/>
      <c r="G56" s="114"/>
      <c r="H56" s="114">
        <f t="shared" ref="H56:N56" si="38">+IF(ISERR(H31/H53),"--",H31/H53-1)</f>
        <v>0.59812883657589433</v>
      </c>
      <c r="I56" s="114">
        <f t="shared" si="38"/>
        <v>0.31284940644598058</v>
      </c>
      <c r="J56" s="114">
        <f t="shared" si="38"/>
        <v>0.80682522209264618</v>
      </c>
      <c r="K56" s="114">
        <f t="shared" si="38"/>
        <v>0.51448178914868326</v>
      </c>
      <c r="L56" s="114">
        <f t="shared" si="38"/>
        <v>0.31764223801748859</v>
      </c>
      <c r="M56" s="114" t="str">
        <f t="shared" si="38"/>
        <v>--</v>
      </c>
      <c r="N56" s="115" t="str">
        <f t="shared" si="38"/>
        <v>--</v>
      </c>
      <c r="O56" s="29"/>
      <c r="P56" s="417">
        <f>[32]Summary!P56</f>
        <v>0</v>
      </c>
      <c r="Q56" s="117"/>
      <c r="R56" s="118">
        <f>[32]Summary!R56</f>
        <v>0</v>
      </c>
      <c r="S56" s="440">
        <f>[32]Summary!S56</f>
        <v>0</v>
      </c>
      <c r="T56" s="440"/>
      <c r="U56" s="440"/>
      <c r="V56" s="440"/>
      <c r="W56" s="114"/>
      <c r="X56" s="115"/>
      <c r="Y56" s="114"/>
      <c r="Z56" s="114"/>
      <c r="AA56" s="114"/>
      <c r="AB56" s="114"/>
      <c r="AC56" s="114"/>
      <c r="AD56" s="114"/>
      <c r="AE56" s="119"/>
      <c r="AF56" s="114"/>
      <c r="AG56" s="114"/>
      <c r="AH56" s="114"/>
      <c r="AI56" s="114"/>
      <c r="AJ56" s="114"/>
      <c r="AK56" s="114"/>
      <c r="AL56" s="114"/>
      <c r="AM56" s="114"/>
      <c r="AN56" s="114"/>
      <c r="AO56" s="114"/>
      <c r="AP56" s="114"/>
      <c r="AQ56" s="114"/>
      <c r="AR56" s="114"/>
      <c r="AS56" s="120"/>
      <c r="AT56" s="114"/>
      <c r="AU56" s="114"/>
      <c r="AV56" s="114"/>
      <c r="AW56" s="114"/>
      <c r="AX56" s="114"/>
      <c r="AY56" s="114"/>
      <c r="AZ56" s="114"/>
      <c r="BA56" s="114"/>
      <c r="BB56" s="114"/>
      <c r="BC56" s="121"/>
    </row>
    <row r="57" spans="1:55" ht="11.45" customHeight="1" x14ac:dyDescent="0.3">
      <c r="A57" s="112"/>
      <c r="B57" s="113"/>
      <c r="C57" s="113"/>
      <c r="D57" s="113"/>
      <c r="E57" s="113"/>
      <c r="F57" s="113"/>
      <c r="G57" s="114"/>
      <c r="H57" s="114"/>
      <c r="I57" s="114"/>
      <c r="J57" s="2855"/>
      <c r="K57" s="2855"/>
      <c r="L57" s="2855"/>
      <c r="M57" s="2855"/>
      <c r="N57" s="115"/>
      <c r="O57" s="114"/>
      <c r="P57" s="417">
        <f>[32]Summary!P57</f>
        <v>0</v>
      </c>
      <c r="Q57" s="117"/>
      <c r="R57" s="118">
        <f>[32]Summary!R57</f>
        <v>0</v>
      </c>
      <c r="S57" s="440">
        <f>[32]Summary!S57</f>
        <v>0</v>
      </c>
      <c r="T57" s="440"/>
      <c r="U57" s="440"/>
      <c r="V57" s="440"/>
      <c r="W57" s="114"/>
      <c r="X57" s="115"/>
      <c r="Y57" s="114"/>
      <c r="Z57" s="114"/>
      <c r="AA57" s="114"/>
      <c r="AB57" s="114"/>
      <c r="AC57" s="114"/>
      <c r="AD57" s="114"/>
      <c r="AE57" s="119"/>
      <c r="AF57" s="114"/>
      <c r="AG57" s="114"/>
      <c r="AH57" s="114"/>
      <c r="AI57" s="114"/>
      <c r="AJ57" s="114"/>
      <c r="AK57" s="114"/>
      <c r="AL57" s="114"/>
      <c r="AM57" s="114"/>
      <c r="AN57" s="114"/>
      <c r="AO57" s="114"/>
      <c r="AP57" s="114"/>
      <c r="AQ57" s="114"/>
      <c r="AR57" s="114"/>
      <c r="AS57" s="120"/>
      <c r="AT57" s="114"/>
      <c r="AU57" s="114"/>
      <c r="AV57" s="114"/>
      <c r="AW57" s="114"/>
      <c r="AX57" s="114"/>
      <c r="AY57" s="114"/>
      <c r="AZ57" s="114"/>
      <c r="BA57" s="114"/>
      <c r="BB57" s="114"/>
      <c r="BC57" s="121"/>
    </row>
    <row r="58" spans="1:55" ht="11.45" customHeight="1" x14ac:dyDescent="0.3">
      <c r="A58" s="102" t="s">
        <v>1348</v>
      </c>
      <c r="B58" s="103"/>
      <c r="C58" s="103"/>
      <c r="D58" s="103"/>
      <c r="E58" s="103" t="s">
        <v>345</v>
      </c>
      <c r="F58" s="103"/>
      <c r="G58" s="36"/>
      <c r="H58" s="2866">
        <f>[32]Summary!$H$58</f>
        <v>36.657000000000004</v>
      </c>
      <c r="I58" s="2866">
        <f>[32]Summary!$I$58</f>
        <v>49.478000000000002</v>
      </c>
      <c r="J58" s="2866">
        <f>[32]Summary!$J$58</f>
        <v>66.912999999999997</v>
      </c>
      <c r="K58" s="2866">
        <f>[32]Summary!$K$58</f>
        <v>80.861000000000004</v>
      </c>
      <c r="L58" s="2866">
        <f>[32]Summary!$L$58</f>
        <v>99.48</v>
      </c>
      <c r="M58" s="2866">
        <f>[32]Summary!$M$58</f>
        <v>150.01</v>
      </c>
      <c r="N58" s="2867" t="str">
        <f>[32]Summary!$N$58</f>
        <v>#N/A N/A</v>
      </c>
      <c r="O58" s="114"/>
      <c r="P58" s="417">
        <f>[32]Summary!P58</f>
        <v>0</v>
      </c>
      <c r="Q58" s="117"/>
      <c r="R58" s="117">
        <f>[32]Summary!R58</f>
        <v>0</v>
      </c>
      <c r="S58" s="440">
        <f>[32]Summary!S58</f>
        <v>0</v>
      </c>
      <c r="T58" s="440"/>
      <c r="U58" s="440"/>
      <c r="V58" s="440"/>
      <c r="W58" s="29"/>
      <c r="X58" s="87"/>
      <c r="Y58" s="29"/>
      <c r="Z58" s="29"/>
      <c r="AA58" s="29"/>
      <c r="AB58" s="29"/>
      <c r="AC58" s="29"/>
      <c r="AD58" s="29"/>
      <c r="AE58" s="105"/>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2"/>
    </row>
    <row r="59" spans="1:55" ht="11.45" customHeight="1" x14ac:dyDescent="0.3">
      <c r="A59" s="102"/>
      <c r="B59" s="103"/>
      <c r="C59" s="103"/>
      <c r="D59" s="103"/>
      <c r="E59" s="103" t="s">
        <v>340</v>
      </c>
      <c r="F59" s="103"/>
      <c r="G59" s="36"/>
      <c r="H59" s="2866">
        <f>[32]Summary!$H$59</f>
        <v>45.71</v>
      </c>
      <c r="I59" s="2866">
        <f>[32]Summary!$I$59</f>
        <v>57.78</v>
      </c>
      <c r="J59" s="2866">
        <f>[32]Summary!$J$59</f>
        <v>91.92</v>
      </c>
      <c r="K59" s="2866">
        <f>[32]Summary!$K$59</f>
        <v>98.4</v>
      </c>
      <c r="L59" s="2866">
        <f>[32]Summary!$L$59</f>
        <v>123.8</v>
      </c>
      <c r="M59" s="2866">
        <f>[32]Summary!$M$59</f>
        <v>162.65</v>
      </c>
      <c r="N59" s="2867" t="str">
        <f>[32]Summary!$N$59</f>
        <v>#N/A N/A</v>
      </c>
      <c r="O59" s="29"/>
      <c r="P59" s="417">
        <f>[32]Summary!P59</f>
        <v>0</v>
      </c>
      <c r="Q59" s="117"/>
      <c r="R59" s="117">
        <f>[32]Summary!R59</f>
        <v>0</v>
      </c>
      <c r="S59" s="440">
        <f>[32]Summary!S59</f>
        <v>0</v>
      </c>
      <c r="T59" s="440"/>
      <c r="U59" s="440"/>
      <c r="V59" s="440"/>
      <c r="W59" s="29"/>
      <c r="X59" s="87"/>
      <c r="Y59" s="29"/>
      <c r="Z59" s="29"/>
      <c r="AA59" s="29"/>
      <c r="AB59" s="29"/>
      <c r="AC59" s="29"/>
      <c r="AD59" s="29"/>
      <c r="AE59" s="105"/>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2"/>
    </row>
    <row r="60" spans="1:55" ht="11.45" customHeight="1" x14ac:dyDescent="0.3">
      <c r="A60" s="102"/>
      <c r="B60" s="103"/>
      <c r="C60" s="103"/>
      <c r="D60" s="103"/>
      <c r="E60" s="103" t="s">
        <v>34</v>
      </c>
      <c r="F60" s="103"/>
      <c r="G60" s="36"/>
      <c r="H60" s="2866">
        <f>[32]Summary!$H$60</f>
        <v>32.65</v>
      </c>
      <c r="I60" s="2866">
        <f>[32]Summary!$I$60</f>
        <v>37</v>
      </c>
      <c r="J60" s="2866">
        <f>[32]Summary!$J$60</f>
        <v>49.02</v>
      </c>
      <c r="K60" s="2866">
        <f>[32]Summary!$K$60</f>
        <v>61.47</v>
      </c>
      <c r="L60" s="2866">
        <f>[32]Summary!$L$60</f>
        <v>77.290000000000006</v>
      </c>
      <c r="M60" s="2866">
        <f>[32]Summary!$M$60</f>
        <v>138.09</v>
      </c>
      <c r="N60" s="2867" t="str">
        <f>[32]Summary!$N$60</f>
        <v>#N/A N/A</v>
      </c>
      <c r="O60" s="29"/>
      <c r="P60" s="417">
        <f>[32]Summary!P60</f>
        <v>0</v>
      </c>
      <c r="Q60" s="117"/>
      <c r="R60" s="117">
        <f>[32]Summary!R60</f>
        <v>0</v>
      </c>
      <c r="S60" s="440">
        <f>[32]Summary!S60</f>
        <v>0</v>
      </c>
      <c r="T60" s="440"/>
      <c r="U60" s="440"/>
      <c r="V60" s="440"/>
      <c r="W60" s="29"/>
      <c r="X60" s="87"/>
      <c r="Y60" s="29"/>
      <c r="Z60" s="29"/>
      <c r="AA60" s="29"/>
      <c r="AB60" s="29"/>
      <c r="AC60" s="29"/>
      <c r="AD60" s="29"/>
      <c r="AE60" s="105"/>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2"/>
    </row>
    <row r="61" spans="1:55" ht="11.45" customHeight="1" x14ac:dyDescent="0.3">
      <c r="A61" s="112"/>
      <c r="B61" s="113"/>
      <c r="C61" s="113"/>
      <c r="D61" s="113"/>
      <c r="E61" s="430" t="s">
        <v>35</v>
      </c>
      <c r="F61" s="430"/>
      <c r="G61" s="431"/>
      <c r="H61" s="431">
        <f t="shared" ref="H61:N61" si="39">+IF(ISERR(H35/H58),"--",H35/H58-1)</f>
        <v>4.7630021394092115E-2</v>
      </c>
      <c r="I61" s="431">
        <f t="shared" si="39"/>
        <v>7.0728631803585573E-2</v>
      </c>
      <c r="J61" s="431">
        <f t="shared" si="39"/>
        <v>-8.7320636955902642E-2</v>
      </c>
      <c r="K61" s="431">
        <f t="shared" si="39"/>
        <v>-0.11583109817981918</v>
      </c>
      <c r="L61" s="431">
        <f t="shared" si="39"/>
        <v>-0.1837384004994812</v>
      </c>
      <c r="M61" s="431">
        <f t="shared" si="39"/>
        <v>-0.26634065704942733</v>
      </c>
      <c r="N61" s="432" t="str">
        <f t="shared" si="39"/>
        <v>--</v>
      </c>
      <c r="O61" s="29"/>
      <c r="P61" s="417" t="e">
        <f>[32]Summary!P61</f>
        <v>#REF!</v>
      </c>
      <c r="Q61" s="117"/>
      <c r="R61" s="117" t="e">
        <f>[32]Summary!R61</f>
        <v>#REF!</v>
      </c>
      <c r="S61" s="440" t="e">
        <f>[32]Summary!S61</f>
        <v>#REF!</v>
      </c>
      <c r="T61" s="440"/>
      <c r="U61" s="440"/>
      <c r="V61" s="440"/>
      <c r="W61" s="114"/>
      <c r="X61" s="115"/>
      <c r="Y61" s="29"/>
      <c r="Z61" s="29"/>
      <c r="AA61" s="114"/>
      <c r="AB61" s="114"/>
      <c r="AC61" s="114"/>
      <c r="AD61" s="114"/>
      <c r="AE61" s="119"/>
      <c r="AF61" s="114"/>
      <c r="AG61" s="114"/>
      <c r="AH61" s="114"/>
      <c r="AI61" s="114"/>
      <c r="AJ61" s="114"/>
      <c r="AK61" s="114"/>
      <c r="AL61" s="114"/>
      <c r="AM61" s="114"/>
      <c r="AN61" s="114"/>
      <c r="AO61" s="114"/>
      <c r="AP61" s="114"/>
      <c r="AQ61" s="114"/>
      <c r="AR61" s="114"/>
      <c r="AS61" s="120"/>
      <c r="AT61" s="114"/>
      <c r="AU61" s="114"/>
      <c r="AV61" s="114"/>
      <c r="AW61" s="114"/>
      <c r="AX61" s="114"/>
      <c r="AY61" s="114"/>
      <c r="AZ61" s="114"/>
      <c r="BA61" s="114"/>
      <c r="BB61" s="114"/>
      <c r="BC61" s="121"/>
    </row>
    <row r="62" spans="1:55" ht="11.45" customHeight="1" x14ac:dyDescent="0.3">
      <c r="A62" s="112"/>
      <c r="B62" s="113"/>
      <c r="C62" s="113"/>
      <c r="D62" s="113"/>
      <c r="E62" s="113"/>
      <c r="F62" s="113"/>
      <c r="G62" s="114"/>
      <c r="H62" s="114"/>
      <c r="I62" s="114"/>
      <c r="J62" s="114"/>
      <c r="K62" s="114"/>
      <c r="L62" s="114"/>
      <c r="M62" s="114"/>
      <c r="N62" s="115"/>
      <c r="O62" s="29"/>
      <c r="P62" s="417"/>
      <c r="Q62" s="117"/>
      <c r="R62" s="117"/>
      <c r="S62" s="440"/>
      <c r="T62" s="440"/>
      <c r="U62" s="440"/>
      <c r="V62" s="440"/>
      <c r="W62" s="114"/>
      <c r="X62" s="115"/>
      <c r="Y62" s="29"/>
      <c r="Z62" s="29"/>
      <c r="AA62" s="114"/>
      <c r="AB62" s="114"/>
      <c r="AC62" s="114"/>
      <c r="AD62" s="114"/>
      <c r="AE62" s="119"/>
      <c r="AF62" s="114"/>
      <c r="AG62" s="114"/>
      <c r="AH62" s="114"/>
      <c r="AI62" s="114"/>
      <c r="AJ62" s="114"/>
      <c r="AK62" s="114"/>
      <c r="AL62" s="114"/>
      <c r="AM62" s="114"/>
      <c r="AN62" s="114"/>
      <c r="AO62" s="114"/>
      <c r="AP62" s="114"/>
      <c r="AQ62" s="114"/>
      <c r="AR62" s="114"/>
      <c r="AS62" s="120"/>
      <c r="AT62" s="114"/>
      <c r="AU62" s="114"/>
      <c r="AV62" s="114"/>
      <c r="AW62" s="114"/>
      <c r="AX62" s="114"/>
      <c r="AY62" s="114"/>
      <c r="AZ62" s="114"/>
      <c r="BA62" s="114"/>
      <c r="BB62" s="114"/>
      <c r="BC62" s="121"/>
    </row>
    <row r="63" spans="1:55" ht="11.45" customHeight="1" x14ac:dyDescent="0.3">
      <c r="A63" s="102" t="s">
        <v>384</v>
      </c>
      <c r="B63" s="113"/>
      <c r="C63" s="113"/>
      <c r="D63" s="113"/>
      <c r="E63" s="103" t="s">
        <v>30</v>
      </c>
      <c r="F63" s="103"/>
      <c r="G63" s="36"/>
      <c r="H63" s="36">
        <f>[32]Summary!H63</f>
        <v>185.851</v>
      </c>
      <c r="I63" s="36">
        <f>[32]Summary!I63</f>
        <v>275.06900000000002</v>
      </c>
      <c r="J63" s="36">
        <f>[32]Summary!J63</f>
        <v>357.57600000000002</v>
      </c>
      <c r="K63" s="36">
        <f>[32]Summary!K63</f>
        <v>415.00799999999998</v>
      </c>
      <c r="L63" s="36">
        <f>[32]Summary!L63</f>
        <v>506.58800000000002</v>
      </c>
      <c r="M63" s="36" t="str">
        <f>[32]Summary!M63</f>
        <v>#N/A N/A</v>
      </c>
      <c r="N63" s="122" t="str">
        <f>[32]Summary!N63</f>
        <v>#N/A N/A</v>
      </c>
      <c r="O63" s="29"/>
      <c r="P63" s="417"/>
      <c r="Q63" s="117"/>
      <c r="R63" s="117"/>
      <c r="S63" s="440"/>
      <c r="T63" s="440"/>
      <c r="U63" s="440"/>
      <c r="V63" s="440"/>
      <c r="W63" s="114"/>
      <c r="X63" s="115"/>
      <c r="Y63" s="29"/>
      <c r="Z63" s="29"/>
      <c r="AA63" s="114"/>
      <c r="AB63" s="114"/>
      <c r="AC63" s="114"/>
      <c r="AD63" s="114"/>
      <c r="AE63" s="119"/>
      <c r="AF63" s="114"/>
      <c r="AG63" s="114"/>
      <c r="AH63" s="114"/>
      <c r="AI63" s="114"/>
      <c r="AJ63" s="114"/>
      <c r="AK63" s="114"/>
      <c r="AL63" s="114"/>
      <c r="AM63" s="114"/>
      <c r="AN63" s="114"/>
      <c r="AO63" s="114"/>
      <c r="AP63" s="114"/>
      <c r="AQ63" s="114"/>
      <c r="AR63" s="114"/>
      <c r="AS63" s="120"/>
      <c r="AT63" s="114"/>
      <c r="AU63" s="114"/>
      <c r="AV63" s="114"/>
      <c r="AW63" s="114"/>
      <c r="AX63" s="114"/>
      <c r="AY63" s="114"/>
      <c r="AZ63" s="114"/>
      <c r="BA63" s="114"/>
      <c r="BB63" s="114"/>
      <c r="BC63" s="121"/>
    </row>
    <row r="64" spans="1:55" ht="11.45" customHeight="1" x14ac:dyDescent="0.3">
      <c r="A64" s="112"/>
      <c r="B64" s="113"/>
      <c r="C64" s="113"/>
      <c r="D64" s="113"/>
      <c r="E64" s="103" t="s">
        <v>33</v>
      </c>
      <c r="F64" s="103"/>
      <c r="G64" s="36"/>
      <c r="H64" s="36">
        <f>[32]Summary!H64</f>
        <v>228.18</v>
      </c>
      <c r="I64" s="36">
        <f>[32]Summary!I64</f>
        <v>349.64</v>
      </c>
      <c r="J64" s="36">
        <f>[32]Summary!J64</f>
        <v>436.35</v>
      </c>
      <c r="K64" s="36">
        <f>[32]Summary!K64</f>
        <v>539.38</v>
      </c>
      <c r="L64" s="36">
        <f>[32]Summary!L64</f>
        <v>663.17</v>
      </c>
      <c r="M64" s="36" t="str">
        <f>[32]Summary!M64</f>
        <v>#N/A N/A</v>
      </c>
      <c r="N64" s="122" t="str">
        <f>[32]Summary!N64</f>
        <v>#N/A N/A</v>
      </c>
      <c r="O64" s="36" t="e">
        <f>[32]Summary!O64</f>
        <v>#REF!</v>
      </c>
      <c r="P64" s="417"/>
      <c r="Q64" s="117"/>
      <c r="R64" s="117"/>
      <c r="S64" s="440"/>
      <c r="T64" s="440"/>
      <c r="U64" s="440"/>
      <c r="V64" s="440"/>
      <c r="W64" s="114"/>
      <c r="X64" s="115"/>
      <c r="Y64" s="29"/>
      <c r="Z64" s="29"/>
      <c r="AA64" s="114"/>
      <c r="AB64" s="114"/>
      <c r="AC64" s="114"/>
      <c r="AD64" s="114"/>
      <c r="AE64" s="119"/>
      <c r="AF64" s="114"/>
      <c r="AG64" s="114"/>
      <c r="AH64" s="114"/>
      <c r="AI64" s="114"/>
      <c r="AJ64" s="114"/>
      <c r="AK64" s="114"/>
      <c r="AL64" s="114"/>
      <c r="AM64" s="114"/>
      <c r="AN64" s="114"/>
      <c r="AO64" s="114"/>
      <c r="AP64" s="114"/>
      <c r="AQ64" s="114"/>
      <c r="AR64" s="114"/>
      <c r="AS64" s="120"/>
      <c r="AT64" s="114"/>
      <c r="AU64" s="114"/>
      <c r="AV64" s="114"/>
      <c r="AW64" s="114"/>
      <c r="AX64" s="114"/>
      <c r="AY64" s="114"/>
      <c r="AZ64" s="114"/>
      <c r="BA64" s="114"/>
      <c r="BB64" s="114"/>
      <c r="BC64" s="121"/>
    </row>
    <row r="65" spans="1:55" ht="11.45" customHeight="1" x14ac:dyDescent="0.3">
      <c r="A65" s="112"/>
      <c r="B65" s="113"/>
      <c r="C65" s="113"/>
      <c r="D65" s="113"/>
      <c r="E65" s="103" t="s">
        <v>34</v>
      </c>
      <c r="F65" s="103"/>
      <c r="G65" s="36"/>
      <c r="H65" s="36">
        <f>[32]Summary!H65</f>
        <v>165.70000000000002</v>
      </c>
      <c r="I65" s="36">
        <f>[32]Summary!I65</f>
        <v>229.39000000000001</v>
      </c>
      <c r="J65" s="36">
        <f>[32]Summary!J65</f>
        <v>322.88</v>
      </c>
      <c r="K65" s="36">
        <f>[32]Summary!K65</f>
        <v>47.77</v>
      </c>
      <c r="L65" s="36">
        <f>[32]Summary!L65</f>
        <v>58.44</v>
      </c>
      <c r="M65" s="36" t="str">
        <f>[32]Summary!M65</f>
        <v>#N/A N/A</v>
      </c>
      <c r="N65" s="122" t="str">
        <f>[32]Summary!N65</f>
        <v>#N/A N/A</v>
      </c>
      <c r="O65" s="29"/>
      <c r="P65" s="417"/>
      <c r="Q65" s="117"/>
      <c r="R65" s="117"/>
      <c r="S65" s="440"/>
      <c r="T65" s="440"/>
      <c r="U65" s="440"/>
      <c r="V65" s="440"/>
      <c r="W65" s="114"/>
      <c r="X65" s="115"/>
      <c r="Y65" s="29"/>
      <c r="Z65" s="29"/>
      <c r="AA65" s="114"/>
      <c r="AB65" s="114"/>
      <c r="AC65" s="114"/>
      <c r="AD65" s="114"/>
      <c r="AE65" s="119"/>
      <c r="AF65" s="114"/>
      <c r="AG65" s="114"/>
      <c r="AH65" s="114"/>
      <c r="AI65" s="114"/>
      <c r="AJ65" s="114"/>
      <c r="AK65" s="114"/>
      <c r="AL65" s="114"/>
      <c r="AM65" s="114"/>
      <c r="AN65" s="114"/>
      <c r="AO65" s="114"/>
      <c r="AP65" s="114"/>
      <c r="AQ65" s="114"/>
      <c r="AR65" s="114"/>
      <c r="AS65" s="120"/>
      <c r="AT65" s="114"/>
      <c r="AU65" s="114"/>
      <c r="AV65" s="114"/>
      <c r="AW65" s="114"/>
      <c r="AX65" s="114"/>
      <c r="AY65" s="114"/>
      <c r="AZ65" s="114"/>
      <c r="BA65" s="114"/>
      <c r="BB65" s="114"/>
      <c r="BC65" s="121"/>
    </row>
    <row r="66" spans="1:55" ht="11.45" customHeight="1" x14ac:dyDescent="0.3">
      <c r="A66" s="112"/>
      <c r="B66" s="113"/>
      <c r="C66" s="113"/>
      <c r="D66" s="113"/>
      <c r="E66" s="113" t="s">
        <v>35</v>
      </c>
      <c r="F66" s="113"/>
      <c r="G66" s="114"/>
      <c r="H66" s="114">
        <f t="shared" ref="H66:N66" si="40">H39/H$63-1</f>
        <v>-0.80675438679310219</v>
      </c>
      <c r="I66" s="114">
        <f t="shared" si="40"/>
        <v>-0.81651656569115261</v>
      </c>
      <c r="J66" s="114">
        <f t="shared" si="40"/>
        <v>-0.83096810037139335</v>
      </c>
      <c r="K66" s="114">
        <f t="shared" si="40"/>
        <v>-0.83340094096193862</v>
      </c>
      <c r="L66" s="114">
        <f>L39/L$63-1</f>
        <v>-0.84522019261737302</v>
      </c>
      <c r="M66" s="114" t="e">
        <f t="shared" si="40"/>
        <v>#VALUE!</v>
      </c>
      <c r="N66" s="115" t="e">
        <f t="shared" si="40"/>
        <v>#VALUE!</v>
      </c>
      <c r="O66" s="29"/>
      <c r="P66" s="417"/>
      <c r="Q66" s="117"/>
      <c r="R66" s="117"/>
      <c r="S66" s="440"/>
      <c r="T66" s="440"/>
      <c r="U66" s="440"/>
      <c r="V66" s="440"/>
      <c r="W66" s="114"/>
      <c r="X66" s="115"/>
      <c r="Y66" s="29"/>
      <c r="Z66" s="29"/>
      <c r="AA66" s="114"/>
      <c r="AB66" s="114"/>
      <c r="AC66" s="114"/>
      <c r="AD66" s="114"/>
      <c r="AE66" s="119"/>
      <c r="AF66" s="114"/>
      <c r="AG66" s="114"/>
      <c r="AH66" s="114"/>
      <c r="AI66" s="114"/>
      <c r="AJ66" s="114"/>
      <c r="AK66" s="114"/>
      <c r="AL66" s="114"/>
      <c r="AM66" s="114"/>
      <c r="AN66" s="114"/>
      <c r="AO66" s="114"/>
      <c r="AP66" s="114"/>
      <c r="AQ66" s="114"/>
      <c r="AR66" s="114"/>
      <c r="AS66" s="120"/>
      <c r="AT66" s="114"/>
      <c r="AU66" s="114"/>
      <c r="AV66" s="114"/>
      <c r="AW66" s="114"/>
      <c r="AX66" s="114"/>
      <c r="AY66" s="114"/>
      <c r="AZ66" s="114"/>
      <c r="BA66" s="114"/>
      <c r="BB66" s="114"/>
      <c r="BC66" s="121"/>
    </row>
    <row r="67" spans="1:55" ht="11.45" customHeight="1" x14ac:dyDescent="0.3">
      <c r="A67" s="2837"/>
      <c r="B67" s="123"/>
      <c r="C67" s="123"/>
      <c r="D67" s="123"/>
      <c r="E67" s="123"/>
      <c r="F67" s="123"/>
      <c r="G67" s="123"/>
      <c r="H67" s="123"/>
      <c r="I67" s="123"/>
      <c r="J67" s="123"/>
      <c r="K67" s="123"/>
      <c r="L67" s="123"/>
      <c r="M67" s="123"/>
      <c r="N67" s="450"/>
      <c r="O67" s="29"/>
      <c r="P67" s="417"/>
      <c r="Q67" s="117"/>
      <c r="R67" s="117"/>
      <c r="S67" s="440"/>
      <c r="T67" s="440"/>
      <c r="U67" s="440"/>
      <c r="V67" s="440"/>
      <c r="W67" s="114"/>
      <c r="X67" s="115"/>
      <c r="Y67" s="29"/>
      <c r="Z67" s="29"/>
      <c r="AA67" s="114"/>
      <c r="AB67" s="114"/>
      <c r="AC67" s="114"/>
      <c r="AD67" s="114"/>
      <c r="AE67" s="119"/>
      <c r="AF67" s="114"/>
      <c r="AG67" s="114"/>
      <c r="AH67" s="114"/>
      <c r="AI67" s="114"/>
      <c r="AJ67" s="114"/>
      <c r="AK67" s="114"/>
      <c r="AL67" s="114"/>
      <c r="AM67" s="114"/>
      <c r="AN67" s="114"/>
      <c r="AO67" s="114"/>
      <c r="AP67" s="114"/>
      <c r="AQ67" s="114"/>
      <c r="AR67" s="114"/>
      <c r="AS67" s="120"/>
      <c r="AT67" s="114"/>
      <c r="AU67" s="114"/>
      <c r="AV67" s="114"/>
      <c r="AW67" s="114"/>
      <c r="AX67" s="114"/>
      <c r="AY67" s="114"/>
      <c r="AZ67" s="114"/>
      <c r="BA67" s="114"/>
      <c r="BB67" s="114"/>
      <c r="BC67" s="121"/>
    </row>
    <row r="68" spans="1:55" ht="11.45" customHeight="1" x14ac:dyDescent="0.3">
      <c r="A68" s="46"/>
      <c r="B68" s="46"/>
      <c r="C68" s="46"/>
      <c r="D68" s="46"/>
      <c r="E68" s="46"/>
      <c r="F68" s="46"/>
      <c r="G68" s="29"/>
      <c r="H68" s="29"/>
      <c r="I68" s="29"/>
      <c r="J68" s="29"/>
      <c r="K68" s="29"/>
      <c r="L68" s="29"/>
      <c r="M68" s="29"/>
      <c r="N68" s="29"/>
      <c r="O68" s="114"/>
      <c r="P68" s="417" t="e">
        <f>[32]Summary!P67</f>
        <v>#REF!</v>
      </c>
      <c r="Q68" s="117"/>
      <c r="R68" s="117" t="e">
        <f>[32]Summary!R67</f>
        <v>#REF!</v>
      </c>
      <c r="S68" s="440" t="e">
        <f>[32]Summary!S67</f>
        <v>#REF!</v>
      </c>
      <c r="T68" s="440"/>
      <c r="U68" s="440"/>
      <c r="V68" s="440"/>
      <c r="W68" s="114"/>
      <c r="X68" s="115"/>
      <c r="Y68" s="29"/>
      <c r="Z68" s="29"/>
      <c r="AA68" s="114"/>
      <c r="AB68" s="114"/>
      <c r="AC68" s="114"/>
      <c r="AD68" s="114"/>
      <c r="AE68" s="119"/>
      <c r="AF68" s="114"/>
      <c r="AG68" s="114"/>
      <c r="AH68" s="114"/>
      <c r="AI68" s="114"/>
      <c r="AJ68" s="114"/>
      <c r="AK68" s="114"/>
      <c r="AL68" s="114"/>
      <c r="AM68" s="114"/>
      <c r="AN68" s="114"/>
      <c r="AO68" s="114"/>
      <c r="AP68" s="114"/>
      <c r="AQ68" s="114"/>
      <c r="AR68" s="114"/>
      <c r="AS68" s="120"/>
      <c r="AT68" s="114"/>
      <c r="AU68" s="114"/>
      <c r="AV68" s="114"/>
      <c r="AW68" s="114"/>
      <c r="AX68" s="114"/>
      <c r="AY68" s="114"/>
      <c r="AZ68" s="114"/>
      <c r="BA68" s="114"/>
      <c r="BB68" s="114"/>
      <c r="BC68" s="121"/>
    </row>
    <row r="69" spans="1:55" ht="11.45" customHeight="1" x14ac:dyDescent="0.3">
      <c r="A69" s="60" t="s">
        <v>38</v>
      </c>
      <c r="B69" s="374"/>
      <c r="C69" s="374"/>
      <c r="D69" s="374"/>
      <c r="E69" s="374"/>
      <c r="F69" s="374"/>
      <c r="G69" s="375"/>
      <c r="H69" s="375"/>
      <c r="I69" s="375"/>
      <c r="J69" s="375"/>
      <c r="K69" s="375"/>
      <c r="L69" s="375"/>
      <c r="M69" s="375"/>
      <c r="N69" s="376"/>
      <c r="O69" s="114"/>
      <c r="P69" s="417" t="e">
        <f>[32]Summary!P68</f>
        <v>#REF!</v>
      </c>
      <c r="Q69" s="117"/>
      <c r="R69" s="117" t="e">
        <f>[32]Summary!R68</f>
        <v>#REF!</v>
      </c>
      <c r="S69" s="440" t="e">
        <f>[32]Summary!S68</f>
        <v>#REF!</v>
      </c>
      <c r="T69" s="440"/>
      <c r="U69" s="440"/>
      <c r="V69" s="440"/>
      <c r="W69" s="69"/>
      <c r="X69" s="104"/>
      <c r="Y69" s="29"/>
      <c r="Z69" s="29"/>
      <c r="AA69" s="69"/>
      <c r="AB69" s="69"/>
      <c r="AC69" s="69"/>
      <c r="AD69" s="69"/>
      <c r="AE69" s="125"/>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126"/>
    </row>
    <row r="70" spans="1:55" ht="11.45" customHeight="1" x14ac:dyDescent="0.3">
      <c r="A70" s="377" t="s">
        <v>39</v>
      </c>
      <c r="B70" s="124"/>
      <c r="C70" s="124"/>
      <c r="D70" s="124"/>
      <c r="E70" s="124"/>
      <c r="F70" s="124"/>
      <c r="G70" s="106"/>
      <c r="H70" s="106">
        <f>BS!BH69</f>
        <v>13.338185031471909</v>
      </c>
      <c r="I70" s="106">
        <f>BS!BI69</f>
        <v>14.168597499367289</v>
      </c>
      <c r="J70" s="106">
        <f>BS!BJ69</f>
        <v>10.522490233664275</v>
      </c>
      <c r="K70" s="106">
        <f>BS!BK69</f>
        <v>11.754392055250557</v>
      </c>
      <c r="L70" s="106">
        <f>BS!BL69</f>
        <v>12.081400317886219</v>
      </c>
      <c r="M70" s="106">
        <f>BS!BN69</f>
        <v>12.179978626739279</v>
      </c>
      <c r="N70" s="378">
        <f>BS!BS69</f>
        <v>12.035707443085442</v>
      </c>
      <c r="O70" s="69"/>
      <c r="P70" s="417" t="e">
        <f>[32]Summary!P69</f>
        <v>#REF!</v>
      </c>
      <c r="Q70" s="117"/>
      <c r="R70" s="117" t="e">
        <f>[32]Summary!R69</f>
        <v>#REF!</v>
      </c>
      <c r="S70" s="447" t="e">
        <f>[32]Summary!S69</f>
        <v>#REF!</v>
      </c>
      <c r="T70" s="447"/>
      <c r="U70" s="447"/>
      <c r="V70" s="447"/>
      <c r="W70" s="69"/>
      <c r="X70" s="104"/>
      <c r="Y70" s="29"/>
      <c r="Z70" s="29"/>
      <c r="AA70" s="69"/>
      <c r="AB70" s="69"/>
      <c r="AC70" s="69"/>
      <c r="AD70" s="69"/>
      <c r="AE70" s="125"/>
      <c r="AF70" s="69"/>
      <c r="AG70" s="69"/>
      <c r="AH70" s="69"/>
      <c r="AI70" s="69"/>
      <c r="AJ70" s="69"/>
      <c r="AK70" s="69"/>
      <c r="AL70" s="69"/>
      <c r="AM70" s="69"/>
      <c r="AN70" s="69"/>
      <c r="AO70" s="69"/>
      <c r="AP70" s="69"/>
      <c r="AQ70" s="69"/>
      <c r="AR70" s="69"/>
      <c r="AS70" s="69"/>
      <c r="AT70" s="69"/>
      <c r="AU70" s="69"/>
      <c r="AV70" s="69"/>
      <c r="AW70" s="69"/>
      <c r="AX70" s="69"/>
      <c r="AY70" s="69"/>
      <c r="AZ70" s="69"/>
      <c r="BA70" s="69"/>
      <c r="BB70" s="69"/>
      <c r="BC70" s="126"/>
    </row>
    <row r="71" spans="1:55" ht="11.45" customHeight="1" x14ac:dyDescent="0.3">
      <c r="A71" s="377" t="s">
        <v>40</v>
      </c>
      <c r="B71" s="124"/>
      <c r="C71" s="124"/>
      <c r="D71" s="124"/>
      <c r="E71" s="124"/>
      <c r="F71" s="124"/>
      <c r="G71" s="106"/>
      <c r="H71" s="106">
        <f>BS!BH70</f>
        <v>0</v>
      </c>
      <c r="I71" s="106">
        <f>BS!BI70</f>
        <v>0</v>
      </c>
      <c r="J71" s="106">
        <f>BS!BJ70</f>
        <v>0</v>
      </c>
      <c r="K71" s="106">
        <f>BS!BK70</f>
        <v>0</v>
      </c>
      <c r="L71" s="106">
        <f>BS!BL70</f>
        <v>0</v>
      </c>
      <c r="M71" s="106">
        <f>BS!BN70</f>
        <v>0</v>
      </c>
      <c r="N71" s="378">
        <f>BS!BS70</f>
        <v>0</v>
      </c>
      <c r="O71" s="69"/>
      <c r="P71" s="417" t="e">
        <f>[32]Summary!P70</f>
        <v>#REF!</v>
      </c>
      <c r="Q71" s="117"/>
      <c r="R71" s="117" t="e">
        <f>[32]Summary!R70</f>
        <v>#REF!</v>
      </c>
      <c r="S71" s="447" t="e">
        <f>[32]Summary!S70</f>
        <v>#REF!</v>
      </c>
      <c r="T71" s="447"/>
      <c r="U71" s="447"/>
      <c r="V71" s="447"/>
      <c r="W71" s="69"/>
      <c r="X71" s="104"/>
      <c r="Y71" s="29"/>
      <c r="Z71" s="29"/>
      <c r="AA71" s="69"/>
      <c r="AB71" s="69"/>
      <c r="AC71" s="69"/>
      <c r="AD71" s="69"/>
      <c r="AE71" s="125"/>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126"/>
    </row>
    <row r="72" spans="1:55" ht="11.45" customHeight="1" x14ac:dyDescent="0.3">
      <c r="A72" s="377"/>
      <c r="B72" s="124"/>
      <c r="C72" s="124"/>
      <c r="D72" s="124"/>
      <c r="E72" s="124"/>
      <c r="F72" s="124"/>
      <c r="G72" s="106"/>
      <c r="H72" s="106"/>
      <c r="I72" s="106"/>
      <c r="J72" s="106"/>
      <c r="K72" s="106"/>
      <c r="L72" s="106"/>
      <c r="M72" s="106"/>
      <c r="N72" s="378"/>
      <c r="O72" s="69"/>
      <c r="P72" s="417" t="e">
        <f>[32]Summary!P71</f>
        <v>#REF!</v>
      </c>
      <c r="Q72" s="117"/>
      <c r="R72" s="117" t="e">
        <f>[32]Summary!R71</f>
        <v>#REF!</v>
      </c>
      <c r="S72" s="447" t="e">
        <f>[32]Summary!S71</f>
        <v>#REF!</v>
      </c>
      <c r="T72" s="447"/>
      <c r="U72" s="447"/>
      <c r="V72" s="447"/>
      <c r="W72" s="114"/>
      <c r="X72" s="115"/>
      <c r="Y72" s="29"/>
      <c r="Z72" s="29"/>
      <c r="AA72" s="114"/>
      <c r="AB72" s="114"/>
      <c r="AC72" s="114"/>
      <c r="AD72" s="114"/>
      <c r="AE72" s="119"/>
      <c r="AF72" s="114"/>
      <c r="AG72" s="114"/>
      <c r="AH72" s="114"/>
      <c r="AI72" s="114"/>
      <c r="AJ72" s="114"/>
      <c r="AK72" s="114"/>
      <c r="AL72" s="114"/>
      <c r="AM72" s="114"/>
      <c r="AN72" s="114"/>
      <c r="AO72" s="114"/>
      <c r="AP72" s="114"/>
      <c r="AQ72" s="114"/>
      <c r="AR72" s="114"/>
      <c r="AS72" s="120"/>
      <c r="AT72" s="114"/>
      <c r="AU72" s="114"/>
      <c r="AV72" s="114"/>
      <c r="AW72" s="114"/>
      <c r="AX72" s="114"/>
      <c r="AY72" s="114"/>
      <c r="AZ72" s="114"/>
      <c r="BA72" s="114"/>
      <c r="BB72" s="114"/>
      <c r="BC72" s="121"/>
    </row>
    <row r="73" spans="1:55" ht="11.45" customHeight="1" x14ac:dyDescent="0.3">
      <c r="A73" s="377" t="s">
        <v>41</v>
      </c>
      <c r="B73" s="124"/>
      <c r="C73" s="124"/>
      <c r="D73" s="124"/>
      <c r="E73" s="124"/>
      <c r="F73" s="124"/>
      <c r="G73" s="106"/>
      <c r="H73" s="106">
        <f>CF!BH20</f>
        <v>-49643</v>
      </c>
      <c r="I73" s="106">
        <f>CF!BI20</f>
        <v>-45386</v>
      </c>
      <c r="J73" s="106">
        <f>CF!BJ20</f>
        <v>-55272.604200000002</v>
      </c>
      <c r="K73" s="106">
        <f>CF!BK20</f>
        <v>-61889.808804063017</v>
      </c>
      <c r="L73" s="106">
        <f>CF!BL20</f>
        <v>-69657.52505818849</v>
      </c>
      <c r="M73" s="106">
        <f>CF!BN20</f>
        <v>-84111.461507762593</v>
      </c>
      <c r="N73" s="378">
        <f>CF!BS20</f>
        <v>-169178.1926547678</v>
      </c>
      <c r="O73" s="114"/>
      <c r="P73" s="417" t="e">
        <f>[32]Summary!P72</f>
        <v>#REF!</v>
      </c>
      <c r="Q73" s="117"/>
      <c r="R73" s="117" t="e">
        <f>[32]Summary!R72</f>
        <v>#REF!</v>
      </c>
      <c r="S73" s="440" t="e">
        <f>[32]Summary!S72</f>
        <v>#REF!</v>
      </c>
      <c r="T73" s="440"/>
      <c r="U73" s="440"/>
      <c r="V73" s="440"/>
      <c r="W73" s="29"/>
      <c r="X73" s="87"/>
      <c r="Y73" s="29"/>
      <c r="Z73" s="29"/>
      <c r="AA73" s="29"/>
      <c r="AB73" s="29"/>
      <c r="AC73" s="29"/>
      <c r="AD73" s="29"/>
      <c r="AE73" s="105"/>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2"/>
    </row>
    <row r="74" spans="1:55" ht="11.45" customHeight="1" x14ac:dyDescent="0.3">
      <c r="A74" s="377" t="s">
        <v>367</v>
      </c>
      <c r="B74" s="124"/>
      <c r="C74" s="124"/>
      <c r="D74" s="124"/>
      <c r="E74" s="124"/>
      <c r="F74" s="124"/>
      <c r="G74" s="106"/>
      <c r="H74" s="106">
        <f>CF!BH11</f>
        <v>37080</v>
      </c>
      <c r="I74" s="106">
        <f>CF!BI11</f>
        <v>42427</v>
      </c>
      <c r="J74" s="106">
        <f>CF!BJ11</f>
        <v>37046.007299999997</v>
      </c>
      <c r="K74" s="106">
        <f>CF!BK11</f>
        <v>42044.65737708431</v>
      </c>
      <c r="L74" s="106">
        <f>CF!BL11</f>
        <v>47321.632291339891</v>
      </c>
      <c r="M74" s="106">
        <f>CF!BN11</f>
        <v>52172.099601202237</v>
      </c>
      <c r="N74" s="378">
        <f>CF!BS11</f>
        <v>66586.288797928035</v>
      </c>
      <c r="O74" s="29"/>
      <c r="P74" s="418"/>
      <c r="Q74" s="106"/>
      <c r="R74" s="106"/>
      <c r="S74" s="28"/>
      <c r="T74" s="28"/>
      <c r="U74" s="28"/>
      <c r="V74" s="28"/>
      <c r="W74" s="106"/>
      <c r="X74" s="378"/>
      <c r="Y74" s="29"/>
      <c r="Z74" s="29"/>
      <c r="AA74" s="29"/>
      <c r="AB74" s="29"/>
      <c r="AC74" s="29"/>
      <c r="AD74" s="29"/>
      <c r="AE74" s="127"/>
      <c r="AF74" s="106"/>
      <c r="AG74" s="106"/>
      <c r="AH74" s="106"/>
      <c r="AI74" s="106"/>
      <c r="AJ74" s="106"/>
      <c r="AK74" s="106"/>
      <c r="AL74" s="106"/>
      <c r="AM74" s="106"/>
      <c r="AN74" s="106"/>
      <c r="AO74" s="106"/>
      <c r="AP74" s="106"/>
      <c r="AQ74" s="106"/>
      <c r="AR74" s="106"/>
      <c r="AS74" s="106"/>
      <c r="AT74" s="106"/>
      <c r="AU74" s="106"/>
      <c r="AV74" s="106"/>
      <c r="AW74" s="106"/>
      <c r="AX74" s="106"/>
      <c r="AY74" s="106"/>
      <c r="AZ74" s="106"/>
      <c r="BA74" s="106"/>
      <c r="BB74" s="106"/>
      <c r="BC74" s="128"/>
    </row>
    <row r="75" spans="1:55" ht="11.45" customHeight="1" x14ac:dyDescent="0.3">
      <c r="A75" s="377"/>
      <c r="B75" s="124"/>
      <c r="C75" s="124"/>
      <c r="D75" s="124"/>
      <c r="E75" s="124"/>
      <c r="F75" s="124"/>
      <c r="G75" s="106"/>
      <c r="H75" s="106"/>
      <c r="I75" s="106"/>
      <c r="J75" s="106"/>
      <c r="K75" s="106"/>
      <c r="L75" s="106"/>
      <c r="M75" s="106"/>
      <c r="N75" s="378"/>
      <c r="O75" s="28"/>
      <c r="P75" s="418"/>
      <c r="Q75" s="106"/>
      <c r="R75" s="106"/>
      <c r="S75" s="106"/>
      <c r="T75" s="106"/>
      <c r="U75" s="106"/>
      <c r="V75" s="106"/>
      <c r="W75" s="106"/>
      <c r="X75" s="378"/>
      <c r="Y75" s="29"/>
      <c r="Z75" s="29"/>
      <c r="AA75" s="29"/>
      <c r="AB75" s="29"/>
      <c r="AC75" s="29"/>
      <c r="AD75" s="29"/>
      <c r="AE75" s="127"/>
      <c r="AF75" s="106"/>
      <c r="AG75" s="106"/>
      <c r="AH75" s="106"/>
      <c r="AI75" s="106"/>
      <c r="AJ75" s="106"/>
      <c r="AK75" s="106"/>
      <c r="AL75" s="106"/>
      <c r="AM75" s="106"/>
      <c r="AN75" s="106"/>
      <c r="AO75" s="106"/>
      <c r="AP75" s="106"/>
      <c r="AQ75" s="106"/>
      <c r="AR75" s="106"/>
      <c r="AS75" s="106"/>
      <c r="AT75" s="106"/>
      <c r="AU75" s="106"/>
      <c r="AV75" s="106"/>
      <c r="AW75" s="106"/>
      <c r="AX75" s="106"/>
      <c r="AY75" s="106"/>
      <c r="AZ75" s="106"/>
      <c r="BA75" s="106"/>
      <c r="BB75" s="106"/>
      <c r="BC75" s="128"/>
    </row>
    <row r="76" spans="1:55" ht="11.45" customHeight="1" x14ac:dyDescent="0.3">
      <c r="A76" s="377" t="s">
        <v>42</v>
      </c>
      <c r="B76" s="124"/>
      <c r="C76" s="124"/>
      <c r="D76" s="124"/>
      <c r="E76" s="124"/>
      <c r="F76" s="124"/>
      <c r="G76" s="106"/>
      <c r="H76" s="106">
        <f>CF!BH38</f>
        <v>198494</v>
      </c>
      <c r="I76" s="106">
        <f>CF!BI38</f>
        <v>345982</v>
      </c>
      <c r="J76" s="106">
        <f>CF!BJ38</f>
        <v>454325.08033155318</v>
      </c>
      <c r="K76" s="106">
        <f>CF!BK38</f>
        <v>545331.13492964942</v>
      </c>
      <c r="L76" s="106">
        <f>CF!BL38</f>
        <v>660444.73577197804</v>
      </c>
      <c r="M76" s="106">
        <f>CF!BN38</f>
        <v>947038.83991438197</v>
      </c>
      <c r="N76" s="378">
        <f>CF!BS38</f>
        <v>1708424.3720231433</v>
      </c>
      <c r="O76" s="106"/>
      <c r="P76" s="418"/>
      <c r="Q76" s="106"/>
      <c r="R76" s="106"/>
      <c r="S76" s="106"/>
      <c r="T76" s="106"/>
      <c r="U76" s="106"/>
      <c r="V76" s="106"/>
      <c r="W76" s="106"/>
      <c r="X76" s="378"/>
      <c r="Y76" s="29"/>
      <c r="Z76" s="29"/>
      <c r="AA76" s="29"/>
      <c r="AB76" s="29"/>
      <c r="AC76" s="29"/>
      <c r="AD76" s="29"/>
      <c r="AE76" s="127"/>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28"/>
    </row>
    <row r="77" spans="1:55" ht="11.45" customHeight="1" x14ac:dyDescent="0.3">
      <c r="A77" s="377" t="s">
        <v>43</v>
      </c>
      <c r="B77" s="124"/>
      <c r="C77" s="124"/>
      <c r="D77" s="124"/>
      <c r="E77" s="124"/>
      <c r="F77" s="124"/>
      <c r="G77" s="106"/>
      <c r="H77" s="106">
        <f>BS!BH26</f>
        <v>22466</v>
      </c>
      <c r="I77" s="106">
        <f>BS!BI26</f>
        <v>5154</v>
      </c>
      <c r="J77" s="106">
        <f>BS!BJ26</f>
        <v>4903</v>
      </c>
      <c r="K77" s="106">
        <f>BS!BK26</f>
        <v>4903</v>
      </c>
      <c r="L77" s="106">
        <f>BS!BL26</f>
        <v>4903</v>
      </c>
      <c r="M77" s="106">
        <f>BS!BN26</f>
        <v>4903</v>
      </c>
      <c r="N77" s="378">
        <f>BS!BS26</f>
        <v>4903</v>
      </c>
      <c r="O77" s="106"/>
      <c r="P77" s="418"/>
      <c r="Q77" s="106"/>
      <c r="R77" s="106"/>
      <c r="S77" s="106"/>
      <c r="T77" s="106"/>
      <c r="U77" s="106"/>
      <c r="V77" s="106"/>
      <c r="W77" s="106"/>
      <c r="X77" s="378"/>
      <c r="Y77" s="29"/>
      <c r="Z77" s="29"/>
      <c r="AA77" s="29"/>
      <c r="AB77" s="29"/>
      <c r="AC77" s="29"/>
      <c r="AD77" s="29"/>
      <c r="AE77" s="127"/>
      <c r="AF77" s="106"/>
      <c r="AG77" s="106"/>
      <c r="AH77" s="106"/>
      <c r="AI77" s="106"/>
      <c r="AJ77" s="106"/>
      <c r="AK77" s="106"/>
      <c r="AL77" s="106"/>
      <c r="AM77" s="106"/>
      <c r="AN77" s="106"/>
      <c r="AO77" s="106"/>
      <c r="AP77" s="106"/>
      <c r="AQ77" s="106"/>
      <c r="AR77" s="106"/>
      <c r="AS77" s="106"/>
      <c r="AT77" s="106"/>
      <c r="AU77" s="106"/>
      <c r="AV77" s="106"/>
      <c r="AW77" s="106"/>
      <c r="AX77" s="106"/>
      <c r="AY77" s="106"/>
      <c r="AZ77" s="106"/>
      <c r="BA77" s="106"/>
      <c r="BB77" s="106"/>
      <c r="BC77" s="128"/>
    </row>
    <row r="78" spans="1:55" ht="11.45" customHeight="1" x14ac:dyDescent="0.3">
      <c r="A78" s="377" t="s">
        <v>44</v>
      </c>
      <c r="B78" s="124"/>
      <c r="C78" s="124"/>
      <c r="D78" s="124"/>
      <c r="E78" s="124"/>
      <c r="F78" s="124"/>
      <c r="G78" s="106"/>
      <c r="H78" s="106">
        <f>MAX(0,BS!BH95-BS!BG95)</f>
        <v>8747</v>
      </c>
      <c r="I78" s="106">
        <f>MAX(0,BS!BI95-BS!BH95)</f>
        <v>10530</v>
      </c>
      <c r="J78" s="106">
        <f>MAX(0,BS!BJ95-BS!BI95)</f>
        <v>0</v>
      </c>
      <c r="K78" s="106">
        <f>MAX(0,BS!BK95-BS!BJ95)</f>
        <v>0</v>
      </c>
      <c r="L78" s="106">
        <f>MAX(0,BS!BL95-BS!BK95)</f>
        <v>0</v>
      </c>
      <c r="M78" s="106">
        <f>MAX(0,BS!BN95-BS!BM95)</f>
        <v>0</v>
      </c>
      <c r="N78" s="378">
        <f>MAX(0,BS!BS95-BS!BR95)</f>
        <v>0</v>
      </c>
      <c r="O78" s="106"/>
      <c r="P78" s="418"/>
      <c r="Q78" s="106"/>
      <c r="R78" s="106"/>
      <c r="S78" s="106"/>
      <c r="T78" s="106"/>
      <c r="U78" s="106"/>
      <c r="V78" s="106"/>
      <c r="W78" s="106"/>
      <c r="X78" s="378"/>
      <c r="Y78" s="29"/>
      <c r="Z78" s="29"/>
      <c r="AA78" s="29"/>
      <c r="AB78" s="29"/>
      <c r="AC78" s="29"/>
      <c r="AD78" s="29"/>
      <c r="AE78" s="127"/>
      <c r="AF78" s="106"/>
      <c r="AG78" s="106"/>
      <c r="AH78" s="106"/>
      <c r="AI78" s="106"/>
      <c r="AJ78" s="106"/>
      <c r="AK78" s="106"/>
      <c r="AL78" s="106"/>
      <c r="AM78" s="106"/>
      <c r="AN78" s="106"/>
      <c r="AO78" s="106"/>
      <c r="AP78" s="106"/>
      <c r="AQ78" s="106"/>
      <c r="AR78" s="106"/>
      <c r="AS78" s="106"/>
      <c r="AT78" s="106"/>
      <c r="AU78" s="106"/>
      <c r="AV78" s="106"/>
      <c r="AW78" s="106"/>
      <c r="AX78" s="106"/>
      <c r="AY78" s="106"/>
      <c r="AZ78" s="106"/>
      <c r="BA78" s="106"/>
      <c r="BB78" s="106"/>
      <c r="BC78" s="128"/>
    </row>
    <row r="79" spans="1:55" ht="11.45" customHeight="1" x14ac:dyDescent="0.3">
      <c r="A79" s="377"/>
      <c r="B79" s="124"/>
      <c r="C79" s="124"/>
      <c r="D79" s="124"/>
      <c r="E79" s="124"/>
      <c r="F79" s="124"/>
      <c r="G79" s="106"/>
      <c r="H79" s="106"/>
      <c r="I79" s="106"/>
      <c r="J79" s="106"/>
      <c r="K79" s="106"/>
      <c r="L79" s="106"/>
      <c r="M79" s="106"/>
      <c r="N79" s="378"/>
      <c r="O79" s="106"/>
      <c r="P79" s="418"/>
      <c r="Q79" s="106"/>
      <c r="R79" s="106"/>
      <c r="S79" s="106"/>
      <c r="T79" s="106"/>
      <c r="U79" s="106"/>
      <c r="V79" s="106"/>
      <c r="W79" s="106"/>
      <c r="X79" s="378"/>
      <c r="Y79" s="29"/>
      <c r="Z79" s="29"/>
      <c r="AA79" s="29"/>
      <c r="AB79" s="29"/>
      <c r="AC79" s="29"/>
      <c r="AD79" s="29"/>
      <c r="AE79" s="127"/>
      <c r="AF79" s="106"/>
      <c r="AG79" s="106"/>
      <c r="AH79" s="106"/>
      <c r="AI79" s="106"/>
      <c r="AJ79" s="106"/>
      <c r="AK79" s="106"/>
      <c r="AL79" s="106"/>
      <c r="AM79" s="106"/>
      <c r="AN79" s="106"/>
      <c r="AO79" s="106"/>
      <c r="AP79" s="106"/>
      <c r="AQ79" s="106"/>
      <c r="AR79" s="106"/>
      <c r="AS79" s="106"/>
      <c r="AT79" s="106"/>
      <c r="AU79" s="106"/>
      <c r="AV79" s="106"/>
      <c r="AW79" s="106"/>
      <c r="AX79" s="106"/>
      <c r="AY79" s="106"/>
      <c r="AZ79" s="106"/>
      <c r="BA79" s="106"/>
      <c r="BB79" s="106"/>
      <c r="BC79" s="128"/>
    </row>
    <row r="80" spans="1:55" ht="11.45" customHeight="1" x14ac:dyDescent="0.3">
      <c r="A80" s="379" t="s">
        <v>45</v>
      </c>
      <c r="B80" s="129"/>
      <c r="C80" s="130"/>
      <c r="D80" s="130"/>
      <c r="E80" s="130"/>
      <c r="F80" s="130"/>
      <c r="G80" s="129"/>
      <c r="H80" s="129">
        <f>BS!BH82</f>
        <v>0.18780974568071232</v>
      </c>
      <c r="I80" s="129">
        <f>BS!BI82</f>
        <v>0.1852214961776677</v>
      </c>
      <c r="J80" s="129">
        <f>BS!BJ82</f>
        <v>0.16089618549157614</v>
      </c>
      <c r="K80" s="129">
        <f>BS!BK82</f>
        <v>0.1619332126695241</v>
      </c>
      <c r="L80" s="129">
        <f>BS!BL82</f>
        <v>0.1630040732504498</v>
      </c>
      <c r="M80" s="129">
        <f>BS!BN82</f>
        <v>0.17504542242748017</v>
      </c>
      <c r="N80" s="380">
        <f>BS!BS82</f>
        <v>0.1405591087652934</v>
      </c>
      <c r="O80" s="106"/>
      <c r="P80" s="418"/>
      <c r="Q80" s="106"/>
      <c r="R80" s="106"/>
      <c r="S80" s="106"/>
      <c r="T80" s="106"/>
      <c r="U80" s="106"/>
      <c r="V80" s="106"/>
      <c r="W80" s="106"/>
      <c r="X80" s="378"/>
      <c r="Y80" s="29"/>
      <c r="Z80" s="29"/>
      <c r="AA80" s="29"/>
      <c r="AB80" s="29"/>
      <c r="AC80" s="29"/>
      <c r="AD80" s="29"/>
      <c r="AE80" s="127"/>
      <c r="AF80" s="106"/>
      <c r="AG80" s="106"/>
      <c r="AH80" s="106"/>
      <c r="AI80" s="106"/>
      <c r="AJ80" s="106"/>
      <c r="AK80" s="106"/>
      <c r="AL80" s="106"/>
      <c r="AM80" s="106"/>
      <c r="AN80" s="106"/>
      <c r="AO80" s="106"/>
      <c r="AP80" s="106"/>
      <c r="AQ80" s="106"/>
      <c r="AR80" s="106"/>
      <c r="AS80" s="106"/>
      <c r="AT80" s="106"/>
      <c r="AU80" s="106"/>
      <c r="AV80" s="106"/>
      <c r="AW80" s="106"/>
      <c r="AX80" s="106"/>
      <c r="AY80" s="106"/>
      <c r="AZ80" s="106"/>
      <c r="BA80" s="106"/>
      <c r="BB80" s="106"/>
      <c r="BC80" s="128"/>
    </row>
    <row r="81" spans="1:55" ht="11.45" customHeight="1" x14ac:dyDescent="0.3">
      <c r="A81" s="379" t="s">
        <v>46</v>
      </c>
      <c r="B81" s="130"/>
      <c r="C81" s="130"/>
      <c r="D81" s="130"/>
      <c r="E81" s="130"/>
      <c r="F81" s="130"/>
      <c r="G81" s="129"/>
      <c r="H81" s="129">
        <f>BS!BH79</f>
        <v>0.26730158898642409</v>
      </c>
      <c r="I81" s="129">
        <f>BS!BI79</f>
        <v>0.27730223597293369</v>
      </c>
      <c r="J81" s="129">
        <f>BS!BJ79</f>
        <v>0.2438631667904341</v>
      </c>
      <c r="K81" s="129">
        <f>BS!BK79</f>
        <v>0.22522211585311888</v>
      </c>
      <c r="L81" s="129">
        <f>BS!BL79</f>
        <v>0.20648097570522295</v>
      </c>
      <c r="M81" s="129">
        <f>BS!BN79</f>
        <v>0.1977096421457597</v>
      </c>
      <c r="N81" s="380">
        <f>BS!BS79</f>
        <v>0.1690634479093629</v>
      </c>
      <c r="O81" s="106"/>
      <c r="P81" s="418"/>
      <c r="Q81" s="106"/>
      <c r="R81" s="106"/>
      <c r="S81" s="106"/>
      <c r="T81" s="106"/>
      <c r="U81" s="106"/>
      <c r="V81" s="106"/>
      <c r="W81" s="106"/>
      <c r="X81" s="378"/>
      <c r="Y81" s="29"/>
      <c r="Z81" s="29"/>
      <c r="AA81" s="29"/>
      <c r="AB81" s="29"/>
      <c r="AC81" s="29"/>
      <c r="AD81" s="29"/>
      <c r="AE81" s="127"/>
      <c r="AF81" s="106"/>
      <c r="AG81" s="106"/>
      <c r="AH81" s="106"/>
      <c r="AI81" s="106"/>
      <c r="AJ81" s="106"/>
      <c r="AK81" s="106"/>
      <c r="AL81" s="106"/>
      <c r="AM81" s="106"/>
      <c r="AN81" s="106"/>
      <c r="AO81" s="106"/>
      <c r="AP81" s="106"/>
      <c r="AQ81" s="106"/>
      <c r="AR81" s="106"/>
      <c r="AS81" s="106"/>
      <c r="AT81" s="106"/>
      <c r="AU81" s="106"/>
      <c r="AV81" s="106"/>
      <c r="AW81" s="106"/>
      <c r="AX81" s="106"/>
      <c r="AY81" s="106"/>
      <c r="AZ81" s="106"/>
      <c r="BA81" s="106"/>
      <c r="BB81" s="106"/>
      <c r="BC81" s="128"/>
    </row>
    <row r="82" spans="1:55" ht="11.45" customHeight="1" x14ac:dyDescent="0.3">
      <c r="A82" s="381" t="s">
        <v>47</v>
      </c>
      <c r="B82" s="131"/>
      <c r="C82" s="131"/>
      <c r="D82" s="131"/>
      <c r="E82" s="131"/>
      <c r="F82" s="131"/>
      <c r="G82" s="129"/>
      <c r="H82" s="129">
        <f>BS!BH80</f>
        <v>0.44803709428129829</v>
      </c>
      <c r="I82" s="129">
        <f>BS!BI80</f>
        <v>0.44749547970840114</v>
      </c>
      <c r="J82" s="129">
        <f>BS!BJ80</f>
        <v>0.48838701870059165</v>
      </c>
      <c r="K82" s="129">
        <f>BS!BK80</f>
        <v>0.58143110672036513</v>
      </c>
      <c r="L82" s="129">
        <f>BS!BL80</f>
        <v>0.68424031667523144</v>
      </c>
      <c r="M82" s="129">
        <f>BS!BN80</f>
        <v>0.76185226325402366</v>
      </c>
      <c r="N82" s="380">
        <f>BS!BS80</f>
        <v>0.84218026795285938</v>
      </c>
      <c r="O82" s="106"/>
      <c r="P82" s="419"/>
      <c r="Q82" s="129"/>
      <c r="R82" s="129"/>
      <c r="S82" s="106"/>
      <c r="T82" s="106"/>
      <c r="U82" s="106"/>
      <c r="V82" s="106"/>
      <c r="W82" s="129"/>
      <c r="X82" s="380"/>
      <c r="Y82" s="29"/>
      <c r="Z82" s="29"/>
      <c r="AA82" s="132"/>
      <c r="AB82" s="132"/>
      <c r="AC82" s="132"/>
      <c r="AD82" s="132"/>
      <c r="AE82" s="133"/>
      <c r="AF82" s="129"/>
      <c r="AG82" s="129"/>
      <c r="AH82" s="129"/>
      <c r="AI82" s="129"/>
      <c r="AJ82" s="129"/>
      <c r="AK82" s="129"/>
      <c r="AL82" s="129"/>
      <c r="AM82" s="129"/>
      <c r="AN82" s="129"/>
      <c r="AO82" s="129"/>
      <c r="AP82" s="129"/>
      <c r="AQ82" s="129"/>
      <c r="AR82" s="129"/>
      <c r="AS82" s="129"/>
      <c r="AT82" s="129"/>
      <c r="AU82" s="129"/>
      <c r="AV82" s="129"/>
      <c r="AW82" s="129"/>
      <c r="AX82" s="129"/>
      <c r="AY82" s="129"/>
      <c r="AZ82" s="129"/>
      <c r="BA82" s="129"/>
      <c r="BB82" s="129"/>
      <c r="BC82" s="134"/>
    </row>
    <row r="83" spans="1:55" ht="11.45" customHeight="1" x14ac:dyDescent="0.3">
      <c r="A83" s="381" t="s">
        <v>48</v>
      </c>
      <c r="B83" s="131"/>
      <c r="C83" s="131"/>
      <c r="D83" s="131"/>
      <c r="E83" s="131"/>
      <c r="F83" s="131"/>
      <c r="G83" s="129"/>
      <c r="H83" s="129">
        <f>BS!BH81</f>
        <v>1.5682041982313999</v>
      </c>
      <c r="I83" s="129">
        <f>BS!BI81</f>
        <v>1.4926203687598831</v>
      </c>
      <c r="J83" s="129">
        <f>BS!BJ81</f>
        <v>1.3509380278131768</v>
      </c>
      <c r="K83" s="129">
        <f>BS!BK81</f>
        <v>1.2365925766375776</v>
      </c>
      <c r="L83" s="129">
        <f>BS!BL81</f>
        <v>1.1537447908318668</v>
      </c>
      <c r="M83" s="129">
        <f>BS!BN81</f>
        <v>1.1621231323810075</v>
      </c>
      <c r="N83" s="380">
        <f>BS!BS81</f>
        <v>0.98719787348094634</v>
      </c>
      <c r="O83" s="106"/>
      <c r="P83" s="419"/>
      <c r="Q83" s="129"/>
      <c r="R83" s="129"/>
      <c r="S83" s="106"/>
      <c r="T83" s="106"/>
      <c r="U83" s="106"/>
      <c r="V83" s="106"/>
      <c r="W83" s="129"/>
      <c r="X83" s="380"/>
      <c r="Y83" s="29"/>
      <c r="Z83" s="29"/>
      <c r="AA83" s="132"/>
      <c r="AB83" s="132"/>
      <c r="AC83" s="132"/>
      <c r="AD83" s="132"/>
      <c r="AE83" s="133"/>
      <c r="AF83" s="129"/>
      <c r="AG83" s="129"/>
      <c r="AH83" s="129"/>
      <c r="AI83" s="129"/>
      <c r="AJ83" s="129"/>
      <c r="AK83" s="129"/>
      <c r="AL83" s="129"/>
      <c r="AM83" s="129"/>
      <c r="AN83" s="129"/>
      <c r="AO83" s="129"/>
      <c r="AP83" s="129"/>
      <c r="AQ83" s="129"/>
      <c r="AR83" s="129"/>
      <c r="AS83" s="129"/>
      <c r="AT83" s="129"/>
      <c r="AU83" s="129"/>
      <c r="AV83" s="129"/>
      <c r="AW83" s="129"/>
      <c r="AX83" s="129"/>
      <c r="AY83" s="129"/>
      <c r="AZ83" s="129"/>
      <c r="BA83" s="129"/>
      <c r="BB83" s="129"/>
      <c r="BC83" s="134"/>
    </row>
    <row r="84" spans="1:55" ht="11.45" customHeight="1" x14ac:dyDescent="0.3">
      <c r="A84" s="377"/>
      <c r="B84" s="124"/>
      <c r="C84" s="124"/>
      <c r="D84" s="124"/>
      <c r="E84" s="124"/>
      <c r="F84" s="124"/>
      <c r="G84" s="106"/>
      <c r="H84" s="106"/>
      <c r="I84" s="106"/>
      <c r="J84" s="106"/>
      <c r="K84" s="106"/>
      <c r="L84" s="106"/>
      <c r="M84" s="106"/>
      <c r="N84" s="378"/>
      <c r="O84" s="106"/>
      <c r="P84" s="420"/>
      <c r="Q84" s="135"/>
      <c r="R84" s="135"/>
      <c r="S84" s="106"/>
      <c r="T84" s="106"/>
      <c r="U84" s="106"/>
      <c r="V84" s="106"/>
      <c r="W84" s="135"/>
      <c r="X84" s="421"/>
      <c r="Y84" s="29"/>
      <c r="Z84" s="29"/>
      <c r="AA84" s="109"/>
      <c r="AB84" s="109"/>
      <c r="AC84" s="109"/>
      <c r="AD84" s="109"/>
      <c r="AE84" s="136"/>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7"/>
    </row>
    <row r="85" spans="1:55" x14ac:dyDescent="0.3">
      <c r="A85" s="102" t="s">
        <v>384</v>
      </c>
      <c r="B85" s="103"/>
      <c r="C85" s="103"/>
      <c r="D85" s="103"/>
      <c r="E85" s="103"/>
      <c r="F85" s="103"/>
      <c r="G85" s="69"/>
      <c r="H85" s="2864">
        <f>[32]Summary!H85</f>
        <v>191.39596724995116</v>
      </c>
      <c r="I85" s="2864">
        <f>[32]Summary!I85</f>
        <v>281.18413463926044</v>
      </c>
      <c r="J85" s="2864" t="str">
        <f>[32]Summary!J85</f>
        <v>-</v>
      </c>
      <c r="K85" s="2864" t="str">
        <f>[32]Summary!K85</f>
        <v>-</v>
      </c>
      <c r="L85" s="2864" t="str">
        <f>[32]Summary!L85</f>
        <v>-</v>
      </c>
      <c r="M85" s="2864">
        <f>[32]Summary!M85</f>
        <v>0</v>
      </c>
      <c r="N85" s="2865">
        <f>[32]Summary!N85</f>
        <v>0</v>
      </c>
      <c r="O85" s="134"/>
      <c r="P85" s="422"/>
      <c r="Q85" s="137"/>
      <c r="R85" s="137"/>
      <c r="S85" s="137"/>
      <c r="T85" s="137"/>
      <c r="U85" s="137"/>
      <c r="V85" s="137"/>
      <c r="W85" s="137"/>
      <c r="X85" s="423"/>
      <c r="Y85" s="137"/>
      <c r="Z85" s="137"/>
      <c r="AA85" s="137"/>
      <c r="AB85" s="137"/>
      <c r="AC85" s="137"/>
      <c r="AD85" s="137"/>
      <c r="AE85" s="137"/>
      <c r="AF85" s="137"/>
      <c r="AG85" s="137"/>
      <c r="AH85" s="137"/>
      <c r="AI85" s="137"/>
      <c r="AJ85" s="137"/>
      <c r="AK85" s="137"/>
      <c r="AL85" s="137"/>
      <c r="AM85" s="137"/>
      <c r="AN85" s="137"/>
      <c r="AO85" s="137"/>
      <c r="AP85" s="137"/>
      <c r="AQ85" s="137"/>
      <c r="AR85" s="137"/>
      <c r="AS85" s="137"/>
      <c r="AT85" s="137"/>
      <c r="AU85" s="137"/>
      <c r="AV85" s="137"/>
      <c r="AW85" s="137"/>
      <c r="AX85" s="137"/>
      <c r="AY85" s="137"/>
      <c r="AZ85" s="137"/>
      <c r="BA85" s="137"/>
      <c r="BB85" s="137"/>
      <c r="BC85" s="137"/>
    </row>
    <row r="86" spans="1:55" x14ac:dyDescent="0.3">
      <c r="A86" s="102" t="s">
        <v>346</v>
      </c>
      <c r="B86" s="103"/>
      <c r="C86" s="103"/>
      <c r="D86" s="103"/>
      <c r="E86" s="103"/>
      <c r="F86" s="103"/>
      <c r="G86" s="69"/>
      <c r="H86" s="2864">
        <f>[32]Summary!H86</f>
        <v>112.40275499225584</v>
      </c>
      <c r="I86" s="2864">
        <f>[32]Summary!I86</f>
        <v>145.9840283870858</v>
      </c>
      <c r="J86" s="2864" t="str">
        <f>[32]Summary!J86</f>
        <v>-</v>
      </c>
      <c r="K86" s="2864" t="str">
        <f>[32]Summary!K86</f>
        <v>-</v>
      </c>
      <c r="L86" s="2864" t="str">
        <f>[32]Summary!L86</f>
        <v>-</v>
      </c>
      <c r="M86" s="2864" t="str">
        <f>[32]Summary!M86</f>
        <v>-</v>
      </c>
      <c r="N86" s="2865" t="str">
        <f>[32]Summary!N86</f>
        <v>-</v>
      </c>
      <c r="O86" s="134"/>
      <c r="P86" s="422"/>
      <c r="Q86" s="137"/>
      <c r="R86" s="137"/>
      <c r="S86" s="137"/>
      <c r="T86" s="137"/>
      <c r="U86" s="137"/>
      <c r="V86" s="137"/>
      <c r="W86" s="137"/>
      <c r="X86" s="423"/>
      <c r="Y86" s="137"/>
      <c r="Z86" s="137"/>
      <c r="AA86" s="137"/>
      <c r="AB86" s="137"/>
      <c r="AC86" s="137"/>
      <c r="AD86" s="137"/>
      <c r="AE86" s="137"/>
      <c r="AF86" s="137"/>
      <c r="AG86" s="137"/>
      <c r="AH86" s="137"/>
      <c r="AI86" s="137"/>
      <c r="AJ86" s="137"/>
      <c r="AK86" s="137"/>
      <c r="AL86" s="137"/>
      <c r="AM86" s="137"/>
      <c r="AN86" s="137"/>
      <c r="AO86" s="137"/>
      <c r="AP86" s="137"/>
      <c r="AQ86" s="137"/>
      <c r="AR86" s="137"/>
      <c r="AS86" s="137"/>
      <c r="AT86" s="137"/>
      <c r="AU86" s="137"/>
      <c r="AV86" s="137"/>
      <c r="AW86" s="137"/>
      <c r="AX86" s="137"/>
      <c r="AY86" s="137"/>
      <c r="AZ86" s="137"/>
      <c r="BA86" s="137"/>
      <c r="BB86" s="137"/>
      <c r="BC86" s="137"/>
    </row>
    <row r="87" spans="1:55" x14ac:dyDescent="0.3">
      <c r="A87" s="382" t="s">
        <v>1347</v>
      </c>
      <c r="B87" s="383"/>
      <c r="C87" s="383"/>
      <c r="D87" s="383"/>
      <c r="E87" s="383"/>
      <c r="F87" s="383"/>
      <c r="G87" s="384"/>
      <c r="H87" s="384">
        <f>(BS!BH10-BS!BH26-BS!BH33)/PnL!BH49/$E$7</f>
        <v>4.0189647279921603</v>
      </c>
      <c r="I87" s="384">
        <f>(BS!BI10-BS!BI26-BS!BI33)/PnL!BI49/$E$7</f>
        <v>12.529995449876322</v>
      </c>
      <c r="J87" s="384">
        <f>(BS!BJ10-BS!BJ26-BS!BJ33)/PnL!BJ49/$E$7</f>
        <v>17.44911315804622</v>
      </c>
      <c r="K87" s="384">
        <f>(BS!BK10-BS!BK26-BS!BK33)/PnL!BK49/$E$7</f>
        <v>20.0814256274281</v>
      </c>
      <c r="L87" s="384">
        <f>(BS!BL10-BS!BL26-BS!BL33)/PnL!BL49/$E$7</f>
        <v>23.589361058450642</v>
      </c>
      <c r="M87" s="384">
        <f>(BS!BN10-BS!BN26-BS!BN33)/PnL!BN49/$E$7</f>
        <v>47.349356728410001</v>
      </c>
      <c r="N87" s="451">
        <f>(BS!BS10-BS!BS26-BS!BS33)/PnL!BS49/$E$7</f>
        <v>91.034395778365109</v>
      </c>
      <c r="O87" s="137"/>
      <c r="P87" s="424"/>
      <c r="Q87" s="425"/>
      <c r="R87" s="425"/>
      <c r="S87" s="425"/>
      <c r="T87" s="425"/>
      <c r="U87" s="425"/>
      <c r="V87" s="425"/>
      <c r="W87" s="425"/>
      <c r="X87" s="426"/>
      <c r="Y87" s="137"/>
      <c r="Z87" s="137"/>
      <c r="AA87" s="137"/>
      <c r="AB87" s="137"/>
      <c r="AC87" s="137"/>
      <c r="AD87" s="137"/>
      <c r="AE87" s="137"/>
      <c r="AF87" s="137"/>
      <c r="AG87" s="137"/>
      <c r="AH87" s="137"/>
      <c r="AI87" s="137"/>
      <c r="AJ87" s="137"/>
      <c r="AK87" s="137"/>
      <c r="AL87" s="137"/>
      <c r="AM87" s="137"/>
      <c r="AN87" s="137"/>
      <c r="AO87" s="137"/>
      <c r="AP87" s="137"/>
      <c r="AQ87" s="137"/>
      <c r="AR87" s="137"/>
      <c r="AS87" s="137"/>
      <c r="AT87" s="137"/>
      <c r="AU87" s="137"/>
      <c r="AV87" s="137"/>
      <c r="AW87" s="137"/>
      <c r="AX87" s="137"/>
      <c r="AY87" s="137"/>
      <c r="AZ87" s="137"/>
      <c r="BA87" s="137"/>
      <c r="BB87" s="137"/>
      <c r="BC87" s="137"/>
    </row>
    <row r="88" spans="1:55" x14ac:dyDescent="0.3">
      <c r="A88" s="134"/>
      <c r="B88" s="134"/>
      <c r="C88" s="134"/>
      <c r="D88" s="134"/>
      <c r="E88" s="134"/>
      <c r="F88" s="134"/>
      <c r="G88" s="134"/>
      <c r="H88" s="134"/>
      <c r="I88" s="134"/>
      <c r="J88" s="134"/>
      <c r="K88" s="134"/>
      <c r="L88" s="134"/>
      <c r="M88" s="134"/>
      <c r="N88" s="134"/>
      <c r="O88" s="137"/>
      <c r="P88" s="128"/>
      <c r="Q88" s="128"/>
      <c r="R88" s="128"/>
      <c r="S88" s="128"/>
      <c r="T88" s="128"/>
      <c r="U88" s="128"/>
      <c r="V88" s="128"/>
      <c r="W88" s="128"/>
      <c r="X88" s="128"/>
      <c r="Y88" s="128"/>
      <c r="Z88" s="128"/>
      <c r="AA88" s="128"/>
      <c r="AB88" s="128"/>
      <c r="AC88" s="128"/>
      <c r="AD88" s="128"/>
      <c r="AE88" s="128"/>
      <c r="AF88" s="128"/>
      <c r="AG88" s="128"/>
      <c r="AH88" s="128"/>
      <c r="AI88" s="128"/>
      <c r="AJ88" s="128"/>
      <c r="AK88" s="128"/>
      <c r="AL88" s="128"/>
      <c r="AM88" s="128"/>
      <c r="AN88" s="128"/>
      <c r="AO88" s="128"/>
      <c r="AP88" s="128"/>
      <c r="AQ88" s="128"/>
      <c r="AR88" s="128"/>
      <c r="AS88" s="128"/>
      <c r="AT88" s="128"/>
      <c r="AU88" s="128"/>
      <c r="AV88" s="128"/>
      <c r="AW88" s="128"/>
      <c r="AX88" s="128"/>
      <c r="AY88" s="128"/>
      <c r="AZ88" s="128"/>
      <c r="BA88" s="128"/>
      <c r="BB88" s="128"/>
      <c r="BC88" s="128"/>
    </row>
    <row r="89" spans="1:55" x14ac:dyDescent="0.3">
      <c r="A89" s="137"/>
      <c r="B89" s="137"/>
      <c r="C89" s="137"/>
      <c r="D89" s="137"/>
      <c r="E89" s="137"/>
      <c r="F89" s="137"/>
      <c r="G89" s="137"/>
      <c r="H89" s="137"/>
      <c r="I89" s="137"/>
      <c r="J89" s="137"/>
      <c r="K89" s="137"/>
      <c r="L89" s="137"/>
      <c r="M89" s="137"/>
      <c r="N89" s="137"/>
      <c r="O89" s="128"/>
      <c r="P89" s="126"/>
      <c r="Q89" s="126"/>
      <c r="R89" s="126"/>
      <c r="S89" s="126"/>
      <c r="T89" s="126"/>
      <c r="U89" s="126"/>
      <c r="V89" s="126"/>
      <c r="W89" s="126"/>
      <c r="X89" s="126"/>
      <c r="Y89" s="126"/>
      <c r="Z89" s="126"/>
      <c r="AA89" s="126"/>
      <c r="AB89" s="126"/>
      <c r="AC89" s="126"/>
      <c r="AD89" s="126"/>
      <c r="AE89" s="139"/>
      <c r="AF89" s="126"/>
      <c r="AG89" s="126"/>
      <c r="AH89" s="126"/>
      <c r="AI89" s="126"/>
      <c r="AJ89" s="126"/>
      <c r="AK89" s="126"/>
      <c r="AL89" s="126"/>
      <c r="AM89" s="126"/>
      <c r="AN89" s="126"/>
      <c r="AO89" s="126"/>
      <c r="AP89" s="126"/>
      <c r="AQ89" s="126"/>
      <c r="AR89" s="126"/>
      <c r="AS89" s="126"/>
      <c r="AT89" s="126"/>
      <c r="AU89" s="126"/>
      <c r="AV89" s="126"/>
      <c r="AW89" s="126"/>
      <c r="AX89" s="126"/>
      <c r="AY89" s="126"/>
      <c r="AZ89" s="126"/>
      <c r="BA89" s="126"/>
      <c r="BB89" s="126"/>
      <c r="BC89" s="126"/>
    </row>
    <row r="90" spans="1:55" x14ac:dyDescent="0.3">
      <c r="A90" s="137"/>
      <c r="B90" s="137"/>
      <c r="C90" s="137"/>
      <c r="D90" s="137"/>
      <c r="E90" s="137"/>
      <c r="F90" s="137"/>
      <c r="G90" s="137"/>
      <c r="H90" s="137"/>
      <c r="I90" s="137"/>
      <c r="J90" s="137" t="s">
        <v>1344</v>
      </c>
      <c r="K90" s="137" t="s">
        <v>1345</v>
      </c>
      <c r="L90" s="137" t="s">
        <v>1346</v>
      </c>
      <c r="M90" s="137"/>
      <c r="N90" s="137"/>
      <c r="O90" s="126"/>
      <c r="P90" s="126"/>
      <c r="Q90" s="126"/>
      <c r="R90" s="126"/>
      <c r="S90" s="126"/>
      <c r="T90" s="126"/>
      <c r="U90" s="126"/>
      <c r="V90" s="126"/>
      <c r="W90" s="126"/>
      <c r="X90" s="126"/>
      <c r="Y90" s="126"/>
      <c r="Z90" s="126"/>
      <c r="AA90" s="126"/>
      <c r="AB90" s="126"/>
      <c r="AC90" s="126"/>
      <c r="AD90" s="126"/>
      <c r="AE90" s="139"/>
      <c r="AF90" s="126"/>
      <c r="AG90" s="126"/>
      <c r="AH90" s="126"/>
      <c r="AI90" s="126"/>
      <c r="AJ90" s="126"/>
      <c r="AK90" s="126"/>
      <c r="AL90" s="126"/>
      <c r="AM90" s="126"/>
      <c r="AN90" s="126"/>
      <c r="AO90" s="126"/>
      <c r="AP90" s="126"/>
      <c r="AQ90" s="126"/>
      <c r="AR90" s="126"/>
      <c r="AS90" s="126"/>
      <c r="AT90" s="126"/>
      <c r="AU90" s="126"/>
      <c r="AV90" s="126"/>
      <c r="AW90" s="126"/>
      <c r="AX90" s="126"/>
      <c r="AY90" s="126"/>
      <c r="AZ90" s="126"/>
      <c r="BA90" s="126"/>
      <c r="BB90" s="126"/>
      <c r="BC90" s="126"/>
    </row>
    <row r="91" spans="1:55" x14ac:dyDescent="0.3">
      <c r="A91" s="138"/>
      <c r="B91" s="138"/>
      <c r="C91" s="138"/>
      <c r="D91" s="138"/>
      <c r="E91" s="138"/>
      <c r="F91" s="138"/>
      <c r="G91" s="128"/>
      <c r="H91" s="128"/>
      <c r="I91" s="128"/>
      <c r="J91" s="128"/>
      <c r="K91" s="128"/>
      <c r="L91" s="128"/>
      <c r="M91" s="128"/>
      <c r="N91" s="128"/>
    </row>
    <row r="92" spans="1:55" x14ac:dyDescent="0.3">
      <c r="A92" s="126"/>
      <c r="B92" s="126"/>
      <c r="C92" s="126"/>
      <c r="D92" s="126"/>
      <c r="E92" s="126"/>
      <c r="F92" s="126"/>
      <c r="G92" s="126"/>
      <c r="H92" s="126"/>
      <c r="I92" s="126"/>
      <c r="J92" s="126"/>
      <c r="K92" s="126"/>
      <c r="L92" s="126"/>
      <c r="M92" s="126"/>
      <c r="N92" s="126"/>
    </row>
  </sheetData>
  <phoneticPr fontId="4" type="noConversion"/>
  <conditionalFormatting sqref="O31 G23:N23">
    <cfRule type="cellIs" dxfId="0" priority="1" stopIfTrue="1" operator="greaterThan">
      <formula>#REF!</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199"/>
  <sheetViews>
    <sheetView showGridLines="0" topLeftCell="A5" zoomScale="110" zoomScaleNormal="110" workbookViewId="0">
      <pane xSplit="8" ySplit="8" topLeftCell="AM19" activePane="bottomRight" state="frozen"/>
      <selection activeCell="A5" sqref="A5"/>
      <selection pane="topRight" activeCell="I5" sqref="I5"/>
      <selection pane="bottomLeft" activeCell="A13" sqref="A13"/>
      <selection pane="bottomRight" activeCell="BN19" sqref="BN19"/>
    </sheetView>
  </sheetViews>
  <sheetFormatPr defaultRowHeight="13.5" outlineLevelRow="1" outlineLevelCol="1" x14ac:dyDescent="0.3"/>
  <cols>
    <col min="1" max="1" width="1.59765625" customWidth="1"/>
    <col min="2" max="5" width="2.1328125" customWidth="1"/>
    <col min="6" max="6" width="15.3984375" customWidth="1"/>
    <col min="7" max="7" width="8.1328125" customWidth="1"/>
    <col min="8" max="8" width="1.3984375" customWidth="1"/>
    <col min="9" max="22" width="9.86328125" customWidth="1" outlineLevel="1"/>
    <col min="23" max="39" width="9.86328125" customWidth="1"/>
    <col min="40" max="55" width="9.86328125" hidden="1" customWidth="1" outlineLevel="1"/>
    <col min="56" max="56" width="9.86328125" customWidth="1" collapsed="1"/>
    <col min="57" max="60" width="9.86328125" customWidth="1" outlineLevel="1"/>
    <col min="61" max="64" width="9.86328125" customWidth="1"/>
    <col min="65" max="65" width="10.3984375" customWidth="1"/>
    <col min="68" max="68" width="10.73046875" bestFit="1" customWidth="1"/>
    <col min="71" max="71" width="9.73046875" customWidth="1"/>
  </cols>
  <sheetData>
    <row r="1" spans="1:73" ht="13.9" hidden="1" x14ac:dyDescent="0.35">
      <c r="A1" s="200"/>
      <c r="B1" s="201"/>
      <c r="C1" s="201"/>
      <c r="D1" s="144"/>
      <c r="E1" s="202">
        <f ca="1">TODAY()</f>
        <v>44195</v>
      </c>
      <c r="F1" s="202"/>
      <c r="G1" s="202"/>
      <c r="H1" s="202"/>
      <c r="I1" s="202"/>
      <c r="J1" s="202"/>
      <c r="K1" s="203"/>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c r="AL1" s="204"/>
      <c r="AM1" s="204"/>
      <c r="AN1" s="204"/>
      <c r="AO1" s="204"/>
      <c r="AP1" s="204"/>
      <c r="AQ1" s="204"/>
      <c r="AR1" s="204"/>
      <c r="AS1" s="204"/>
      <c r="AT1" s="204"/>
      <c r="AU1" s="204"/>
      <c r="AV1" s="204"/>
      <c r="AW1" s="204"/>
      <c r="AX1" s="204"/>
      <c r="AY1" s="204"/>
      <c r="AZ1" s="204"/>
      <c r="BA1" s="204"/>
      <c r="BB1" s="204"/>
      <c r="BC1" s="204"/>
      <c r="BD1" s="204"/>
      <c r="BE1" s="204"/>
      <c r="BF1" s="204"/>
      <c r="BG1" s="204"/>
      <c r="BH1" s="204"/>
      <c r="BI1" s="204"/>
      <c r="BJ1" s="204"/>
      <c r="BK1" s="149"/>
      <c r="BL1" s="204"/>
      <c r="BM1" s="201"/>
      <c r="BN1" s="201"/>
      <c r="BO1" s="201"/>
      <c r="BP1" s="201"/>
      <c r="BQ1" s="201"/>
      <c r="BR1" s="201"/>
      <c r="BS1" s="201"/>
    </row>
    <row r="2" spans="1:73" ht="13.9" hidden="1" x14ac:dyDescent="0.35">
      <c r="A2" s="200"/>
      <c r="B2" s="201"/>
      <c r="C2" s="201"/>
      <c r="D2" s="144"/>
      <c r="E2" s="204"/>
      <c r="F2" s="204"/>
      <c r="G2" s="204"/>
      <c r="H2" s="204"/>
      <c r="I2" s="204"/>
      <c r="J2" s="204"/>
      <c r="K2" s="203"/>
      <c r="L2" s="204"/>
      <c r="M2" s="204"/>
      <c r="N2" s="204"/>
      <c r="O2" s="204"/>
      <c r="P2" s="205"/>
      <c r="Q2" s="204"/>
      <c r="R2" s="204"/>
      <c r="S2" s="204"/>
      <c r="T2" s="204"/>
      <c r="U2" s="205"/>
      <c r="V2" s="204"/>
      <c r="W2" s="204"/>
      <c r="X2" s="204"/>
      <c r="Y2" s="204"/>
      <c r="Z2" s="205"/>
      <c r="AA2" s="204"/>
      <c r="AB2" s="204"/>
      <c r="AC2" s="204"/>
      <c r="AD2" s="204"/>
      <c r="AE2" s="205"/>
      <c r="AF2" s="204"/>
      <c r="AG2" s="204"/>
      <c r="AH2" s="204"/>
      <c r="AI2" s="204"/>
      <c r="AJ2" s="204"/>
      <c r="AK2" s="204"/>
      <c r="AL2" s="204"/>
      <c r="AM2" s="204"/>
      <c r="AN2" s="204"/>
      <c r="AO2" s="204"/>
      <c r="AP2" s="204"/>
      <c r="AQ2" s="204"/>
      <c r="AR2" s="204"/>
      <c r="AS2" s="204"/>
      <c r="AT2" s="204"/>
      <c r="AU2" s="204"/>
      <c r="AV2" s="204"/>
      <c r="AW2" s="204"/>
      <c r="AX2" s="204"/>
      <c r="AY2" s="204"/>
      <c r="AZ2" s="204"/>
      <c r="BA2" s="204"/>
      <c r="BB2" s="204"/>
      <c r="BC2" s="204"/>
      <c r="BD2" s="204"/>
      <c r="BE2" s="204"/>
      <c r="BF2" s="204"/>
      <c r="BG2" s="204"/>
      <c r="BH2" s="204"/>
      <c r="BI2" s="204"/>
      <c r="BJ2" s="204"/>
      <c r="BK2" s="204"/>
      <c r="BL2" s="205"/>
      <c r="BM2" s="201"/>
      <c r="BN2" s="201"/>
      <c r="BO2" s="201"/>
      <c r="BP2" s="201"/>
      <c r="BQ2" s="201"/>
      <c r="BR2" s="201"/>
      <c r="BS2" s="201"/>
    </row>
    <row r="3" spans="1:73" ht="15" hidden="1" x14ac:dyDescent="0.4">
      <c r="A3" s="200"/>
      <c r="B3" s="201"/>
      <c r="C3" s="201"/>
      <c r="D3" s="206"/>
      <c r="E3" s="204"/>
      <c r="F3" s="204"/>
      <c r="G3" s="204"/>
      <c r="H3" s="207"/>
      <c r="I3" s="207"/>
      <c r="J3" s="207"/>
      <c r="K3" s="203"/>
      <c r="L3" s="208"/>
      <c r="M3" s="208"/>
      <c r="N3" s="208"/>
      <c r="O3" s="208"/>
      <c r="P3" s="208">
        <f>10000*YEAR(VALUE(BF$10)) +100 *MONTH(VALUE(BF$10)) + DAY(VALUE(BF$10))</f>
        <v>20170331</v>
      </c>
      <c r="Q3" s="208"/>
      <c r="R3" s="208"/>
      <c r="S3" s="208"/>
      <c r="T3" s="208"/>
      <c r="U3" s="208">
        <f>10000*YEAR(VALUE(BG$10)) +100 *MONTH(VALUE(BG$10)) + DAY(VALUE(BG$10))</f>
        <v>20180331</v>
      </c>
      <c r="V3" s="208"/>
      <c r="W3" s="208"/>
      <c r="X3" s="208"/>
      <c r="Y3" s="208"/>
      <c r="Z3" s="208">
        <f>10000*YEAR(VALUE(BH$10)) +100 *MONTH(VALUE(BH$10)) + DAY(VALUE(BH$10))</f>
        <v>20190331</v>
      </c>
      <c r="AA3" s="208"/>
      <c r="AB3" s="208"/>
      <c r="AC3" s="208"/>
      <c r="AD3" s="208"/>
      <c r="AE3" s="208">
        <f>10000*YEAR(VALUE(BI$10)) +100 *MONTH(VALUE(BI$10)) + DAY(VALUE(BI$10))</f>
        <v>20200331</v>
      </c>
      <c r="AF3" s="208"/>
      <c r="AG3" s="208"/>
      <c r="AH3" s="208"/>
      <c r="AI3" s="208"/>
      <c r="AJ3" s="208"/>
      <c r="AK3" s="208"/>
      <c r="AL3" s="208"/>
      <c r="AM3" s="208"/>
      <c r="AN3" s="208"/>
      <c r="AO3" s="208"/>
      <c r="AP3" s="208"/>
      <c r="AQ3" s="208"/>
      <c r="AR3" s="208"/>
      <c r="AS3" s="208"/>
      <c r="AT3" s="208"/>
      <c r="AU3" s="208"/>
      <c r="AV3" s="208"/>
      <c r="AW3" s="208"/>
      <c r="AX3" s="208"/>
      <c r="AY3" s="208"/>
      <c r="AZ3" s="208"/>
      <c r="BA3" s="208"/>
      <c r="BB3" s="208"/>
      <c r="BC3" s="208"/>
      <c r="BD3" s="208">
        <f>10000*YEAR(VALUE(BJ$10)) +100 *MONTH(VALUE(BJ$10)) + DAY(VALUE(BJ$10))</f>
        <v>20210331</v>
      </c>
      <c r="BE3" s="208"/>
      <c r="BF3" s="208"/>
      <c r="BG3" s="208"/>
      <c r="BH3" s="208"/>
      <c r="BI3" s="208">
        <f>10000*YEAR(VALUE(BK$10)) +100 *MONTH(VALUE(BK$10)) + DAY(VALUE(BK$10))</f>
        <v>20220331</v>
      </c>
      <c r="BJ3" s="208">
        <f>10000*YEAR(VALUE(BL$10)) +100 *MONTH(VALUE(BL$10)) + DAY(VALUE(BL$10))</f>
        <v>20230331</v>
      </c>
      <c r="BK3" s="209"/>
      <c r="BL3" s="208">
        <f>10000*YEAR(VALUE(BE$10)) +100 *MONTH(VALUE(BE$10)) + DAY(VALUE(BE$10))</f>
        <v>20160331</v>
      </c>
      <c r="BM3" s="201"/>
      <c r="BN3" s="201"/>
      <c r="BO3" s="201"/>
      <c r="BP3" s="201"/>
      <c r="BQ3" s="201"/>
      <c r="BR3" s="201"/>
      <c r="BS3" s="201"/>
    </row>
    <row r="4" spans="1:73" ht="15" hidden="1" x14ac:dyDescent="0.4">
      <c r="A4" s="200"/>
      <c r="B4" s="201"/>
      <c r="C4" s="201"/>
      <c r="D4" s="206"/>
      <c r="E4" s="204"/>
      <c r="F4" s="204"/>
      <c r="G4" s="204"/>
      <c r="H4" s="207"/>
      <c r="I4" s="207"/>
      <c r="J4" s="207"/>
      <c r="K4" s="203"/>
      <c r="L4" s="210"/>
      <c r="M4" s="210"/>
      <c r="N4" s="210"/>
      <c r="O4" s="210"/>
      <c r="P4" s="208">
        <f>P3</f>
        <v>20170331</v>
      </c>
      <c r="Q4" s="210"/>
      <c r="R4" s="210"/>
      <c r="S4" s="210"/>
      <c r="T4" s="210"/>
      <c r="U4" s="208">
        <f>U3</f>
        <v>20180331</v>
      </c>
      <c r="V4" s="210"/>
      <c r="W4" s="210"/>
      <c r="X4" s="210"/>
      <c r="Y4" s="210"/>
      <c r="Z4" s="208">
        <f>Z3</f>
        <v>20190331</v>
      </c>
      <c r="AA4" s="210"/>
      <c r="AB4" s="210"/>
      <c r="AC4" s="210"/>
      <c r="AD4" s="210"/>
      <c r="AE4" s="208">
        <f>AE3</f>
        <v>20200331</v>
      </c>
      <c r="AF4" s="210"/>
      <c r="AG4" s="210"/>
      <c r="AH4" s="210"/>
      <c r="AI4" s="210"/>
      <c r="AJ4" s="210"/>
      <c r="AK4" s="210"/>
      <c r="AL4" s="210"/>
      <c r="AM4" s="210"/>
      <c r="AN4" s="210"/>
      <c r="AO4" s="210"/>
      <c r="AP4" s="210"/>
      <c r="AQ4" s="210"/>
      <c r="AR4" s="210"/>
      <c r="AS4" s="210"/>
      <c r="AT4" s="210"/>
      <c r="AU4" s="210"/>
      <c r="AV4" s="210"/>
      <c r="AW4" s="210"/>
      <c r="AX4" s="210"/>
      <c r="AY4" s="210"/>
      <c r="AZ4" s="210"/>
      <c r="BA4" s="210"/>
      <c r="BB4" s="210"/>
      <c r="BC4" s="210"/>
      <c r="BD4" s="211" t="s">
        <v>113</v>
      </c>
      <c r="BE4" s="211"/>
      <c r="BF4" s="211"/>
      <c r="BG4" s="211"/>
      <c r="BH4" s="211"/>
      <c r="BI4" s="212" t="s">
        <v>114</v>
      </c>
      <c r="BJ4" s="212" t="s">
        <v>115</v>
      </c>
      <c r="BK4" s="213"/>
      <c r="BL4" s="208">
        <f>BL3</f>
        <v>20160331</v>
      </c>
      <c r="BM4" s="201"/>
      <c r="BN4" s="201"/>
      <c r="BO4" s="201"/>
      <c r="BP4" s="201"/>
      <c r="BQ4" s="201"/>
      <c r="BR4" s="201"/>
      <c r="BS4" s="201"/>
    </row>
    <row r="5" spans="1:73" ht="20.25" customHeight="1" x14ac:dyDescent="0.5">
      <c r="A5" s="140" t="str">
        <f>Summary!A1</f>
        <v>Alibaba Group Holding-Sp Adr</v>
      </c>
      <c r="B5" s="141"/>
      <c r="C5" s="141"/>
      <c r="D5" s="142"/>
      <c r="E5" s="141"/>
      <c r="F5" s="141"/>
      <c r="G5" s="142"/>
      <c r="H5" s="142"/>
      <c r="I5" s="142"/>
      <c r="J5" s="142"/>
      <c r="K5" s="203"/>
      <c r="L5" s="204"/>
      <c r="M5" s="204"/>
      <c r="N5" s="20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4"/>
      <c r="AR5" s="214"/>
      <c r="AS5" s="214"/>
      <c r="AT5" s="214"/>
      <c r="AU5" s="214"/>
      <c r="AV5" s="214"/>
      <c r="AW5" s="214"/>
      <c r="AX5" s="214"/>
      <c r="AY5" s="214"/>
      <c r="AZ5" s="214"/>
      <c r="BA5" s="214"/>
      <c r="BB5" s="214"/>
      <c r="BC5" s="214"/>
      <c r="BD5" s="214"/>
      <c r="BE5" s="214"/>
      <c r="BF5" s="214"/>
      <c r="BG5" s="214"/>
      <c r="BH5" s="214"/>
      <c r="BI5" s="214"/>
      <c r="BJ5" s="214"/>
      <c r="BK5" s="215"/>
      <c r="BL5" s="204"/>
      <c r="BM5" s="201"/>
      <c r="BN5" s="201"/>
      <c r="BO5" s="201"/>
      <c r="BP5" s="201"/>
      <c r="BQ5" s="201"/>
      <c r="BR5" s="201"/>
      <c r="BS5" s="201"/>
    </row>
    <row r="6" spans="1:73" ht="14.25" customHeight="1" x14ac:dyDescent="0.4">
      <c r="A6" s="144"/>
      <c r="B6" s="8" t="s">
        <v>0</v>
      </c>
      <c r="C6" s="143"/>
      <c r="D6" s="144"/>
      <c r="E6" s="141"/>
      <c r="F6" s="343" t="str">
        <f>Summary!$C$2</f>
        <v>BABA US</v>
      </c>
      <c r="G6" s="10"/>
      <c r="H6" s="204"/>
      <c r="I6" s="10"/>
      <c r="J6" s="10"/>
      <c r="K6" s="203"/>
      <c r="L6" s="204"/>
      <c r="M6" s="214"/>
      <c r="N6" s="216"/>
      <c r="O6" s="214"/>
      <c r="P6" s="204"/>
      <c r="Q6" s="214"/>
      <c r="R6" s="214"/>
      <c r="S6" s="214"/>
      <c r="T6" s="214"/>
      <c r="U6" s="214"/>
      <c r="V6" s="214"/>
      <c r="W6" s="214"/>
      <c r="X6" s="214"/>
      <c r="Y6" s="214"/>
      <c r="Z6" s="214"/>
      <c r="AA6" s="214"/>
      <c r="AB6" s="214"/>
      <c r="AC6" s="214"/>
      <c r="AD6" s="214"/>
      <c r="AE6" s="214"/>
      <c r="AF6" s="214"/>
      <c r="AG6" s="214"/>
      <c r="AH6" s="214"/>
      <c r="AI6" s="214"/>
      <c r="AJ6" s="214"/>
      <c r="AK6" s="214"/>
      <c r="AL6" s="214"/>
      <c r="AM6" s="214"/>
      <c r="AN6" s="214"/>
      <c r="AO6" s="214"/>
      <c r="AP6" s="214"/>
      <c r="AQ6" s="214"/>
      <c r="AR6" s="214"/>
      <c r="AS6" s="214"/>
      <c r="AT6" s="214"/>
      <c r="AU6" s="214"/>
      <c r="AV6" s="214"/>
      <c r="AW6" s="214"/>
      <c r="AX6" s="214"/>
      <c r="AY6" s="214"/>
      <c r="AZ6" s="214"/>
      <c r="BA6" s="214"/>
      <c r="BB6" s="214"/>
      <c r="BC6" s="214"/>
      <c r="BD6" s="214"/>
      <c r="BE6" s="214"/>
      <c r="BF6" s="214"/>
      <c r="BG6" s="214"/>
      <c r="BH6" s="214"/>
      <c r="BI6" s="214"/>
      <c r="BJ6" s="214"/>
      <c r="BK6" s="215"/>
      <c r="BL6" s="204"/>
      <c r="BM6" s="201"/>
      <c r="BN6" s="201"/>
      <c r="BO6" s="201"/>
      <c r="BP6" s="201"/>
      <c r="BQ6" s="201"/>
      <c r="BR6" s="201"/>
      <c r="BS6" s="201"/>
    </row>
    <row r="7" spans="1:73" ht="14.25" customHeight="1" x14ac:dyDescent="0.4">
      <c r="A7" s="144"/>
      <c r="B7" s="8"/>
      <c r="C7" s="8"/>
      <c r="D7" s="8"/>
      <c r="E7" s="8"/>
      <c r="F7" s="8"/>
      <c r="G7" s="8"/>
      <c r="H7" s="204"/>
      <c r="I7" s="217"/>
      <c r="J7" s="217"/>
      <c r="K7" s="203"/>
      <c r="L7" s="204"/>
      <c r="M7" s="214"/>
      <c r="N7" s="216"/>
      <c r="O7" s="214"/>
      <c r="P7" s="204"/>
      <c r="Q7" s="214"/>
      <c r="R7" s="214"/>
      <c r="S7" s="214"/>
      <c r="T7" s="214"/>
      <c r="U7" s="214"/>
      <c r="V7" s="214"/>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5"/>
      <c r="BL7" s="204"/>
      <c r="BM7" s="201"/>
      <c r="BN7" s="201"/>
      <c r="BO7" s="201"/>
      <c r="BP7" s="201"/>
      <c r="BQ7" s="201"/>
      <c r="BR7" s="201"/>
      <c r="BS7" s="201"/>
    </row>
    <row r="8" spans="1:73" ht="14.25" hidden="1" outlineLevel="1" x14ac:dyDescent="0.4">
      <c r="A8" s="144"/>
      <c r="B8" s="144"/>
      <c r="C8" s="144"/>
      <c r="D8" s="144"/>
      <c r="E8" s="144"/>
      <c r="F8" s="144"/>
      <c r="G8" s="144"/>
      <c r="H8" s="25"/>
      <c r="I8" s="25"/>
      <c r="J8" s="25"/>
      <c r="K8" s="150" t="str">
        <f>"1Q" &amp; RIGHT(BF10,2)</f>
        <v>1Q31</v>
      </c>
      <c r="L8" s="150" t="str">
        <f>"2Q" &amp; RIGHT(BF10,2)</f>
        <v>2Q31</v>
      </c>
      <c r="M8" s="150" t="str">
        <f>"3Q" &amp; RIGHT(BF10,2)</f>
        <v>3Q31</v>
      </c>
      <c r="N8" s="150" t="str">
        <f>"4Q" &amp; RIGHT(BF10,2)</f>
        <v>4Q31</v>
      </c>
      <c r="O8" s="150" t="str">
        <f>"1Q" &amp; RIGHT(BG10,2)</f>
        <v>1Q31</v>
      </c>
      <c r="P8" s="150" t="str">
        <f>"2Q" &amp; RIGHT(BG10,2)</f>
        <v>2Q31</v>
      </c>
      <c r="Q8" s="150" t="str">
        <f>"3Q" &amp; RIGHT(BG10,2)</f>
        <v>3Q31</v>
      </c>
      <c r="R8" s="150" t="str">
        <f>"4Q" &amp; RIGHT(BG10,2)</f>
        <v>4Q31</v>
      </c>
      <c r="S8" s="150" t="str">
        <f>"1Q" &amp; RIGHT(BH10,2)</f>
        <v>1Q31</v>
      </c>
      <c r="T8" s="150" t="str">
        <f>"2Q" &amp; RIGHT(BH10,2)</f>
        <v>2Q31</v>
      </c>
      <c r="U8" s="150" t="str">
        <f>"3Q" &amp; RIGHT(BH10,2)</f>
        <v>3Q31</v>
      </c>
      <c r="V8" s="150" t="str">
        <f>"4Q" &amp; RIGHT(BH10,2)</f>
        <v>4Q31</v>
      </c>
      <c r="W8" s="150" t="str">
        <f>"1Q" &amp; RIGHT(BI10,2)</f>
        <v>1Q31</v>
      </c>
      <c r="X8" s="150" t="str">
        <f>"2Q" &amp; RIGHT(BI10,2)</f>
        <v>2Q31</v>
      </c>
      <c r="Y8" s="150" t="str">
        <f>"3Q" &amp; RIGHT(BI10,2)</f>
        <v>3Q31</v>
      </c>
      <c r="Z8" s="150" t="str">
        <f>"4Q" &amp; RIGHT(BI10,2)</f>
        <v>4Q31</v>
      </c>
      <c r="AA8" s="150" t="str">
        <f>"1Q" &amp; RIGHT(BJ10,2)</f>
        <v>1Q31</v>
      </c>
      <c r="AB8" s="150" t="str">
        <f>"1Q" &amp; RIGHT(BK10,2)</f>
        <v>1Q31</v>
      </c>
      <c r="AC8" s="150" t="str">
        <f>"3Q" &amp; RIGHT(BJ10,2)</f>
        <v>3Q31</v>
      </c>
      <c r="AD8" s="150" t="str">
        <f>"4Q" &amp; RIGHT(BJ10,2)</f>
        <v>4Q31</v>
      </c>
      <c r="AE8" s="150" t="str">
        <f>"1Q" &amp; RIGHT(BK10,2)</f>
        <v>1Q31</v>
      </c>
      <c r="AF8" s="150" t="str">
        <f>"2Q" &amp; RIGHT(BK10,2)</f>
        <v>2Q31</v>
      </c>
      <c r="AG8" s="150" t="str">
        <f>"3Q" &amp; RIGHT(BK10,2)</f>
        <v>3Q31</v>
      </c>
      <c r="AH8" s="150" t="str">
        <f>"4Q" &amp; RIGHT(BK10,2)</f>
        <v>4Q31</v>
      </c>
      <c r="AI8" s="150"/>
      <c r="AJ8" s="150"/>
      <c r="AK8" s="150"/>
      <c r="AL8" s="150"/>
      <c r="AM8" s="150"/>
      <c r="AN8" s="150"/>
      <c r="AO8" s="150"/>
      <c r="AP8" s="150"/>
      <c r="AQ8" s="150"/>
      <c r="AR8" s="150"/>
      <c r="AS8" s="150"/>
      <c r="AT8" s="150"/>
      <c r="AU8" s="150"/>
      <c r="AV8" s="150"/>
      <c r="AW8" s="150"/>
      <c r="AX8" s="150"/>
      <c r="AY8" s="150"/>
      <c r="AZ8" s="150"/>
      <c r="BA8" s="150"/>
      <c r="BB8" s="150"/>
      <c r="BC8" s="214"/>
      <c r="BD8" s="204"/>
      <c r="BE8" s="214"/>
      <c r="BF8" s="201"/>
      <c r="BG8" s="201"/>
      <c r="BH8" s="201"/>
      <c r="BI8" s="201"/>
      <c r="BJ8" s="218" t="str">
        <f>BD4</f>
        <v>1FY</v>
      </c>
      <c r="BK8" s="218" t="str">
        <f>BI4</f>
        <v>2FY</v>
      </c>
      <c r="BL8" s="218" t="str">
        <f>BJ4</f>
        <v>3FY</v>
      </c>
      <c r="BM8" s="201"/>
      <c r="BN8" s="201"/>
      <c r="BO8" s="201"/>
      <c r="BP8" s="201"/>
      <c r="BQ8" s="201"/>
      <c r="BR8" s="201"/>
      <c r="BS8" s="201"/>
    </row>
    <row r="9" spans="1:73" ht="12.75" customHeight="1" collapsed="1" x14ac:dyDescent="0.35">
      <c r="A9" s="144"/>
      <c r="B9" s="219" t="s">
        <v>116</v>
      </c>
      <c r="C9" s="163"/>
      <c r="D9" s="220"/>
      <c r="E9" s="220"/>
      <c r="F9" s="220"/>
      <c r="G9" s="220"/>
      <c r="H9" s="220"/>
      <c r="I9" s="158">
        <f t="shared" ref="I9:X9" si="0">EDATE(J9,-3)</f>
        <v>42368</v>
      </c>
      <c r="J9" s="158">
        <f t="shared" si="0"/>
        <v>42459</v>
      </c>
      <c r="K9" s="158">
        <f t="shared" si="0"/>
        <v>42551</v>
      </c>
      <c r="L9" s="158">
        <f t="shared" si="0"/>
        <v>42643</v>
      </c>
      <c r="M9" s="158">
        <f t="shared" si="0"/>
        <v>42734</v>
      </c>
      <c r="N9" s="158">
        <f t="shared" si="0"/>
        <v>42824</v>
      </c>
      <c r="O9" s="158">
        <f t="shared" si="0"/>
        <v>42916</v>
      </c>
      <c r="P9" s="158">
        <f t="shared" si="0"/>
        <v>43008</v>
      </c>
      <c r="Q9" s="158">
        <f t="shared" si="0"/>
        <v>43099</v>
      </c>
      <c r="R9" s="158">
        <f t="shared" si="0"/>
        <v>43189</v>
      </c>
      <c r="S9" s="158">
        <f t="shared" si="0"/>
        <v>43281</v>
      </c>
      <c r="T9" s="158">
        <f t="shared" si="0"/>
        <v>43373</v>
      </c>
      <c r="U9" s="158">
        <f t="shared" si="0"/>
        <v>43464</v>
      </c>
      <c r="V9" s="158">
        <f t="shared" si="0"/>
        <v>43554</v>
      </c>
      <c r="W9" s="158">
        <f t="shared" si="0"/>
        <v>43646</v>
      </c>
      <c r="X9" s="158">
        <f t="shared" si="0"/>
        <v>43738</v>
      </c>
      <c r="Y9" s="158">
        <f>EDATE(Z9,-3)</f>
        <v>43830</v>
      </c>
      <c r="Z9" s="158">
        <f>EDATE(BI10,0)</f>
        <v>43921</v>
      </c>
      <c r="AA9" s="158">
        <f>EDATE(Z9,3)</f>
        <v>44012</v>
      </c>
      <c r="AB9" s="158">
        <f>EDATE(AA9,3)</f>
        <v>44104</v>
      </c>
      <c r="AC9" s="158">
        <f>EDATE(AB9,3)</f>
        <v>44195</v>
      </c>
      <c r="AD9" s="158">
        <f t="shared" ref="AD9:AL9" si="1">EDATE(AC9,3)</f>
        <v>44285</v>
      </c>
      <c r="AE9" s="158">
        <f t="shared" si="1"/>
        <v>44377</v>
      </c>
      <c r="AF9" s="158">
        <f t="shared" si="1"/>
        <v>44469</v>
      </c>
      <c r="AG9" s="158">
        <f t="shared" si="1"/>
        <v>44560</v>
      </c>
      <c r="AH9" s="158">
        <f t="shared" si="1"/>
        <v>44650</v>
      </c>
      <c r="AI9" s="158">
        <f t="shared" si="1"/>
        <v>44742</v>
      </c>
      <c r="AJ9" s="158">
        <f t="shared" si="1"/>
        <v>44834</v>
      </c>
      <c r="AK9" s="158">
        <f t="shared" si="1"/>
        <v>44925</v>
      </c>
      <c r="AL9" s="158">
        <f t="shared" si="1"/>
        <v>45015</v>
      </c>
      <c r="AM9" s="158"/>
      <c r="AN9" s="158">
        <f>[32]PnL!AP9</f>
        <v>42277</v>
      </c>
      <c r="AO9" s="158">
        <f>[32]PnL!AQ9</f>
        <v>42460</v>
      </c>
      <c r="AP9" s="158">
        <f>[32]PnL!AR9</f>
        <v>42643</v>
      </c>
      <c r="AQ9" s="158">
        <f>[32]PnL!AS9</f>
        <v>42824</v>
      </c>
      <c r="AR9" s="158">
        <f>[32]PnL!AT9</f>
        <v>43008</v>
      </c>
      <c r="AS9" s="158">
        <f>[32]PnL!AU9</f>
        <v>43189</v>
      </c>
      <c r="AT9" s="158">
        <f>[32]PnL!AV9</f>
        <v>43373</v>
      </c>
      <c r="AU9" s="158">
        <f>[32]PnL!AW9</f>
        <v>43554</v>
      </c>
      <c r="AV9" s="158">
        <f>[32]PnL!AX9</f>
        <v>43738</v>
      </c>
      <c r="AW9" s="158">
        <f>[32]PnL!AY9</f>
        <v>43920</v>
      </c>
      <c r="AX9" s="158">
        <f>[32]PnL!AZ9</f>
        <v>44104</v>
      </c>
      <c r="AY9" s="158">
        <f>[32]PnL!BA9</f>
        <v>44285</v>
      </c>
      <c r="AZ9" s="158">
        <f>[32]PnL!BB9</f>
        <v>44469</v>
      </c>
      <c r="BA9" s="158">
        <f>[32]PnL!BC9</f>
        <v>44650</v>
      </c>
      <c r="BB9" s="158">
        <f>[32]PnL!BD9</f>
        <v>44834</v>
      </c>
      <c r="BC9" s="158">
        <f>[32]PnL!BE9</f>
        <v>45015</v>
      </c>
      <c r="BD9" s="220"/>
      <c r="BE9" s="221" t="str">
        <f t="shared" ref="BE9:BI9" si="2">"FY"&amp;MID(BE10,3,2)</f>
        <v>FY16</v>
      </c>
      <c r="BF9" s="221" t="str">
        <f t="shared" si="2"/>
        <v>FY17</v>
      </c>
      <c r="BG9" s="221" t="str">
        <f t="shared" si="2"/>
        <v>FY18</v>
      </c>
      <c r="BH9" s="221" t="str">
        <f t="shared" si="2"/>
        <v>FY19</v>
      </c>
      <c r="BI9" s="221" t="str">
        <f t="shared" si="2"/>
        <v>FY20</v>
      </c>
      <c r="BJ9" s="221" t="str">
        <f>"FY"&amp;MID(BJ10,3,2)</f>
        <v>FY21</v>
      </c>
      <c r="BK9" s="221" t="str">
        <f t="shared" ref="BK9:BS9" si="3">"FY"&amp;MID(BK10,3,2)</f>
        <v>FY22</v>
      </c>
      <c r="BL9" s="221" t="str">
        <f t="shared" si="3"/>
        <v>FY23</v>
      </c>
      <c r="BM9" s="221" t="str">
        <f t="shared" si="3"/>
        <v>FY24</v>
      </c>
      <c r="BN9" s="221" t="str">
        <f t="shared" si="3"/>
        <v>FY25</v>
      </c>
      <c r="BO9" s="221" t="str">
        <f t="shared" si="3"/>
        <v>FY26</v>
      </c>
      <c r="BP9" s="221" t="str">
        <f t="shared" si="3"/>
        <v>FY27</v>
      </c>
      <c r="BQ9" s="221" t="str">
        <f t="shared" si="3"/>
        <v>FY28</v>
      </c>
      <c r="BR9" s="221" t="str">
        <f t="shared" si="3"/>
        <v>FY29</v>
      </c>
      <c r="BS9" s="221" t="str">
        <f t="shared" si="3"/>
        <v>FY30</v>
      </c>
      <c r="BT9" s="203"/>
      <c r="BU9" s="203"/>
    </row>
    <row r="10" spans="1:73" ht="12.75" customHeight="1" x14ac:dyDescent="0.35">
      <c r="A10" s="144" t="s">
        <v>117</v>
      </c>
      <c r="B10" s="219"/>
      <c r="C10" s="163"/>
      <c r="D10" s="220"/>
      <c r="E10" s="220"/>
      <c r="F10" s="219"/>
      <c r="G10" s="219"/>
      <c r="H10" s="219"/>
      <c r="I10" s="158" t="str">
        <f>"3Q" &amp; RIGHT(YEAR($J9),2)</f>
        <v>3Q16</v>
      </c>
      <c r="J10" s="158" t="str">
        <f>"4Q" &amp; RIGHT(YEAR($J9),2)</f>
        <v>4Q16</v>
      </c>
      <c r="K10" s="158" t="str">
        <f>"1Q" &amp; RIGHT(YEAR($N9),2)</f>
        <v>1Q17</v>
      </c>
      <c r="L10" s="158" t="str">
        <f>"2Q" &amp; RIGHT(YEAR($N9),2)</f>
        <v>2Q17</v>
      </c>
      <c r="M10" s="158" t="str">
        <f>"3Q" &amp; RIGHT(YEAR($N9),2)</f>
        <v>3Q17</v>
      </c>
      <c r="N10" s="158" t="str">
        <f>"4Q" &amp; RIGHT(YEAR($N9),2)</f>
        <v>4Q17</v>
      </c>
      <c r="O10" s="158" t="str">
        <f>"1Q" &amp; RIGHT(YEAR($R9),2)</f>
        <v>1Q18</v>
      </c>
      <c r="P10" s="158" t="str">
        <f>"2Q" &amp; RIGHT(YEAR($R9),2)</f>
        <v>2Q18</v>
      </c>
      <c r="Q10" s="158" t="str">
        <f>"3Q" &amp; RIGHT(YEAR($R9),2)</f>
        <v>3Q18</v>
      </c>
      <c r="R10" s="158" t="str">
        <f>"4Q" &amp; RIGHT(YEAR($R9),2)</f>
        <v>4Q18</v>
      </c>
      <c r="S10" s="158" t="str">
        <f>"1Q" &amp; RIGHT(YEAR($V9),2)</f>
        <v>1Q19</v>
      </c>
      <c r="T10" s="158" t="str">
        <f>"2Q" &amp; RIGHT(YEAR($V9),2)</f>
        <v>2Q19</v>
      </c>
      <c r="U10" s="158" t="str">
        <f>"3Q" &amp; RIGHT(YEAR($V9),2)</f>
        <v>3Q19</v>
      </c>
      <c r="V10" s="158" t="str">
        <f>"4Q" &amp; RIGHT(YEAR($V9),2)</f>
        <v>4Q19</v>
      </c>
      <c r="W10" s="158" t="str">
        <f>"1Q" &amp; RIGHT(YEAR($Z9),2)</f>
        <v>1Q20</v>
      </c>
      <c r="X10" s="158" t="str">
        <f>"2Q" &amp; RIGHT(YEAR($Z9),2)</f>
        <v>2Q20</v>
      </c>
      <c r="Y10" s="158" t="str">
        <f>"3Q" &amp; RIGHT(YEAR($Z9),2)</f>
        <v>3Q20</v>
      </c>
      <c r="Z10" s="158" t="str">
        <f>"4Q" &amp; RIGHT(YEAR($Z9),2)</f>
        <v>4Q20</v>
      </c>
      <c r="AA10" s="158" t="str">
        <f>"1Q" &amp; RIGHT(YEAR($AD9),2)</f>
        <v>1Q21</v>
      </c>
      <c r="AB10" s="158" t="str">
        <f>"2Q" &amp; RIGHT(YEAR($AD9),2)</f>
        <v>2Q21</v>
      </c>
      <c r="AC10" s="158" t="str">
        <f>"3Q" &amp; RIGHT(YEAR($AD9),2)</f>
        <v>3Q21</v>
      </c>
      <c r="AD10" s="158" t="str">
        <f>"4Q" &amp; RIGHT(YEAR($AD9),2)</f>
        <v>4Q21</v>
      </c>
      <c r="AE10" s="158" t="str">
        <f>"1Q" &amp; RIGHT(YEAR($AH9),2)</f>
        <v>1Q22</v>
      </c>
      <c r="AF10" s="158" t="str">
        <f>"2Q" &amp; RIGHT(YEAR($AH9),2)</f>
        <v>2Q22</v>
      </c>
      <c r="AG10" s="158" t="str">
        <f>"3Q" &amp; RIGHT(YEAR($AH9),2)</f>
        <v>3Q22</v>
      </c>
      <c r="AH10" s="158" t="str">
        <f>"4Q" &amp; RIGHT(YEAR($AH9),2)</f>
        <v>4Q22</v>
      </c>
      <c r="AI10" s="158" t="str">
        <f>"1Q" &amp; RIGHT(YEAR($AL9),2)</f>
        <v>1Q23</v>
      </c>
      <c r="AJ10" s="158" t="str">
        <f>"2Q" &amp; RIGHT(YEAR($AL9),2)</f>
        <v>2Q23</v>
      </c>
      <c r="AK10" s="158" t="str">
        <f>"3Q" &amp; RIGHT(YEAR($AL9),2)</f>
        <v>3Q23</v>
      </c>
      <c r="AL10" s="158" t="str">
        <f>"4Q" &amp; RIGHT(YEAR($AL9),2)</f>
        <v>4Q23</v>
      </c>
      <c r="AM10" s="158"/>
      <c r="AN10" s="158" t="str">
        <f>[32]PnL!AP10</f>
        <v>1H15</v>
      </c>
      <c r="AO10" s="158" t="str">
        <f>[32]PnL!AQ10</f>
        <v>2H16</v>
      </c>
      <c r="AP10" s="158" t="str">
        <f>[32]PnL!AR10</f>
        <v>1H16</v>
      </c>
      <c r="AQ10" s="158" t="str">
        <f>[32]PnL!AS10</f>
        <v>2H17</v>
      </c>
      <c r="AR10" s="158" t="str">
        <f>[32]PnL!AT10</f>
        <v>1H17</v>
      </c>
      <c r="AS10" s="158" t="str">
        <f>[32]PnL!AU10</f>
        <v>2H18</v>
      </c>
      <c r="AT10" s="158" t="str">
        <f>[32]PnL!AV10</f>
        <v>1H18</v>
      </c>
      <c r="AU10" s="158" t="str">
        <f>[32]PnL!AW10</f>
        <v>2H19</v>
      </c>
      <c r="AV10" s="158" t="str">
        <f>[32]PnL!AX10</f>
        <v>1H19</v>
      </c>
      <c r="AW10" s="158" t="str">
        <f>[32]PnL!AY10</f>
        <v>2H20</v>
      </c>
      <c r="AX10" s="158" t="str">
        <f>[32]PnL!AZ10</f>
        <v>1H20</v>
      </c>
      <c r="AY10" s="158" t="str">
        <f>[32]PnL!BA10</f>
        <v>2H21</v>
      </c>
      <c r="AZ10" s="158" t="str">
        <f>[32]PnL!BB10</f>
        <v>1H21</v>
      </c>
      <c r="BA10" s="158" t="str">
        <f>[32]PnL!BC10</f>
        <v>2H22</v>
      </c>
      <c r="BB10" s="158" t="str">
        <f>[32]PnL!BD10</f>
        <v>1H22</v>
      </c>
      <c r="BC10" s="158" t="str">
        <f>[32]PnL!BE10</f>
        <v>2H23</v>
      </c>
      <c r="BD10" s="220"/>
      <c r="BE10" s="159" t="str">
        <f>[32]PnL!BH10</f>
        <v>2016/03/31</v>
      </c>
      <c r="BF10" s="159" t="str">
        <f>[32]PnL!BI10</f>
        <v>2017/03/31</v>
      </c>
      <c r="BG10" s="159" t="str">
        <f>[32]PnL!BJ10</f>
        <v>2018/03/31</v>
      </c>
      <c r="BH10" s="159" t="str">
        <f>[32]PnL!BK10</f>
        <v>2019/03/31</v>
      </c>
      <c r="BI10" s="159" t="str">
        <f>[32]PnL!BL10</f>
        <v>2020/03/31</v>
      </c>
      <c r="BJ10" s="159" t="str">
        <f>[32]PnL!BM10</f>
        <v>2021/03/31</v>
      </c>
      <c r="BK10" s="159" t="str">
        <f>[32]PnL!BN10</f>
        <v>2022/03/31</v>
      </c>
      <c r="BL10" s="159" t="str">
        <f>[32]PnL!BO10</f>
        <v>2023/03/31</v>
      </c>
      <c r="BM10" s="159" t="str">
        <f>[32]PnL!BP10</f>
        <v>2024/03/31</v>
      </c>
      <c r="BN10" s="159" t="str">
        <f>[32]PnL!BQ10</f>
        <v>2025/03/31</v>
      </c>
      <c r="BO10" s="159" t="str">
        <f>[32]PnL!BR10</f>
        <v>2026/03/31</v>
      </c>
      <c r="BP10" s="159" t="str">
        <f>[32]PnL!BS10</f>
        <v>2027/03/31</v>
      </c>
      <c r="BQ10" s="159" t="str">
        <f>[32]PnL!BT10</f>
        <v>2028/03/31</v>
      </c>
      <c r="BR10" s="159" t="str">
        <f>[32]PnL!BU10</f>
        <v>2029/03/31</v>
      </c>
      <c r="BS10" s="159" t="str">
        <f>[32]PnL!BV10</f>
        <v>2030/03/31</v>
      </c>
      <c r="BT10" s="203"/>
      <c r="BU10" s="203"/>
    </row>
    <row r="11" spans="1:73" ht="12.75" hidden="1" customHeight="1" outlineLevel="1" x14ac:dyDescent="0.35">
      <c r="A11" s="144" t="str">
        <f>IF(ISERR(CF!AB13/1),"E","-")</f>
        <v>-</v>
      </c>
      <c r="B11" s="222"/>
      <c r="C11" s="223"/>
      <c r="D11" s="223"/>
      <c r="E11" s="223"/>
      <c r="F11" s="222"/>
      <c r="G11" s="222"/>
      <c r="H11" s="222"/>
      <c r="I11" s="222"/>
      <c r="J11" s="222"/>
      <c r="K11" s="224"/>
      <c r="L11" s="224"/>
      <c r="M11" s="224"/>
      <c r="N11" s="224"/>
      <c r="O11" s="224"/>
      <c r="P11" s="224"/>
      <c r="Q11" s="224"/>
      <c r="R11" s="224"/>
      <c r="S11" s="224"/>
      <c r="T11" s="224"/>
      <c r="U11" s="224"/>
      <c r="V11" s="224"/>
      <c r="W11" s="224"/>
      <c r="X11" s="224"/>
      <c r="Y11" s="224"/>
      <c r="Z11" s="224"/>
      <c r="AA11" s="225"/>
      <c r="AB11" s="225"/>
      <c r="AC11" s="225"/>
      <c r="AD11" s="225"/>
      <c r="AE11" s="225"/>
      <c r="AF11" s="225"/>
      <c r="AG11" s="225"/>
      <c r="AH11" s="225"/>
      <c r="AI11" s="225"/>
      <c r="AJ11" s="225"/>
      <c r="AK11" s="225"/>
      <c r="AL11" s="225"/>
      <c r="AM11" s="225"/>
      <c r="AN11" s="225" t="e">
        <f>[32]PnL!AP11</f>
        <v>#REF!</v>
      </c>
      <c r="AO11" s="225" t="e">
        <f>[32]PnL!AQ11</f>
        <v>#REF!</v>
      </c>
      <c r="AP11" s="225" t="e">
        <f>[32]PnL!AR11</f>
        <v>#REF!</v>
      </c>
      <c r="AQ11" s="225" t="e">
        <f>[32]PnL!AS11</f>
        <v>#REF!</v>
      </c>
      <c r="AR11" s="225" t="e">
        <f>[32]PnL!AT11</f>
        <v>#REF!</v>
      </c>
      <c r="AS11" s="225" t="e">
        <f>[32]PnL!AU11</f>
        <v>#REF!</v>
      </c>
      <c r="AT11" s="225" t="e">
        <f>[32]PnL!AV11</f>
        <v>#REF!</v>
      </c>
      <c r="AU11" s="225" t="e">
        <f>[32]PnL!AW11</f>
        <v>#REF!</v>
      </c>
      <c r="AV11" s="225" t="e">
        <f>[32]PnL!AX11</f>
        <v>#REF!</v>
      </c>
      <c r="AW11" s="225" t="e">
        <f>[32]PnL!AY11</f>
        <v>#REF!</v>
      </c>
      <c r="AX11" s="225" t="e">
        <f>[32]PnL!AZ11</f>
        <v>#REF!</v>
      </c>
      <c r="AY11" s="225" t="e">
        <f>[32]PnL!BA11</f>
        <v>#REF!</v>
      </c>
      <c r="AZ11" s="225" t="e">
        <f>[32]PnL!BB11</f>
        <v>#REF!</v>
      </c>
      <c r="BA11" s="225" t="e">
        <f>[32]PnL!BC11</f>
        <v>#REF!</v>
      </c>
      <c r="BB11" s="225" t="e">
        <f>[32]PnL!BD11</f>
        <v>#REF!</v>
      </c>
      <c r="BC11" s="226" t="e">
        <f>[32]PnL!BE11</f>
        <v>#REF!</v>
      </c>
      <c r="BD11" s="226"/>
      <c r="BE11" s="224"/>
      <c r="BF11" s="224"/>
      <c r="BG11" s="224"/>
      <c r="BH11" s="224"/>
      <c r="BI11" s="224"/>
      <c r="BJ11" s="224"/>
      <c r="BK11" s="224"/>
      <c r="BL11" s="224"/>
      <c r="BM11" s="226"/>
      <c r="BN11" s="226"/>
      <c r="BO11" s="226"/>
      <c r="BP11" s="226"/>
      <c r="BQ11" s="226"/>
      <c r="BR11" s="226"/>
      <c r="BS11" s="226"/>
      <c r="BT11" s="203"/>
      <c r="BU11" s="203"/>
    </row>
    <row r="12" spans="1:73" ht="12.75" customHeight="1" collapsed="1" x14ac:dyDescent="0.35">
      <c r="A12" s="144" t="s">
        <v>118</v>
      </c>
      <c r="B12" s="227" t="s">
        <v>119</v>
      </c>
      <c r="C12" s="228"/>
      <c r="D12" s="228"/>
      <c r="E12" s="228"/>
      <c r="F12" s="227"/>
      <c r="G12" s="227"/>
      <c r="H12" s="227"/>
      <c r="I12" s="229">
        <f>[32]PnL!I12</f>
        <v>34543</v>
      </c>
      <c r="J12" s="229">
        <f>[32]PnL!J12</f>
        <v>24184</v>
      </c>
      <c r="K12" s="229">
        <f>[32]PnL!K12</f>
        <v>32154</v>
      </c>
      <c r="L12" s="229">
        <f>[32]PnL!L12</f>
        <v>34292</v>
      </c>
      <c r="M12" s="229">
        <f>[32]PnL!M12</f>
        <v>53248</v>
      </c>
      <c r="N12" s="229">
        <f>[32]PnL!N12</f>
        <v>38579</v>
      </c>
      <c r="O12" s="229">
        <f>[32]PnL!O12</f>
        <v>50184</v>
      </c>
      <c r="P12" s="229">
        <f>[32]PnL!P12</f>
        <v>55122</v>
      </c>
      <c r="Q12" s="229">
        <f>[32]PnL!Q12</f>
        <v>83028</v>
      </c>
      <c r="R12" s="229">
        <f>[32]PnL!R12</f>
        <v>61932</v>
      </c>
      <c r="S12" s="229">
        <f>[32]PnL!S12</f>
        <v>80920</v>
      </c>
      <c r="T12" s="229">
        <f>[32]PnL!T12</f>
        <v>85148</v>
      </c>
      <c r="U12" s="229">
        <f>[32]PnL!U12</f>
        <v>117278</v>
      </c>
      <c r="V12" s="229">
        <f>[32]PnL!V12</f>
        <v>93498</v>
      </c>
      <c r="W12" s="229">
        <f>[32]PnL!W12</f>
        <v>114924</v>
      </c>
      <c r="X12" s="229">
        <f>[32]PnL!X12</f>
        <v>119017</v>
      </c>
      <c r="Y12" s="229">
        <f>[32]PnL!Y12</f>
        <v>161456</v>
      </c>
      <c r="Z12" s="229">
        <f>[32]PnL!Z12</f>
        <v>114314</v>
      </c>
      <c r="AA12" s="229">
        <f>[32]PnL!AA12</f>
        <v>153751</v>
      </c>
      <c r="AB12" s="229">
        <f>[32]PnL!AB12</f>
        <v>155059</v>
      </c>
      <c r="AC12" s="229">
        <f>OperatingMetrics!AG5</f>
        <v>204643.81837985385</v>
      </c>
      <c r="AD12" s="229">
        <f>OperatingMetrics!AH5</f>
        <v>154687.52859649368</v>
      </c>
      <c r="AE12" s="229">
        <f>OperatingMetrics!AI5</f>
        <v>194209.32527825967</v>
      </c>
      <c r="AF12" s="229">
        <f>OperatingMetrics!AJ5</f>
        <v>202908.26675037955</v>
      </c>
      <c r="AG12" s="229">
        <f>OperatingMetrics!AK5</f>
        <v>258477.13269135155</v>
      </c>
      <c r="AH12" s="229">
        <f>OperatingMetrics!AL5</f>
        <v>191338.43060733221</v>
      </c>
      <c r="AI12" s="229">
        <f>OperatingMetrics!AM5</f>
        <v>240044.05853741127</v>
      </c>
      <c r="AJ12" s="229">
        <f>OperatingMetrics!AN5</f>
        <v>254004.04080430747</v>
      </c>
      <c r="AK12" s="229">
        <f>OperatingMetrics!AO5</f>
        <v>319009.28643081628</v>
      </c>
      <c r="AL12" s="229">
        <f>OperatingMetrics!AP5</f>
        <v>236173.15623800093</v>
      </c>
      <c r="AM12" s="229"/>
      <c r="AN12" s="229" t="str">
        <f>[32]PnL!AP12</f>
        <v>#N/A N/A</v>
      </c>
      <c r="AO12" s="229" t="str">
        <f>[32]PnL!AQ12</f>
        <v>#N/A N/A</v>
      </c>
      <c r="AP12" s="229" t="str">
        <f>[32]PnL!AR12</f>
        <v>#N/A N/A</v>
      </c>
      <c r="AQ12" s="229" t="str">
        <f>[32]PnL!AS12</f>
        <v>#N/A N/A</v>
      </c>
      <c r="AR12" s="229" t="str">
        <f>[32]PnL!AT12</f>
        <v>#N/A N/A</v>
      </c>
      <c r="AS12" s="229" t="str">
        <f>[32]PnL!AU12</f>
        <v>#N/A N/A</v>
      </c>
      <c r="AT12" s="229" t="str">
        <f>[32]PnL!AV12</f>
        <v>#N/A N/A</v>
      </c>
      <c r="AU12" s="229" t="str">
        <f>[32]PnL!AW12</f>
        <v>#N/A N/A</v>
      </c>
      <c r="AV12" s="229" t="str">
        <f>[32]PnL!AX12</f>
        <v>#N/A N/A</v>
      </c>
      <c r="AW12" s="229" t="str">
        <f>[32]PnL!AY12</f>
        <v>#N/A N/A</v>
      </c>
      <c r="AX12" s="229">
        <f>AA12+AB12</f>
        <v>308810</v>
      </c>
      <c r="AY12" s="229">
        <f>AD12+AC12</f>
        <v>359331.3469763475</v>
      </c>
      <c r="AZ12" s="229">
        <f>AE12+AF12</f>
        <v>397117.59202863922</v>
      </c>
      <c r="BA12" s="229">
        <f>AG12+AH12</f>
        <v>449815.56329868373</v>
      </c>
      <c r="BB12" s="229">
        <f>AI12+AJ12</f>
        <v>494048.09934171871</v>
      </c>
      <c r="BC12" s="229">
        <f>AK12+AL12</f>
        <v>555182.44266881724</v>
      </c>
      <c r="BD12" s="230"/>
      <c r="BE12" s="229">
        <f>[32]PnL!BH12</f>
        <v>101143</v>
      </c>
      <c r="BF12" s="229">
        <f>[32]PnL!BI12</f>
        <v>158273</v>
      </c>
      <c r="BG12" s="229">
        <f>[32]PnL!BJ12</f>
        <v>250266</v>
      </c>
      <c r="BH12" s="229">
        <f>[32]PnL!BK12</f>
        <v>376844</v>
      </c>
      <c r="BI12" s="229">
        <f>[32]PnL!BL12</f>
        <v>509711</v>
      </c>
      <c r="BJ12" s="229">
        <f>SUM(AA12:AD12)</f>
        <v>668141.3469763475</v>
      </c>
      <c r="BK12" s="229">
        <f>SUM(AE12:AH12)</f>
        <v>846933.15532732289</v>
      </c>
      <c r="BL12" s="229">
        <f>SUM(AI12:AL12)</f>
        <v>1049230.542010536</v>
      </c>
      <c r="BM12" s="231">
        <f>OperatingMetrics!BD226</f>
        <v>1266132.2308964995</v>
      </c>
      <c r="BN12" s="231">
        <f>OperatingMetrics!BE226</f>
        <v>1485157.9310614143</v>
      </c>
      <c r="BO12" s="231">
        <f>OperatingMetrics!BF226</f>
        <v>1697327.5794502099</v>
      </c>
      <c r="BP12" s="231">
        <f>OperatingMetrics!BG226</f>
        <v>1897580.0183620527</v>
      </c>
      <c r="BQ12" s="231">
        <f>OperatingMetrics!BH226</f>
        <v>2084152.6478540078</v>
      </c>
      <c r="BR12" s="231">
        <f>OperatingMetrics!BI226</f>
        <v>2257844.6723576463</v>
      </c>
      <c r="BS12" s="231">
        <f>OperatingMetrics!BJ226</f>
        <v>2419764.627803436</v>
      </c>
      <c r="BT12" s="203"/>
      <c r="BU12" s="203"/>
    </row>
    <row r="13" spans="1:73" s="459" customFormat="1" ht="12.75" customHeight="1" x14ac:dyDescent="0.35">
      <c r="A13" s="452"/>
      <c r="B13" s="460"/>
      <c r="C13" s="460" t="s">
        <v>386</v>
      </c>
      <c r="D13" s="461"/>
      <c r="E13" s="461"/>
      <c r="F13" s="460"/>
      <c r="G13" s="460"/>
      <c r="H13" s="460"/>
      <c r="I13" s="462"/>
      <c r="J13" s="462"/>
      <c r="K13" s="462"/>
      <c r="L13" s="462"/>
      <c r="M13" s="462"/>
      <c r="N13" s="462"/>
      <c r="O13" s="462"/>
      <c r="P13" s="462"/>
      <c r="Q13" s="462"/>
      <c r="R13" s="462"/>
      <c r="S13" s="462"/>
      <c r="T13" s="462"/>
      <c r="U13" s="462"/>
      <c r="V13" s="462"/>
      <c r="W13" s="462"/>
      <c r="X13" s="462"/>
      <c r="Y13" s="462"/>
      <c r="Z13" s="462"/>
      <c r="AA13" s="462"/>
      <c r="AB13" s="462"/>
      <c r="AC13" s="462">
        <f>[32]PnL!AC12</f>
        <v>217559.682</v>
      </c>
      <c r="AD13" s="462">
        <f>[32]PnL!AD12</f>
        <v>179499.217</v>
      </c>
      <c r="AE13" s="462">
        <f>[32]PnL!AE12</f>
        <v>216140.93299999999</v>
      </c>
      <c r="AF13" s="462">
        <f>[32]PnL!AF12</f>
        <v>216467.64300000001</v>
      </c>
      <c r="AG13" s="462">
        <f>[32]PnL!AG12</f>
        <v>277524</v>
      </c>
      <c r="AH13" s="462">
        <f>[32]PnL!AH12</f>
        <v>222403.25</v>
      </c>
      <c r="AI13" s="462">
        <f>[32]PnL!AI12</f>
        <v>263997</v>
      </c>
      <c r="AJ13" s="462">
        <f>[32]PnL!AJ12</f>
        <v>262736.2</v>
      </c>
      <c r="AK13" s="462">
        <f>[32]PnL!AK12</f>
        <v>331486.40000000002</v>
      </c>
      <c r="AL13" s="462">
        <f>[32]PnL!AL12</f>
        <v>267990.40000000002</v>
      </c>
      <c r="AM13" s="462"/>
      <c r="AN13" s="462"/>
      <c r="AO13" s="462"/>
      <c r="AP13" s="462"/>
      <c r="AQ13" s="462"/>
      <c r="AR13" s="462"/>
      <c r="AS13" s="462"/>
      <c r="AT13" s="462"/>
      <c r="AU13" s="462"/>
      <c r="AV13" s="462"/>
      <c r="AW13" s="462"/>
      <c r="AX13" s="462"/>
      <c r="AY13" s="462"/>
      <c r="AZ13" s="462"/>
      <c r="BA13" s="462"/>
      <c r="BB13" s="462"/>
      <c r="BC13" s="462"/>
      <c r="BD13" s="463"/>
      <c r="BE13" s="462"/>
      <c r="BF13" s="462"/>
      <c r="BG13" s="462"/>
      <c r="BH13" s="462"/>
      <c r="BI13" s="462"/>
      <c r="BJ13" s="462">
        <f>[32]PnL!BM12</f>
        <v>699522.478</v>
      </c>
      <c r="BK13" s="462">
        <f>[32]PnL!BN12</f>
        <v>914981.304</v>
      </c>
      <c r="BL13" s="462">
        <f>[32]PnL!BO12</f>
        <v>1100414.939</v>
      </c>
      <c r="BM13" s="462"/>
      <c r="BN13" s="462"/>
      <c r="BO13" s="462"/>
      <c r="BP13" s="462"/>
      <c r="BQ13" s="462"/>
      <c r="BR13" s="462"/>
      <c r="BS13" s="462"/>
      <c r="BT13" s="458"/>
      <c r="BU13" s="458"/>
    </row>
    <row r="14" spans="1:73" s="459" customFormat="1" ht="12.75" customHeight="1" x14ac:dyDescent="0.35">
      <c r="A14" s="452"/>
      <c r="B14" s="465"/>
      <c r="C14" s="465"/>
      <c r="D14" s="464" t="s">
        <v>390</v>
      </c>
      <c r="E14" s="461"/>
      <c r="F14" s="465"/>
      <c r="G14" s="465"/>
      <c r="H14" s="465"/>
      <c r="I14" s="466"/>
      <c r="J14" s="466"/>
      <c r="K14" s="466"/>
      <c r="L14" s="466"/>
      <c r="M14" s="466"/>
      <c r="N14" s="466"/>
      <c r="O14" s="466"/>
      <c r="P14" s="466"/>
      <c r="Q14" s="466"/>
      <c r="R14" s="466"/>
      <c r="S14" s="466"/>
      <c r="T14" s="466"/>
      <c r="U14" s="466"/>
      <c r="V14" s="466"/>
      <c r="W14" s="466"/>
      <c r="X14" s="466"/>
      <c r="Y14" s="466"/>
      <c r="Z14" s="466"/>
      <c r="AA14" s="466"/>
      <c r="AB14" s="466"/>
      <c r="AC14" s="468">
        <f t="shared" ref="AC14:AL14" si="4">AC12/AC13-1</f>
        <v>-5.9366990709915357E-2</v>
      </c>
      <c r="AD14" s="468">
        <f t="shared" si="4"/>
        <v>-0.13822727930621737</v>
      </c>
      <c r="AE14" s="468">
        <f t="shared" si="4"/>
        <v>-0.10146901568959321</v>
      </c>
      <c r="AF14" s="468">
        <f t="shared" si="4"/>
        <v>-6.2639275143862805E-2</v>
      </c>
      <c r="AG14" s="468">
        <f t="shared" si="4"/>
        <v>-6.8631423980082595E-2</v>
      </c>
      <c r="AH14" s="468">
        <f t="shared" si="4"/>
        <v>-0.13967790215596132</v>
      </c>
      <c r="AI14" s="468">
        <f t="shared" si="4"/>
        <v>-9.073186991741844E-2</v>
      </c>
      <c r="AJ14" s="468">
        <f t="shared" si="4"/>
        <v>-3.3235462778606562E-2</v>
      </c>
      <c r="AK14" s="468">
        <f t="shared" si="4"/>
        <v>-3.7639895842434989E-2</v>
      </c>
      <c r="AL14" s="468">
        <f t="shared" si="4"/>
        <v>-0.11872531166041433</v>
      </c>
      <c r="AM14" s="466"/>
      <c r="AN14" s="466"/>
      <c r="AO14" s="466"/>
      <c r="AP14" s="466"/>
      <c r="AQ14" s="466"/>
      <c r="AR14" s="466"/>
      <c r="AS14" s="466"/>
      <c r="AT14" s="466"/>
      <c r="AU14" s="466"/>
      <c r="AV14" s="466"/>
      <c r="AW14" s="466"/>
      <c r="AX14" s="466"/>
      <c r="AY14" s="466"/>
      <c r="AZ14" s="466"/>
      <c r="BA14" s="466"/>
      <c r="BB14" s="466"/>
      <c r="BC14" s="466"/>
      <c r="BD14" s="467"/>
      <c r="BE14" s="466"/>
      <c r="BF14" s="466"/>
      <c r="BG14" s="466"/>
      <c r="BH14" s="466"/>
      <c r="BI14" s="466"/>
      <c r="BJ14" s="468">
        <f>BJ12/BJ13-1</f>
        <v>-4.4860790054058186E-2</v>
      </c>
      <c r="BK14" s="466"/>
      <c r="BL14" s="466"/>
      <c r="BM14" s="466"/>
      <c r="BN14" s="466"/>
      <c r="BO14" s="466"/>
      <c r="BP14" s="466"/>
      <c r="BQ14" s="466"/>
      <c r="BR14" s="466"/>
      <c r="BS14" s="466"/>
      <c r="BT14" s="458"/>
      <c r="BU14" s="458"/>
    </row>
    <row r="15" spans="1:73" s="459" customFormat="1" ht="12.75" customHeight="1" x14ac:dyDescent="0.35">
      <c r="A15" s="452"/>
      <c r="B15" s="453"/>
      <c r="C15" s="453"/>
      <c r="D15" s="454"/>
      <c r="E15" s="454"/>
      <c r="F15" s="453"/>
      <c r="G15" s="453"/>
      <c r="H15" s="453"/>
      <c r="I15" s="455"/>
      <c r="J15" s="455"/>
      <c r="K15" s="455"/>
      <c r="L15" s="455"/>
      <c r="M15" s="455"/>
      <c r="N15" s="455"/>
      <c r="O15" s="455"/>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5"/>
      <c r="AR15" s="455"/>
      <c r="AS15" s="455"/>
      <c r="AT15" s="455"/>
      <c r="AU15" s="455"/>
      <c r="AV15" s="455"/>
      <c r="AW15" s="455"/>
      <c r="AX15" s="455"/>
      <c r="AY15" s="455"/>
      <c r="AZ15" s="455"/>
      <c r="BA15" s="455"/>
      <c r="BB15" s="455"/>
      <c r="BC15" s="455"/>
      <c r="BD15" s="456"/>
      <c r="BE15" s="455"/>
      <c r="BF15" s="455"/>
      <c r="BG15" s="455"/>
      <c r="BH15" s="455"/>
      <c r="BI15" s="455"/>
      <c r="BJ15" s="455"/>
      <c r="BK15" s="455"/>
      <c r="BL15" s="455"/>
      <c r="BM15" s="457"/>
      <c r="BN15" s="457"/>
      <c r="BO15" s="457"/>
      <c r="BP15" s="457"/>
      <c r="BQ15" s="457"/>
      <c r="BR15" s="457"/>
      <c r="BS15" s="457"/>
      <c r="BT15" s="458"/>
      <c r="BU15" s="458"/>
    </row>
    <row r="16" spans="1:73" ht="12.75" customHeight="1" x14ac:dyDescent="0.35">
      <c r="A16" s="144" t="s">
        <v>120</v>
      </c>
      <c r="B16" s="223"/>
      <c r="C16" s="232" t="s">
        <v>121</v>
      </c>
      <c r="D16" s="223"/>
      <c r="E16" s="223"/>
      <c r="F16" s="232"/>
      <c r="G16" s="232"/>
      <c r="H16" s="232"/>
      <c r="I16" s="233">
        <f>[32]PnL!I13</f>
        <v>10951</v>
      </c>
      <c r="J16" s="233">
        <f>[32]PnL!J13</f>
        <v>9562</v>
      </c>
      <c r="K16" s="233">
        <f>[32]PnL!K13</f>
        <v>11744</v>
      </c>
      <c r="L16" s="233">
        <f>[32]PnL!L13</f>
        <v>13123</v>
      </c>
      <c r="M16" s="233">
        <f>[32]PnL!M13</f>
        <v>19126</v>
      </c>
      <c r="N16" s="233">
        <f>[32]PnL!N13</f>
        <v>15490</v>
      </c>
      <c r="O16" s="233">
        <f>[32]PnL!O13</f>
        <v>17460</v>
      </c>
      <c r="P16" s="233">
        <f>[32]PnL!P13</f>
        <v>22002</v>
      </c>
      <c r="Q16" s="233">
        <f>[32]PnL!Q13</f>
        <v>35078</v>
      </c>
      <c r="R16" s="233">
        <f>[32]PnL!R13</f>
        <v>32504</v>
      </c>
      <c r="S16" s="233">
        <f>[32]PnL!S13</f>
        <v>43720</v>
      </c>
      <c r="T16" s="233">
        <f>[32]PnL!T13</f>
        <v>46786</v>
      </c>
      <c r="U16" s="233">
        <f>[32]PnL!U13</f>
        <v>60813</v>
      </c>
      <c r="V16" s="233">
        <f>[32]PnL!V13</f>
        <v>55610</v>
      </c>
      <c r="W16" s="233">
        <f>[32]PnL!W13</f>
        <v>59987</v>
      </c>
      <c r="X16" s="233">
        <f>[32]PnL!X13</f>
        <v>65546</v>
      </c>
      <c r="Y16" s="233">
        <f>[32]PnL!Y13</f>
        <v>84332</v>
      </c>
      <c r="Z16" s="233">
        <f>[32]PnL!Z13</f>
        <v>72502</v>
      </c>
      <c r="AA16" s="233">
        <f>[32]PnL!AA13</f>
        <v>84523</v>
      </c>
      <c r="AB16" s="233">
        <f>[32]PnL!AB13</f>
        <v>89960</v>
      </c>
      <c r="AC16" s="234">
        <f t="shared" ref="AC16" si="5">AC12-AC17</f>
        <v>110982.8184670535</v>
      </c>
      <c r="AD16" s="234">
        <f>AD12-AD17</f>
        <v>95097.573811475246</v>
      </c>
      <c r="AE16" s="234">
        <f t="shared" ref="AE16:AK16" si="6">AE12-AE17</f>
        <v>110648.72657681249</v>
      </c>
      <c r="AF16" s="234">
        <f t="shared" si="6"/>
        <v>121778.69543557669</v>
      </c>
      <c r="AG16" s="234">
        <f t="shared" si="6"/>
        <v>145347.34485903068</v>
      </c>
      <c r="AH16" s="234">
        <f t="shared" si="6"/>
        <v>119542.90940577847</v>
      </c>
      <c r="AI16" s="234">
        <f t="shared" si="6"/>
        <v>139163.02580850321</v>
      </c>
      <c r="AJ16" s="234">
        <f t="shared" si="6"/>
        <v>154984.69542334048</v>
      </c>
      <c r="AK16" s="234">
        <f t="shared" si="6"/>
        <v>182575.99166820865</v>
      </c>
      <c r="AL16" s="234">
        <f>AL12-AL17</f>
        <v>149916.12578742707</v>
      </c>
      <c r="AM16" s="234"/>
      <c r="AN16" s="234">
        <f>[32]PnL!AP13</f>
        <v>0</v>
      </c>
      <c r="AO16" s="234">
        <f>[32]PnL!AQ13</f>
        <v>0</v>
      </c>
      <c r="AP16" s="234">
        <f>[32]PnL!AR13</f>
        <v>0</v>
      </c>
      <c r="AQ16" s="234">
        <f>[32]PnL!AS13</f>
        <v>0</v>
      </c>
      <c r="AR16" s="234">
        <f>[32]PnL!AT13</f>
        <v>0</v>
      </c>
      <c r="AS16" s="234">
        <f>[32]PnL!AU13</f>
        <v>0</v>
      </c>
      <c r="AT16" s="234">
        <f>[32]PnL!AV13</f>
        <v>0</v>
      </c>
      <c r="AU16" s="234">
        <f>[32]PnL!AW13</f>
        <v>0</v>
      </c>
      <c r="AV16" s="234">
        <f>[32]PnL!AX13</f>
        <v>0</v>
      </c>
      <c r="AW16" s="234">
        <f>[32]PnL!AY13</f>
        <v>0</v>
      </c>
      <c r="AX16" s="234" t="e">
        <f t="shared" ref="AX16" si="7">AX12-AX17</f>
        <v>#DIV/0!</v>
      </c>
      <c r="AY16" s="234" t="e">
        <f t="shared" ref="AY16:BC16" si="8">AY12-AY17</f>
        <v>#DIV/0!</v>
      </c>
      <c r="AZ16" s="234" t="e">
        <f t="shared" si="8"/>
        <v>#DIV/0!</v>
      </c>
      <c r="BA16" s="234" t="e">
        <f t="shared" si="8"/>
        <v>#DIV/0!</v>
      </c>
      <c r="BB16" s="234" t="e">
        <f t="shared" si="8"/>
        <v>#DIV/0!</v>
      </c>
      <c r="BC16" s="234" t="e">
        <f t="shared" si="8"/>
        <v>#DIV/0!</v>
      </c>
      <c r="BD16" s="233"/>
      <c r="BE16" s="233">
        <f>[32]PnL!BH13</f>
        <v>34355</v>
      </c>
      <c r="BF16" s="233">
        <f>[32]PnL!BI13</f>
        <v>59483</v>
      </c>
      <c r="BG16" s="233">
        <f>[32]PnL!BJ13</f>
        <v>107044</v>
      </c>
      <c r="BH16" s="233">
        <f>[32]PnL!BK13</f>
        <v>206929</v>
      </c>
      <c r="BI16" s="233">
        <f>[32]PnL!BL13</f>
        <v>282367</v>
      </c>
      <c r="BJ16" s="233">
        <f>SUM(AA16:AD16)</f>
        <v>380563.39227852871</v>
      </c>
      <c r="BK16" s="234">
        <f t="shared" ref="BK16:BK41" si="9">SUM(AE16:AH16)</f>
        <v>497317.6762771983</v>
      </c>
      <c r="BL16" s="234">
        <f>SUM(AI16:AL16)</f>
        <v>626639.83868747938</v>
      </c>
      <c r="BM16" s="235">
        <f>BM12-BM17</f>
        <v>759962.57207943895</v>
      </c>
      <c r="BN16" s="235">
        <f t="shared" ref="BN16:BS16" si="10">BN12-BN17</f>
        <v>895884.12312718621</v>
      </c>
      <c r="BO16" s="235">
        <f t="shared" si="10"/>
        <v>1028989.4713311959</v>
      </c>
      <c r="BP16" s="235">
        <f t="shared" si="10"/>
        <v>1156142.6521085342</v>
      </c>
      <c r="BQ16" s="235">
        <f t="shared" si="10"/>
        <v>1276165.2394652073</v>
      </c>
      <c r="BR16" s="235">
        <f t="shared" si="10"/>
        <v>1389432.6811383618</v>
      </c>
      <c r="BS16" s="235">
        <f t="shared" si="10"/>
        <v>1496520.3745734624</v>
      </c>
      <c r="BT16" s="203"/>
      <c r="BU16" s="203"/>
    </row>
    <row r="17" spans="1:73" ht="12.75" customHeight="1" x14ac:dyDescent="0.35">
      <c r="A17" s="144" t="s">
        <v>122</v>
      </c>
      <c r="B17" s="236" t="s">
        <v>17</v>
      </c>
      <c r="C17" s="223"/>
      <c r="D17" s="223"/>
      <c r="E17" s="223"/>
      <c r="F17" s="236"/>
      <c r="G17" s="236"/>
      <c r="H17" s="236"/>
      <c r="I17" s="237">
        <f>[32]PnL!I14</f>
        <v>23592</v>
      </c>
      <c r="J17" s="237">
        <f>[32]PnL!J14</f>
        <v>14622</v>
      </c>
      <c r="K17" s="237">
        <f>[32]PnL!K14</f>
        <v>20410</v>
      </c>
      <c r="L17" s="237">
        <f>[32]PnL!L14</f>
        <v>21169</v>
      </c>
      <c r="M17" s="237">
        <f>[32]PnL!M14</f>
        <v>34122</v>
      </c>
      <c r="N17" s="237">
        <f>[32]PnL!N14</f>
        <v>23089</v>
      </c>
      <c r="O17" s="237">
        <f>[32]PnL!O14</f>
        <v>32724</v>
      </c>
      <c r="P17" s="237">
        <f>[32]PnL!P14</f>
        <v>33120</v>
      </c>
      <c r="Q17" s="237">
        <f>[32]PnL!Q14</f>
        <v>47950</v>
      </c>
      <c r="R17" s="237">
        <f>[32]PnL!R14</f>
        <v>29428</v>
      </c>
      <c r="S17" s="237">
        <f>[32]PnL!S14</f>
        <v>37200</v>
      </c>
      <c r="T17" s="237">
        <f>[32]PnL!T14</f>
        <v>38362</v>
      </c>
      <c r="U17" s="237">
        <f>[32]PnL!U14</f>
        <v>56465</v>
      </c>
      <c r="V17" s="237">
        <f>[32]PnL!V14</f>
        <v>37888</v>
      </c>
      <c r="W17" s="237">
        <f>[32]PnL!W14</f>
        <v>54937</v>
      </c>
      <c r="X17" s="237">
        <f>[32]PnL!X14</f>
        <v>53471</v>
      </c>
      <c r="Y17" s="237">
        <f>[32]PnL!Y14</f>
        <v>77124</v>
      </c>
      <c r="Z17" s="237">
        <f>[32]PnL!Z14</f>
        <v>41812</v>
      </c>
      <c r="AA17" s="237">
        <f>[32]PnL!AA14</f>
        <v>69228</v>
      </c>
      <c r="AB17" s="237">
        <f>[32]PnL!AB14</f>
        <v>65099</v>
      </c>
      <c r="AC17" s="240">
        <f>AC12*AC72</f>
        <v>93660.999912800355</v>
      </c>
      <c r="AD17" s="237">
        <f t="shared" ref="AD17:AL17" si="11">AD12*AD72</f>
        <v>59589.954785018424</v>
      </c>
      <c r="AE17" s="237">
        <f t="shared" si="11"/>
        <v>83560.598701447176</v>
      </c>
      <c r="AF17" s="237">
        <f t="shared" si="11"/>
        <v>81129.571314802859</v>
      </c>
      <c r="AG17" s="237">
        <f t="shared" si="11"/>
        <v>113129.78783232089</v>
      </c>
      <c r="AH17" s="237">
        <f t="shared" si="11"/>
        <v>71795.52120155374</v>
      </c>
      <c r="AI17" s="237">
        <f t="shared" si="11"/>
        <v>100881.03272890805</v>
      </c>
      <c r="AJ17" s="237">
        <f t="shared" si="11"/>
        <v>99019.345380966974</v>
      </c>
      <c r="AK17" s="237">
        <f t="shared" si="11"/>
        <v>136433.29476260763</v>
      </c>
      <c r="AL17" s="237">
        <f t="shared" si="11"/>
        <v>86257.030450573846</v>
      </c>
      <c r="AM17" s="237"/>
      <c r="AN17" s="237">
        <f>[32]PnL!AP14</f>
        <v>0</v>
      </c>
      <c r="AO17" s="237">
        <f>[32]PnL!AQ14</f>
        <v>0</v>
      </c>
      <c r="AP17" s="237">
        <f>[32]PnL!AR14</f>
        <v>0</v>
      </c>
      <c r="AQ17" s="237">
        <f>[32]PnL!AS14</f>
        <v>0</v>
      </c>
      <c r="AR17" s="237">
        <f>[32]PnL!AT14</f>
        <v>0</v>
      </c>
      <c r="AS17" s="237">
        <f>[32]PnL!AU14</f>
        <v>0</v>
      </c>
      <c r="AT17" s="237">
        <f>[32]PnL!AV14</f>
        <v>0</v>
      </c>
      <c r="AU17" s="237">
        <f>[32]PnL!AW14</f>
        <v>0</v>
      </c>
      <c r="AV17" s="237">
        <f>[32]PnL!AX14</f>
        <v>0</v>
      </c>
      <c r="AW17" s="237">
        <f>[32]PnL!AY14</f>
        <v>0</v>
      </c>
      <c r="AX17" s="237" t="e">
        <f t="shared" ref="AX17:BC17" si="12">AX12*AX72</f>
        <v>#DIV/0!</v>
      </c>
      <c r="AY17" s="237" t="e">
        <f t="shared" si="12"/>
        <v>#DIV/0!</v>
      </c>
      <c r="AZ17" s="237" t="e">
        <f t="shared" si="12"/>
        <v>#DIV/0!</v>
      </c>
      <c r="BA17" s="237" t="e">
        <f t="shared" si="12"/>
        <v>#DIV/0!</v>
      </c>
      <c r="BB17" s="237" t="e">
        <f t="shared" si="12"/>
        <v>#DIV/0!</v>
      </c>
      <c r="BC17" s="237" t="e">
        <f t="shared" si="12"/>
        <v>#DIV/0!</v>
      </c>
      <c r="BD17" s="237"/>
      <c r="BE17" s="237">
        <f>[32]PnL!BH14</f>
        <v>66788</v>
      </c>
      <c r="BF17" s="237">
        <f>[32]PnL!BI14</f>
        <v>98790</v>
      </c>
      <c r="BG17" s="237">
        <f>[32]PnL!BJ14</f>
        <v>143222</v>
      </c>
      <c r="BH17" s="237">
        <f>[32]PnL!BK14</f>
        <v>169915</v>
      </c>
      <c r="BI17" s="237">
        <f>[32]PnL!BL14</f>
        <v>227344</v>
      </c>
      <c r="BJ17" s="237">
        <f t="shared" ref="BJ17:BJ40" si="13">SUM(AA17:AD17)</f>
        <v>287577.95469781879</v>
      </c>
      <c r="BK17" s="237">
        <f t="shared" si="9"/>
        <v>349615.4790501247</v>
      </c>
      <c r="BL17" s="238">
        <f>SUM(AI17:AL17)</f>
        <v>422590.70332305651</v>
      </c>
      <c r="BM17" s="238">
        <f>BM12*BM72</f>
        <v>506169.65881706058</v>
      </c>
      <c r="BN17" s="238">
        <f t="shared" ref="BN17:BS17" si="14">BN12*BN72</f>
        <v>589273.8079342281</v>
      </c>
      <c r="BO17" s="238">
        <f t="shared" si="14"/>
        <v>668338.10811901395</v>
      </c>
      <c r="BP17" s="238">
        <f t="shared" si="14"/>
        <v>741437.3662535185</v>
      </c>
      <c r="BQ17" s="238">
        <f t="shared" si="14"/>
        <v>807987.40838880045</v>
      </c>
      <c r="BR17" s="238">
        <f t="shared" si="14"/>
        <v>868411.99121928448</v>
      </c>
      <c r="BS17" s="238">
        <f t="shared" si="14"/>
        <v>923244.2532299736</v>
      </c>
      <c r="BT17" s="203"/>
      <c r="BU17" s="203"/>
    </row>
    <row r="18" spans="1:73" ht="12.75" customHeight="1" x14ac:dyDescent="0.35">
      <c r="A18" s="144" t="s">
        <v>123</v>
      </c>
      <c r="B18" s="172"/>
      <c r="C18" s="223"/>
      <c r="D18" s="223"/>
      <c r="E18" s="223"/>
      <c r="F18" s="172"/>
      <c r="G18" s="172"/>
      <c r="H18" s="172"/>
      <c r="I18" s="237"/>
      <c r="J18" s="237"/>
      <c r="K18" s="237"/>
      <c r="L18" s="237"/>
      <c r="M18" s="237"/>
      <c r="N18" s="237"/>
      <c r="O18" s="237"/>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c r="AX18" s="237"/>
      <c r="AY18" s="237"/>
      <c r="AZ18" s="237"/>
      <c r="BA18" s="237"/>
      <c r="BB18" s="237"/>
      <c r="BC18" s="237"/>
      <c r="BD18" s="237"/>
      <c r="BE18" s="237"/>
      <c r="BF18" s="237"/>
      <c r="BG18" s="237"/>
      <c r="BH18" s="237"/>
      <c r="BI18" s="237"/>
      <c r="BJ18" s="237"/>
      <c r="BK18" s="237"/>
      <c r="BL18" s="237"/>
      <c r="BM18" s="235"/>
      <c r="BN18" s="235"/>
      <c r="BO18" s="235"/>
      <c r="BP18" s="235"/>
      <c r="BQ18" s="235"/>
      <c r="BR18" s="235"/>
      <c r="BS18" s="235"/>
      <c r="BT18" s="203"/>
      <c r="BU18" s="203"/>
    </row>
    <row r="19" spans="1:73" ht="12.75" customHeight="1" x14ac:dyDescent="0.35">
      <c r="A19" s="144" t="s">
        <v>124</v>
      </c>
      <c r="B19" s="223"/>
      <c r="C19" s="232" t="s">
        <v>125</v>
      </c>
      <c r="D19" s="223"/>
      <c r="E19" s="223"/>
      <c r="F19" s="232"/>
      <c r="G19" s="232"/>
      <c r="H19" s="232"/>
      <c r="I19" s="233">
        <f>[32]PnL!I16</f>
        <v>11158</v>
      </c>
      <c r="J19" s="233">
        <f>[32]PnL!J16</f>
        <v>9510</v>
      </c>
      <c r="K19" s="233">
        <f>[32]PnL!K16</f>
        <v>11596</v>
      </c>
      <c r="L19" s="233">
        <f>[32]PnL!L16</f>
        <v>12124</v>
      </c>
      <c r="M19" s="233">
        <f>[32]PnL!M16</f>
        <v>13458</v>
      </c>
      <c r="N19" s="233">
        <f>[32]PnL!N16</f>
        <v>13557</v>
      </c>
      <c r="O19" s="233">
        <f>[32]PnL!O16</f>
        <v>15211</v>
      </c>
      <c r="P19" s="233">
        <f>[32]PnL!P16</f>
        <v>16536</v>
      </c>
      <c r="Q19" s="233">
        <f>[32]PnL!Q16</f>
        <v>21954</v>
      </c>
      <c r="R19" s="233">
        <f>[32]PnL!R16</f>
        <v>20207</v>
      </c>
      <c r="S19" s="233">
        <f>[32]PnL!S16</f>
        <v>29180</v>
      </c>
      <c r="T19" s="233">
        <f>[32]PnL!T16</f>
        <v>24861</v>
      </c>
      <c r="U19" s="233">
        <f>[32]PnL!U16</f>
        <v>29667</v>
      </c>
      <c r="V19" s="233">
        <f>[32]PnL!V16</f>
        <v>29123</v>
      </c>
      <c r="W19" s="233">
        <f>[32]PnL!W16</f>
        <v>30562</v>
      </c>
      <c r="X19" s="233">
        <f>[32]PnL!X16</f>
        <v>33107</v>
      </c>
      <c r="Y19" s="233">
        <f>[32]PnL!Y16</f>
        <v>37564</v>
      </c>
      <c r="Z19" s="233">
        <f>[32]PnL!Z16</f>
        <v>34681</v>
      </c>
      <c r="AA19" s="233">
        <f>[32]PnL!AA16</f>
        <v>34523</v>
      </c>
      <c r="AB19" s="233">
        <f>[32]PnL!AB16</f>
        <v>51465</v>
      </c>
      <c r="AC19" s="234">
        <f t="shared" ref="AC19:AL19" si="15">AC12*AC74</f>
        <v>48160.426875201709</v>
      </c>
      <c r="AD19" s="234">
        <f t="shared" si="15"/>
        <v>46788.2125980161</v>
      </c>
      <c r="AE19" s="234">
        <f t="shared" si="15"/>
        <v>44091.936949548537</v>
      </c>
      <c r="AF19" s="234">
        <f t="shared" si="15"/>
        <v>68313.22599986702</v>
      </c>
      <c r="AG19" s="234">
        <f t="shared" si="15"/>
        <v>61842.584637431828</v>
      </c>
      <c r="AH19" s="234">
        <f t="shared" si="15"/>
        <v>58572.105296463269</v>
      </c>
      <c r="AI19" s="234">
        <f t="shared" si="15"/>
        <v>55424.82387286122</v>
      </c>
      <c r="AJ19" s="234">
        <f t="shared" si="15"/>
        <v>87206.184200972639</v>
      </c>
      <c r="AK19" s="234">
        <f t="shared" si="15"/>
        <v>77969.540830204831</v>
      </c>
      <c r="AL19" s="234">
        <f t="shared" si="15"/>
        <v>73476.944773793366</v>
      </c>
      <c r="AM19" s="234"/>
      <c r="AN19" s="234">
        <f>[32]PnL!AP16</f>
        <v>0</v>
      </c>
      <c r="AO19" s="234">
        <f>[32]PnL!AQ16</f>
        <v>0</v>
      </c>
      <c r="AP19" s="234">
        <f>[32]PnL!AR16</f>
        <v>0</v>
      </c>
      <c r="AQ19" s="234">
        <f>[32]PnL!AS16</f>
        <v>0</v>
      </c>
      <c r="AR19" s="234">
        <f>[32]PnL!AT16</f>
        <v>0</v>
      </c>
      <c r="AS19" s="234">
        <f>[32]PnL!AU16</f>
        <v>0</v>
      </c>
      <c r="AT19" s="234">
        <f>[32]PnL!AV16</f>
        <v>0</v>
      </c>
      <c r="AU19" s="234">
        <f>[32]PnL!AW16</f>
        <v>0</v>
      </c>
      <c r="AV19" s="234">
        <f>[32]PnL!AX16</f>
        <v>0</v>
      </c>
      <c r="AW19" s="234">
        <f>[32]PnL!AY16</f>
        <v>0</v>
      </c>
      <c r="AX19" s="234" t="e">
        <f t="shared" ref="AX19:BC19" si="16">AX12*AX74</f>
        <v>#DIV/0!</v>
      </c>
      <c r="AY19" s="234" t="e">
        <f t="shared" si="16"/>
        <v>#DIV/0!</v>
      </c>
      <c r="AZ19" s="234" t="e">
        <f t="shared" si="16"/>
        <v>#DIV/0!</v>
      </c>
      <c r="BA19" s="234" t="e">
        <f t="shared" si="16"/>
        <v>#DIV/0!</v>
      </c>
      <c r="BB19" s="234" t="e">
        <f t="shared" si="16"/>
        <v>#DIV/0!</v>
      </c>
      <c r="BC19" s="234" t="e">
        <f t="shared" si="16"/>
        <v>#DIV/0!</v>
      </c>
      <c r="BD19" s="237"/>
      <c r="BE19" s="233">
        <f>[32]PnL!BH16</f>
        <v>37686</v>
      </c>
      <c r="BF19" s="233">
        <f>[32]PnL!BI16</f>
        <v>50735</v>
      </c>
      <c r="BG19" s="233">
        <f>[32]PnL!BJ16</f>
        <v>73908</v>
      </c>
      <c r="BH19" s="233">
        <f>[32]PnL!BK16</f>
        <v>112831</v>
      </c>
      <c r="BI19" s="233">
        <f>[32]PnL!BL16</f>
        <v>135914</v>
      </c>
      <c r="BJ19" s="233">
        <f t="shared" si="13"/>
        <v>180936.6394732178</v>
      </c>
      <c r="BK19" s="234">
        <f t="shared" si="9"/>
        <v>232819.85288331067</v>
      </c>
      <c r="BL19" s="234">
        <f>SUM(AI19:AL19)</f>
        <v>294077.49367783207</v>
      </c>
      <c r="BM19" s="234">
        <f>BM12*BM74</f>
        <v>352150.85695062682</v>
      </c>
      <c r="BN19" s="234">
        <f t="shared" ref="BN19:BS19" si="17">BN12*BN74</f>
        <v>410792.9040323472</v>
      </c>
      <c r="BO19" s="234">
        <f t="shared" si="17"/>
        <v>467599.30848972185</v>
      </c>
      <c r="BP19" s="234">
        <f t="shared" si="17"/>
        <v>521214.99350776133</v>
      </c>
      <c r="BQ19" s="234">
        <f t="shared" si="17"/>
        <v>571168.03972375148</v>
      </c>
      <c r="BR19" s="234">
        <f t="shared" si="17"/>
        <v>617672.42651942174</v>
      </c>
      <c r="BS19" s="234">
        <f t="shared" si="17"/>
        <v>661024.95384188939</v>
      </c>
      <c r="BT19" s="203"/>
      <c r="BU19" s="203"/>
    </row>
    <row r="20" spans="1:73" ht="12.75" customHeight="1" x14ac:dyDescent="0.35">
      <c r="A20" s="144" t="s">
        <v>126</v>
      </c>
      <c r="B20" s="223"/>
      <c r="C20" s="223"/>
      <c r="D20" s="239" t="s">
        <v>127</v>
      </c>
      <c r="E20" s="223"/>
      <c r="F20" s="239"/>
      <c r="G20" s="239"/>
      <c r="H20" s="239"/>
      <c r="I20" s="233">
        <f>[32]PnL!I17</f>
        <v>3641</v>
      </c>
      <c r="J20" s="233">
        <f>[32]PnL!J17</f>
        <v>2861</v>
      </c>
      <c r="K20" s="233">
        <f>[32]PnL!K17</f>
        <v>3614</v>
      </c>
      <c r="L20" s="233">
        <f>[32]PnL!L17</f>
        <v>3878</v>
      </c>
      <c r="M20" s="233">
        <f>[32]PnL!M17</f>
        <v>4490</v>
      </c>
      <c r="N20" s="233">
        <f>[32]PnL!N17</f>
        <v>4332</v>
      </c>
      <c r="O20" s="233">
        <f>[32]PnL!O17</f>
        <v>4850</v>
      </c>
      <c r="P20" s="233">
        <f>[32]PnL!P17</f>
        <v>6266</v>
      </c>
      <c r="Q20" s="233">
        <f>[32]PnL!Q17</f>
        <v>8542</v>
      </c>
      <c r="R20" s="233">
        <f>[32]PnL!R17</f>
        <v>7641</v>
      </c>
      <c r="S20" s="233">
        <f>[32]PnL!S17</f>
        <v>8921</v>
      </c>
      <c r="T20" s="233">
        <f>[32]PnL!T17</f>
        <v>9106</v>
      </c>
      <c r="U20" s="233">
        <f>[32]PnL!U17</f>
        <v>12104</v>
      </c>
      <c r="V20" s="233">
        <f>[32]PnL!V17</f>
        <v>9649</v>
      </c>
      <c r="W20" s="233">
        <f>[32]PnL!W17</f>
        <v>10698</v>
      </c>
      <c r="X20" s="233">
        <f>[32]PnL!X17</f>
        <v>11996</v>
      </c>
      <c r="Y20" s="233">
        <f>[32]PnL!Y17</f>
        <v>15800</v>
      </c>
      <c r="Z20" s="233">
        <f>[32]PnL!Z17</f>
        <v>12179</v>
      </c>
      <c r="AA20" s="233">
        <f>[32]PnL!AA17</f>
        <v>13652</v>
      </c>
      <c r="AB20" s="233">
        <f>[32]PnL!AB17</f>
        <v>17371</v>
      </c>
      <c r="AC20" s="234">
        <f t="shared" ref="AC20:AL20" si="18">AC$12*AC75</f>
        <v>21027.654264454559</v>
      </c>
      <c r="AD20" s="234">
        <f t="shared" si="18"/>
        <v>17304.410494913405</v>
      </c>
      <c r="AE20" s="234">
        <f t="shared" si="18"/>
        <v>18106.633414636268</v>
      </c>
      <c r="AF20" s="234">
        <f t="shared" si="18"/>
        <v>23868.046851887899</v>
      </c>
      <c r="AG20" s="234">
        <f t="shared" si="18"/>
        <v>27887.11731318129</v>
      </c>
      <c r="AH20" s="234">
        <f t="shared" si="18"/>
        <v>22474.654004490138</v>
      </c>
      <c r="AI20" s="234">
        <f t="shared" si="18"/>
        <v>23498.91928888849</v>
      </c>
      <c r="AJ20" s="234">
        <f t="shared" si="18"/>
        <v>31372.350992685475</v>
      </c>
      <c r="AK20" s="234">
        <f t="shared" si="18"/>
        <v>36138.832736043783</v>
      </c>
      <c r="AL20" s="234">
        <f t="shared" si="18"/>
        <v>29127.99824105886</v>
      </c>
      <c r="AM20" s="234"/>
      <c r="AN20" s="234">
        <f>[32]PnL!AP17</f>
        <v>0</v>
      </c>
      <c r="AO20" s="234">
        <f>[32]PnL!AQ17</f>
        <v>0</v>
      </c>
      <c r="AP20" s="234">
        <f>[32]PnL!AR17</f>
        <v>0</v>
      </c>
      <c r="AQ20" s="234">
        <f>[32]PnL!AS17</f>
        <v>0</v>
      </c>
      <c r="AR20" s="234">
        <f>[32]PnL!AT17</f>
        <v>0</v>
      </c>
      <c r="AS20" s="234">
        <f>[32]PnL!AU17</f>
        <v>0</v>
      </c>
      <c r="AT20" s="234">
        <f>[32]PnL!AV17</f>
        <v>0</v>
      </c>
      <c r="AU20" s="234">
        <f>[32]PnL!AW17</f>
        <v>0</v>
      </c>
      <c r="AV20" s="234">
        <f>[32]PnL!AX17</f>
        <v>0</v>
      </c>
      <c r="AW20" s="234">
        <f>[32]PnL!AY17</f>
        <v>0</v>
      </c>
      <c r="AX20" s="234" t="e">
        <f t="shared" ref="AX20:BC23" si="19">AX$12*AX75</f>
        <v>#DIV/0!</v>
      </c>
      <c r="AY20" s="234" t="e">
        <f t="shared" si="19"/>
        <v>#DIV/0!</v>
      </c>
      <c r="AZ20" s="234" t="e">
        <f t="shared" si="19"/>
        <v>#DIV/0!</v>
      </c>
      <c r="BA20" s="234" t="e">
        <f t="shared" si="19"/>
        <v>#DIV/0!</v>
      </c>
      <c r="BB20" s="234" t="e">
        <f t="shared" si="19"/>
        <v>#DIV/0!</v>
      </c>
      <c r="BC20" s="234" t="e">
        <f t="shared" si="19"/>
        <v>#DIV/0!</v>
      </c>
      <c r="BD20" s="237"/>
      <c r="BE20" s="233">
        <f>[32]PnL!BH17</f>
        <v>11307</v>
      </c>
      <c r="BF20" s="233">
        <f>[32]PnL!BI17</f>
        <v>16314</v>
      </c>
      <c r="BG20" s="233">
        <f>[32]PnL!BJ17</f>
        <v>27299</v>
      </c>
      <c r="BH20" s="233">
        <f>[32]PnL!BK17</f>
        <v>39780</v>
      </c>
      <c r="BI20" s="233">
        <f>[32]PnL!BL17</f>
        <v>50673</v>
      </c>
      <c r="BJ20" s="233">
        <f t="shared" si="13"/>
        <v>69355.064759367961</v>
      </c>
      <c r="BK20" s="234">
        <f t="shared" si="9"/>
        <v>92336.451584195587</v>
      </c>
      <c r="BL20" s="234">
        <f t="shared" ref="BL20:BL24" si="20">SUM(AI20:AL20)</f>
        <v>120138.1012586766</v>
      </c>
      <c r="BM20" s="234">
        <f>BM10*BM75</f>
        <v>5196.2910847733538</v>
      </c>
      <c r="BN20" s="234">
        <f t="shared" ref="BN20:BS20" si="21">BN10*BN75</f>
        <v>5238.084003682663</v>
      </c>
      <c r="BO20" s="234">
        <f t="shared" si="21"/>
        <v>5279.8769225919723</v>
      </c>
      <c r="BP20" s="234">
        <f t="shared" si="21"/>
        <v>5321.6698415012816</v>
      </c>
      <c r="BQ20" s="234">
        <f t="shared" si="21"/>
        <v>5363.5772615582873</v>
      </c>
      <c r="BR20" s="234">
        <f t="shared" si="21"/>
        <v>5405.3701804675966</v>
      </c>
      <c r="BS20" s="234">
        <f t="shared" si="21"/>
        <v>5447.1630993769058</v>
      </c>
      <c r="BT20" s="203"/>
      <c r="BU20" s="203"/>
    </row>
    <row r="21" spans="1:73" ht="12.75" customHeight="1" x14ac:dyDescent="0.35">
      <c r="A21" s="144" t="s">
        <v>128</v>
      </c>
      <c r="B21" s="223"/>
      <c r="C21" s="223"/>
      <c r="D21" s="239" t="s">
        <v>129</v>
      </c>
      <c r="E21" s="223"/>
      <c r="F21" s="239"/>
      <c r="G21" s="239"/>
      <c r="H21" s="239"/>
      <c r="I21" s="233">
        <f>[32]PnL!I18</f>
        <v>2500</v>
      </c>
      <c r="J21" s="233">
        <f>[32]PnL!J18</f>
        <v>2333</v>
      </c>
      <c r="K21" s="233">
        <f>[32]PnL!K18</f>
        <v>2743</v>
      </c>
      <c r="L21" s="233">
        <f>[32]PnL!L18</f>
        <v>2815</v>
      </c>
      <c r="M21" s="233">
        <f>[32]PnL!M18</f>
        <v>3287</v>
      </c>
      <c r="N21" s="233">
        <f>[32]PnL!N18</f>
        <v>3394</v>
      </c>
      <c r="O21" s="233">
        <f>[32]PnL!O18</f>
        <v>3679</v>
      </c>
      <c r="P21" s="233">
        <f>[32]PnL!P18</f>
        <v>3439</v>
      </c>
      <c r="Q21" s="233">
        <f>[32]PnL!Q18</f>
        <v>4572</v>
      </c>
      <c r="R21" s="233">
        <f>[32]PnL!R18</f>
        <v>4551</v>
      </c>
      <c r="S21" s="233">
        <f>[32]PnL!S18</f>
        <v>6645</v>
      </c>
      <c r="T21" s="233">
        <f>[32]PnL!T18</f>
        <v>4779</v>
      </c>
      <c r="U21" s="233">
        <f>[32]PnL!U18</f>
        <v>5853</v>
      </c>
      <c r="V21" s="233">
        <f>[32]PnL!V18</f>
        <v>7612</v>
      </c>
      <c r="W21" s="233">
        <f>[32]PnL!W18</f>
        <v>6320</v>
      </c>
      <c r="X21" s="233">
        <f>[32]PnL!X18</f>
        <v>6591</v>
      </c>
      <c r="Y21" s="233">
        <f>[32]PnL!Y18</f>
        <v>7415</v>
      </c>
      <c r="Z21" s="233">
        <f>[32]PnL!Z18</f>
        <v>7871</v>
      </c>
      <c r="AA21" s="233">
        <f>[32]PnL!AA18</f>
        <v>6837</v>
      </c>
      <c r="AB21" s="233">
        <f>[32]PnL!AB18</f>
        <v>11961</v>
      </c>
      <c r="AC21" s="234">
        <f t="shared" ref="AC21:AL21" si="22">AC$12*AC76</f>
        <v>9680.3892743856832</v>
      </c>
      <c r="AD21" s="234">
        <f t="shared" si="22"/>
        <v>10970.413980006751</v>
      </c>
      <c r="AE21" s="234">
        <f t="shared" si="22"/>
        <v>8895.1839769190792</v>
      </c>
      <c r="AF21" s="234">
        <f t="shared" si="22"/>
        <v>16121.575348475928</v>
      </c>
      <c r="AG21" s="234">
        <f t="shared" si="22"/>
        <v>12593.705792202023</v>
      </c>
      <c r="AH21" s="234">
        <f t="shared" si="22"/>
        <v>13976.780594306119</v>
      </c>
      <c r="AI21" s="234">
        <f t="shared" si="22"/>
        <v>11324.343679188401</v>
      </c>
      <c r="AJ21" s="234">
        <f t="shared" si="22"/>
        <v>20786.701836609263</v>
      </c>
      <c r="AK21" s="234">
        <f t="shared" si="22"/>
        <v>16009.286114218648</v>
      </c>
      <c r="AL21" s="234">
        <f t="shared" si="22"/>
        <v>17769.397333413319</v>
      </c>
      <c r="AM21" s="234"/>
      <c r="AN21" s="234">
        <f>[32]PnL!AP18</f>
        <v>0</v>
      </c>
      <c r="AO21" s="234">
        <f>[32]PnL!AQ18</f>
        <v>0</v>
      </c>
      <c r="AP21" s="234">
        <f>[32]PnL!AR18</f>
        <v>0</v>
      </c>
      <c r="AQ21" s="234">
        <f>[32]PnL!AS18</f>
        <v>0</v>
      </c>
      <c r="AR21" s="234">
        <f>[32]PnL!AT18</f>
        <v>0</v>
      </c>
      <c r="AS21" s="234">
        <f>[32]PnL!AU18</f>
        <v>0</v>
      </c>
      <c r="AT21" s="234">
        <f>[32]PnL!AV18</f>
        <v>0</v>
      </c>
      <c r="AU21" s="234">
        <f>[32]PnL!AW18</f>
        <v>0</v>
      </c>
      <c r="AV21" s="234">
        <f>[32]PnL!AX18</f>
        <v>0</v>
      </c>
      <c r="AW21" s="234">
        <f>[32]PnL!AY18</f>
        <v>0</v>
      </c>
      <c r="AX21" s="234" t="e">
        <f t="shared" si="19"/>
        <v>#DIV/0!</v>
      </c>
      <c r="AY21" s="234" t="e">
        <f t="shared" si="19"/>
        <v>#DIV/0!</v>
      </c>
      <c r="AZ21" s="234" t="e">
        <f t="shared" si="19"/>
        <v>#DIV/0!</v>
      </c>
      <c r="BA21" s="234" t="e">
        <f t="shared" si="19"/>
        <v>#DIV/0!</v>
      </c>
      <c r="BB21" s="234" t="e">
        <f t="shared" si="19"/>
        <v>#DIV/0!</v>
      </c>
      <c r="BC21" s="234" t="e">
        <f t="shared" si="19"/>
        <v>#DIV/0!</v>
      </c>
      <c r="BD21" s="237"/>
      <c r="BE21" s="233">
        <f>[32]PnL!BH18</f>
        <v>9205</v>
      </c>
      <c r="BF21" s="233">
        <f>[32]PnL!BI18</f>
        <v>12239</v>
      </c>
      <c r="BG21" s="233">
        <f>[32]PnL!BJ18</f>
        <v>16241</v>
      </c>
      <c r="BH21" s="233">
        <f>[32]PnL!BK18</f>
        <v>24889</v>
      </c>
      <c r="BI21" s="233">
        <f>[32]PnL!BL18</f>
        <v>28197</v>
      </c>
      <c r="BJ21" s="233">
        <f t="shared" si="13"/>
        <v>39448.803254392435</v>
      </c>
      <c r="BK21" s="234">
        <f t="shared" si="9"/>
        <v>51587.245711903146</v>
      </c>
      <c r="BL21" s="234">
        <f t="shared" si="20"/>
        <v>65889.728963429632</v>
      </c>
      <c r="BM21" s="234">
        <f>BM12*BM76</f>
        <v>79510.752103892839</v>
      </c>
      <c r="BN21" s="234">
        <f t="shared" ref="BN21:BS21" si="23">BN12*BN76</f>
        <v>93265.159207061908</v>
      </c>
      <c r="BO21" s="234">
        <f t="shared" si="23"/>
        <v>106589.01899465044</v>
      </c>
      <c r="BP21" s="234">
        <f t="shared" si="23"/>
        <v>119164.50016476928</v>
      </c>
      <c r="BQ21" s="234">
        <f t="shared" si="23"/>
        <v>130880.91471524836</v>
      </c>
      <c r="BR21" s="234">
        <f t="shared" si="23"/>
        <v>141788.4511997698</v>
      </c>
      <c r="BS21" s="234">
        <f t="shared" si="23"/>
        <v>151956.72361552506</v>
      </c>
      <c r="BT21" s="203"/>
      <c r="BU21" s="203"/>
    </row>
    <row r="22" spans="1:73" ht="12.75" customHeight="1" x14ac:dyDescent="0.35">
      <c r="A22" s="144" t="s">
        <v>130</v>
      </c>
      <c r="B22" s="223"/>
      <c r="C22" s="223"/>
      <c r="D22" s="239" t="s">
        <v>131</v>
      </c>
      <c r="E22" s="223"/>
      <c r="F22" s="239"/>
      <c r="G22" s="239"/>
      <c r="H22" s="239"/>
      <c r="I22" s="233">
        <f>[32]PnL!I19</f>
        <v>3749</v>
      </c>
      <c r="J22" s="233">
        <f>[32]PnL!J19</f>
        <v>3573</v>
      </c>
      <c r="K22" s="233">
        <f>[32]PnL!K19</f>
        <v>3988</v>
      </c>
      <c r="L22" s="233">
        <f>[32]PnL!L19</f>
        <v>4134</v>
      </c>
      <c r="M22" s="233">
        <f>[32]PnL!M19</f>
        <v>4420</v>
      </c>
      <c r="N22" s="233">
        <f>[32]PnL!N19</f>
        <v>4518</v>
      </c>
      <c r="O22" s="233">
        <f>[32]PnL!O19</f>
        <v>4696</v>
      </c>
      <c r="P22" s="233">
        <f>[32]PnL!P19</f>
        <v>5083</v>
      </c>
      <c r="Q22" s="233">
        <f>[32]PnL!Q19</f>
        <v>6289</v>
      </c>
      <c r="R22" s="233">
        <f>[32]PnL!R19</f>
        <v>6686</v>
      </c>
      <c r="S22" s="233">
        <f>[32]PnL!S19</f>
        <v>11510</v>
      </c>
      <c r="T22" s="233">
        <f>[32]PnL!T19</f>
        <v>8365</v>
      </c>
      <c r="U22" s="233">
        <f>[32]PnL!U19</f>
        <v>8901</v>
      </c>
      <c r="V22" s="233">
        <f>[32]PnL!V19</f>
        <v>8659</v>
      </c>
      <c r="W22" s="233">
        <f>[32]PnL!W19</f>
        <v>10478</v>
      </c>
      <c r="X22" s="233">
        <f>[32]PnL!X19</f>
        <v>10938</v>
      </c>
      <c r="Y22" s="233">
        <f>[32]PnL!Y19</f>
        <v>11077</v>
      </c>
      <c r="Z22" s="233">
        <f>[32]PnL!Z19</f>
        <v>10587</v>
      </c>
      <c r="AA22" s="233">
        <f>[32]PnL!AA19</f>
        <v>11082</v>
      </c>
      <c r="AB22" s="233">
        <f>[32]PnL!AB19</f>
        <v>19245</v>
      </c>
      <c r="AC22" s="234">
        <f t="shared" ref="AC22:AL22" si="24">AC$12*AC77</f>
        <v>14180.383336361469</v>
      </c>
      <c r="AD22" s="234">
        <f t="shared" si="24"/>
        <v>14469.388123095941</v>
      </c>
      <c r="AE22" s="234">
        <f t="shared" si="24"/>
        <v>14138.119557993185</v>
      </c>
      <c r="AF22" s="234">
        <f t="shared" si="24"/>
        <v>25435.603799503187</v>
      </c>
      <c r="AG22" s="234">
        <f t="shared" si="24"/>
        <v>18089.761532048517</v>
      </c>
      <c r="AH22" s="234">
        <f t="shared" si="24"/>
        <v>18076.67069766701</v>
      </c>
      <c r="AI22" s="234">
        <f t="shared" si="24"/>
        <v>17649.560904784325</v>
      </c>
      <c r="AJ22" s="234">
        <f t="shared" si="24"/>
        <v>32159.1313716779</v>
      </c>
      <c r="AK22" s="234">
        <f t="shared" si="24"/>
        <v>22549.421979942403</v>
      </c>
      <c r="AL22" s="234">
        <f t="shared" si="24"/>
        <v>22535.549199321169</v>
      </c>
      <c r="AM22" s="234"/>
      <c r="AN22" s="234">
        <f>[32]PnL!AP19</f>
        <v>0</v>
      </c>
      <c r="AO22" s="234">
        <f>[32]PnL!AQ19</f>
        <v>0</v>
      </c>
      <c r="AP22" s="234">
        <f>[32]PnL!AR19</f>
        <v>0</v>
      </c>
      <c r="AQ22" s="234">
        <f>[32]PnL!AS19</f>
        <v>0</v>
      </c>
      <c r="AR22" s="234">
        <f>[32]PnL!AT19</f>
        <v>0</v>
      </c>
      <c r="AS22" s="234">
        <f>[32]PnL!AU19</f>
        <v>0</v>
      </c>
      <c r="AT22" s="234">
        <f>[32]PnL!AV19</f>
        <v>0</v>
      </c>
      <c r="AU22" s="234">
        <f>[32]PnL!AW19</f>
        <v>0</v>
      </c>
      <c r="AV22" s="234">
        <f>[32]PnL!AX19</f>
        <v>0</v>
      </c>
      <c r="AW22" s="234">
        <f>[32]PnL!AY19</f>
        <v>0</v>
      </c>
      <c r="AX22" s="234" t="e">
        <f t="shared" si="19"/>
        <v>#DIV/0!</v>
      </c>
      <c r="AY22" s="234" t="e">
        <f t="shared" si="19"/>
        <v>#DIV/0!</v>
      </c>
      <c r="AZ22" s="234" t="e">
        <f t="shared" si="19"/>
        <v>#DIV/0!</v>
      </c>
      <c r="BA22" s="234" t="e">
        <f t="shared" si="19"/>
        <v>#DIV/0!</v>
      </c>
      <c r="BB22" s="234" t="e">
        <f t="shared" si="19"/>
        <v>#DIV/0!</v>
      </c>
      <c r="BC22" s="234" t="e">
        <f t="shared" si="19"/>
        <v>#DIV/0!</v>
      </c>
      <c r="BD22" s="237"/>
      <c r="BE22" s="233">
        <f>[32]PnL!BH19</f>
        <v>13788</v>
      </c>
      <c r="BF22" s="233">
        <f>[32]PnL!BI19</f>
        <v>17060</v>
      </c>
      <c r="BG22" s="233">
        <f>[32]PnL!BJ19</f>
        <v>22754</v>
      </c>
      <c r="BH22" s="233">
        <f>[32]PnL!BK19</f>
        <v>37435</v>
      </c>
      <c r="BI22" s="233">
        <f>[32]PnL!BL19</f>
        <v>43080</v>
      </c>
      <c r="BJ22" s="233">
        <f t="shared" si="13"/>
        <v>58976.771459457406</v>
      </c>
      <c r="BK22" s="234">
        <f t="shared" si="9"/>
        <v>75740.155587211906</v>
      </c>
      <c r="BL22" s="234">
        <f t="shared" si="20"/>
        <v>94893.663455725793</v>
      </c>
      <c r="BM22" s="234">
        <f>BM12*BM77</f>
        <v>114510.51127325384</v>
      </c>
      <c r="BN22" s="234">
        <f t="shared" ref="BN22:BS22" si="25">BN12*BN77</f>
        <v>134319.45720784087</v>
      </c>
      <c r="BO22" s="234">
        <f t="shared" si="25"/>
        <v>153508.33363069652</v>
      </c>
      <c r="BP22" s="234">
        <f t="shared" si="25"/>
        <v>171619.40339414024</v>
      </c>
      <c r="BQ22" s="234">
        <f t="shared" si="25"/>
        <v>188493.2548540243</v>
      </c>
      <c r="BR22" s="234">
        <f t="shared" si="25"/>
        <v>204202.16901373662</v>
      </c>
      <c r="BS22" s="234">
        <f t="shared" si="25"/>
        <v>218846.40318690139</v>
      </c>
      <c r="BT22" s="203"/>
      <c r="BU22" s="203"/>
    </row>
    <row r="23" spans="1:73" ht="12.75" customHeight="1" x14ac:dyDescent="0.35">
      <c r="A23" s="144"/>
      <c r="B23" s="223"/>
      <c r="C23" s="232" t="s">
        <v>132</v>
      </c>
      <c r="D23" s="223"/>
      <c r="E23" s="223"/>
      <c r="F23" s="232"/>
      <c r="G23" s="232"/>
      <c r="H23" s="232"/>
      <c r="I23" s="233">
        <f>[32]PnL!I20</f>
        <v>1268</v>
      </c>
      <c r="J23" s="233">
        <f>[32]PnL!J20</f>
        <v>743</v>
      </c>
      <c r="K23" s="233">
        <f>[32]PnL!K20</f>
        <v>1251</v>
      </c>
      <c r="L23" s="233">
        <f>[32]PnL!L20</f>
        <v>1297</v>
      </c>
      <c r="M23" s="233">
        <f>[32]PnL!M20</f>
        <v>1261</v>
      </c>
      <c r="N23" s="233">
        <f>[32]PnL!N20</f>
        <v>1313</v>
      </c>
      <c r="O23" s="233">
        <f>[32]PnL!O20</f>
        <v>1986</v>
      </c>
      <c r="P23" s="233">
        <f>[32]PnL!P20</f>
        <v>1748</v>
      </c>
      <c r="Q23" s="233">
        <f>[32]PnL!Q20</f>
        <v>2551</v>
      </c>
      <c r="R23" s="233">
        <f>[32]PnL!R20</f>
        <v>1329</v>
      </c>
      <c r="S23" s="233">
        <f>[32]PnL!S20</f>
        <v>2104</v>
      </c>
      <c r="T23" s="233">
        <f>[32]PnL!T20</f>
        <v>2611</v>
      </c>
      <c r="U23" s="233">
        <f>[32]PnL!U20</f>
        <v>2809</v>
      </c>
      <c r="V23" s="233">
        <f>[32]PnL!V20</f>
        <v>3203</v>
      </c>
      <c r="W23" s="233">
        <f>[32]PnL!W20</f>
        <v>3066</v>
      </c>
      <c r="X23" s="233">
        <f>[32]PnL!X20</f>
        <v>3582</v>
      </c>
      <c r="Y23" s="233">
        <f>[32]PnL!Y20</f>
        <v>3272</v>
      </c>
      <c r="Z23" s="233">
        <f>[32]PnL!Z20</f>
        <v>4044</v>
      </c>
      <c r="AA23" s="233">
        <f>[32]PnL!AA20</f>
        <v>2952</v>
      </c>
      <c r="AB23" s="233">
        <f>[32]PnL!AB20</f>
        <v>2888</v>
      </c>
      <c r="AC23" s="234">
        <f t="shared" ref="AC23:AL23" si="26">AC$12*AC78</f>
        <v>3272</v>
      </c>
      <c r="AD23" s="234">
        <f t="shared" si="26"/>
        <v>4044</v>
      </c>
      <c r="AE23" s="234">
        <f t="shared" si="26"/>
        <v>2952</v>
      </c>
      <c r="AF23" s="234">
        <f t="shared" si="26"/>
        <v>2888</v>
      </c>
      <c r="AG23" s="234">
        <f t="shared" si="26"/>
        <v>3272</v>
      </c>
      <c r="AH23" s="234">
        <f t="shared" si="26"/>
        <v>4044</v>
      </c>
      <c r="AI23" s="234">
        <f t="shared" si="26"/>
        <v>2952</v>
      </c>
      <c r="AJ23" s="234">
        <f t="shared" si="26"/>
        <v>2888</v>
      </c>
      <c r="AK23" s="234">
        <f t="shared" si="26"/>
        <v>3272</v>
      </c>
      <c r="AL23" s="234">
        <f t="shared" si="26"/>
        <v>4044.0000000000005</v>
      </c>
      <c r="AM23" s="234"/>
      <c r="AN23" s="234">
        <f>[32]PnL!AP20</f>
        <v>0</v>
      </c>
      <c r="AO23" s="234">
        <f>[32]PnL!AQ20</f>
        <v>0</v>
      </c>
      <c r="AP23" s="234">
        <f>[32]PnL!AR20</f>
        <v>0</v>
      </c>
      <c r="AQ23" s="234">
        <f>[32]PnL!AS20</f>
        <v>0</v>
      </c>
      <c r="AR23" s="234">
        <f>[32]PnL!AT20</f>
        <v>0</v>
      </c>
      <c r="AS23" s="234">
        <f>[32]PnL!AU20</f>
        <v>0</v>
      </c>
      <c r="AT23" s="234">
        <f>[32]PnL!AV20</f>
        <v>0</v>
      </c>
      <c r="AU23" s="234">
        <f>[32]PnL!AW20</f>
        <v>0</v>
      </c>
      <c r="AV23" s="234">
        <f>[32]PnL!AX20</f>
        <v>0</v>
      </c>
      <c r="AW23" s="234">
        <f>[32]PnL!AY20</f>
        <v>0</v>
      </c>
      <c r="AX23" s="234" t="e">
        <f t="shared" si="19"/>
        <v>#DIV/0!</v>
      </c>
      <c r="AY23" s="234" t="e">
        <f t="shared" si="19"/>
        <v>#DIV/0!</v>
      </c>
      <c r="AZ23" s="234" t="e">
        <f t="shared" si="19"/>
        <v>#DIV/0!</v>
      </c>
      <c r="BA23" s="234" t="e">
        <f t="shared" si="19"/>
        <v>#DIV/0!</v>
      </c>
      <c r="BB23" s="234" t="e">
        <f t="shared" si="19"/>
        <v>#DIV/0!</v>
      </c>
      <c r="BC23" s="234" t="e">
        <f t="shared" si="19"/>
        <v>#DIV/0!</v>
      </c>
      <c r="BD23" s="237"/>
      <c r="BE23" s="233">
        <f>[32]PnL!BH20</f>
        <v>3386</v>
      </c>
      <c r="BF23" s="233">
        <f>[32]PnL!BI20</f>
        <v>5122</v>
      </c>
      <c r="BG23" s="233">
        <f>[32]PnL!BJ20</f>
        <v>7614</v>
      </c>
      <c r="BH23" s="233">
        <f>[32]PnL!BK20</f>
        <v>10727</v>
      </c>
      <c r="BI23" s="233">
        <f>[32]PnL!BL20</f>
        <v>13964</v>
      </c>
      <c r="BJ23" s="233">
        <f t="shared" si="13"/>
        <v>13156</v>
      </c>
      <c r="BK23" s="234">
        <f t="shared" si="9"/>
        <v>13156</v>
      </c>
      <c r="BL23" s="234">
        <f t="shared" si="20"/>
        <v>13156</v>
      </c>
      <c r="BM23" s="234">
        <f>BM12*BM78</f>
        <v>13156</v>
      </c>
      <c r="BN23" s="234">
        <f t="shared" ref="BN23:BS23" si="27">BN12*BN78</f>
        <v>13156</v>
      </c>
      <c r="BO23" s="234">
        <f t="shared" si="27"/>
        <v>13156</v>
      </c>
      <c r="BP23" s="234">
        <f>BP12*BP78</f>
        <v>13156</v>
      </c>
      <c r="BQ23" s="234">
        <f t="shared" si="27"/>
        <v>13156</v>
      </c>
      <c r="BR23" s="234">
        <f>BR12*BR78</f>
        <v>13156</v>
      </c>
      <c r="BS23" s="234">
        <f t="shared" si="27"/>
        <v>13156</v>
      </c>
      <c r="BT23" s="203"/>
      <c r="BU23" s="203"/>
    </row>
    <row r="24" spans="1:73" ht="12.75" customHeight="1" x14ac:dyDescent="0.35">
      <c r="A24" s="144" t="s">
        <v>133</v>
      </c>
      <c r="B24" s="236" t="str">
        <f>[32]PnL!$B$21</f>
        <v>EBIT (Operating Income - GAAP)</v>
      </c>
      <c r="C24" s="223"/>
      <c r="D24" s="223"/>
      <c r="E24" s="223"/>
      <c r="F24" s="236"/>
      <c r="G24" s="236"/>
      <c r="H24" s="236"/>
      <c r="I24" s="237">
        <f>[32]PnL!I21</f>
        <v>12434</v>
      </c>
      <c r="J24" s="237">
        <f>[32]PnL!J21</f>
        <v>5112</v>
      </c>
      <c r="K24" s="237">
        <f>[32]PnL!K21</f>
        <v>8814</v>
      </c>
      <c r="L24" s="237">
        <f>[32]PnL!L21</f>
        <v>9045</v>
      </c>
      <c r="M24" s="237">
        <f>[32]PnL!M21</f>
        <v>20664</v>
      </c>
      <c r="N24" s="237">
        <f>[32]PnL!N21</f>
        <v>9532</v>
      </c>
      <c r="O24" s="237">
        <f>[32]PnL!O21</f>
        <v>17513</v>
      </c>
      <c r="P24" s="237">
        <f>[32]PnL!P21</f>
        <v>16584</v>
      </c>
      <c r="Q24" s="237">
        <f>[32]PnL!Q21</f>
        <v>25996</v>
      </c>
      <c r="R24" s="237">
        <f>[32]PnL!R21</f>
        <v>9221</v>
      </c>
      <c r="S24" s="237">
        <f>[32]PnL!S21</f>
        <v>8020</v>
      </c>
      <c r="T24" s="237">
        <f>[32]PnL!T21</f>
        <v>13501</v>
      </c>
      <c r="U24" s="237">
        <f>[32]PnL!U21</f>
        <v>26798</v>
      </c>
      <c r="V24" s="237">
        <f>[32]PnL!V21</f>
        <v>8765</v>
      </c>
      <c r="W24" s="237">
        <f>[32]PnL!W21</f>
        <v>24375</v>
      </c>
      <c r="X24" s="237">
        <f>[32]PnL!X21</f>
        <v>20364</v>
      </c>
      <c r="Y24" s="237">
        <f>[32]PnL!Y21</f>
        <v>39560</v>
      </c>
      <c r="Z24" s="237">
        <f>[32]PnL!Z21</f>
        <v>7131</v>
      </c>
      <c r="AA24" s="237">
        <f>[32]PnL!AA21</f>
        <v>34705</v>
      </c>
      <c r="AB24" s="237">
        <f>[32]PnL!AB21</f>
        <v>13634</v>
      </c>
      <c r="AC24" s="238">
        <f t="shared" ref="AC24" si="28">AC17-AC19</f>
        <v>45500.573037598646</v>
      </c>
      <c r="AD24" s="238">
        <f>AD17-AD19</f>
        <v>12801.742187002324</v>
      </c>
      <c r="AE24" s="238">
        <f t="shared" ref="AE24:AK24" si="29">AE17-AE19</f>
        <v>39468.661751898639</v>
      </c>
      <c r="AF24" s="238">
        <f t="shared" si="29"/>
        <v>12816.345314935839</v>
      </c>
      <c r="AG24" s="238">
        <f t="shared" si="29"/>
        <v>51287.203194889058</v>
      </c>
      <c r="AH24" s="238">
        <f t="shared" si="29"/>
        <v>13223.415905090471</v>
      </c>
      <c r="AI24" s="238">
        <f t="shared" si="29"/>
        <v>45456.208856046826</v>
      </c>
      <c r="AJ24" s="238">
        <f t="shared" si="29"/>
        <v>11813.161179994335</v>
      </c>
      <c r="AK24" s="238">
        <f t="shared" si="29"/>
        <v>58463.753932402804</v>
      </c>
      <c r="AL24" s="238">
        <f>AL17-AL19</f>
        <v>12780.08567678048</v>
      </c>
      <c r="AM24" s="238"/>
      <c r="AN24" s="238">
        <f>[32]PnL!AP21</f>
        <v>0</v>
      </c>
      <c r="AO24" s="238">
        <f>[32]PnL!AQ21</f>
        <v>0</v>
      </c>
      <c r="AP24" s="238">
        <f>[32]PnL!AR21</f>
        <v>0</v>
      </c>
      <c r="AQ24" s="238">
        <f>[32]PnL!AS21</f>
        <v>0</v>
      </c>
      <c r="AR24" s="238">
        <f>[32]PnL!AT21</f>
        <v>0</v>
      </c>
      <c r="AS24" s="238">
        <f>[32]PnL!AU21</f>
        <v>0</v>
      </c>
      <c r="AT24" s="238">
        <f>[32]PnL!AV21</f>
        <v>0</v>
      </c>
      <c r="AU24" s="238">
        <f>[32]PnL!AW21</f>
        <v>0</v>
      </c>
      <c r="AV24" s="238">
        <f>[32]PnL!AX21</f>
        <v>0</v>
      </c>
      <c r="AW24" s="238">
        <f>[32]PnL!AY21</f>
        <v>0</v>
      </c>
      <c r="AX24" s="238" t="e">
        <f t="shared" ref="AX24" si="30">AX17-AX19</f>
        <v>#DIV/0!</v>
      </c>
      <c r="AY24" s="238" t="e">
        <f t="shared" ref="AY24:BC24" si="31">AY17-AY19</f>
        <v>#DIV/0!</v>
      </c>
      <c r="AZ24" s="238" t="e">
        <f t="shared" si="31"/>
        <v>#DIV/0!</v>
      </c>
      <c r="BA24" s="238" t="e">
        <f t="shared" si="31"/>
        <v>#DIV/0!</v>
      </c>
      <c r="BB24" s="238" t="e">
        <f t="shared" si="31"/>
        <v>#DIV/0!</v>
      </c>
      <c r="BC24" s="238" t="e">
        <f t="shared" si="31"/>
        <v>#DIV/0!</v>
      </c>
      <c r="BD24" s="237"/>
      <c r="BE24" s="237">
        <f>[32]PnL!BH21</f>
        <v>29102</v>
      </c>
      <c r="BF24" s="237">
        <f>[32]PnL!BI21</f>
        <v>48055</v>
      </c>
      <c r="BG24" s="237">
        <f>[32]PnL!BJ21</f>
        <v>69314</v>
      </c>
      <c r="BH24" s="237">
        <f>[32]PnL!BK21</f>
        <v>57084</v>
      </c>
      <c r="BI24" s="237">
        <f>[32]PnL!BL21</f>
        <v>91430</v>
      </c>
      <c r="BJ24" s="237">
        <f t="shared" si="13"/>
        <v>106641.31522460097</v>
      </c>
      <c r="BK24" s="237">
        <f t="shared" si="9"/>
        <v>116795.62616681401</v>
      </c>
      <c r="BL24" s="238">
        <f t="shared" si="20"/>
        <v>128513.20964522444</v>
      </c>
      <c r="BM24" s="238">
        <f>BM17-BM19</f>
        <v>154018.80186643376</v>
      </c>
      <c r="BN24" s="238">
        <f t="shared" ref="BN24:BS24" si="32">BN17-BN19</f>
        <v>178480.9039018809</v>
      </c>
      <c r="BO24" s="238">
        <f t="shared" si="32"/>
        <v>200738.7996292921</v>
      </c>
      <c r="BP24" s="238">
        <f t="shared" si="32"/>
        <v>220222.37274575717</v>
      </c>
      <c r="BQ24" s="238">
        <f t="shared" si="32"/>
        <v>236819.36866504897</v>
      </c>
      <c r="BR24" s="238">
        <f t="shared" si="32"/>
        <v>250739.56469986273</v>
      </c>
      <c r="BS24" s="238">
        <f t="shared" si="32"/>
        <v>262219.29938808421</v>
      </c>
      <c r="BT24" s="203"/>
      <c r="BU24" s="203"/>
    </row>
    <row r="25" spans="1:73" s="459" customFormat="1" ht="12.75" hidden="1" customHeight="1" outlineLevel="1" x14ac:dyDescent="0.35">
      <c r="A25" s="452"/>
      <c r="B25" s="460"/>
      <c r="C25" s="460" t="s">
        <v>387</v>
      </c>
      <c r="D25" s="461"/>
      <c r="E25" s="461"/>
      <c r="F25" s="460"/>
      <c r="G25" s="460"/>
      <c r="H25" s="460"/>
      <c r="I25" s="462"/>
      <c r="J25" s="462"/>
      <c r="K25" s="462"/>
      <c r="L25" s="462"/>
      <c r="M25" s="462"/>
      <c r="N25" s="462"/>
      <c r="O25" s="462"/>
      <c r="P25" s="462"/>
      <c r="Q25" s="462"/>
      <c r="R25" s="462"/>
      <c r="S25" s="462"/>
      <c r="T25" s="462"/>
      <c r="U25" s="462"/>
      <c r="V25" s="462"/>
      <c r="W25" s="462"/>
      <c r="X25" s="462"/>
      <c r="Y25" s="462"/>
      <c r="Z25" s="462"/>
      <c r="AA25" s="462"/>
      <c r="AB25" s="462"/>
      <c r="AC25" s="462">
        <f>[32]PnL!AC21</f>
        <v>49699.25</v>
      </c>
      <c r="AD25" s="462">
        <f>[32]PnL!AD21</f>
        <v>21285.125</v>
      </c>
      <c r="AE25" s="462">
        <f>[32]PnL!AE21</f>
        <v>43867.5</v>
      </c>
      <c r="AF25" s="462">
        <f>[32]PnL!AF21</f>
        <v>35598</v>
      </c>
      <c r="AG25" s="462">
        <f>[32]PnL!AG21</f>
        <v>66080.635999999999</v>
      </c>
      <c r="AH25" s="462">
        <f>[32]PnL!AH21</f>
        <v>29616.111000000001</v>
      </c>
      <c r="AI25" s="462">
        <f>[32]PnL!AI21</f>
        <v>58713.25</v>
      </c>
      <c r="AJ25" s="462">
        <f>[32]PnL!AJ21</f>
        <v>46392.75</v>
      </c>
      <c r="AK25" s="462">
        <f>[32]PnL!AK21</f>
        <v>81546.25</v>
      </c>
      <c r="AL25" s="462">
        <f>[32]PnL!AL21</f>
        <v>38317</v>
      </c>
      <c r="AM25" s="462"/>
      <c r="AN25" s="462"/>
      <c r="AO25" s="462"/>
      <c r="AP25" s="462"/>
      <c r="AQ25" s="462"/>
      <c r="AR25" s="462"/>
      <c r="AS25" s="462"/>
      <c r="AT25" s="462"/>
      <c r="AU25" s="462"/>
      <c r="AV25" s="462"/>
      <c r="AW25" s="462"/>
      <c r="AX25" s="462"/>
      <c r="AY25" s="462"/>
      <c r="AZ25" s="462"/>
      <c r="BA25" s="462"/>
      <c r="BB25" s="462"/>
      <c r="BC25" s="462"/>
      <c r="BD25" s="463"/>
      <c r="BE25" s="462"/>
      <c r="BF25" s="462"/>
      <c r="BG25" s="462"/>
      <c r="BH25" s="462"/>
      <c r="BI25" s="462"/>
      <c r="BJ25" s="462">
        <f>[32]PnL!BM21</f>
        <v>122148.156</v>
      </c>
      <c r="BK25" s="462">
        <f>[32]PnL!BN21</f>
        <v>174211.516</v>
      </c>
      <c r="BL25" s="462">
        <f>[32]PnL!BO21</f>
        <v>223691.25899999999</v>
      </c>
      <c r="BM25" s="457"/>
      <c r="BN25" s="457"/>
      <c r="BO25" s="457"/>
      <c r="BP25" s="457"/>
      <c r="BQ25" s="457"/>
      <c r="BR25" s="457"/>
      <c r="BS25" s="457"/>
      <c r="BT25" s="458"/>
      <c r="BU25" s="458"/>
    </row>
    <row r="26" spans="1:73" s="459" customFormat="1" ht="12.75" hidden="1" customHeight="1" outlineLevel="1" x14ac:dyDescent="0.35">
      <c r="A26" s="452"/>
      <c r="B26" s="465"/>
      <c r="C26" s="465"/>
      <c r="D26" s="464" t="s">
        <v>390</v>
      </c>
      <c r="E26" s="461"/>
      <c r="F26" s="465"/>
      <c r="G26" s="465"/>
      <c r="H26" s="465"/>
      <c r="I26" s="466"/>
      <c r="J26" s="466"/>
      <c r="K26" s="466"/>
      <c r="L26" s="466"/>
      <c r="M26" s="466"/>
      <c r="N26" s="466"/>
      <c r="O26" s="466"/>
      <c r="P26" s="466"/>
      <c r="Q26" s="466"/>
      <c r="R26" s="466"/>
      <c r="S26" s="466"/>
      <c r="T26" s="466"/>
      <c r="U26" s="466"/>
      <c r="V26" s="466"/>
      <c r="W26" s="466"/>
      <c r="X26" s="466"/>
      <c r="Y26" s="466"/>
      <c r="Z26" s="466"/>
      <c r="AA26" s="466"/>
      <c r="AB26" s="466"/>
      <c r="AC26" s="468">
        <f t="shared" ref="AC26" si="33">AC24/AC25-1</f>
        <v>-8.448169665339722E-2</v>
      </c>
      <c r="AD26" s="468">
        <f t="shared" ref="AD26:AL26" si="34">AD24/AD25-1</f>
        <v>-0.39855921978365993</v>
      </c>
      <c r="AE26" s="468">
        <f t="shared" si="34"/>
        <v>-0.10027556273098215</v>
      </c>
      <c r="AF26" s="468">
        <f t="shared" si="34"/>
        <v>-0.63997007374190007</v>
      </c>
      <c r="AG26" s="468">
        <f t="shared" si="34"/>
        <v>-0.22386940714539949</v>
      </c>
      <c r="AH26" s="468">
        <f t="shared" si="34"/>
        <v>-0.55350599864072392</v>
      </c>
      <c r="AI26" s="468">
        <f t="shared" si="34"/>
        <v>-0.22579300488310861</v>
      </c>
      <c r="AJ26" s="468">
        <f t="shared" si="34"/>
        <v>-0.74536622252411555</v>
      </c>
      <c r="AK26" s="468">
        <f t="shared" si="34"/>
        <v>-0.28306017833557273</v>
      </c>
      <c r="AL26" s="468">
        <f t="shared" si="34"/>
        <v>-0.66646434541377242</v>
      </c>
      <c r="AM26" s="466"/>
      <c r="AN26" s="466"/>
      <c r="AO26" s="466"/>
      <c r="AP26" s="466"/>
      <c r="AQ26" s="466"/>
      <c r="AR26" s="466"/>
      <c r="AS26" s="466"/>
      <c r="AT26" s="466"/>
      <c r="AU26" s="466"/>
      <c r="AV26" s="466"/>
      <c r="AW26" s="466"/>
      <c r="AX26" s="466"/>
      <c r="AY26" s="466"/>
      <c r="AZ26" s="466"/>
      <c r="BA26" s="466"/>
      <c r="BB26" s="466"/>
      <c r="BC26" s="466"/>
      <c r="BD26" s="467"/>
      <c r="BE26" s="466"/>
      <c r="BF26" s="466"/>
      <c r="BG26" s="466"/>
      <c r="BH26" s="466"/>
      <c r="BI26" s="466"/>
      <c r="BJ26" s="468">
        <f>BJ24/BJ25-1</f>
        <v>-0.12695108369379748</v>
      </c>
      <c r="BK26" s="468">
        <f t="shared" ref="BK26:BL26" si="35">BK24/BK25-1</f>
        <v>-0.32957574304781323</v>
      </c>
      <c r="BL26" s="468">
        <f t="shared" si="35"/>
        <v>-0.42548846021191888</v>
      </c>
      <c r="BM26" s="457"/>
      <c r="BN26" s="457"/>
      <c r="BO26" s="457"/>
      <c r="BP26" s="457"/>
      <c r="BQ26" s="457"/>
      <c r="BR26" s="457"/>
      <c r="BS26" s="457"/>
      <c r="BT26" s="458"/>
      <c r="BU26" s="458"/>
    </row>
    <row r="27" spans="1:73" s="459" customFormat="1" ht="12.75" customHeight="1" collapsed="1" x14ac:dyDescent="0.35">
      <c r="A27" s="452"/>
      <c r="B27" s="236" t="str">
        <f>[32]PnL!$B$22</f>
        <v>EBIT (Operating Income - NON GAAP)</v>
      </c>
      <c r="C27" s="476"/>
      <c r="D27" s="477"/>
      <c r="E27" s="454"/>
      <c r="F27" s="476"/>
      <c r="G27" s="476"/>
      <c r="H27" s="476"/>
      <c r="I27" s="478"/>
      <c r="J27" s="478"/>
      <c r="K27" s="478"/>
      <c r="L27" s="478"/>
      <c r="M27" s="478"/>
      <c r="N27" s="478"/>
      <c r="O27" s="478"/>
      <c r="P27" s="478"/>
      <c r="Q27" s="478"/>
      <c r="R27" s="478"/>
      <c r="S27" s="478">
        <f>OperatingMetrics!W248</f>
        <v>24398</v>
      </c>
      <c r="T27" s="478">
        <f>OperatingMetrics!X248</f>
        <v>20544</v>
      </c>
      <c r="U27" s="478">
        <f>OperatingMetrics!Y248</f>
        <v>33758</v>
      </c>
      <c r="V27" s="478">
        <f>OperatingMetrics!Z248</f>
        <v>15875</v>
      </c>
      <c r="W27" s="478">
        <f>OperatingMetrics!AA248</f>
        <v>31490</v>
      </c>
      <c r="X27" s="478">
        <f>OperatingMetrics!AB248</f>
        <v>28509</v>
      </c>
      <c r="Y27" s="478">
        <f>OperatingMetrics!AC248</f>
        <v>47390</v>
      </c>
      <c r="Z27" s="478">
        <f>OperatingMetrics!AD248</f>
        <v>15783</v>
      </c>
      <c r="AA27" s="478">
        <f>OperatingMetrics!AE248</f>
        <v>42420</v>
      </c>
      <c r="AB27" s="478">
        <f>OperatingMetrics!AF248</f>
        <v>38328</v>
      </c>
      <c r="AC27" s="478">
        <f>OperatingMetrics!AG248</f>
        <v>55732.763956591341</v>
      </c>
      <c r="AD27" s="478">
        <f>OperatingMetrics!AH248</f>
        <v>20536.118616827014</v>
      </c>
      <c r="AE27" s="478">
        <f>OperatingMetrics!AI248</f>
        <v>49179.128015811628</v>
      </c>
      <c r="AF27" s="478">
        <f>OperatingMetrics!AJ248</f>
        <v>22961.758652454817</v>
      </c>
      <c r="AG27" s="478">
        <f>OperatingMetrics!AK248</f>
        <v>64211.05982945663</v>
      </c>
      <c r="AH27" s="478">
        <f>OperatingMetrics!AL248</f>
        <v>22790.337435457084</v>
      </c>
      <c r="AI27" s="478">
        <f>OperatingMetrics!AM248</f>
        <v>57458.411782917399</v>
      </c>
      <c r="AJ27" s="478">
        <f>OperatingMetrics!AN248</f>
        <v>24513.363220209707</v>
      </c>
      <c r="AK27" s="478">
        <f>OperatingMetrics!AO248</f>
        <v>74414.218253943618</v>
      </c>
      <c r="AL27" s="478">
        <f>OperatingMetrics!AP248</f>
        <v>24588.743488680557</v>
      </c>
      <c r="AM27" s="478"/>
      <c r="AN27" s="478"/>
      <c r="AO27" s="478"/>
      <c r="AP27" s="478"/>
      <c r="AQ27" s="478"/>
      <c r="AR27" s="478"/>
      <c r="AS27" s="478"/>
      <c r="AT27" s="478"/>
      <c r="AU27" s="478"/>
      <c r="AV27" s="478"/>
      <c r="AW27" s="478"/>
      <c r="AX27" s="478"/>
      <c r="AY27" s="478"/>
      <c r="AZ27" s="478"/>
      <c r="BA27" s="478"/>
      <c r="BB27" s="478"/>
      <c r="BC27" s="478"/>
      <c r="BD27" s="479"/>
      <c r="BE27" s="478"/>
      <c r="BF27" s="478"/>
      <c r="BG27" s="478"/>
      <c r="BH27" s="478">
        <f>OperatingMetrics!AY248</f>
        <v>94575</v>
      </c>
      <c r="BI27" s="478">
        <f>OperatingMetrics!AZ248</f>
        <v>123172</v>
      </c>
      <c r="BJ27" s="478">
        <f>OperatingMetrics!BA248</f>
        <v>233113.79860942508</v>
      </c>
      <c r="BK27" s="478">
        <f>OperatingMetrics!BB248</f>
        <v>277813.78607354179</v>
      </c>
      <c r="BL27" s="478">
        <f>OperatingMetrics!BC248</f>
        <v>331063.76173821883</v>
      </c>
      <c r="BM27" s="478">
        <f>OperatingMetrics!BD248</f>
        <v>414990.76215884526</v>
      </c>
      <c r="BN27" s="478">
        <f>OperatingMetrics!BE248</f>
        <v>484010.27704357682</v>
      </c>
      <c r="BO27" s="478">
        <f>OperatingMetrics!BF248</f>
        <v>549225.84906202753</v>
      </c>
      <c r="BP27" s="478">
        <f>OperatingMetrics!BG248</f>
        <v>611484.56261762837</v>
      </c>
      <c r="BQ27" s="478">
        <f>OperatingMetrics!BH248</f>
        <v>671709.33242181188</v>
      </c>
      <c r="BR27" s="457">
        <f>OperatingMetrics!BI248</f>
        <v>732206.7781224146</v>
      </c>
      <c r="BS27" s="457">
        <f>OperatingMetrics!BJ248</f>
        <v>795977.09089900122</v>
      </c>
      <c r="BT27" s="458"/>
      <c r="BU27" s="458"/>
    </row>
    <row r="28" spans="1:73" s="459" customFormat="1" ht="12.75" hidden="1" customHeight="1" outlineLevel="1" x14ac:dyDescent="0.35">
      <c r="A28" s="452"/>
      <c r="B28" s="460"/>
      <c r="C28" s="460" t="s">
        <v>387</v>
      </c>
      <c r="D28" s="461"/>
      <c r="E28" s="461"/>
      <c r="F28" s="460"/>
      <c r="G28" s="460"/>
      <c r="H28" s="460"/>
      <c r="I28" s="462"/>
      <c r="J28" s="462"/>
      <c r="K28" s="462"/>
      <c r="L28" s="462"/>
      <c r="M28" s="462"/>
      <c r="N28" s="462"/>
      <c r="O28" s="462"/>
      <c r="P28" s="462"/>
      <c r="Q28" s="462"/>
      <c r="R28" s="462"/>
      <c r="S28" s="462"/>
      <c r="T28" s="462"/>
      <c r="U28" s="462"/>
      <c r="V28" s="462"/>
      <c r="W28" s="462"/>
      <c r="X28" s="462"/>
      <c r="Y28" s="462"/>
      <c r="Z28" s="462"/>
      <c r="AA28" s="462"/>
      <c r="AB28" s="462"/>
      <c r="AC28" s="462" t="str">
        <f>[32]PnL!AC22</f>
        <v>#N/A N/A</v>
      </c>
      <c r="AD28" s="462" t="str">
        <f>[32]PnL!AD22</f>
        <v>#N/A N/A</v>
      </c>
      <c r="AE28" s="462" t="str">
        <f>[32]PnL!AE22</f>
        <v>#N/A N/A</v>
      </c>
      <c r="AF28" s="462" t="str">
        <f>[32]PnL!AF22</f>
        <v>#N/A N/A</v>
      </c>
      <c r="AG28" s="462" t="str">
        <f>[32]PnL!AG22</f>
        <v>#N/A N/A</v>
      </c>
      <c r="AH28" s="462" t="str">
        <f>[32]PnL!AH22</f>
        <v>#N/A N/A</v>
      </c>
      <c r="AI28" s="462">
        <f>[32]PnL!AI22</f>
        <v>77076</v>
      </c>
      <c r="AJ28" s="462">
        <f>[32]PnL!AJ22</f>
        <v>71612</v>
      </c>
      <c r="AK28" s="462">
        <f>[32]PnL!AK22</f>
        <v>102369</v>
      </c>
      <c r="AL28" s="462">
        <f>[32]PnL!AL22</f>
        <v>55727</v>
      </c>
      <c r="AM28" s="462"/>
      <c r="AN28" s="462"/>
      <c r="AO28" s="462"/>
      <c r="AP28" s="462"/>
      <c r="AQ28" s="462"/>
      <c r="AR28" s="462"/>
      <c r="AS28" s="462"/>
      <c r="AT28" s="462"/>
      <c r="AU28" s="462"/>
      <c r="AV28" s="462"/>
      <c r="AW28" s="462"/>
      <c r="AX28" s="462"/>
      <c r="AY28" s="462"/>
      <c r="AZ28" s="462"/>
      <c r="BA28" s="462"/>
      <c r="BB28" s="462"/>
      <c r="BC28" s="462"/>
      <c r="BD28" s="463"/>
      <c r="BE28" s="462"/>
      <c r="BF28" s="462"/>
      <c r="BG28" s="462"/>
      <c r="BH28" s="462"/>
      <c r="BI28" s="462"/>
      <c r="BJ28" s="462">
        <f>[32]PnL!BM22</f>
        <v>129018.455</v>
      </c>
      <c r="BK28" s="462">
        <f>[32]PnL!BN22</f>
        <v>183438.182</v>
      </c>
      <c r="BL28" s="462">
        <f>[32]PnL!BO22</f>
        <v>251254.66700000002</v>
      </c>
      <c r="BM28" s="457"/>
      <c r="BN28" s="457"/>
      <c r="BO28" s="457"/>
      <c r="BP28" s="457"/>
      <c r="BQ28" s="457"/>
      <c r="BR28" s="457"/>
      <c r="BS28" s="457"/>
      <c r="BT28" s="458"/>
      <c r="BU28" s="458"/>
    </row>
    <row r="29" spans="1:73" s="459" customFormat="1" ht="12.75" hidden="1" customHeight="1" outlineLevel="1" x14ac:dyDescent="0.35">
      <c r="A29" s="452"/>
      <c r="B29" s="465"/>
      <c r="C29" s="465"/>
      <c r="D29" s="464" t="s">
        <v>390</v>
      </c>
      <c r="E29" s="461"/>
      <c r="F29" s="465"/>
      <c r="G29" s="465"/>
      <c r="H29" s="465"/>
      <c r="I29" s="466"/>
      <c r="J29" s="466"/>
      <c r="K29" s="466"/>
      <c r="L29" s="466"/>
      <c r="M29" s="466"/>
      <c r="N29" s="466"/>
      <c r="O29" s="466"/>
      <c r="P29" s="466"/>
      <c r="Q29" s="466"/>
      <c r="R29" s="466"/>
      <c r="S29" s="466"/>
      <c r="T29" s="466"/>
      <c r="U29" s="466"/>
      <c r="V29" s="466"/>
      <c r="W29" s="466"/>
      <c r="X29" s="466"/>
      <c r="Y29" s="466"/>
      <c r="Z29" s="466"/>
      <c r="AA29" s="466"/>
      <c r="AB29" s="466"/>
      <c r="AC29" s="468" t="e">
        <f t="shared" ref="AC29" si="36">AC27/AC28-1</f>
        <v>#VALUE!</v>
      </c>
      <c r="AD29" s="468" t="e">
        <f t="shared" ref="AD29:AL29" si="37">AD27/AD28-1</f>
        <v>#VALUE!</v>
      </c>
      <c r="AE29" s="468" t="e">
        <f t="shared" si="37"/>
        <v>#VALUE!</v>
      </c>
      <c r="AF29" s="468" t="e">
        <f t="shared" si="37"/>
        <v>#VALUE!</v>
      </c>
      <c r="AG29" s="468" t="e">
        <f t="shared" si="37"/>
        <v>#VALUE!</v>
      </c>
      <c r="AH29" s="468" t="e">
        <f t="shared" si="37"/>
        <v>#VALUE!</v>
      </c>
      <c r="AI29" s="468">
        <f t="shared" si="37"/>
        <v>-0.25452265578237843</v>
      </c>
      <c r="AJ29" s="468">
        <f t="shared" si="37"/>
        <v>-0.65769196195875401</v>
      </c>
      <c r="AK29" s="468">
        <f t="shared" si="37"/>
        <v>-0.27307858576381894</v>
      </c>
      <c r="AL29" s="468">
        <f t="shared" si="37"/>
        <v>-0.55876427066447931</v>
      </c>
      <c r="AM29" s="466"/>
      <c r="AN29" s="466"/>
      <c r="AO29" s="466"/>
      <c r="AP29" s="466"/>
      <c r="AQ29" s="466"/>
      <c r="AR29" s="466"/>
      <c r="AS29" s="466"/>
      <c r="AT29" s="466"/>
      <c r="AU29" s="466"/>
      <c r="AV29" s="466"/>
      <c r="AW29" s="466"/>
      <c r="AX29" s="466"/>
      <c r="AY29" s="466"/>
      <c r="AZ29" s="466"/>
      <c r="BA29" s="466"/>
      <c r="BB29" s="466"/>
      <c r="BC29" s="466"/>
      <c r="BD29" s="467"/>
      <c r="BE29" s="466"/>
      <c r="BF29" s="466"/>
      <c r="BG29" s="466"/>
      <c r="BH29" s="466"/>
      <c r="BI29" s="466"/>
      <c r="BJ29" s="468">
        <f>BJ27/BJ28-1</f>
        <v>0.80682522209264618</v>
      </c>
      <c r="BK29" s="468">
        <f t="shared" ref="BK29" si="38">BK27/BK28-1</f>
        <v>0.51448178914868326</v>
      </c>
      <c r="BL29" s="468">
        <f t="shared" ref="BL29" si="39">BL27/BL28-1</f>
        <v>0.31764223801748859</v>
      </c>
      <c r="BM29" s="457"/>
      <c r="BN29" s="457"/>
      <c r="BO29" s="457"/>
      <c r="BP29" s="457"/>
      <c r="BQ29" s="457"/>
      <c r="BR29" s="457"/>
      <c r="BS29" s="457"/>
      <c r="BT29" s="458"/>
      <c r="BU29" s="458"/>
    </row>
    <row r="30" spans="1:73" ht="12.75" customHeight="1" collapsed="1" x14ac:dyDescent="0.35">
      <c r="A30" s="144"/>
      <c r="B30" s="172"/>
      <c r="C30" s="223"/>
      <c r="D30" s="223"/>
      <c r="E30" s="223"/>
      <c r="F30" s="172"/>
      <c r="G30" s="172"/>
      <c r="H30" s="172"/>
      <c r="I30" s="237"/>
      <c r="J30" s="237"/>
      <c r="K30" s="237"/>
      <c r="L30" s="237"/>
      <c r="M30" s="237"/>
      <c r="N30" s="237"/>
      <c r="O30" s="237"/>
      <c r="P30" s="237"/>
      <c r="Q30" s="237"/>
      <c r="R30" s="237"/>
      <c r="S30" s="237"/>
      <c r="T30" s="237"/>
      <c r="U30" s="237"/>
      <c r="V30" s="237"/>
      <c r="W30" s="237"/>
      <c r="X30" s="240"/>
      <c r="Y30" s="240"/>
      <c r="Z30" s="240"/>
      <c r="AA30" s="240"/>
      <c r="AB30" s="240"/>
      <c r="AC30" s="238"/>
      <c r="AD30" s="238"/>
      <c r="AE30" s="238"/>
      <c r="AF30" s="238"/>
      <c r="AG30" s="238"/>
      <c r="AH30" s="238"/>
      <c r="AI30" s="238"/>
      <c r="AJ30" s="238"/>
      <c r="AK30" s="238"/>
      <c r="AL30" s="238"/>
      <c r="AM30" s="238"/>
      <c r="AN30" s="238" t="e">
        <f>[32]PnL!AP22</f>
        <v>#REF!</v>
      </c>
      <c r="AO30" s="238" t="e">
        <f>[32]PnL!AQ22</f>
        <v>#REF!</v>
      </c>
      <c r="AP30" s="238" t="e">
        <f>[32]PnL!AR22</f>
        <v>#REF!</v>
      </c>
      <c r="AQ30" s="238" t="e">
        <f>[32]PnL!AS22</f>
        <v>#REF!</v>
      </c>
      <c r="AR30" s="238" t="e">
        <f>[32]PnL!AT22</f>
        <v>#REF!</v>
      </c>
      <c r="AS30" s="238" t="e">
        <f>[32]PnL!AU22</f>
        <v>#REF!</v>
      </c>
      <c r="AT30" s="238" t="e">
        <f>[32]PnL!AV22</f>
        <v>#REF!</v>
      </c>
      <c r="AU30" s="238" t="e">
        <f>[32]PnL!AW22</f>
        <v>#REF!</v>
      </c>
      <c r="AV30" s="238" t="e">
        <f>[32]PnL!AX22</f>
        <v>#REF!</v>
      </c>
      <c r="AW30" s="238" t="e">
        <f>[32]PnL!AY22</f>
        <v>#REF!</v>
      </c>
      <c r="AX30" s="238"/>
      <c r="AY30" s="238"/>
      <c r="AZ30" s="238"/>
      <c r="BA30" s="238"/>
      <c r="BB30" s="238"/>
      <c r="BC30" s="238"/>
      <c r="BD30" s="237"/>
      <c r="BE30" s="237"/>
      <c r="BF30" s="237"/>
      <c r="BG30" s="237"/>
      <c r="BH30" s="237"/>
      <c r="BI30" s="237"/>
      <c r="BJ30" s="237"/>
      <c r="BK30" s="237"/>
      <c r="BL30" s="237"/>
      <c r="BM30" s="235"/>
      <c r="BN30" s="235"/>
      <c r="BO30" s="235"/>
      <c r="BP30" s="235"/>
      <c r="BQ30" s="235"/>
      <c r="BR30" s="235"/>
      <c r="BS30" s="235"/>
      <c r="BT30" s="203"/>
      <c r="BU30" s="203"/>
    </row>
    <row r="31" spans="1:73" ht="12.75" customHeight="1" x14ac:dyDescent="0.35">
      <c r="A31" s="144" t="s">
        <v>134</v>
      </c>
      <c r="B31" s="223"/>
      <c r="C31" s="232" t="s">
        <v>135</v>
      </c>
      <c r="D31" s="223"/>
      <c r="E31" s="223"/>
      <c r="F31" s="232"/>
      <c r="G31" s="232"/>
      <c r="H31" s="232"/>
      <c r="I31" s="234">
        <f>[32]PnL!I24</f>
        <v>0</v>
      </c>
      <c r="J31" s="234">
        <f>[32]PnL!J24</f>
        <v>0</v>
      </c>
      <c r="K31" s="234">
        <f>[32]PnL!K24</f>
        <v>0</v>
      </c>
      <c r="L31" s="234">
        <f>[32]PnL!L24</f>
        <v>0</v>
      </c>
      <c r="M31" s="234">
        <f>[32]PnL!M24</f>
        <v>0</v>
      </c>
      <c r="N31" s="234">
        <f>[32]PnL!N24</f>
        <v>0</v>
      </c>
      <c r="O31" s="234">
        <f>[32]PnL!O24</f>
        <v>0</v>
      </c>
      <c r="P31" s="234">
        <f>[32]PnL!P24</f>
        <v>0</v>
      </c>
      <c r="Q31" s="234">
        <f>[32]PnL!Q24</f>
        <v>0</v>
      </c>
      <c r="R31" s="234">
        <f>[32]PnL!R24</f>
        <v>0</v>
      </c>
      <c r="S31" s="234">
        <f>[32]PnL!S24</f>
        <v>0</v>
      </c>
      <c r="T31" s="234">
        <f>[32]PnL!T24</f>
        <v>0</v>
      </c>
      <c r="U31" s="234">
        <f>[32]PnL!U24</f>
        <v>0</v>
      </c>
      <c r="V31" s="234">
        <f>[32]PnL!V24</f>
        <v>0</v>
      </c>
      <c r="W31" s="234">
        <f>[32]PnL!W24</f>
        <v>0</v>
      </c>
      <c r="X31" s="234">
        <f>[32]PnL!X24</f>
        <v>0</v>
      </c>
      <c r="Y31" s="234">
        <f>[32]PnL!Y24</f>
        <v>0</v>
      </c>
      <c r="Z31" s="234">
        <f>[32]PnL!Z24</f>
        <v>0</v>
      </c>
      <c r="AA31" s="234">
        <f>[32]PnL!AA24</f>
        <v>0</v>
      </c>
      <c r="AB31" s="234">
        <f>[32]PnL!AB24</f>
        <v>0</v>
      </c>
      <c r="AC31" s="241">
        <v>0</v>
      </c>
      <c r="AD31" s="241">
        <v>0</v>
      </c>
      <c r="AE31" s="241">
        <v>0</v>
      </c>
      <c r="AF31" s="241">
        <v>0</v>
      </c>
      <c r="AG31" s="241">
        <v>0</v>
      </c>
      <c r="AH31" s="241">
        <v>0</v>
      </c>
      <c r="AI31" s="241">
        <v>0</v>
      </c>
      <c r="AJ31" s="241">
        <v>0</v>
      </c>
      <c r="AK31" s="241">
        <v>0</v>
      </c>
      <c r="AL31" s="241">
        <v>0</v>
      </c>
      <c r="AM31" s="238"/>
      <c r="AN31" s="238">
        <f>[32]PnL!AP24</f>
        <v>0</v>
      </c>
      <c r="AO31" s="238">
        <f>[32]PnL!AQ24</f>
        <v>0</v>
      </c>
      <c r="AP31" s="238">
        <f>[32]PnL!AR24</f>
        <v>0</v>
      </c>
      <c r="AQ31" s="238">
        <f>[32]PnL!AS24</f>
        <v>0</v>
      </c>
      <c r="AR31" s="238">
        <f>[32]PnL!AT24</f>
        <v>0</v>
      </c>
      <c r="AS31" s="238">
        <f>[32]PnL!AU24</f>
        <v>0</v>
      </c>
      <c r="AT31" s="238">
        <f>[32]PnL!AV24</f>
        <v>0</v>
      </c>
      <c r="AU31" s="238">
        <f>[32]PnL!AW24</f>
        <v>0</v>
      </c>
      <c r="AV31" s="238">
        <f>[32]PnL!AX24</f>
        <v>0</v>
      </c>
      <c r="AW31" s="238">
        <f>[32]PnL!AY24</f>
        <v>0</v>
      </c>
      <c r="AX31" s="234">
        <f>-BS!AW106+BS!AW98</f>
        <v>0</v>
      </c>
      <c r="AY31" s="234" t="e">
        <f>-BS!AX106+BS!AX98</f>
        <v>#DIV/0!</v>
      </c>
      <c r="AZ31" s="234" t="e">
        <f>-BS!AY106+BS!AY98</f>
        <v>#REF!</v>
      </c>
      <c r="BA31" s="234" t="e">
        <f>-BS!AZ106+BS!AZ98</f>
        <v>#REF!</v>
      </c>
      <c r="BB31" s="234" t="e">
        <f>-BS!BA106+BS!BA98</f>
        <v>#REF!</v>
      </c>
      <c r="BC31" s="234" t="e">
        <f>-BS!BB106+BS!BB98</f>
        <v>#REF!</v>
      </c>
      <c r="BD31" s="234"/>
      <c r="BE31" s="234">
        <f>[32]PnL!BH24</f>
        <v>0</v>
      </c>
      <c r="BF31" s="234">
        <f>[32]PnL!BI24</f>
        <v>0</v>
      </c>
      <c r="BG31" s="234">
        <f>[32]PnL!BJ24</f>
        <v>0</v>
      </c>
      <c r="BH31" s="234">
        <f>[32]PnL!BK24</f>
        <v>0</v>
      </c>
      <c r="BI31" s="234">
        <f>[32]PnL!BL24</f>
        <v>0</v>
      </c>
      <c r="BJ31" s="234">
        <f t="shared" si="13"/>
        <v>0</v>
      </c>
      <c r="BK31" s="234">
        <f t="shared" si="9"/>
        <v>0</v>
      </c>
      <c r="BL31" s="234">
        <f>SUM(AI31:AL31)</f>
        <v>0</v>
      </c>
      <c r="BM31" s="2722">
        <v>0</v>
      </c>
      <c r="BN31" s="2722">
        <v>0</v>
      </c>
      <c r="BO31" s="2722">
        <v>0</v>
      </c>
      <c r="BP31" s="2722">
        <v>0</v>
      </c>
      <c r="BQ31" s="2722">
        <v>0</v>
      </c>
      <c r="BR31" s="2722">
        <v>0</v>
      </c>
      <c r="BS31" s="2722">
        <v>0</v>
      </c>
      <c r="BT31" s="203"/>
      <c r="BU31" s="203"/>
    </row>
    <row r="32" spans="1:73" ht="12.75" customHeight="1" x14ac:dyDescent="0.35">
      <c r="A32" s="144" t="s">
        <v>136</v>
      </c>
      <c r="B32" s="223"/>
      <c r="C32" s="232" t="s">
        <v>137</v>
      </c>
      <c r="D32" s="223"/>
      <c r="E32" s="223"/>
      <c r="F32" s="232"/>
      <c r="G32" s="232"/>
      <c r="H32" s="232"/>
      <c r="I32" s="234">
        <f>[32]PnL!I25</f>
        <v>0</v>
      </c>
      <c r="J32" s="234">
        <f>[32]PnL!J25</f>
        <v>0</v>
      </c>
      <c r="K32" s="234">
        <f>[32]PnL!K25</f>
        <v>0</v>
      </c>
      <c r="L32" s="234">
        <f>[32]PnL!L25</f>
        <v>0</v>
      </c>
      <c r="M32" s="234">
        <f>[32]PnL!M25</f>
        <v>0</v>
      </c>
      <c r="N32" s="234">
        <f>[32]PnL!N25</f>
        <v>0</v>
      </c>
      <c r="O32" s="234">
        <f>[32]PnL!O25</f>
        <v>0</v>
      </c>
      <c r="P32" s="234">
        <f>[32]PnL!P25</f>
        <v>0</v>
      </c>
      <c r="Q32" s="234">
        <f>[32]PnL!Q25</f>
        <v>0</v>
      </c>
      <c r="R32" s="234">
        <f>[32]PnL!R25</f>
        <v>0</v>
      </c>
      <c r="S32" s="234">
        <f>[32]PnL!S25</f>
        <v>0</v>
      </c>
      <c r="T32" s="234">
        <f>[32]PnL!T25</f>
        <v>0</v>
      </c>
      <c r="U32" s="234">
        <f>[32]PnL!U25</f>
        <v>0</v>
      </c>
      <c r="V32" s="234">
        <f>[32]PnL!V25</f>
        <v>0</v>
      </c>
      <c r="W32" s="234">
        <f>[32]PnL!W25</f>
        <v>0</v>
      </c>
      <c r="X32" s="234">
        <f>[32]PnL!X25</f>
        <v>0</v>
      </c>
      <c r="Y32" s="234">
        <f>[32]PnL!Y25</f>
        <v>0</v>
      </c>
      <c r="Z32" s="234">
        <f>[32]PnL!Z25</f>
        <v>0</v>
      </c>
      <c r="AA32" s="234">
        <f>[32]PnL!AA25</f>
        <v>0</v>
      </c>
      <c r="AB32" s="234">
        <f>[32]PnL!AB25</f>
        <v>0</v>
      </c>
      <c r="AC32" s="241">
        <v>0</v>
      </c>
      <c r="AD32" s="241">
        <v>0</v>
      </c>
      <c r="AE32" s="241">
        <v>0</v>
      </c>
      <c r="AF32" s="241">
        <v>0</v>
      </c>
      <c r="AG32" s="241">
        <v>0</v>
      </c>
      <c r="AH32" s="241">
        <v>0</v>
      </c>
      <c r="AI32" s="241">
        <v>0</v>
      </c>
      <c r="AJ32" s="241">
        <v>0</v>
      </c>
      <c r="AK32" s="241">
        <v>0</v>
      </c>
      <c r="AL32" s="241">
        <v>0</v>
      </c>
      <c r="AM32" s="238"/>
      <c r="AN32" s="238">
        <f>[32]PnL!AP25</f>
        <v>0</v>
      </c>
      <c r="AO32" s="238">
        <f>[32]PnL!AQ25</f>
        <v>0</v>
      </c>
      <c r="AP32" s="238">
        <f>[32]PnL!AR25</f>
        <v>0</v>
      </c>
      <c r="AQ32" s="238">
        <f>[32]PnL!AS25</f>
        <v>0</v>
      </c>
      <c r="AR32" s="238">
        <f>[32]PnL!AT25</f>
        <v>0</v>
      </c>
      <c r="AS32" s="238">
        <f>[32]PnL!AU25</f>
        <v>0</v>
      </c>
      <c r="AT32" s="238">
        <f>[32]PnL!AV25</f>
        <v>0</v>
      </c>
      <c r="AU32" s="238">
        <f>[32]PnL!AW25</f>
        <v>0</v>
      </c>
      <c r="AV32" s="238">
        <f>[32]PnL!AX25</f>
        <v>0</v>
      </c>
      <c r="AW32" s="238">
        <f>[32]PnL!AY25</f>
        <v>0</v>
      </c>
      <c r="AX32" s="241">
        <v>0</v>
      </c>
      <c r="AY32" s="241">
        <v>0</v>
      </c>
      <c r="AZ32" s="241">
        <v>0</v>
      </c>
      <c r="BA32" s="241">
        <v>0</v>
      </c>
      <c r="BB32" s="241">
        <v>0</v>
      </c>
      <c r="BC32" s="241">
        <v>0</v>
      </c>
      <c r="BD32" s="234"/>
      <c r="BE32" s="234">
        <f>[32]PnL!BH25</f>
        <v>0</v>
      </c>
      <c r="BF32" s="234">
        <f>[32]PnL!BI25</f>
        <v>0</v>
      </c>
      <c r="BG32" s="234">
        <f>[32]PnL!BJ25</f>
        <v>0</v>
      </c>
      <c r="BH32" s="234">
        <f>[32]PnL!BK25</f>
        <v>0</v>
      </c>
      <c r="BI32" s="234">
        <f>[32]PnL!BL25</f>
        <v>0</v>
      </c>
      <c r="BJ32" s="234">
        <f t="shared" si="13"/>
        <v>0</v>
      </c>
      <c r="BK32" s="234">
        <f t="shared" si="9"/>
        <v>0</v>
      </c>
      <c r="BL32" s="234">
        <f>SUM(AI32:AL32)</f>
        <v>0</v>
      </c>
      <c r="BM32" s="2722">
        <v>0</v>
      </c>
      <c r="BN32" s="2722">
        <v>0</v>
      </c>
      <c r="BO32" s="2722">
        <v>0</v>
      </c>
      <c r="BP32" s="2722">
        <v>0</v>
      </c>
      <c r="BQ32" s="2722">
        <v>0</v>
      </c>
      <c r="BR32" s="2722">
        <v>0</v>
      </c>
      <c r="BS32" s="2722">
        <v>0</v>
      </c>
      <c r="BT32" s="203"/>
      <c r="BU32" s="203"/>
    </row>
    <row r="33" spans="1:73" ht="12.75" customHeight="1" x14ac:dyDescent="0.35">
      <c r="A33" s="144" t="s">
        <v>138</v>
      </c>
      <c r="B33" s="223"/>
      <c r="C33" s="232" t="s">
        <v>139</v>
      </c>
      <c r="D33" s="223"/>
      <c r="E33" s="223"/>
      <c r="F33" s="232"/>
      <c r="G33" s="232"/>
      <c r="H33" s="232"/>
      <c r="I33" s="234">
        <f>[32]PnL!I26</f>
        <v>0</v>
      </c>
      <c r="J33" s="234">
        <f>[32]PnL!J26</f>
        <v>0</v>
      </c>
      <c r="K33" s="234">
        <f>[32]PnL!K26</f>
        <v>0</v>
      </c>
      <c r="L33" s="234">
        <f>[32]PnL!L26</f>
        <v>0</v>
      </c>
      <c r="M33" s="234">
        <f>[32]PnL!M26</f>
        <v>0</v>
      </c>
      <c r="N33" s="234">
        <f>[32]PnL!N26</f>
        <v>0</v>
      </c>
      <c r="O33" s="234">
        <f>[32]PnL!O26</f>
        <v>0</v>
      </c>
      <c r="P33" s="234">
        <f>[32]PnL!P26</f>
        <v>0</v>
      </c>
      <c r="Q33" s="234">
        <f>[32]PnL!Q26</f>
        <v>0</v>
      </c>
      <c r="R33" s="234">
        <f>[32]PnL!R26</f>
        <v>0</v>
      </c>
      <c r="S33" s="234">
        <f>[32]PnL!S26</f>
        <v>0</v>
      </c>
      <c r="T33" s="234">
        <f>[32]PnL!T26</f>
        <v>0</v>
      </c>
      <c r="U33" s="234">
        <f>[32]PnL!U26</f>
        <v>0</v>
      </c>
      <c r="V33" s="234">
        <f>[32]PnL!V26</f>
        <v>0</v>
      </c>
      <c r="W33" s="234">
        <f>[32]PnL!W26</f>
        <v>0</v>
      </c>
      <c r="X33" s="234">
        <f>[32]PnL!X26</f>
        <v>0</v>
      </c>
      <c r="Y33" s="234">
        <f>[32]PnL!Y26</f>
        <v>0</v>
      </c>
      <c r="Z33" s="234">
        <f>[32]PnL!Z26</f>
        <v>0</v>
      </c>
      <c r="AA33" s="234">
        <f>[32]PnL!AA26</f>
        <v>0</v>
      </c>
      <c r="AB33" s="234">
        <f>[32]PnL!AB26</f>
        <v>0</v>
      </c>
      <c r="AC33" s="241">
        <v>0</v>
      </c>
      <c r="AD33" s="241">
        <v>0</v>
      </c>
      <c r="AE33" s="241">
        <v>0</v>
      </c>
      <c r="AF33" s="241">
        <v>0</v>
      </c>
      <c r="AG33" s="241">
        <v>0</v>
      </c>
      <c r="AH33" s="241">
        <v>0</v>
      </c>
      <c r="AI33" s="241">
        <v>0</v>
      </c>
      <c r="AJ33" s="241">
        <v>0</v>
      </c>
      <c r="AK33" s="241">
        <v>0</v>
      </c>
      <c r="AL33" s="241">
        <v>0</v>
      </c>
      <c r="AM33" s="238"/>
      <c r="AN33" s="238">
        <f>[32]PnL!AP26</f>
        <v>0</v>
      </c>
      <c r="AO33" s="238">
        <f>[32]PnL!AQ26</f>
        <v>0</v>
      </c>
      <c r="AP33" s="238">
        <f>[32]PnL!AR26</f>
        <v>0</v>
      </c>
      <c r="AQ33" s="238">
        <f>[32]PnL!AS26</f>
        <v>0</v>
      </c>
      <c r="AR33" s="238">
        <f>[32]PnL!AT26</f>
        <v>0</v>
      </c>
      <c r="AS33" s="238">
        <f>[32]PnL!AU26</f>
        <v>0</v>
      </c>
      <c r="AT33" s="238">
        <f>[32]PnL!AV26</f>
        <v>0</v>
      </c>
      <c r="AU33" s="238">
        <f>[32]PnL!AW26</f>
        <v>0</v>
      </c>
      <c r="AV33" s="238">
        <f>[32]PnL!AX26</f>
        <v>0</v>
      </c>
      <c r="AW33" s="238">
        <f>[32]PnL!AY26</f>
        <v>0</v>
      </c>
      <c r="AX33" s="241">
        <v>0</v>
      </c>
      <c r="AY33" s="241">
        <v>0</v>
      </c>
      <c r="AZ33" s="241">
        <v>0</v>
      </c>
      <c r="BA33" s="241">
        <v>0</v>
      </c>
      <c r="BB33" s="241">
        <v>0</v>
      </c>
      <c r="BC33" s="241">
        <v>0</v>
      </c>
      <c r="BD33" s="234"/>
      <c r="BE33" s="234">
        <f>[32]PnL!BH26</f>
        <v>0</v>
      </c>
      <c r="BF33" s="234">
        <f>[32]PnL!BI26</f>
        <v>0</v>
      </c>
      <c r="BG33" s="234">
        <f>[32]PnL!BJ26</f>
        <v>0</v>
      </c>
      <c r="BH33" s="234">
        <f>[32]PnL!BK26</f>
        <v>0</v>
      </c>
      <c r="BI33" s="234">
        <f>[32]PnL!BL26</f>
        <v>0</v>
      </c>
      <c r="BJ33" s="234">
        <f t="shared" si="13"/>
        <v>0</v>
      </c>
      <c r="BK33" s="234">
        <f t="shared" si="9"/>
        <v>0</v>
      </c>
      <c r="BL33" s="234">
        <f t="shared" ref="BL33:BL34" si="40">SUM(AI33:AL33)</f>
        <v>0</v>
      </c>
      <c r="BM33" s="2722">
        <v>0</v>
      </c>
      <c r="BN33" s="2722">
        <v>0</v>
      </c>
      <c r="BO33" s="2722">
        <v>0</v>
      </c>
      <c r="BP33" s="2722">
        <v>0</v>
      </c>
      <c r="BQ33" s="2722">
        <v>0</v>
      </c>
      <c r="BR33" s="2722">
        <v>0</v>
      </c>
      <c r="BS33" s="2722">
        <v>0</v>
      </c>
      <c r="BT33" s="203"/>
      <c r="BU33" s="203"/>
    </row>
    <row r="34" spans="1:73" ht="12.75" customHeight="1" x14ac:dyDescent="0.35">
      <c r="A34" s="144" t="s">
        <v>140</v>
      </c>
      <c r="B34" s="223"/>
      <c r="C34" s="232" t="s">
        <v>141</v>
      </c>
      <c r="D34" s="223"/>
      <c r="E34" s="223"/>
      <c r="F34" s="232"/>
      <c r="G34" s="232"/>
      <c r="H34" s="232"/>
      <c r="I34" s="234">
        <f>[32]PnL!I27</f>
        <v>-4076</v>
      </c>
      <c r="J34" s="234">
        <f>[32]PnL!J27</f>
        <v>-2739</v>
      </c>
      <c r="K34" s="234">
        <f>[32]PnL!K27</f>
        <v>-1887</v>
      </c>
      <c r="L34" s="234">
        <f>[32]PnL!L27</f>
        <v>-619</v>
      </c>
      <c r="M34" s="234">
        <f>[32]PnL!M27</f>
        <v>-3151</v>
      </c>
      <c r="N34" s="234">
        <f>[32]PnL!N27</f>
        <v>-6317</v>
      </c>
      <c r="O34" s="234">
        <f>[32]PnL!O27</f>
        <v>-2559</v>
      </c>
      <c r="P34" s="234">
        <f>[32]PnL!P27</f>
        <v>-4425</v>
      </c>
      <c r="Q34" s="234">
        <f>[32]PnL!Q27</f>
        <v>-22451</v>
      </c>
      <c r="R34" s="234">
        <f>[32]PnL!R27</f>
        <v>-1654</v>
      </c>
      <c r="S34" s="234">
        <f>[32]PnL!S27</f>
        <v>-5950</v>
      </c>
      <c r="T34" s="234">
        <f>[32]PnL!T27</f>
        <v>-3763</v>
      </c>
      <c r="U34" s="234">
        <f>[32]PnL!U27</f>
        <v>-10613</v>
      </c>
      <c r="V34" s="234">
        <f>[32]PnL!V27</f>
        <v>-18811</v>
      </c>
      <c r="W34" s="234">
        <f>[32]PnL!W27</f>
        <v>-942</v>
      </c>
      <c r="X34" s="234">
        <f>[32]PnL!X27</f>
        <v>-65159</v>
      </c>
      <c r="Y34" s="234">
        <f>[32]PnL!Y27</f>
        <v>-16814</v>
      </c>
      <c r="Z34" s="234">
        <f>[32]PnL!Z27</f>
        <v>7700</v>
      </c>
      <c r="AA34" s="234">
        <f>[32]PnL!AA27</f>
        <v>-22507</v>
      </c>
      <c r="AB34" s="234">
        <f>[32]PnL!AB27</f>
        <v>-10557</v>
      </c>
      <c r="AC34" s="241">
        <f>OperatingMetrics!AG256+OperatingMetrics!AG257</f>
        <v>-16814</v>
      </c>
      <c r="AD34" s="241">
        <f>OperatingMetrics!AH256+OperatingMetrics!AH257</f>
        <v>7700</v>
      </c>
      <c r="AE34" s="241">
        <f>OperatingMetrics!AI256+OperatingMetrics!AI257</f>
        <v>-22507</v>
      </c>
      <c r="AF34" s="241">
        <f>OperatingMetrics!AJ256+OperatingMetrics!AJ257</f>
        <v>-10557</v>
      </c>
      <c r="AG34" s="241">
        <f>OperatingMetrics!AK256+OperatingMetrics!AK257</f>
        <v>-16814</v>
      </c>
      <c r="AH34" s="241">
        <f>OperatingMetrics!AL256+OperatingMetrics!AL257</f>
        <v>7700</v>
      </c>
      <c r="AI34" s="241">
        <f>OperatingMetrics!AM256+OperatingMetrics!AM257</f>
        <v>-22507</v>
      </c>
      <c r="AJ34" s="241">
        <f>OperatingMetrics!AN256+OperatingMetrics!AN257</f>
        <v>-10557</v>
      </c>
      <c r="AK34" s="241">
        <f>OperatingMetrics!AO256+OperatingMetrics!AO257</f>
        <v>-16814</v>
      </c>
      <c r="AL34" s="241">
        <f>OperatingMetrics!AP256+OperatingMetrics!AP257</f>
        <v>7700</v>
      </c>
      <c r="AM34" s="238"/>
      <c r="AN34" s="238">
        <f>[32]PnL!AP27</f>
        <v>0</v>
      </c>
      <c r="AO34" s="238">
        <f>[32]PnL!AQ27</f>
        <v>0</v>
      </c>
      <c r="AP34" s="238">
        <f>[32]PnL!AR27</f>
        <v>0</v>
      </c>
      <c r="AQ34" s="238">
        <f>[32]PnL!AS27</f>
        <v>0</v>
      </c>
      <c r="AR34" s="238">
        <f>[32]PnL!AT27</f>
        <v>0</v>
      </c>
      <c r="AS34" s="238">
        <f>[32]PnL!AU27</f>
        <v>0</v>
      </c>
      <c r="AT34" s="238">
        <f>[32]PnL!AV27</f>
        <v>0</v>
      </c>
      <c r="AU34" s="238">
        <f>[32]PnL!AW27</f>
        <v>0</v>
      </c>
      <c r="AV34" s="238">
        <f>[32]PnL!AX27</f>
        <v>0</v>
      </c>
      <c r="AW34" s="238">
        <f>[32]PnL!AY27</f>
        <v>0</v>
      </c>
      <c r="AX34" s="241">
        <v>0</v>
      </c>
      <c r="AY34" s="241">
        <v>0</v>
      </c>
      <c r="AZ34" s="241">
        <v>0</v>
      </c>
      <c r="BA34" s="241">
        <v>0</v>
      </c>
      <c r="BB34" s="241">
        <v>0</v>
      </c>
      <c r="BC34" s="241">
        <v>0</v>
      </c>
      <c r="BD34" s="234"/>
      <c r="BE34" s="234">
        <f>[32]PnL!BH27</f>
        <v>52366</v>
      </c>
      <c r="BF34" s="234">
        <f>[32]PnL!BI27</f>
        <v>11974</v>
      </c>
      <c r="BG34" s="234">
        <f>[32]PnL!BJ27</f>
        <v>31089</v>
      </c>
      <c r="BH34" s="234">
        <f>[32]PnL!BK27</f>
        <v>39137</v>
      </c>
      <c r="BI34" s="234">
        <f>[32]PnL!BL27</f>
        <v>75215</v>
      </c>
      <c r="BJ34" s="234">
        <f t="shared" si="13"/>
        <v>-42178</v>
      </c>
      <c r="BK34" s="234">
        <f t="shared" si="9"/>
        <v>-42178</v>
      </c>
      <c r="BL34" s="234">
        <f t="shared" si="40"/>
        <v>-42178</v>
      </c>
      <c r="BM34" s="2722">
        <f>OperatingMetrics!BD256+OperatingMetrics!BD257</f>
        <v>-41708.199999999997</v>
      </c>
      <c r="BN34" s="2722">
        <f>OperatingMetrics!BE256+OperatingMetrics!BE257</f>
        <v>-41191.42</v>
      </c>
      <c r="BO34" s="2722">
        <f>OperatingMetrics!BF256+OperatingMetrics!BF257</f>
        <v>-40622.962</v>
      </c>
      <c r="BP34" s="2722">
        <f>OperatingMetrics!BG256+OperatingMetrics!BG257</f>
        <v>-39997.658199999998</v>
      </c>
      <c r="BQ34" s="2722">
        <f>OperatingMetrics!BH256+OperatingMetrics!BH257</f>
        <v>-39309.82402</v>
      </c>
      <c r="BR34" s="2722">
        <f>OperatingMetrics!BI256+OperatingMetrics!BI257</f>
        <v>-38553.206421999996</v>
      </c>
      <c r="BS34" s="2722">
        <f>OperatingMetrics!BJ256+OperatingMetrics!BJ257</f>
        <v>-37720.92706419999</v>
      </c>
      <c r="BT34" s="203"/>
      <c r="BU34" s="203"/>
    </row>
    <row r="35" spans="1:73" ht="12.75" customHeight="1" x14ac:dyDescent="0.35">
      <c r="A35" s="144" t="s">
        <v>142</v>
      </c>
      <c r="B35" s="236" t="s">
        <v>143</v>
      </c>
      <c r="C35" s="223"/>
      <c r="D35" s="223"/>
      <c r="E35" s="223"/>
      <c r="F35" s="236"/>
      <c r="G35" s="236"/>
      <c r="H35" s="236"/>
      <c r="I35" s="237">
        <f>[32]PnL!I28</f>
        <v>16510</v>
      </c>
      <c r="J35" s="237">
        <f>[32]PnL!J28</f>
        <v>7851</v>
      </c>
      <c r="K35" s="237">
        <f>[32]PnL!K28</f>
        <v>10701</v>
      </c>
      <c r="L35" s="237">
        <f>[32]PnL!L28</f>
        <v>9664</v>
      </c>
      <c r="M35" s="237">
        <f>[32]PnL!M28</f>
        <v>23815</v>
      </c>
      <c r="N35" s="237">
        <f>[32]PnL!N28</f>
        <v>15849</v>
      </c>
      <c r="O35" s="237">
        <f>[32]PnL!O28</f>
        <v>20072</v>
      </c>
      <c r="P35" s="237">
        <f>[32]PnL!P28</f>
        <v>21009</v>
      </c>
      <c r="Q35" s="237">
        <f>[32]PnL!Q28</f>
        <v>48447</v>
      </c>
      <c r="R35" s="237">
        <f>[32]PnL!R28</f>
        <v>10875</v>
      </c>
      <c r="S35" s="237">
        <f>[32]PnL!S28</f>
        <v>13970</v>
      </c>
      <c r="T35" s="237">
        <f>[32]PnL!T28</f>
        <v>17264</v>
      </c>
      <c r="U35" s="237">
        <f>[32]PnL!U28</f>
        <v>37411</v>
      </c>
      <c r="V35" s="237">
        <f>[32]PnL!V28</f>
        <v>27576</v>
      </c>
      <c r="W35" s="237">
        <f>[32]PnL!W28</f>
        <v>25317</v>
      </c>
      <c r="X35" s="237">
        <f>[32]PnL!X28</f>
        <v>85523</v>
      </c>
      <c r="Y35" s="237">
        <f>[32]PnL!Y28</f>
        <v>56374</v>
      </c>
      <c r="Z35" s="237">
        <f>[32]PnL!Z28</f>
        <v>-569</v>
      </c>
      <c r="AA35" s="237">
        <f>[32]PnL!AA28</f>
        <v>57212</v>
      </c>
      <c r="AB35" s="237">
        <f>[32]PnL!AB28</f>
        <v>24191</v>
      </c>
      <c r="AC35" s="238">
        <f t="shared" ref="AC35:AL35" si="41">AC24-SUM(AC31:AC34)</f>
        <v>62314.573037598646</v>
      </c>
      <c r="AD35" s="238">
        <f>AD24-SUM(AD31:AD34)</f>
        <v>5101.7421870023245</v>
      </c>
      <c r="AE35" s="238">
        <f t="shared" si="41"/>
        <v>61975.661751898639</v>
      </c>
      <c r="AF35" s="238">
        <f t="shared" si="41"/>
        <v>23373.345314935839</v>
      </c>
      <c r="AG35" s="238">
        <f t="shared" si="41"/>
        <v>68101.203194889065</v>
      </c>
      <c r="AH35" s="238">
        <f t="shared" si="41"/>
        <v>5523.4159050904709</v>
      </c>
      <c r="AI35" s="238">
        <f t="shared" si="41"/>
        <v>67963.208856046826</v>
      </c>
      <c r="AJ35" s="238">
        <f t="shared" si="41"/>
        <v>22370.161179994335</v>
      </c>
      <c r="AK35" s="238">
        <f t="shared" si="41"/>
        <v>75277.753932402804</v>
      </c>
      <c r="AL35" s="238">
        <f t="shared" si="41"/>
        <v>5080.0856767804798</v>
      </c>
      <c r="AM35" s="238"/>
      <c r="AN35" s="238">
        <f>[32]PnL!AP28</f>
        <v>0</v>
      </c>
      <c r="AO35" s="238">
        <f>[32]PnL!AQ28</f>
        <v>0</v>
      </c>
      <c r="AP35" s="238">
        <f>[32]PnL!AR28</f>
        <v>0</v>
      </c>
      <c r="AQ35" s="238">
        <f>[32]PnL!AS28</f>
        <v>0</v>
      </c>
      <c r="AR35" s="238">
        <f>[32]PnL!AT28</f>
        <v>0</v>
      </c>
      <c r="AS35" s="238">
        <f>[32]PnL!AU28</f>
        <v>0</v>
      </c>
      <c r="AT35" s="238">
        <f>[32]PnL!AV28</f>
        <v>0</v>
      </c>
      <c r="AU35" s="238">
        <f>[32]PnL!AW28</f>
        <v>0</v>
      </c>
      <c r="AV35" s="238">
        <f>[32]PnL!AX28</f>
        <v>0</v>
      </c>
      <c r="AW35" s="238">
        <f>[32]PnL!AY28</f>
        <v>0</v>
      </c>
      <c r="AX35" s="238" t="e">
        <f t="shared" ref="AX35:BC35" si="42">AX24-SUM(AX31:AX34)</f>
        <v>#DIV/0!</v>
      </c>
      <c r="AY35" s="238" t="e">
        <f t="shared" si="42"/>
        <v>#DIV/0!</v>
      </c>
      <c r="AZ35" s="238" t="e">
        <f t="shared" si="42"/>
        <v>#DIV/0!</v>
      </c>
      <c r="BA35" s="238" t="e">
        <f t="shared" si="42"/>
        <v>#DIV/0!</v>
      </c>
      <c r="BB35" s="238" t="e">
        <f t="shared" si="42"/>
        <v>#DIV/0!</v>
      </c>
      <c r="BC35" s="238" t="e">
        <f t="shared" si="42"/>
        <v>#DIV/0!</v>
      </c>
      <c r="BD35" s="237"/>
      <c r="BE35" s="237">
        <f>[32]PnL!BH28</f>
        <v>81468</v>
      </c>
      <c r="BF35" s="237">
        <f>[32]PnL!BI28</f>
        <v>60029</v>
      </c>
      <c r="BG35" s="237">
        <f>[32]PnL!BJ28</f>
        <v>100403</v>
      </c>
      <c r="BH35" s="237">
        <f>[32]PnL!BK28</f>
        <v>96221</v>
      </c>
      <c r="BI35" s="237">
        <f>[32]PnL!BL28</f>
        <v>166645</v>
      </c>
      <c r="BJ35" s="237">
        <f t="shared" si="13"/>
        <v>148819.31522460096</v>
      </c>
      <c r="BK35" s="237">
        <f t="shared" si="9"/>
        <v>158973.62616681401</v>
      </c>
      <c r="BL35" s="237">
        <f>SUM(AI35:AL35)</f>
        <v>170691.20964522444</v>
      </c>
      <c r="BM35" s="238">
        <f t="shared" ref="BM35:BS35" si="43">BM24-SUM(BM31:BM34)</f>
        <v>195727.00186643377</v>
      </c>
      <c r="BN35" s="238">
        <f t="shared" si="43"/>
        <v>219672.32390188088</v>
      </c>
      <c r="BO35" s="238">
        <f t="shared" si="43"/>
        <v>241361.7616292921</v>
      </c>
      <c r="BP35" s="238">
        <f t="shared" si="43"/>
        <v>260220.03094575717</v>
      </c>
      <c r="BQ35" s="238">
        <f t="shared" si="43"/>
        <v>276129.19268504897</v>
      </c>
      <c r="BR35" s="238">
        <f t="shared" si="43"/>
        <v>289292.77112186275</v>
      </c>
      <c r="BS35" s="238">
        <f t="shared" si="43"/>
        <v>299940.2264522842</v>
      </c>
      <c r="BT35" s="203"/>
      <c r="BU35" s="203"/>
    </row>
    <row r="36" spans="1:73" ht="12.75" customHeight="1" x14ac:dyDescent="0.35">
      <c r="A36" s="144"/>
      <c r="B36" s="223"/>
      <c r="C36" s="172" t="s">
        <v>144</v>
      </c>
      <c r="D36" s="223"/>
      <c r="E36" s="223"/>
      <c r="F36" s="172"/>
      <c r="G36" s="172"/>
      <c r="H36" s="172"/>
      <c r="I36" s="242" t="e">
        <f>[32]PnL!I29</f>
        <v>#REF!</v>
      </c>
      <c r="J36" s="242" t="e">
        <f>[32]PnL!J29</f>
        <v>#REF!</v>
      </c>
      <c r="K36" s="242" t="e">
        <f>[32]PnL!K29</f>
        <v>#REF!</v>
      </c>
      <c r="L36" s="242" t="e">
        <f>[32]PnL!L29</f>
        <v>#REF!</v>
      </c>
      <c r="M36" s="242" t="e">
        <f>[32]PnL!M29</f>
        <v>#REF!</v>
      </c>
      <c r="N36" s="242" t="e">
        <f>[32]PnL!N29</f>
        <v>#REF!</v>
      </c>
      <c r="O36" s="242" t="e">
        <f>[32]PnL!O29</f>
        <v>#REF!</v>
      </c>
      <c r="P36" s="242" t="e">
        <f>[32]PnL!P29</f>
        <v>#REF!</v>
      </c>
      <c r="Q36" s="242" t="e">
        <f>[32]PnL!Q29</f>
        <v>#REF!</v>
      </c>
      <c r="R36" s="242" t="e">
        <f>[32]PnL!R29</f>
        <v>#REF!</v>
      </c>
      <c r="S36" s="242" t="e">
        <f>[32]PnL!S29</f>
        <v>#REF!</v>
      </c>
      <c r="T36" s="242" t="e">
        <f>[32]PnL!T29</f>
        <v>#REF!</v>
      </c>
      <c r="U36" s="242" t="e">
        <f>[32]PnL!U29</f>
        <v>#REF!</v>
      </c>
      <c r="V36" s="242" t="e">
        <f>[32]PnL!V29</f>
        <v>#REF!</v>
      </c>
      <c r="W36" s="242">
        <f t="shared" ref="W36:Z36" si="44">W37/W35</f>
        <v>0.26511829995655095</v>
      </c>
      <c r="X36" s="242">
        <f t="shared" si="44"/>
        <v>3.2915122247816377E-2</v>
      </c>
      <c r="Y36" s="242">
        <f t="shared" si="44"/>
        <v>0.14912903111363396</v>
      </c>
      <c r="Z36" s="242">
        <f t="shared" si="44"/>
        <v>-4.6186291739894552</v>
      </c>
      <c r="AA36" s="242">
        <f t="shared" ref="AA36" si="45">AA37/AA35</f>
        <v>0.19443473397189401</v>
      </c>
      <c r="AB36" s="242">
        <f t="shared" ref="AB36" si="46">AB37/AB35</f>
        <v>7.8996320945806289E-2</v>
      </c>
      <c r="AC36" s="273">
        <f>OperatingMetrics!AG259</f>
        <v>0.15</v>
      </c>
      <c r="AD36" s="273">
        <f>OperatingMetrics!AH259</f>
        <v>0.15</v>
      </c>
      <c r="AE36" s="273">
        <f>OperatingMetrics!AI259</f>
        <v>0.15</v>
      </c>
      <c r="AF36" s="273">
        <f>OperatingMetrics!AJ259</f>
        <v>0.15</v>
      </c>
      <c r="AG36" s="273">
        <f>OperatingMetrics!AK259</f>
        <v>0.15</v>
      </c>
      <c r="AH36" s="273">
        <f>OperatingMetrics!AL259</f>
        <v>0.15</v>
      </c>
      <c r="AI36" s="273">
        <f>OperatingMetrics!AM259</f>
        <v>0.15</v>
      </c>
      <c r="AJ36" s="273">
        <f>OperatingMetrics!AN259</f>
        <v>0.15</v>
      </c>
      <c r="AK36" s="273">
        <f>OperatingMetrics!AO259</f>
        <v>0.15</v>
      </c>
      <c r="AL36" s="273">
        <f>OperatingMetrics!AP259</f>
        <v>0.15</v>
      </c>
      <c r="AM36" s="238"/>
      <c r="AN36" s="442" t="e">
        <f>AN37/AN35</f>
        <v>#DIV/0!</v>
      </c>
      <c r="AO36" s="442" t="e">
        <f t="shared" ref="AO36:AW36" si="47">AO37/AO35</f>
        <v>#DIV/0!</v>
      </c>
      <c r="AP36" s="442" t="e">
        <f t="shared" si="47"/>
        <v>#DIV/0!</v>
      </c>
      <c r="AQ36" s="442" t="e">
        <f t="shared" si="47"/>
        <v>#DIV/0!</v>
      </c>
      <c r="AR36" s="442" t="e">
        <f t="shared" si="47"/>
        <v>#DIV/0!</v>
      </c>
      <c r="AS36" s="442" t="e">
        <f t="shared" si="47"/>
        <v>#DIV/0!</v>
      </c>
      <c r="AT36" s="442" t="e">
        <f t="shared" si="47"/>
        <v>#DIV/0!</v>
      </c>
      <c r="AU36" s="442" t="e">
        <f t="shared" si="47"/>
        <v>#DIV/0!</v>
      </c>
      <c r="AV36" s="442" t="e">
        <f t="shared" si="47"/>
        <v>#DIV/0!</v>
      </c>
      <c r="AW36" s="442" t="e">
        <f t="shared" si="47"/>
        <v>#DIV/0!</v>
      </c>
      <c r="AX36" s="273" t="e">
        <f t="shared" ref="AX36" si="48">AW36</f>
        <v>#DIV/0!</v>
      </c>
      <c r="AY36" s="273" t="e">
        <f t="shared" ref="AY36:BC36" si="49">AX36</f>
        <v>#DIV/0!</v>
      </c>
      <c r="AZ36" s="273" t="e">
        <f t="shared" si="49"/>
        <v>#DIV/0!</v>
      </c>
      <c r="BA36" s="273" t="e">
        <f t="shared" si="49"/>
        <v>#DIV/0!</v>
      </c>
      <c r="BB36" s="273" t="e">
        <f t="shared" si="49"/>
        <v>#DIV/0!</v>
      </c>
      <c r="BC36" s="273" t="e">
        <f t="shared" si="49"/>
        <v>#DIV/0!</v>
      </c>
      <c r="BD36" s="242"/>
      <c r="BE36" s="242">
        <f>BE37/BE35</f>
        <v>0.10370943192419109</v>
      </c>
      <c r="BF36" s="242">
        <f>BF37/BF35</f>
        <v>0.22948908027786569</v>
      </c>
      <c r="BG36" s="242">
        <f t="shared" ref="BG36:BI36" si="50">BG37/BG35</f>
        <v>0.18125952411780524</v>
      </c>
      <c r="BH36" s="242">
        <f t="shared" si="50"/>
        <v>0.17203105351222706</v>
      </c>
      <c r="BI36" s="242">
        <f t="shared" si="50"/>
        <v>0.12338804044525788</v>
      </c>
      <c r="BJ36" s="243">
        <f>SUM(AA37:AD37)/SUM(AA35:AD35)</f>
        <v>0.15554061143713488</v>
      </c>
      <c r="BK36" s="243">
        <f>SUM(AE37:AH37)/SUM(AE35:AH35)</f>
        <v>0.15000000000000002</v>
      </c>
      <c r="BL36" s="243">
        <f>SUM(AI37:AL37)/SUM(AI35:AL35)</f>
        <v>0.15</v>
      </c>
      <c r="BM36" s="2723">
        <f>OperatingMetrics!BD259</f>
        <v>0.14999999999999997</v>
      </c>
      <c r="BN36" s="2723">
        <f>OperatingMetrics!BE259</f>
        <v>0.14999999999999997</v>
      </c>
      <c r="BO36" s="2723">
        <f>OperatingMetrics!BF259</f>
        <v>0.14999999999999997</v>
      </c>
      <c r="BP36" s="2723">
        <f>OperatingMetrics!BG259</f>
        <v>0.14999999999999997</v>
      </c>
      <c r="BQ36" s="2723">
        <f>OperatingMetrics!BH259</f>
        <v>0.14999999999999997</v>
      </c>
      <c r="BR36" s="2723">
        <f>OperatingMetrics!BI259</f>
        <v>0.14999999999999997</v>
      </c>
      <c r="BS36" s="2723">
        <f>OperatingMetrics!BJ259</f>
        <v>0.14999999999999997</v>
      </c>
      <c r="BT36" s="203"/>
      <c r="BU36" s="203"/>
    </row>
    <row r="37" spans="1:73" ht="12.75" customHeight="1" x14ac:dyDescent="0.35">
      <c r="A37" s="144" t="s">
        <v>145</v>
      </c>
      <c r="B37" s="236" t="s">
        <v>146</v>
      </c>
      <c r="C37" s="223"/>
      <c r="D37" s="223"/>
      <c r="E37" s="223"/>
      <c r="F37" s="236"/>
      <c r="G37" s="236"/>
      <c r="H37" s="236"/>
      <c r="I37" s="237">
        <f>[32]PnL!I30</f>
        <v>3559</v>
      </c>
      <c r="J37" s="237">
        <f>[32]PnL!J30</f>
        <v>1825</v>
      </c>
      <c r="K37" s="237">
        <f>[32]PnL!K30</f>
        <v>2091</v>
      </c>
      <c r="L37" s="237">
        <f>[32]PnL!L30</f>
        <v>2022</v>
      </c>
      <c r="M37" s="237">
        <f>[32]PnL!M30</f>
        <v>5110</v>
      </c>
      <c r="N37" s="237">
        <f>[32]PnL!N30</f>
        <v>4553</v>
      </c>
      <c r="O37" s="237">
        <f>[32]PnL!O30</f>
        <v>4653</v>
      </c>
      <c r="P37" s="237">
        <f>[32]PnL!P30</f>
        <v>2719</v>
      </c>
      <c r="Q37" s="237">
        <f>[32]PnL!Q30</f>
        <v>6663</v>
      </c>
      <c r="R37" s="237">
        <f>[32]PnL!R30</f>
        <v>4164</v>
      </c>
      <c r="S37" s="237">
        <f>[32]PnL!S30</f>
        <v>5665</v>
      </c>
      <c r="T37" s="237">
        <f>[32]PnL!T30</f>
        <v>277</v>
      </c>
      <c r="U37" s="237">
        <f>[32]PnL!U30</f>
        <v>5586</v>
      </c>
      <c r="V37" s="237">
        <f>[32]PnL!V30</f>
        <v>5025</v>
      </c>
      <c r="W37" s="237">
        <f>[32]PnL!W30</f>
        <v>6712</v>
      </c>
      <c r="X37" s="237">
        <f>[32]PnL!X30</f>
        <v>2815</v>
      </c>
      <c r="Y37" s="237">
        <f>[32]PnL!Y30</f>
        <v>8407</v>
      </c>
      <c r="Z37" s="237">
        <f>[32]PnL!Z30</f>
        <v>2628</v>
      </c>
      <c r="AA37" s="237">
        <f>[32]PnL!AA30</f>
        <v>11124</v>
      </c>
      <c r="AB37" s="237">
        <f>[32]PnL!AB30</f>
        <v>1911</v>
      </c>
      <c r="AC37" s="238">
        <f t="shared" ref="AC37" si="51">IF(ISERR(AC35*AC36),"-",AC35*AC36)</f>
        <v>9347.1859556397958</v>
      </c>
      <c r="AD37" s="238">
        <f>IF(ISERR(AD35*AD36),"-",AD35*AD36)</f>
        <v>765.26132805034865</v>
      </c>
      <c r="AE37" s="238">
        <f t="shared" ref="AE37:AL37" si="52">IF(ISERR(AE35*AE36),"-",AE35*AE36)</f>
        <v>9296.3492627847954</v>
      </c>
      <c r="AF37" s="238">
        <f t="shared" si="52"/>
        <v>3506.0017972403757</v>
      </c>
      <c r="AG37" s="238">
        <f t="shared" si="52"/>
        <v>10215.180479233359</v>
      </c>
      <c r="AH37" s="238">
        <f t="shared" si="52"/>
        <v>828.51238576357059</v>
      </c>
      <c r="AI37" s="238">
        <f t="shared" si="52"/>
        <v>10194.481328407024</v>
      </c>
      <c r="AJ37" s="238">
        <f t="shared" si="52"/>
        <v>3355.5241769991503</v>
      </c>
      <c r="AK37" s="238">
        <f t="shared" si="52"/>
        <v>11291.66308986042</v>
      </c>
      <c r="AL37" s="238">
        <f t="shared" si="52"/>
        <v>762.01285151707191</v>
      </c>
      <c r="AM37" s="238"/>
      <c r="AN37" s="238">
        <f>[32]PnL!AP30</f>
        <v>0</v>
      </c>
      <c r="AO37" s="238">
        <f>[32]PnL!AQ30</f>
        <v>0</v>
      </c>
      <c r="AP37" s="238">
        <f>[32]PnL!AR30</f>
        <v>0</v>
      </c>
      <c r="AQ37" s="238">
        <f>[32]PnL!AS30</f>
        <v>0</v>
      </c>
      <c r="AR37" s="238">
        <f>[32]PnL!AT30</f>
        <v>0</v>
      </c>
      <c r="AS37" s="238">
        <f>[32]PnL!AU30</f>
        <v>0</v>
      </c>
      <c r="AT37" s="238">
        <f>[32]PnL!AV30</f>
        <v>0</v>
      </c>
      <c r="AU37" s="238">
        <f>[32]PnL!AW30</f>
        <v>0</v>
      </c>
      <c r="AV37" s="238">
        <f>[32]PnL!AX30</f>
        <v>0</v>
      </c>
      <c r="AW37" s="238">
        <f>[32]PnL!AY30</f>
        <v>0</v>
      </c>
      <c r="AX37" s="238" t="str">
        <f t="shared" ref="AX37" si="53">IF(ISERR(AX35*AX36),"-",AX35*AX36)</f>
        <v>-</v>
      </c>
      <c r="AY37" s="238" t="str">
        <f t="shared" ref="AY37:BC37" si="54">IF(ISERR(AY35*AY36),"-",AY35*AY36)</f>
        <v>-</v>
      </c>
      <c r="AZ37" s="238" t="str">
        <f t="shared" si="54"/>
        <v>-</v>
      </c>
      <c r="BA37" s="238" t="str">
        <f t="shared" si="54"/>
        <v>-</v>
      </c>
      <c r="BB37" s="238" t="str">
        <f t="shared" si="54"/>
        <v>-</v>
      </c>
      <c r="BC37" s="238" t="str">
        <f t="shared" si="54"/>
        <v>-</v>
      </c>
      <c r="BD37" s="237"/>
      <c r="BE37" s="237">
        <f>[32]PnL!BH30</f>
        <v>8449</v>
      </c>
      <c r="BF37" s="237">
        <f>[32]PnL!BI30</f>
        <v>13776</v>
      </c>
      <c r="BG37" s="237">
        <f>[32]PnL!BJ30</f>
        <v>18199</v>
      </c>
      <c r="BH37" s="237">
        <f>[32]PnL!BK30</f>
        <v>16553</v>
      </c>
      <c r="BI37" s="237">
        <f>[32]PnL!BL30</f>
        <v>20562</v>
      </c>
      <c r="BJ37" s="237">
        <f t="shared" si="13"/>
        <v>23147.447283690148</v>
      </c>
      <c r="BK37" s="237">
        <f t="shared" si="9"/>
        <v>23846.043925022102</v>
      </c>
      <c r="BL37" s="237">
        <f>SUM(AI37:AL37)</f>
        <v>25603.681446783667</v>
      </c>
      <c r="BM37" s="238">
        <f t="shared" ref="BM37:BS37" si="55">IF(ISERR(BM35*BM36),"-",BM35*BM36)</f>
        <v>29359.05027996506</v>
      </c>
      <c r="BN37" s="238">
        <f t="shared" si="55"/>
        <v>32950.848585282125</v>
      </c>
      <c r="BO37" s="238">
        <f t="shared" si="55"/>
        <v>36204.264244393809</v>
      </c>
      <c r="BP37" s="238">
        <f t="shared" si="55"/>
        <v>39033.004641863568</v>
      </c>
      <c r="BQ37" s="238">
        <f t="shared" si="55"/>
        <v>41419.378902757337</v>
      </c>
      <c r="BR37" s="238">
        <f t="shared" si="55"/>
        <v>43393.915668279406</v>
      </c>
      <c r="BS37" s="238">
        <f t="shared" si="55"/>
        <v>44991.033967842617</v>
      </c>
      <c r="BT37" s="203"/>
      <c r="BU37" s="203"/>
    </row>
    <row r="38" spans="1:73" ht="12.75" customHeight="1" x14ac:dyDescent="0.35">
      <c r="A38" s="144" t="s">
        <v>147</v>
      </c>
      <c r="B38" s="223"/>
      <c r="C38" s="232" t="s">
        <v>148</v>
      </c>
      <c r="D38" s="223"/>
      <c r="E38" s="223"/>
      <c r="F38" s="232"/>
      <c r="G38" s="232"/>
      <c r="H38" s="232"/>
      <c r="I38" s="234">
        <f>[32]PnL!I31</f>
        <v>-42</v>
      </c>
      <c r="J38" s="234">
        <f>[32]PnL!J31</f>
        <v>-51</v>
      </c>
      <c r="K38" s="234">
        <f>[32]PnL!K31</f>
        <v>-408</v>
      </c>
      <c r="L38" s="234">
        <f>[32]PnL!L31</f>
        <v>-548</v>
      </c>
      <c r="M38" s="234">
        <f>[32]PnL!M31</f>
        <v>-698</v>
      </c>
      <c r="N38" s="234">
        <f>[32]PnL!N31</f>
        <v>-795</v>
      </c>
      <c r="O38" s="234">
        <f>[32]PnL!O31</f>
        <v>-652</v>
      </c>
      <c r="P38" s="234">
        <f>[32]PnL!P31</f>
        <v>-260</v>
      </c>
      <c r="Q38" s="234">
        <f>[32]PnL!Q31</f>
        <v>-741</v>
      </c>
      <c r="R38" s="234">
        <f>[32]PnL!R31</f>
        <v>-1028</v>
      </c>
      <c r="S38" s="234">
        <f>[32]PnL!S31</f>
        <v>-1070</v>
      </c>
      <c r="T38" s="234">
        <f>[32]PnL!T31</f>
        <v>-1892</v>
      </c>
      <c r="U38" s="234">
        <f>[32]PnL!U31</f>
        <v>-2156</v>
      </c>
      <c r="V38" s="234">
        <f>[32]PnL!V31</f>
        <v>-2534</v>
      </c>
      <c r="W38" s="234">
        <f>[32]PnL!W31</f>
        <v>-2326</v>
      </c>
      <c r="X38" s="234">
        <f>[32]PnL!X31</f>
        <v>-1843</v>
      </c>
      <c r="Y38" s="234">
        <f>[32]PnL!Y31</f>
        <v>-2042</v>
      </c>
      <c r="Z38" s="234">
        <f>[32]PnL!Z31</f>
        <v>-2872</v>
      </c>
      <c r="AA38" s="234">
        <f>[32]PnL!AA31</f>
        <v>-1096</v>
      </c>
      <c r="AB38" s="234">
        <f>[32]PnL!AB31</f>
        <v>-2352</v>
      </c>
      <c r="AC38" s="241">
        <f>OperatingMetrics!AG261</f>
        <v>-2042</v>
      </c>
      <c r="AD38" s="241">
        <f>OperatingMetrics!AH261</f>
        <v>-2872</v>
      </c>
      <c r="AE38" s="241">
        <f>OperatingMetrics!AI261</f>
        <v>1096</v>
      </c>
      <c r="AF38" s="241">
        <f>OperatingMetrics!AJ261</f>
        <v>-2352</v>
      </c>
      <c r="AG38" s="241">
        <f>OperatingMetrics!AK261</f>
        <v>-2042</v>
      </c>
      <c r="AH38" s="241">
        <f>OperatingMetrics!AL261</f>
        <v>-2872</v>
      </c>
      <c r="AI38" s="241">
        <f>OperatingMetrics!AM261</f>
        <v>1096</v>
      </c>
      <c r="AJ38" s="241">
        <f>OperatingMetrics!AN261</f>
        <v>-2352</v>
      </c>
      <c r="AK38" s="241">
        <f>OperatingMetrics!AO261</f>
        <v>-2042</v>
      </c>
      <c r="AL38" s="241">
        <f>OperatingMetrics!AP261</f>
        <v>-2872</v>
      </c>
      <c r="AM38" s="238"/>
      <c r="AN38" s="238">
        <f>[32]PnL!AP31</f>
        <v>0</v>
      </c>
      <c r="AO38" s="238">
        <f>[32]PnL!AQ31</f>
        <v>0</v>
      </c>
      <c r="AP38" s="238">
        <f>[32]PnL!AR31</f>
        <v>0</v>
      </c>
      <c r="AQ38" s="238">
        <f>[32]PnL!AS31</f>
        <v>0</v>
      </c>
      <c r="AR38" s="238">
        <f>[32]PnL!AT31</f>
        <v>0</v>
      </c>
      <c r="AS38" s="238">
        <f>[32]PnL!AU31</f>
        <v>0</v>
      </c>
      <c r="AT38" s="238">
        <f>[32]PnL!AV31</f>
        <v>0</v>
      </c>
      <c r="AU38" s="238">
        <f>[32]PnL!AW31</f>
        <v>0</v>
      </c>
      <c r="AV38" s="238">
        <f>[32]PnL!AX31</f>
        <v>0</v>
      </c>
      <c r="AW38" s="238">
        <f>[32]PnL!AY31</f>
        <v>0</v>
      </c>
      <c r="AX38" s="234">
        <f t="shared" ref="AX38:BC38" si="56">IF(ISERR(AX12/AX12),"-",AW38)</f>
        <v>0</v>
      </c>
      <c r="AY38" s="234">
        <f t="shared" si="56"/>
        <v>0</v>
      </c>
      <c r="AZ38" s="234">
        <f t="shared" si="56"/>
        <v>0</v>
      </c>
      <c r="BA38" s="234">
        <f t="shared" si="56"/>
        <v>0</v>
      </c>
      <c r="BB38" s="234">
        <f t="shared" si="56"/>
        <v>0</v>
      </c>
      <c r="BC38" s="234">
        <f t="shared" si="56"/>
        <v>0</v>
      </c>
      <c r="BD38" s="234"/>
      <c r="BE38" s="234">
        <f>[32]PnL!BH31</f>
        <v>-171</v>
      </c>
      <c r="BF38" s="234">
        <f>[32]PnL!BI31</f>
        <v>-2449</v>
      </c>
      <c r="BG38" s="234">
        <f>[32]PnL!BJ31</f>
        <v>-2681</v>
      </c>
      <c r="BH38" s="234">
        <f>[32]PnL!BK31</f>
        <v>-7652</v>
      </c>
      <c r="BI38" s="234">
        <f>[32]PnL!BL31</f>
        <v>-9083</v>
      </c>
      <c r="BJ38" s="234">
        <f t="shared" si="13"/>
        <v>-8362</v>
      </c>
      <c r="BK38" s="234">
        <f t="shared" si="9"/>
        <v>-6170</v>
      </c>
      <c r="BL38" s="234">
        <f>SUM(AI38:AL38)</f>
        <v>-6170</v>
      </c>
      <c r="BM38" s="2722">
        <f>OperatingMetrics!BD261</f>
        <v>-6170</v>
      </c>
      <c r="BN38" s="2722">
        <f>OperatingMetrics!BE261</f>
        <v>-6170</v>
      </c>
      <c r="BO38" s="2722">
        <f>OperatingMetrics!BF261</f>
        <v>-6170</v>
      </c>
      <c r="BP38" s="2722">
        <f>OperatingMetrics!BG261</f>
        <v>-6170</v>
      </c>
      <c r="BQ38" s="2722">
        <f>OperatingMetrics!BH261</f>
        <v>-6170</v>
      </c>
      <c r="BR38" s="2722">
        <f>OperatingMetrics!BI261</f>
        <v>-6170</v>
      </c>
      <c r="BS38" s="2722">
        <f>OperatingMetrics!BJ261</f>
        <v>-6170</v>
      </c>
      <c r="BT38" s="203"/>
      <c r="BU38" s="203"/>
    </row>
    <row r="39" spans="1:73" ht="12.75" customHeight="1" x14ac:dyDescent="0.35">
      <c r="A39" s="144" t="s">
        <v>149</v>
      </c>
      <c r="B39" s="223"/>
      <c r="C39" s="232" t="s">
        <v>150</v>
      </c>
      <c r="D39" s="223"/>
      <c r="E39" s="223"/>
      <c r="F39" s="232"/>
      <c r="G39" s="232"/>
      <c r="H39" s="232"/>
      <c r="I39" s="234">
        <f>[32]PnL!I32</f>
        <v>0</v>
      </c>
      <c r="J39" s="234">
        <f>[32]PnL!J32</f>
        <v>0</v>
      </c>
      <c r="K39" s="234">
        <f>[32]PnL!K32</f>
        <v>0</v>
      </c>
      <c r="L39" s="234">
        <f>[32]PnL!L32</f>
        <v>0</v>
      </c>
      <c r="M39" s="234">
        <f>[32]PnL!M32</f>
        <v>0</v>
      </c>
      <c r="N39" s="234">
        <f>[32]PnL!N32</f>
        <v>0</v>
      </c>
      <c r="O39" s="234">
        <f>[32]PnL!O32</f>
        <v>0</v>
      </c>
      <c r="P39" s="234">
        <f>[32]PnL!P32</f>
        <v>0</v>
      </c>
      <c r="Q39" s="234">
        <f>[32]PnL!Q32</f>
        <v>0</v>
      </c>
      <c r="R39" s="234">
        <f>[32]PnL!R32</f>
        <v>0</v>
      </c>
      <c r="S39" s="234">
        <f>[32]PnL!S32</f>
        <v>0</v>
      </c>
      <c r="T39" s="234">
        <f>[32]PnL!T32</f>
        <v>0</v>
      </c>
      <c r="U39" s="234">
        <f>[32]PnL!U32</f>
        <v>0</v>
      </c>
      <c r="V39" s="234">
        <f>[32]PnL!V32</f>
        <v>0</v>
      </c>
      <c r="W39" s="234">
        <f>[32]PnL!W32</f>
        <v>0</v>
      </c>
      <c r="X39" s="234">
        <f>[32]PnL!X32</f>
        <v>0</v>
      </c>
      <c r="Y39" s="234">
        <f>[32]PnL!Y32</f>
        <v>0</v>
      </c>
      <c r="Z39" s="234">
        <f>[32]PnL!Z32</f>
        <v>0</v>
      </c>
      <c r="AA39" s="234">
        <f>[32]PnL!AA32</f>
        <v>0</v>
      </c>
      <c r="AB39" s="234">
        <f>[32]PnL!AB32</f>
        <v>0</v>
      </c>
      <c r="AC39" s="241">
        <f t="shared" ref="AC39" si="57">AB39</f>
        <v>0</v>
      </c>
      <c r="AD39" s="241">
        <f>AC39</f>
        <v>0</v>
      </c>
      <c r="AE39" s="241">
        <f t="shared" ref="AE39:AL39" si="58">AD39</f>
        <v>0</v>
      </c>
      <c r="AF39" s="241">
        <f t="shared" si="58"/>
        <v>0</v>
      </c>
      <c r="AG39" s="241">
        <f t="shared" si="58"/>
        <v>0</v>
      </c>
      <c r="AH39" s="241">
        <f t="shared" si="58"/>
        <v>0</v>
      </c>
      <c r="AI39" s="241">
        <f t="shared" si="58"/>
        <v>0</v>
      </c>
      <c r="AJ39" s="241">
        <f t="shared" si="58"/>
        <v>0</v>
      </c>
      <c r="AK39" s="241">
        <f t="shared" si="58"/>
        <v>0</v>
      </c>
      <c r="AL39" s="241">
        <f t="shared" si="58"/>
        <v>0</v>
      </c>
      <c r="AM39" s="238"/>
      <c r="AN39" s="238">
        <f>[32]PnL!AP32</f>
        <v>0</v>
      </c>
      <c r="AO39" s="238">
        <f>[32]PnL!AQ32</f>
        <v>0</v>
      </c>
      <c r="AP39" s="238">
        <f>[32]PnL!AR32</f>
        <v>0</v>
      </c>
      <c r="AQ39" s="238">
        <f>[32]PnL!AS32</f>
        <v>0</v>
      </c>
      <c r="AR39" s="238">
        <f>[32]PnL!AT32</f>
        <v>0</v>
      </c>
      <c r="AS39" s="238">
        <f>[32]PnL!AU32</f>
        <v>0</v>
      </c>
      <c r="AT39" s="238">
        <f>[32]PnL!AV32</f>
        <v>0</v>
      </c>
      <c r="AU39" s="238">
        <f>[32]PnL!AW32</f>
        <v>0</v>
      </c>
      <c r="AV39" s="238">
        <f>[32]PnL!AX32</f>
        <v>0</v>
      </c>
      <c r="AW39" s="238">
        <f>[32]PnL!AY32</f>
        <v>0</v>
      </c>
      <c r="AX39" s="241">
        <f t="shared" ref="AX39:AX40" si="59">AW39</f>
        <v>0</v>
      </c>
      <c r="AY39" s="241">
        <f t="shared" ref="AY39:BC40" si="60">AX39</f>
        <v>0</v>
      </c>
      <c r="AZ39" s="241">
        <f t="shared" si="60"/>
        <v>0</v>
      </c>
      <c r="BA39" s="241">
        <f t="shared" si="60"/>
        <v>0</v>
      </c>
      <c r="BB39" s="241">
        <f t="shared" si="60"/>
        <v>0</v>
      </c>
      <c r="BC39" s="241">
        <f t="shared" si="60"/>
        <v>0</v>
      </c>
      <c r="BD39" s="234"/>
      <c r="BE39" s="234">
        <f>[32]PnL!BH32</f>
        <v>0</v>
      </c>
      <c r="BF39" s="234">
        <f>[32]PnL!BI32</f>
        <v>0</v>
      </c>
      <c r="BG39" s="234">
        <f>[32]PnL!BJ32</f>
        <v>0</v>
      </c>
      <c r="BH39" s="234">
        <f>[32]PnL!BK32</f>
        <v>0</v>
      </c>
      <c r="BI39" s="234">
        <f>[32]PnL!BL32</f>
        <v>0</v>
      </c>
      <c r="BJ39" s="234">
        <f t="shared" si="13"/>
        <v>0</v>
      </c>
      <c r="BK39" s="234">
        <f t="shared" si="9"/>
        <v>0</v>
      </c>
      <c r="BL39" s="234">
        <f t="shared" ref="BL39:BL41" si="61">SUM(AI39:AL39)</f>
        <v>0</v>
      </c>
      <c r="BM39" s="2722">
        <v>0</v>
      </c>
      <c r="BN39" s="2722">
        <v>0</v>
      </c>
      <c r="BO39" s="2722">
        <v>0</v>
      </c>
      <c r="BP39" s="2722">
        <v>0</v>
      </c>
      <c r="BQ39" s="2722">
        <v>0</v>
      </c>
      <c r="BR39" s="2722">
        <v>0</v>
      </c>
      <c r="BS39" s="2722">
        <v>0</v>
      </c>
      <c r="BT39" s="203"/>
      <c r="BU39" s="203"/>
    </row>
    <row r="40" spans="1:73" ht="12.75" customHeight="1" x14ac:dyDescent="0.35">
      <c r="A40" s="144" t="s">
        <v>149</v>
      </c>
      <c r="B40" s="223"/>
      <c r="C40" s="232" t="s">
        <v>151</v>
      </c>
      <c r="D40" s="223"/>
      <c r="E40" s="223"/>
      <c r="F40" s="232"/>
      <c r="G40" s="232"/>
      <c r="H40" s="232"/>
      <c r="I40" s="234">
        <f>[32]PnL!I33</f>
        <v>495</v>
      </c>
      <c r="J40" s="234">
        <f>[32]PnL!J33</f>
        <v>712</v>
      </c>
      <c r="K40" s="234">
        <f>[32]PnL!K33</f>
        <v>1468</v>
      </c>
      <c r="L40" s="234">
        <f>[32]PnL!L33</f>
        <v>567</v>
      </c>
      <c r="M40" s="234">
        <f>[32]PnL!M33</f>
        <v>1548</v>
      </c>
      <c r="N40" s="234">
        <f>[32]PnL!N33</f>
        <v>1444</v>
      </c>
      <c r="O40" s="234">
        <f>[32]PnL!O33</f>
        <v>1388</v>
      </c>
      <c r="P40" s="234">
        <f>[32]PnL!P33</f>
        <v>882</v>
      </c>
      <c r="Q40" s="234">
        <f>[32]PnL!Q33</f>
        <v>18452</v>
      </c>
      <c r="R40" s="234">
        <f>[32]PnL!R33</f>
        <v>70</v>
      </c>
      <c r="S40" s="234">
        <f>[32]PnL!S33</f>
        <v>655</v>
      </c>
      <c r="T40" s="234">
        <f>[32]PnL!T33</f>
        <v>-1254</v>
      </c>
      <c r="U40" s="234">
        <f>[32]PnL!U33</f>
        <v>861</v>
      </c>
      <c r="V40" s="234">
        <f>[32]PnL!V33</f>
        <v>-828</v>
      </c>
      <c r="W40" s="234">
        <f>[32]PnL!W33</f>
        <v>-517</v>
      </c>
      <c r="X40" s="234">
        <f>[32]PnL!X33</f>
        <v>11960</v>
      </c>
      <c r="Y40" s="234">
        <f>[32]PnL!Y33</f>
        <v>-2165</v>
      </c>
      <c r="Z40" s="234">
        <f>[32]PnL!Z33</f>
        <v>-3545</v>
      </c>
      <c r="AA40" s="234">
        <f>[32]PnL!AA33</f>
        <v>-349</v>
      </c>
      <c r="AB40" s="234">
        <f>[32]PnL!AB33</f>
        <v>-4244</v>
      </c>
      <c r="AC40" s="241">
        <f>OperatingMetrics!AG262</f>
        <v>-2165</v>
      </c>
      <c r="AD40" s="241">
        <f>OperatingMetrics!AH262</f>
        <v>-3545</v>
      </c>
      <c r="AE40" s="241">
        <f>OperatingMetrics!AI262</f>
        <v>-349</v>
      </c>
      <c r="AF40" s="241">
        <f>OperatingMetrics!AJ262</f>
        <v>-4244</v>
      </c>
      <c r="AG40" s="241">
        <f>OperatingMetrics!AK262</f>
        <v>-2165</v>
      </c>
      <c r="AH40" s="241">
        <f>OperatingMetrics!AL262</f>
        <v>-3545</v>
      </c>
      <c r="AI40" s="241">
        <f>OperatingMetrics!AM262</f>
        <v>-349</v>
      </c>
      <c r="AJ40" s="241">
        <f>OperatingMetrics!AN262</f>
        <v>-4244</v>
      </c>
      <c r="AK40" s="241">
        <f>OperatingMetrics!AO262</f>
        <v>-2165</v>
      </c>
      <c r="AL40" s="241">
        <f>OperatingMetrics!AP262</f>
        <v>-3545</v>
      </c>
      <c r="AM40" s="238"/>
      <c r="AN40" s="238">
        <f>[32]PnL!AP33</f>
        <v>0</v>
      </c>
      <c r="AO40" s="238">
        <f>[32]PnL!AQ33</f>
        <v>0</v>
      </c>
      <c r="AP40" s="238">
        <f>[32]PnL!AR33</f>
        <v>0</v>
      </c>
      <c r="AQ40" s="238">
        <f>[32]PnL!AS33</f>
        <v>0</v>
      </c>
      <c r="AR40" s="238">
        <f>[32]PnL!AT33</f>
        <v>0</v>
      </c>
      <c r="AS40" s="238">
        <f>[32]PnL!AU33</f>
        <v>0</v>
      </c>
      <c r="AT40" s="238">
        <f>[32]PnL!AV33</f>
        <v>0</v>
      </c>
      <c r="AU40" s="238">
        <f>[32]PnL!AW33</f>
        <v>0</v>
      </c>
      <c r="AV40" s="238">
        <f>[32]PnL!AX33</f>
        <v>0</v>
      </c>
      <c r="AW40" s="238">
        <f>[32]PnL!AY33</f>
        <v>0</v>
      </c>
      <c r="AX40" s="241">
        <f t="shared" si="59"/>
        <v>0</v>
      </c>
      <c r="AY40" s="241">
        <f t="shared" si="60"/>
        <v>0</v>
      </c>
      <c r="AZ40" s="241">
        <f t="shared" si="60"/>
        <v>0</v>
      </c>
      <c r="BA40" s="241">
        <f t="shared" si="60"/>
        <v>0</v>
      </c>
      <c r="BB40" s="241">
        <f t="shared" si="60"/>
        <v>0</v>
      </c>
      <c r="BC40" s="241">
        <f t="shared" si="60"/>
        <v>0</v>
      </c>
      <c r="BD40" s="234"/>
      <c r="BE40" s="234">
        <f>[32]PnL!BH33</f>
        <v>1730</v>
      </c>
      <c r="BF40" s="234">
        <f>[32]PnL!BI33</f>
        <v>5027</v>
      </c>
      <c r="BG40" s="234">
        <f>[32]PnL!BJ33</f>
        <v>20792</v>
      </c>
      <c r="BH40" s="234">
        <f>[32]PnL!BK33</f>
        <v>-566</v>
      </c>
      <c r="BI40" s="234">
        <f>[32]PnL!BL33</f>
        <v>5733</v>
      </c>
      <c r="BJ40" s="234">
        <f t="shared" si="13"/>
        <v>-10303</v>
      </c>
      <c r="BK40" s="234">
        <f t="shared" si="9"/>
        <v>-10303</v>
      </c>
      <c r="BL40" s="234">
        <f t="shared" si="61"/>
        <v>-10303</v>
      </c>
      <c r="BM40" s="2722">
        <f>OperatingMetrics!BD262</f>
        <v>-10303</v>
      </c>
      <c r="BN40" s="2722">
        <f>OperatingMetrics!BE262</f>
        <v>-10303</v>
      </c>
      <c r="BO40" s="2722">
        <f>OperatingMetrics!BF262</f>
        <v>-10303</v>
      </c>
      <c r="BP40" s="2722">
        <f>OperatingMetrics!BG262</f>
        <v>-10303</v>
      </c>
      <c r="BQ40" s="2722">
        <f>OperatingMetrics!BH262</f>
        <v>-10303</v>
      </c>
      <c r="BR40" s="2722">
        <f>OperatingMetrics!BI262</f>
        <v>-10303</v>
      </c>
      <c r="BS40" s="2722">
        <f>OperatingMetrics!BJ262</f>
        <v>-10303</v>
      </c>
      <c r="BT40" s="203"/>
      <c r="BU40" s="203"/>
    </row>
    <row r="41" spans="1:73" ht="12.75" customHeight="1" x14ac:dyDescent="0.35">
      <c r="A41" s="144" t="s">
        <v>152</v>
      </c>
      <c r="B41" s="236" t="str">
        <f>[32]PnL!$B$34</f>
        <v>Net Income (GAAP)</v>
      </c>
      <c r="C41" s="223"/>
      <c r="D41" s="223"/>
      <c r="E41" s="223"/>
      <c r="F41" s="236"/>
      <c r="G41" s="236"/>
      <c r="H41" s="236"/>
      <c r="I41" s="237">
        <f>[32]PnL!I34</f>
        <v>12498</v>
      </c>
      <c r="J41" s="237">
        <f>[32]PnL!J34</f>
        <v>5365</v>
      </c>
      <c r="K41" s="237">
        <f>[32]PnL!K34</f>
        <v>7550</v>
      </c>
      <c r="L41" s="237">
        <f>[32]PnL!L34</f>
        <v>7623</v>
      </c>
      <c r="M41" s="237">
        <f>[32]PnL!M34</f>
        <v>17855</v>
      </c>
      <c r="N41" s="237">
        <f>[32]PnL!N34</f>
        <v>10647</v>
      </c>
      <c r="O41" s="237">
        <f>[32]PnL!O34</f>
        <v>14683</v>
      </c>
      <c r="P41" s="237">
        <f>[32]PnL!P34</f>
        <v>17668</v>
      </c>
      <c r="Q41" s="237">
        <f>[32]PnL!Q34</f>
        <v>24073</v>
      </c>
      <c r="R41" s="237">
        <f>[32]PnL!R34</f>
        <v>7669</v>
      </c>
      <c r="S41" s="237">
        <f>[32]PnL!S34</f>
        <v>8720</v>
      </c>
      <c r="T41" s="237">
        <f>[32]PnL!T34</f>
        <v>20133</v>
      </c>
      <c r="U41" s="237">
        <f>[32]PnL!U34</f>
        <v>33120</v>
      </c>
      <c r="V41" s="237">
        <f>[32]PnL!V34</f>
        <v>25913</v>
      </c>
      <c r="W41" s="237">
        <f>[32]PnL!W34</f>
        <v>21448</v>
      </c>
      <c r="X41" s="237">
        <f>[32]PnL!X34</f>
        <v>72591</v>
      </c>
      <c r="Y41" s="237">
        <f>[32]PnL!Y34</f>
        <v>52174</v>
      </c>
      <c r="Z41" s="237">
        <f>[32]PnL!Z34</f>
        <v>3220</v>
      </c>
      <c r="AA41" s="237">
        <f>[32]PnL!AA34</f>
        <v>47533</v>
      </c>
      <c r="AB41" s="237">
        <f>[32]PnL!AB34</f>
        <v>28876</v>
      </c>
      <c r="AC41" s="238">
        <f t="shared" ref="AC41" si="62">AC35-AC37-AC38-AC39-AC40</f>
        <v>57174.387081958848</v>
      </c>
      <c r="AD41" s="238">
        <f>AD35-AD37-AD38-AD39-AD40</f>
        <v>10753.480858951976</v>
      </c>
      <c r="AE41" s="238">
        <f t="shared" ref="AE41:AL41" si="63">AE35-AE37-AE38-AE39-AE40</f>
        <v>51932.312489113843</v>
      </c>
      <c r="AF41" s="238">
        <f t="shared" si="63"/>
        <v>26463.343517695463</v>
      </c>
      <c r="AG41" s="238">
        <f t="shared" si="63"/>
        <v>62093.022715655708</v>
      </c>
      <c r="AH41" s="238">
        <f t="shared" si="63"/>
        <v>11111.903519326901</v>
      </c>
      <c r="AI41" s="238">
        <f t="shared" si="63"/>
        <v>57021.7275276398</v>
      </c>
      <c r="AJ41" s="238">
        <f t="shared" si="63"/>
        <v>25610.637002995183</v>
      </c>
      <c r="AK41" s="238">
        <f t="shared" si="63"/>
        <v>68193.090842542384</v>
      </c>
      <c r="AL41" s="238">
        <f t="shared" si="63"/>
        <v>10735.072825263407</v>
      </c>
      <c r="AM41" s="238"/>
      <c r="AN41" s="238">
        <f>[32]PnL!AP34</f>
        <v>0</v>
      </c>
      <c r="AO41" s="238">
        <f>[32]PnL!AQ34</f>
        <v>0</v>
      </c>
      <c r="AP41" s="238">
        <f>[32]PnL!AR34</f>
        <v>0</v>
      </c>
      <c r="AQ41" s="238">
        <f>[32]PnL!AS34</f>
        <v>0</v>
      </c>
      <c r="AR41" s="238">
        <f>[32]PnL!AT34</f>
        <v>0</v>
      </c>
      <c r="AS41" s="238">
        <f>[32]PnL!AU34</f>
        <v>0</v>
      </c>
      <c r="AT41" s="238">
        <f>[32]PnL!AV34</f>
        <v>0</v>
      </c>
      <c r="AU41" s="238">
        <f>[32]PnL!AW34</f>
        <v>0</v>
      </c>
      <c r="AV41" s="238">
        <f>[32]PnL!AX34</f>
        <v>0</v>
      </c>
      <c r="AW41" s="238">
        <f>[32]PnL!AY34</f>
        <v>0</v>
      </c>
      <c r="AX41" s="238" t="e">
        <f t="shared" ref="AX41" si="64">AX35-AX37-AX38-AX39-AX40</f>
        <v>#DIV/0!</v>
      </c>
      <c r="AY41" s="238" t="e">
        <f t="shared" ref="AY41:BC41" si="65">AY35-AY37-AY38-AY39-AY40</f>
        <v>#DIV/0!</v>
      </c>
      <c r="AZ41" s="238" t="e">
        <f t="shared" si="65"/>
        <v>#DIV/0!</v>
      </c>
      <c r="BA41" s="238" t="e">
        <f t="shared" si="65"/>
        <v>#DIV/0!</v>
      </c>
      <c r="BB41" s="238" t="e">
        <f t="shared" si="65"/>
        <v>#DIV/0!</v>
      </c>
      <c r="BC41" s="238" t="e">
        <f t="shared" si="65"/>
        <v>#DIV/0!</v>
      </c>
      <c r="BD41" s="237"/>
      <c r="BE41" s="237">
        <f>[32]PnL!BH34</f>
        <v>71460</v>
      </c>
      <c r="BF41" s="237">
        <f>[32]PnL!BI34</f>
        <v>43675</v>
      </c>
      <c r="BG41" s="237">
        <f>[32]PnL!BJ34</f>
        <v>64093</v>
      </c>
      <c r="BH41" s="237">
        <f>[32]PnL!BK34</f>
        <v>87886</v>
      </c>
      <c r="BI41" s="237">
        <f>[32]PnL!BL34</f>
        <v>149433</v>
      </c>
      <c r="BJ41" s="237">
        <f>SUM(AA41:AD41)</f>
        <v>144336.86794091083</v>
      </c>
      <c r="BK41" s="237">
        <f t="shared" si="9"/>
        <v>151600.58224179191</v>
      </c>
      <c r="BL41" s="238">
        <f t="shared" si="61"/>
        <v>161560.52819844076</v>
      </c>
      <c r="BM41" s="238">
        <f t="shared" ref="BM41:BS41" si="66">BM35-BM37-BM38-BM39-BM40</f>
        <v>182840.9515864687</v>
      </c>
      <c r="BN41" s="238">
        <f t="shared" si="66"/>
        <v>203194.47531659875</v>
      </c>
      <c r="BO41" s="238">
        <f t="shared" si="66"/>
        <v>221630.49738489831</v>
      </c>
      <c r="BP41" s="238">
        <f t="shared" si="66"/>
        <v>237660.0263038936</v>
      </c>
      <c r="BQ41" s="238">
        <f t="shared" si="66"/>
        <v>251182.81378229163</v>
      </c>
      <c r="BR41" s="238">
        <f t="shared" si="66"/>
        <v>262371.85545358335</v>
      </c>
      <c r="BS41" s="238">
        <f t="shared" si="66"/>
        <v>271422.19248444156</v>
      </c>
      <c r="BT41" s="203"/>
      <c r="BU41" s="203"/>
    </row>
    <row r="42" spans="1:73" s="459" customFormat="1" ht="12.75" hidden="1" customHeight="1" outlineLevel="1" x14ac:dyDescent="0.35">
      <c r="A42" s="452"/>
      <c r="B42" s="460"/>
      <c r="C42" s="460" t="s">
        <v>388</v>
      </c>
      <c r="D42" s="461"/>
      <c r="E42" s="461"/>
      <c r="F42" s="460"/>
      <c r="G42" s="460"/>
      <c r="H42" s="460"/>
      <c r="I42" s="462"/>
      <c r="J42" s="462"/>
      <c r="K42" s="462"/>
      <c r="L42" s="462"/>
      <c r="M42" s="462"/>
      <c r="N42" s="462"/>
      <c r="O42" s="462"/>
      <c r="P42" s="462"/>
      <c r="Q42" s="462"/>
      <c r="R42" s="462"/>
      <c r="S42" s="462"/>
      <c r="T42" s="462"/>
      <c r="U42" s="462"/>
      <c r="V42" s="462"/>
      <c r="W42" s="462"/>
      <c r="X42" s="462"/>
      <c r="Y42" s="462"/>
      <c r="Z42" s="462"/>
      <c r="AA42" s="462"/>
      <c r="AB42" s="462"/>
      <c r="AC42" s="462">
        <f>[32]PnL!AC34</f>
        <v>45905.938000000002</v>
      </c>
      <c r="AD42" s="462">
        <f>[32]PnL!AD34</f>
        <v>22908</v>
      </c>
      <c r="AE42" s="462">
        <f>[32]PnL!AE34</f>
        <v>41852</v>
      </c>
      <c r="AF42" s="462">
        <f>[32]PnL!AF34</f>
        <v>35299.667000000001</v>
      </c>
      <c r="AG42" s="462">
        <f>[32]PnL!AG34</f>
        <v>58411.111000000004</v>
      </c>
      <c r="AH42" s="462">
        <f>[32]PnL!AH34</f>
        <v>29558.111000000001</v>
      </c>
      <c r="AI42" s="462">
        <f>[32]PnL!AI34</f>
        <v>57302.25</v>
      </c>
      <c r="AJ42" s="462">
        <f>[32]PnL!AJ34</f>
        <v>47621.5</v>
      </c>
      <c r="AK42" s="462">
        <f>[32]PnL!AK34</f>
        <v>76130.5</v>
      </c>
      <c r="AL42" s="462">
        <f>[32]PnL!AL34</f>
        <v>38365.25</v>
      </c>
      <c r="AM42" s="462"/>
      <c r="AN42" s="462"/>
      <c r="AO42" s="462"/>
      <c r="AP42" s="462"/>
      <c r="AQ42" s="462"/>
      <c r="AR42" s="462"/>
      <c r="AS42" s="462"/>
      <c r="AT42" s="462"/>
      <c r="AU42" s="462"/>
      <c r="AV42" s="462"/>
      <c r="AW42" s="462"/>
      <c r="AX42" s="462"/>
      <c r="AY42" s="462"/>
      <c r="AZ42" s="462"/>
      <c r="BA42" s="462"/>
      <c r="BB42" s="462"/>
      <c r="BC42" s="462"/>
      <c r="BD42" s="463"/>
      <c r="BE42" s="462"/>
      <c r="BF42" s="462"/>
      <c r="BG42" s="462"/>
      <c r="BH42" s="462"/>
      <c r="BI42" s="462"/>
      <c r="BJ42" s="462">
        <f>[32]PnL!BM34</f>
        <v>181345.7</v>
      </c>
      <c r="BK42" s="462">
        <f>[32]PnL!BN34</f>
        <v>224834.5</v>
      </c>
      <c r="BL42" s="462">
        <f>[32]PnL!BO34</f>
        <v>275377.174</v>
      </c>
      <c r="BM42" s="457"/>
      <c r="BN42" s="457"/>
      <c r="BO42" s="457"/>
      <c r="BP42" s="457"/>
      <c r="BQ42" s="457"/>
      <c r="BR42" s="457"/>
      <c r="BS42" s="457"/>
      <c r="BT42" s="458"/>
      <c r="BU42" s="458"/>
    </row>
    <row r="43" spans="1:73" s="459" customFormat="1" ht="12.75" hidden="1" customHeight="1" outlineLevel="1" x14ac:dyDescent="0.35">
      <c r="A43" s="452"/>
      <c r="B43" s="465"/>
      <c r="C43" s="465"/>
      <c r="D43" s="464" t="s">
        <v>390</v>
      </c>
      <c r="E43" s="461"/>
      <c r="F43" s="465"/>
      <c r="G43" s="465"/>
      <c r="H43" s="465"/>
      <c r="I43" s="466"/>
      <c r="J43" s="466"/>
      <c r="K43" s="466"/>
      <c r="L43" s="466"/>
      <c r="M43" s="466"/>
      <c r="N43" s="466"/>
      <c r="O43" s="466"/>
      <c r="P43" s="466"/>
      <c r="Q43" s="466"/>
      <c r="R43" s="466"/>
      <c r="S43" s="466"/>
      <c r="T43" s="466"/>
      <c r="U43" s="466"/>
      <c r="V43" s="466"/>
      <c r="W43" s="466"/>
      <c r="X43" s="466"/>
      <c r="Y43" s="466"/>
      <c r="Z43" s="466"/>
      <c r="AA43" s="466"/>
      <c r="AB43" s="466"/>
      <c r="AC43" s="468">
        <f t="shared" ref="AC43" si="67">AC41/AC42-1</f>
        <v>0.24546822421881132</v>
      </c>
      <c r="AD43" s="468">
        <f t="shared" ref="AD43:AL43" si="68">AD41/AD42-1</f>
        <v>-0.53057967264920658</v>
      </c>
      <c r="AE43" s="468">
        <f t="shared" si="68"/>
        <v>0.2408561714879538</v>
      </c>
      <c r="AF43" s="468">
        <f t="shared" si="68"/>
        <v>-0.25032313994079713</v>
      </c>
      <c r="AG43" s="468">
        <f t="shared" si="68"/>
        <v>6.3034440753159116E-2</v>
      </c>
      <c r="AH43" s="468">
        <f t="shared" si="68"/>
        <v>-0.62406584374329943</v>
      </c>
      <c r="AI43" s="468">
        <f t="shared" si="68"/>
        <v>-4.8954879147014019E-3</v>
      </c>
      <c r="AJ43" s="468">
        <f t="shared" si="68"/>
        <v>-0.46220431941465134</v>
      </c>
      <c r="AK43" s="468">
        <f t="shared" si="68"/>
        <v>-0.10426056780735204</v>
      </c>
      <c r="AL43" s="468">
        <f t="shared" si="68"/>
        <v>-0.72018759619021355</v>
      </c>
      <c r="AM43" s="466"/>
      <c r="AN43" s="466"/>
      <c r="AO43" s="466"/>
      <c r="AP43" s="466"/>
      <c r="AQ43" s="466"/>
      <c r="AR43" s="466"/>
      <c r="AS43" s="466"/>
      <c r="AT43" s="466"/>
      <c r="AU43" s="466"/>
      <c r="AV43" s="466"/>
      <c r="AW43" s="466"/>
      <c r="AX43" s="466"/>
      <c r="AY43" s="466"/>
      <c r="AZ43" s="466"/>
      <c r="BA43" s="466"/>
      <c r="BB43" s="466"/>
      <c r="BC43" s="466"/>
      <c r="BD43" s="467"/>
      <c r="BE43" s="466"/>
      <c r="BF43" s="466"/>
      <c r="BG43" s="466"/>
      <c r="BH43" s="466"/>
      <c r="BI43" s="466"/>
      <c r="BJ43" s="468">
        <f>BJ41/BJ42-1</f>
        <v>-0.2040789059739998</v>
      </c>
      <c r="BK43" s="468">
        <f t="shared" ref="BK43:BL43" si="69">BK41/BK42-1</f>
        <v>-0.32572366677804376</v>
      </c>
      <c r="BL43" s="468">
        <f t="shared" si="69"/>
        <v>-0.413311837536539</v>
      </c>
      <c r="BM43" s="457"/>
      <c r="BN43" s="457"/>
      <c r="BO43" s="457"/>
      <c r="BP43" s="457"/>
      <c r="BQ43" s="457"/>
      <c r="BR43" s="457"/>
      <c r="BS43" s="457"/>
      <c r="BT43" s="458"/>
      <c r="BU43" s="458"/>
    </row>
    <row r="44" spans="1:73" s="459" customFormat="1" ht="12.75" customHeight="1" collapsed="1" x14ac:dyDescent="0.35">
      <c r="A44" s="452"/>
      <c r="B44" s="236" t="str">
        <f>[32]PnL!$B$35</f>
        <v>Net Income (NON GAAP)</v>
      </c>
      <c r="C44" s="476"/>
      <c r="D44" s="477"/>
      <c r="E44" s="454"/>
      <c r="F44" s="476"/>
      <c r="G44" s="476"/>
      <c r="H44" s="476"/>
      <c r="I44" s="478"/>
      <c r="J44" s="478"/>
      <c r="K44" s="478"/>
      <c r="L44" s="478"/>
      <c r="M44" s="478"/>
      <c r="N44" s="478"/>
      <c r="O44" s="478"/>
      <c r="P44" s="478"/>
      <c r="Q44" s="478"/>
      <c r="R44" s="478"/>
      <c r="S44" s="478">
        <f>OperatingMetrics!W302</f>
        <v>21133</v>
      </c>
      <c r="T44" s="478">
        <f>OperatingMetrics!X302</f>
        <v>25233</v>
      </c>
      <c r="U44" s="478">
        <f>OperatingMetrics!Y302</f>
        <v>31869</v>
      </c>
      <c r="V44" s="478">
        <f>OperatingMetrics!Z302</f>
        <v>22496</v>
      </c>
      <c r="W44" s="478">
        <f>OperatingMetrics!AA302</f>
        <v>33068</v>
      </c>
      <c r="X44" s="478">
        <f>OperatingMetrics!AB302</f>
        <v>34538</v>
      </c>
      <c r="Y44" s="478">
        <f>OperatingMetrics!AC302</f>
        <v>48638</v>
      </c>
      <c r="Z44" s="478">
        <f>OperatingMetrics!AD302</f>
        <v>25100</v>
      </c>
      <c r="AA44" s="478">
        <f>OperatingMetrics!AE302</f>
        <v>40615</v>
      </c>
      <c r="AB44" s="478">
        <f>OperatingMetrics!AF302</f>
        <v>49320</v>
      </c>
      <c r="AC44" s="478">
        <f>OperatingMetrics!AG302</f>
        <v>59264.342611366053</v>
      </c>
      <c r="AD44" s="478">
        <f>OperatingMetrics!AH302</f>
        <v>13735.722125912253</v>
      </c>
      <c r="AE44" s="478">
        <f>OperatingMetrics!AI302</f>
        <v>54750.549207127639</v>
      </c>
      <c r="AF44" s="478">
        <f>OperatingMetrics!AJ302</f>
        <v>51338.317671734869</v>
      </c>
      <c r="AG44" s="478">
        <f>OperatingMetrics!AK302</f>
        <v>67739.785359310568</v>
      </c>
      <c r="AH44" s="478">
        <f>OperatingMetrics!AL302</f>
        <v>16919.424990804782</v>
      </c>
      <c r="AI44" s="478">
        <f>OperatingMetrics!AM302</f>
        <v>61953.802474249133</v>
      </c>
      <c r="AJ44" s="478">
        <f>OperatingMetrics!AN302</f>
        <v>57890.298761359125</v>
      </c>
      <c r="AK44" s="478">
        <f>OperatingMetrics!AO302</f>
        <v>77443.021241547045</v>
      </c>
      <c r="AL44" s="478">
        <f>OperatingMetrics!AP302</f>
        <v>19359.023576900068</v>
      </c>
      <c r="AM44" s="478"/>
      <c r="AN44" s="478"/>
      <c r="AO44" s="478"/>
      <c r="AP44" s="478"/>
      <c r="AQ44" s="478"/>
      <c r="AR44" s="478"/>
      <c r="AS44" s="478"/>
      <c r="AT44" s="478"/>
      <c r="AU44" s="478"/>
      <c r="AV44" s="478"/>
      <c r="AW44" s="478"/>
      <c r="AX44" s="478"/>
      <c r="AY44" s="478"/>
      <c r="AZ44" s="478"/>
      <c r="BA44" s="478"/>
      <c r="BB44" s="478"/>
      <c r="BC44" s="478"/>
      <c r="BD44" s="479"/>
      <c r="BE44" s="478">
        <f>OperatingMetrics!AV302</f>
        <v>42912</v>
      </c>
      <c r="BF44" s="478">
        <f>OperatingMetrics!AW302</f>
        <v>60510</v>
      </c>
      <c r="BG44" s="478">
        <f>OperatingMetrics!AX302</f>
        <v>85766</v>
      </c>
      <c r="BH44" s="478">
        <f>OperatingMetrics!AY302</f>
        <v>100731</v>
      </c>
      <c r="BI44" s="478">
        <f>OperatingMetrics!AZ302</f>
        <v>141344</v>
      </c>
      <c r="BJ44" s="478">
        <f>OperatingMetrics!BA302</f>
        <v>162935.06473727833</v>
      </c>
      <c r="BK44" s="478">
        <f>OperatingMetrics!BB302</f>
        <v>190748.07722897784</v>
      </c>
      <c r="BL44" s="478">
        <f>OperatingMetrics!BC302</f>
        <v>216646.14605405537</v>
      </c>
      <c r="BM44" s="478">
        <f>OperatingMetrics!BD302</f>
        <v>257610.76659452874</v>
      </c>
      <c r="BN44" s="478">
        <f>OperatingMetrics!BE302</f>
        <v>293630.04308008909</v>
      </c>
      <c r="BO44" s="478">
        <f>OperatingMetrics!BF302</f>
        <v>321091.11265517317</v>
      </c>
      <c r="BP44" s="478">
        <f>OperatingMetrics!BG302</f>
        <v>349352.27285662934</v>
      </c>
      <c r="BQ44" s="478">
        <f>OperatingMetrics!BH302</f>
        <v>373235.21956952941</v>
      </c>
      <c r="BR44" s="478">
        <f>OperatingMetrics!BI302</f>
        <v>392757.69145446806</v>
      </c>
      <c r="BS44" s="478">
        <f>OperatingMetrics!BJ302</f>
        <v>409093.75110556511</v>
      </c>
      <c r="BT44" s="458"/>
      <c r="BU44" s="458"/>
    </row>
    <row r="45" spans="1:73" s="459" customFormat="1" ht="12.75" hidden="1" customHeight="1" outlineLevel="1" x14ac:dyDescent="0.35">
      <c r="A45" s="452"/>
      <c r="B45" s="460"/>
      <c r="C45" s="460" t="s">
        <v>388</v>
      </c>
      <c r="D45" s="461"/>
      <c r="E45" s="461"/>
      <c r="F45" s="460"/>
      <c r="G45" s="460"/>
      <c r="H45" s="460"/>
      <c r="I45" s="462"/>
      <c r="J45" s="462"/>
      <c r="K45" s="462"/>
      <c r="L45" s="462"/>
      <c r="M45" s="462"/>
      <c r="N45" s="462"/>
      <c r="O45" s="462"/>
      <c r="P45" s="462"/>
      <c r="Q45" s="462"/>
      <c r="R45" s="462"/>
      <c r="S45" s="462"/>
      <c r="T45" s="462"/>
      <c r="U45" s="462"/>
      <c r="V45" s="462"/>
      <c r="W45" s="462"/>
      <c r="X45" s="462"/>
      <c r="Y45" s="462"/>
      <c r="Z45" s="462"/>
      <c r="AA45" s="462"/>
      <c r="AB45" s="462"/>
      <c r="AC45" s="462">
        <f>[32]PnL!AC35</f>
        <v>58654</v>
      </c>
      <c r="AD45" s="462">
        <f>[32]PnL!AD35</f>
        <v>35607.800000000003</v>
      </c>
      <c r="AE45" s="462">
        <f>[32]PnL!AE35</f>
        <v>55403.5</v>
      </c>
      <c r="AF45" s="462">
        <f>[32]PnL!AF35</f>
        <v>53634</v>
      </c>
      <c r="AG45" s="462">
        <f>[32]PnL!AG35</f>
        <v>72954</v>
      </c>
      <c r="AH45" s="462">
        <f>[32]PnL!AH35</f>
        <v>44974.875</v>
      </c>
      <c r="AI45" s="462">
        <f>[32]PnL!AI35</f>
        <v>70592.2</v>
      </c>
      <c r="AJ45" s="462">
        <f>[32]PnL!AJ35</f>
        <v>68541.8</v>
      </c>
      <c r="AK45" s="462">
        <f>[32]PnL!AK35</f>
        <v>90703</v>
      </c>
      <c r="AL45" s="462">
        <f>[32]PnL!AL35</f>
        <v>56258.400000000001</v>
      </c>
      <c r="AM45" s="462"/>
      <c r="AN45" s="462"/>
      <c r="AO45" s="462"/>
      <c r="AP45" s="462"/>
      <c r="AQ45" s="462"/>
      <c r="AR45" s="462"/>
      <c r="AS45" s="462"/>
      <c r="AT45" s="462"/>
      <c r="AU45" s="462"/>
      <c r="AV45" s="462"/>
      <c r="AW45" s="462"/>
      <c r="AX45" s="462"/>
      <c r="AY45" s="462"/>
      <c r="AZ45" s="462"/>
      <c r="BA45" s="462"/>
      <c r="BB45" s="462"/>
      <c r="BC45" s="462"/>
      <c r="BD45" s="463"/>
      <c r="BE45" s="462"/>
      <c r="BF45" s="462"/>
      <c r="BG45" s="462"/>
      <c r="BH45" s="462"/>
      <c r="BI45" s="462"/>
      <c r="BJ45" s="462">
        <f>[32]PnL!BM37</f>
        <v>0</v>
      </c>
      <c r="BK45" s="462">
        <f>[32]PnL!BN37</f>
        <v>0</v>
      </c>
      <c r="BL45" s="462">
        <f>[32]PnL!BO37</f>
        <v>0</v>
      </c>
      <c r="BM45" s="457"/>
      <c r="BN45" s="457"/>
      <c r="BO45" s="457"/>
      <c r="BP45" s="457"/>
      <c r="BQ45" s="457"/>
      <c r="BR45" s="457"/>
      <c r="BS45" s="457"/>
      <c r="BT45" s="458"/>
      <c r="BU45" s="458"/>
    </row>
    <row r="46" spans="1:73" s="459" customFormat="1" ht="12.75" hidden="1" customHeight="1" outlineLevel="1" x14ac:dyDescent="0.35">
      <c r="A46" s="452"/>
      <c r="B46" s="465"/>
      <c r="C46" s="465"/>
      <c r="D46" s="464" t="s">
        <v>390</v>
      </c>
      <c r="E46" s="461"/>
      <c r="F46" s="465"/>
      <c r="G46" s="465"/>
      <c r="H46" s="465"/>
      <c r="I46" s="466"/>
      <c r="J46" s="466"/>
      <c r="K46" s="466"/>
      <c r="L46" s="466"/>
      <c r="M46" s="466"/>
      <c r="N46" s="466"/>
      <c r="O46" s="466"/>
      <c r="P46" s="466"/>
      <c r="Q46" s="466"/>
      <c r="R46" s="466"/>
      <c r="S46" s="466"/>
      <c r="T46" s="466"/>
      <c r="U46" s="466"/>
      <c r="V46" s="466"/>
      <c r="W46" s="466"/>
      <c r="X46" s="466"/>
      <c r="Y46" s="466"/>
      <c r="Z46" s="466"/>
      <c r="AA46" s="466"/>
      <c r="AB46" s="466"/>
      <c r="AC46" s="468">
        <f t="shared" ref="AC46" si="70">AC44/AC45-1</f>
        <v>1.0405813949023957E-2</v>
      </c>
      <c r="AD46" s="468">
        <f t="shared" ref="AD46:AL46" si="71">AD44/AD45-1</f>
        <v>-0.61424962716280551</v>
      </c>
      <c r="AE46" s="468">
        <f t="shared" si="71"/>
        <v>-1.1785370831668751E-2</v>
      </c>
      <c r="AF46" s="468">
        <f t="shared" si="71"/>
        <v>-4.2802743190236248E-2</v>
      </c>
      <c r="AG46" s="468">
        <f t="shared" si="71"/>
        <v>-7.147263536871773E-2</v>
      </c>
      <c r="AH46" s="468">
        <f t="shared" si="71"/>
        <v>-0.62380273450888346</v>
      </c>
      <c r="AI46" s="468">
        <f t="shared" si="71"/>
        <v>-0.12237042514259178</v>
      </c>
      <c r="AJ46" s="468">
        <f t="shared" si="71"/>
        <v>-0.15540153947869584</v>
      </c>
      <c r="AK46" s="468">
        <f t="shared" si="71"/>
        <v>-0.14619118175201429</v>
      </c>
      <c r="AL46" s="468">
        <f t="shared" si="71"/>
        <v>-0.65589096780391787</v>
      </c>
      <c r="AM46" s="466"/>
      <c r="AN46" s="466"/>
      <c r="AO46" s="466"/>
      <c r="AP46" s="466"/>
      <c r="AQ46" s="466"/>
      <c r="AR46" s="466"/>
      <c r="AS46" s="466"/>
      <c r="AT46" s="466"/>
      <c r="AU46" s="466"/>
      <c r="AV46" s="466"/>
      <c r="AW46" s="466"/>
      <c r="AX46" s="466"/>
      <c r="AY46" s="466"/>
      <c r="AZ46" s="466"/>
      <c r="BA46" s="466"/>
      <c r="BB46" s="466"/>
      <c r="BC46" s="466"/>
      <c r="BD46" s="467"/>
      <c r="BE46" s="466"/>
      <c r="BF46" s="466"/>
      <c r="BG46" s="466"/>
      <c r="BH46" s="466"/>
      <c r="BI46" s="466"/>
      <c r="BJ46" s="468" t="e">
        <f>BJ44/BJ45-1</f>
        <v>#DIV/0!</v>
      </c>
      <c r="BK46" s="468" t="e">
        <f t="shared" ref="BK46" si="72">BK44/BK45-1</f>
        <v>#DIV/0!</v>
      </c>
      <c r="BL46" s="468" t="e">
        <f t="shared" ref="BL46" si="73">BL44/BL45-1</f>
        <v>#DIV/0!</v>
      </c>
      <c r="BM46" s="457"/>
      <c r="BN46" s="457"/>
      <c r="BO46" s="457"/>
      <c r="BP46" s="457"/>
      <c r="BQ46" s="457"/>
      <c r="BR46" s="457"/>
      <c r="BS46" s="457"/>
      <c r="BT46" s="458"/>
      <c r="BU46" s="458"/>
    </row>
    <row r="47" spans="1:73" ht="12.75" customHeight="1" collapsed="1" x14ac:dyDescent="0.35">
      <c r="A47" s="144"/>
      <c r="B47" s="236"/>
      <c r="C47" s="223"/>
      <c r="D47" s="223"/>
      <c r="E47" s="223"/>
      <c r="F47" s="236"/>
      <c r="G47" s="236"/>
      <c r="H47" s="236"/>
      <c r="I47" s="237"/>
      <c r="J47" s="237"/>
      <c r="K47" s="237"/>
      <c r="L47" s="237"/>
      <c r="M47" s="237"/>
      <c r="N47" s="237"/>
      <c r="O47" s="237"/>
      <c r="P47" s="237"/>
      <c r="Q47" s="237"/>
      <c r="R47" s="237"/>
      <c r="S47" s="237"/>
      <c r="T47" s="237"/>
      <c r="U47" s="237"/>
      <c r="V47" s="237"/>
      <c r="W47" s="237"/>
      <c r="X47" s="237"/>
      <c r="Y47" s="237"/>
      <c r="Z47" s="237"/>
      <c r="AA47" s="237"/>
      <c r="AB47" s="237"/>
      <c r="AC47" s="238"/>
      <c r="AD47" s="238"/>
      <c r="AE47" s="238"/>
      <c r="AF47" s="238"/>
      <c r="AG47" s="238"/>
      <c r="AH47" s="238"/>
      <c r="AI47" s="238"/>
      <c r="AJ47" s="238"/>
      <c r="AK47" s="238"/>
      <c r="AL47" s="238"/>
      <c r="AM47" s="238"/>
      <c r="AN47" s="238"/>
      <c r="AO47" s="238"/>
      <c r="AP47" s="238"/>
      <c r="AQ47" s="238"/>
      <c r="AR47" s="238"/>
      <c r="AS47" s="238"/>
      <c r="AT47" s="238"/>
      <c r="AU47" s="238"/>
      <c r="AV47" s="238"/>
      <c r="AW47" s="238"/>
      <c r="AX47" s="238"/>
      <c r="AY47" s="238"/>
      <c r="AZ47" s="238"/>
      <c r="BA47" s="238"/>
      <c r="BB47" s="238"/>
      <c r="BC47" s="238"/>
      <c r="BD47" s="237"/>
      <c r="BE47" s="237"/>
      <c r="BF47" s="237"/>
      <c r="BG47" s="237"/>
      <c r="BH47" s="237"/>
      <c r="BI47" s="237"/>
      <c r="BJ47" s="237"/>
      <c r="BK47" s="237"/>
      <c r="BL47" s="237"/>
      <c r="BM47" s="235"/>
      <c r="BN47" s="235"/>
      <c r="BO47" s="235"/>
      <c r="BP47" s="235"/>
      <c r="BQ47" s="235"/>
      <c r="BR47" s="235"/>
      <c r="BS47" s="235"/>
      <c r="BT47" s="203"/>
      <c r="BU47" s="203"/>
    </row>
    <row r="48" spans="1:73" ht="12.75" customHeight="1" x14ac:dyDescent="0.35">
      <c r="A48" s="144" t="s">
        <v>153</v>
      </c>
      <c r="B48" s="223"/>
      <c r="C48" s="232" t="s">
        <v>154</v>
      </c>
      <c r="D48" s="223"/>
      <c r="E48" s="223"/>
      <c r="F48" s="232"/>
      <c r="G48" s="232"/>
      <c r="H48" s="232"/>
      <c r="I48" s="233">
        <f>[32]PnL!I37</f>
        <v>2446</v>
      </c>
      <c r="J48" s="233">
        <f>[32]PnL!J37</f>
        <v>2448</v>
      </c>
      <c r="K48" s="233">
        <f>[32]PnL!K37</f>
        <v>2473</v>
      </c>
      <c r="L48" s="233">
        <f>[32]PnL!L37</f>
        <v>2478</v>
      </c>
      <c r="M48" s="233">
        <f>[32]PnL!M37</f>
        <v>2485</v>
      </c>
      <c r="N48" s="233">
        <f>[32]PnL!N37</f>
        <v>2513</v>
      </c>
      <c r="O48" s="233">
        <f>[32]PnL!O37</f>
        <v>2543</v>
      </c>
      <c r="P48" s="233">
        <f>[32]PnL!P37</f>
        <v>2552</v>
      </c>
      <c r="Q48" s="233">
        <f>[32]PnL!Q37</f>
        <v>2557</v>
      </c>
      <c r="R48" s="233">
        <f>[32]PnL!R37</f>
        <v>2560</v>
      </c>
      <c r="S48" s="233">
        <f>[32]PnL!S37</f>
        <v>2581</v>
      </c>
      <c r="T48" s="233">
        <f>[32]PnL!T37</f>
        <v>2584</v>
      </c>
      <c r="U48" s="233">
        <f>[32]PnL!U37</f>
        <v>2576</v>
      </c>
      <c r="V48" s="233">
        <f>[32]PnL!V37</f>
        <v>2579</v>
      </c>
      <c r="W48" s="233">
        <f>[32]PnL!W37</f>
        <v>2598.0440100000001</v>
      </c>
      <c r="X48" s="233">
        <f>[32]PnL!X37</f>
        <v>2600</v>
      </c>
      <c r="Y48" s="233">
        <f>[32]PnL!Y37</f>
        <v>2632</v>
      </c>
      <c r="Z48" s="233">
        <f>[32]PnL!Z37</f>
        <v>2682.723</v>
      </c>
      <c r="AA48" s="233">
        <f>[32]PnL!AA37</f>
        <v>2697.9024939999999</v>
      </c>
      <c r="AB48" s="233">
        <f>[32]PnL!AB37</f>
        <v>2698.7804879999999</v>
      </c>
      <c r="AC48" s="241">
        <f t="shared" ref="AC48" si="74">AB48</f>
        <v>2698.7804879999999</v>
      </c>
      <c r="AD48" s="241">
        <f>AC48</f>
        <v>2698.7804879999999</v>
      </c>
      <c r="AE48" s="241">
        <f t="shared" ref="AE48:AL48" si="75">AD48</f>
        <v>2698.7804879999999</v>
      </c>
      <c r="AF48" s="241">
        <f t="shared" si="75"/>
        <v>2698.7804879999999</v>
      </c>
      <c r="AG48" s="241">
        <f t="shared" si="75"/>
        <v>2698.7804879999999</v>
      </c>
      <c r="AH48" s="241">
        <f t="shared" si="75"/>
        <v>2698.7804879999999</v>
      </c>
      <c r="AI48" s="241">
        <f t="shared" si="75"/>
        <v>2698.7804879999999</v>
      </c>
      <c r="AJ48" s="241">
        <f t="shared" si="75"/>
        <v>2698.7804879999999</v>
      </c>
      <c r="AK48" s="241">
        <f t="shared" si="75"/>
        <v>2698.7804879999999</v>
      </c>
      <c r="AL48" s="241">
        <f t="shared" si="75"/>
        <v>2698.7804879999999</v>
      </c>
      <c r="AM48" s="238"/>
      <c r="AN48" s="238">
        <f>[32]PnL!AP37</f>
        <v>0</v>
      </c>
      <c r="AO48" s="238">
        <f>[32]PnL!AQ37</f>
        <v>0</v>
      </c>
      <c r="AP48" s="238">
        <f>[32]PnL!AR37</f>
        <v>0</v>
      </c>
      <c r="AQ48" s="238">
        <f>[32]PnL!AS37</f>
        <v>0</v>
      </c>
      <c r="AR48" s="238">
        <f>[32]PnL!AT37</f>
        <v>0</v>
      </c>
      <c r="AS48" s="238">
        <f>[32]PnL!AU37</f>
        <v>0</v>
      </c>
      <c r="AT48" s="238">
        <f>[32]PnL!AV37</f>
        <v>0</v>
      </c>
      <c r="AU48" s="238">
        <f>[32]PnL!AW37</f>
        <v>0</v>
      </c>
      <c r="AV48" s="238">
        <f>[32]PnL!AX37</f>
        <v>0</v>
      </c>
      <c r="AW48" s="238">
        <f>[32]PnL!AY37</f>
        <v>0</v>
      </c>
      <c r="AX48" s="241">
        <f t="shared" ref="AX48" si="76">AW48</f>
        <v>0</v>
      </c>
      <c r="AY48" s="241">
        <f t="shared" ref="AY48:BC48" si="77">AX48</f>
        <v>0</v>
      </c>
      <c r="AZ48" s="241">
        <f t="shared" si="77"/>
        <v>0</v>
      </c>
      <c r="BA48" s="241">
        <f t="shared" si="77"/>
        <v>0</v>
      </c>
      <c r="BB48" s="241">
        <f t="shared" si="77"/>
        <v>0</v>
      </c>
      <c r="BC48" s="241">
        <f t="shared" si="77"/>
        <v>0</v>
      </c>
      <c r="BD48" s="237"/>
      <c r="BE48" s="233">
        <f>[32]PnL!BH37</f>
        <v>2458</v>
      </c>
      <c r="BF48" s="233">
        <f>[32]PnL!BI37</f>
        <v>2493</v>
      </c>
      <c r="BG48" s="233">
        <f>[32]PnL!BJ37</f>
        <v>2553</v>
      </c>
      <c r="BH48" s="233">
        <f>[32]PnL!BK37</f>
        <v>2580</v>
      </c>
      <c r="BI48" s="233">
        <f>[32]PnL!BL37</f>
        <v>2627</v>
      </c>
      <c r="BJ48" s="244">
        <f>BI48</f>
        <v>2627</v>
      </c>
      <c r="BK48" s="244">
        <f t="shared" ref="BK48" si="78">BJ48</f>
        <v>2627</v>
      </c>
      <c r="BL48" s="244">
        <f>BK48</f>
        <v>2627</v>
      </c>
      <c r="BM48" s="244">
        <f t="shared" ref="BM48:BS48" si="79">BL48</f>
        <v>2627</v>
      </c>
      <c r="BN48" s="244">
        <f t="shared" si="79"/>
        <v>2627</v>
      </c>
      <c r="BO48" s="244">
        <f t="shared" si="79"/>
        <v>2627</v>
      </c>
      <c r="BP48" s="244">
        <f t="shared" si="79"/>
        <v>2627</v>
      </c>
      <c r="BQ48" s="244">
        <f t="shared" si="79"/>
        <v>2627</v>
      </c>
      <c r="BR48" s="244">
        <f t="shared" si="79"/>
        <v>2627</v>
      </c>
      <c r="BS48" s="244">
        <f t="shared" si="79"/>
        <v>2627</v>
      </c>
      <c r="BT48" s="203"/>
      <c r="BU48" s="203"/>
    </row>
    <row r="49" spans="1:73" ht="12.75" customHeight="1" x14ac:dyDescent="0.35">
      <c r="A49" s="144" t="s">
        <v>155</v>
      </c>
      <c r="B49" s="223"/>
      <c r="C49" s="232" t="s">
        <v>156</v>
      </c>
      <c r="D49" s="223"/>
      <c r="E49" s="223"/>
      <c r="F49" s="232"/>
      <c r="G49" s="232"/>
      <c r="H49" s="232"/>
      <c r="I49" s="233">
        <f>[32]PnL!I38</f>
        <v>2550</v>
      </c>
      <c r="J49" s="233">
        <f>[32]PnL!J38</f>
        <v>2546</v>
      </c>
      <c r="K49" s="233">
        <f>[32]PnL!K38</f>
        <v>2568</v>
      </c>
      <c r="L49" s="233">
        <f>[32]PnL!L38</f>
        <v>2566</v>
      </c>
      <c r="M49" s="233">
        <f>[32]PnL!M38</f>
        <v>2571</v>
      </c>
      <c r="N49" s="233">
        <f>[32]PnL!N38</f>
        <v>2581</v>
      </c>
      <c r="O49" s="233">
        <f>[32]PnL!O38</f>
        <v>2599</v>
      </c>
      <c r="P49" s="233">
        <f>[32]PnL!P38</f>
        <v>2607</v>
      </c>
      <c r="Q49" s="233">
        <f>[32]PnL!Q38</f>
        <v>2615</v>
      </c>
      <c r="R49" s="233">
        <f>[32]PnL!R38</f>
        <v>2619</v>
      </c>
      <c r="S49" s="233">
        <f>[32]PnL!S38</f>
        <v>2627</v>
      </c>
      <c r="T49" s="233">
        <f>[32]PnL!T38</f>
        <v>2628</v>
      </c>
      <c r="U49" s="233">
        <f>[32]PnL!U38</f>
        <v>2614</v>
      </c>
      <c r="V49" s="233">
        <f>[32]PnL!V38</f>
        <v>2625</v>
      </c>
      <c r="W49" s="233">
        <f>[32]PnL!W38</f>
        <v>2635.3598010000001</v>
      </c>
      <c r="X49" s="233">
        <f>[32]PnL!X38</f>
        <v>2636</v>
      </c>
      <c r="Y49" s="233">
        <f>[32]PnL!Y38</f>
        <v>2674</v>
      </c>
      <c r="Z49" s="233">
        <f>[32]PnL!Z38</f>
        <v>2775.8669999999997</v>
      </c>
      <c r="AA49" s="233">
        <f>[32]PnL!AA38</f>
        <v>2740.6682027649799</v>
      </c>
      <c r="AB49" s="233">
        <f>[32]PnL!AB38</f>
        <v>2743.8931297709896</v>
      </c>
      <c r="AC49" s="241">
        <f t="shared" ref="AC49" si="80">AC48*(AB49/AB48)</f>
        <v>2743.8931297709896</v>
      </c>
      <c r="AD49" s="241">
        <f t="shared" ref="AD49:AL49" si="81">AD48*(AC49/AC48)</f>
        <v>2743.8931297709896</v>
      </c>
      <c r="AE49" s="241">
        <f t="shared" si="81"/>
        <v>2743.8931297709896</v>
      </c>
      <c r="AF49" s="241">
        <f t="shared" si="81"/>
        <v>2743.8931297709896</v>
      </c>
      <c r="AG49" s="241">
        <f t="shared" si="81"/>
        <v>2743.8931297709896</v>
      </c>
      <c r="AH49" s="241">
        <f t="shared" si="81"/>
        <v>2743.8931297709896</v>
      </c>
      <c r="AI49" s="241">
        <f t="shared" si="81"/>
        <v>2743.8931297709896</v>
      </c>
      <c r="AJ49" s="241">
        <f t="shared" si="81"/>
        <v>2743.8931297709896</v>
      </c>
      <c r="AK49" s="241">
        <f t="shared" si="81"/>
        <v>2743.8931297709896</v>
      </c>
      <c r="AL49" s="241">
        <f t="shared" si="81"/>
        <v>2743.8931297709896</v>
      </c>
      <c r="AM49" s="238"/>
      <c r="AN49" s="238">
        <f>[32]PnL!AP38</f>
        <v>0</v>
      </c>
      <c r="AO49" s="238">
        <f>[32]PnL!AQ38</f>
        <v>0</v>
      </c>
      <c r="AP49" s="238">
        <f>[32]PnL!AR38</f>
        <v>0</v>
      </c>
      <c r="AQ49" s="238">
        <f>[32]PnL!AS38</f>
        <v>0</v>
      </c>
      <c r="AR49" s="238">
        <f>[32]PnL!AT38</f>
        <v>0</v>
      </c>
      <c r="AS49" s="238">
        <f>[32]PnL!AU38</f>
        <v>0</v>
      </c>
      <c r="AT49" s="238">
        <f>[32]PnL!AV38</f>
        <v>0</v>
      </c>
      <c r="AU49" s="238">
        <f>[32]PnL!AW38</f>
        <v>0</v>
      </c>
      <c r="AV49" s="238">
        <f>[32]PnL!AX38</f>
        <v>0</v>
      </c>
      <c r="AW49" s="238">
        <f>[32]PnL!AY38</f>
        <v>0</v>
      </c>
      <c r="AX49" s="241" t="e">
        <f t="shared" ref="AX49" si="82">AX48*(AW49/AW48)</f>
        <v>#DIV/0!</v>
      </c>
      <c r="AY49" s="241" t="e">
        <f t="shared" ref="AY49:BC49" si="83">AY48*(AX49/AX48)</f>
        <v>#DIV/0!</v>
      </c>
      <c r="AZ49" s="241" t="e">
        <f t="shared" si="83"/>
        <v>#DIV/0!</v>
      </c>
      <c r="BA49" s="241" t="e">
        <f t="shared" si="83"/>
        <v>#DIV/0!</v>
      </c>
      <c r="BB49" s="241" t="e">
        <f t="shared" si="83"/>
        <v>#DIV/0!</v>
      </c>
      <c r="BC49" s="241" t="e">
        <f t="shared" si="83"/>
        <v>#DIV/0!</v>
      </c>
      <c r="BD49" s="237"/>
      <c r="BE49" s="233">
        <f>[32]PnL!BH38</f>
        <v>2562</v>
      </c>
      <c r="BF49" s="233">
        <f>[32]PnL!BI38</f>
        <v>2573</v>
      </c>
      <c r="BG49" s="233">
        <f>[32]PnL!BJ38</f>
        <v>2610</v>
      </c>
      <c r="BH49" s="233">
        <f>[32]PnL!BK38</f>
        <v>2623</v>
      </c>
      <c r="BI49" s="233">
        <f>[32]PnL!BL38</f>
        <v>2668</v>
      </c>
      <c r="BJ49" s="244">
        <f>BJ48*(BI49/BI48)</f>
        <v>2668</v>
      </c>
      <c r="BK49" s="244">
        <f t="shared" ref="BK49" si="84">BK48*(BJ49/BJ48)</f>
        <v>2668</v>
      </c>
      <c r="BL49" s="244">
        <f>BL48*(BK49/BK48)</f>
        <v>2668</v>
      </c>
      <c r="BM49" s="244">
        <f t="shared" ref="BM49:BS49" si="85">BM48*(BL49/BL48)</f>
        <v>2668</v>
      </c>
      <c r="BN49" s="244">
        <f t="shared" si="85"/>
        <v>2668</v>
      </c>
      <c r="BO49" s="244">
        <f t="shared" si="85"/>
        <v>2668</v>
      </c>
      <c r="BP49" s="244">
        <f t="shared" si="85"/>
        <v>2668</v>
      </c>
      <c r="BQ49" s="244">
        <f t="shared" si="85"/>
        <v>2668</v>
      </c>
      <c r="BR49" s="244">
        <f t="shared" si="85"/>
        <v>2668</v>
      </c>
      <c r="BS49" s="244">
        <f t="shared" si="85"/>
        <v>2668</v>
      </c>
      <c r="BT49" s="203"/>
      <c r="BU49" s="203"/>
    </row>
    <row r="50" spans="1:73" ht="12.75" customHeight="1" x14ac:dyDescent="0.35">
      <c r="A50" s="144"/>
      <c r="B50" s="232"/>
      <c r="C50" s="223"/>
      <c r="D50" s="223"/>
      <c r="E50" s="223"/>
      <c r="F50" s="232"/>
      <c r="G50" s="232"/>
      <c r="H50" s="232"/>
      <c r="I50" s="237"/>
      <c r="J50" s="237"/>
      <c r="K50" s="237"/>
      <c r="L50" s="237"/>
      <c r="M50" s="237"/>
      <c r="N50" s="237"/>
      <c r="O50" s="237"/>
      <c r="P50" s="237"/>
      <c r="Q50" s="237"/>
      <c r="R50" s="237"/>
      <c r="S50" s="237"/>
      <c r="T50" s="237"/>
      <c r="U50" s="237"/>
      <c r="V50" s="237"/>
      <c r="W50" s="237"/>
      <c r="X50" s="237"/>
      <c r="Y50" s="237"/>
      <c r="Z50" s="237"/>
      <c r="AA50" s="237"/>
      <c r="AB50" s="237"/>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7"/>
      <c r="BE50" s="237"/>
      <c r="BF50" s="237"/>
      <c r="BG50" s="237"/>
      <c r="BH50" s="237"/>
      <c r="BI50" s="237"/>
      <c r="BJ50" s="237"/>
      <c r="BK50" s="237"/>
      <c r="BL50" s="237"/>
      <c r="BM50" s="235"/>
      <c r="BN50" s="235"/>
      <c r="BO50" s="235"/>
      <c r="BP50" s="235"/>
      <c r="BQ50" s="235"/>
      <c r="BR50" s="235"/>
      <c r="BS50" s="235"/>
      <c r="BT50" s="203"/>
      <c r="BU50" s="203"/>
    </row>
    <row r="51" spans="1:73" ht="12.75" customHeight="1" x14ac:dyDescent="0.35">
      <c r="A51" s="144" t="s">
        <v>157</v>
      </c>
      <c r="B51" s="245" t="s">
        <v>158</v>
      </c>
      <c r="C51" s="246"/>
      <c r="D51" s="246"/>
      <c r="E51" s="246"/>
      <c r="F51" s="245"/>
      <c r="G51" s="245"/>
      <c r="H51" s="245"/>
      <c r="I51" s="247">
        <f>[32]PnL!I40</f>
        <v>0</v>
      </c>
      <c r="J51" s="247">
        <f>[32]PnL!J40</f>
        <v>0</v>
      </c>
      <c r="K51" s="247">
        <f>[32]PnL!K40</f>
        <v>0</v>
      </c>
      <c r="L51" s="247">
        <f>[32]PnL!L40</f>
        <v>0</v>
      </c>
      <c r="M51" s="247">
        <f>[32]PnL!M40</f>
        <v>0</v>
      </c>
      <c r="N51" s="247">
        <f>[32]PnL!N40</f>
        <v>0</v>
      </c>
      <c r="O51" s="247">
        <f>[32]PnL!O40</f>
        <v>0</v>
      </c>
      <c r="P51" s="247">
        <f>[32]PnL!P40</f>
        <v>0</v>
      </c>
      <c r="Q51" s="247">
        <f>[32]PnL!Q40</f>
        <v>0</v>
      </c>
      <c r="R51" s="247">
        <f>[32]PnL!R40</f>
        <v>0</v>
      </c>
      <c r="S51" s="247">
        <f>[32]PnL!S40</f>
        <v>0</v>
      </c>
      <c r="T51" s="247">
        <f>[32]PnL!T40</f>
        <v>0</v>
      </c>
      <c r="U51" s="247">
        <f>[32]PnL!U40</f>
        <v>0</v>
      </c>
      <c r="V51" s="247">
        <f>[32]PnL!V40</f>
        <v>0</v>
      </c>
      <c r="W51" s="247">
        <f>[32]PnL!W40</f>
        <v>0</v>
      </c>
      <c r="X51" s="247">
        <f>[32]PnL!X40</f>
        <v>0</v>
      </c>
      <c r="Y51" s="247">
        <f>[32]PnL!Y40</f>
        <v>0</v>
      </c>
      <c r="Z51" s="247">
        <f>[32]PnL!Z40</f>
        <v>0</v>
      </c>
      <c r="AA51" s="247">
        <f>[32]PnL!AA40</f>
        <v>0</v>
      </c>
      <c r="AB51" s="247">
        <f>[32]PnL!AB40</f>
        <v>0</v>
      </c>
      <c r="AC51" s="248">
        <f t="shared" ref="AC51" si="86">AVERAGE(Y51,U51,Q51,M51)</f>
        <v>0</v>
      </c>
      <c r="AD51" s="248">
        <f t="shared" ref="AD51:AK51" si="87">AVERAGE(Z51,V51,R51,N51)</f>
        <v>0</v>
      </c>
      <c r="AE51" s="248">
        <f t="shared" si="87"/>
        <v>0</v>
      </c>
      <c r="AF51" s="248">
        <f t="shared" si="87"/>
        <v>0</v>
      </c>
      <c r="AG51" s="248">
        <f t="shared" si="87"/>
        <v>0</v>
      </c>
      <c r="AH51" s="248">
        <f t="shared" si="87"/>
        <v>0</v>
      </c>
      <c r="AI51" s="248">
        <f t="shared" si="87"/>
        <v>0</v>
      </c>
      <c r="AJ51" s="248">
        <f t="shared" si="87"/>
        <v>0</v>
      </c>
      <c r="AK51" s="248">
        <f t="shared" si="87"/>
        <v>0</v>
      </c>
      <c r="AL51" s="248">
        <f>AVERAGE(AH51,AD51,Z51,V51)</f>
        <v>0</v>
      </c>
      <c r="AM51" s="238"/>
      <c r="AN51" s="238">
        <f>[32]PnL!AP40</f>
        <v>0</v>
      </c>
      <c r="AO51" s="238">
        <f>[32]PnL!AQ40</f>
        <v>0</v>
      </c>
      <c r="AP51" s="238">
        <f>[32]PnL!AR40</f>
        <v>0</v>
      </c>
      <c r="AQ51" s="238">
        <f>[32]PnL!AS40</f>
        <v>0</v>
      </c>
      <c r="AR51" s="238">
        <f>[32]PnL!AT40</f>
        <v>0</v>
      </c>
      <c r="AS51" s="238">
        <f>[32]PnL!AU40</f>
        <v>0</v>
      </c>
      <c r="AT51" s="238">
        <f>[32]PnL!AV40</f>
        <v>0</v>
      </c>
      <c r="AU51" s="238">
        <f>[32]PnL!AW40</f>
        <v>0</v>
      </c>
      <c r="AV51" s="238">
        <f>[32]PnL!AX40</f>
        <v>0</v>
      </c>
      <c r="AW51" s="238">
        <f>[32]PnL!AY40</f>
        <v>0</v>
      </c>
      <c r="AX51" s="248">
        <f t="shared" ref="AX51" si="88">AVERAGE(AT51,AP51,AL51,AH51)</f>
        <v>0</v>
      </c>
      <c r="AY51" s="248">
        <f t="shared" ref="AY51:BC51" si="89">AVERAGE(AU51,AQ51,AM51,AI51)</f>
        <v>0</v>
      </c>
      <c r="AZ51" s="248">
        <f t="shared" si="89"/>
        <v>0</v>
      </c>
      <c r="BA51" s="248">
        <f t="shared" si="89"/>
        <v>0</v>
      </c>
      <c r="BB51" s="248">
        <f t="shared" si="89"/>
        <v>0</v>
      </c>
      <c r="BC51" s="248">
        <f t="shared" si="89"/>
        <v>0</v>
      </c>
      <c r="BD51" s="247"/>
      <c r="BE51" s="247">
        <f>[32]PnL!BH40</f>
        <v>0</v>
      </c>
      <c r="BF51" s="247">
        <f>[32]PnL!BI40</f>
        <v>0</v>
      </c>
      <c r="BG51" s="247">
        <f>[32]PnL!BJ40</f>
        <v>0</v>
      </c>
      <c r="BH51" s="247">
        <f>[32]PnL!BK40</f>
        <v>0</v>
      </c>
      <c r="BI51" s="247">
        <f>[32]PnL!BL40</f>
        <v>0</v>
      </c>
      <c r="BJ51" s="249">
        <f>AVERAGE(BF51:BI51)</f>
        <v>0</v>
      </c>
      <c r="BK51" s="249">
        <f t="shared" ref="BK51" si="90">AVERAGE(BG51:BJ51)</f>
        <v>0</v>
      </c>
      <c r="BL51" s="249">
        <f>AVERAGE(BH51:BK51)</f>
        <v>0</v>
      </c>
      <c r="BM51" s="249">
        <f t="shared" ref="BM51:BS51" si="91">AVERAGE(BI51:BL51)</f>
        <v>0</v>
      </c>
      <c r="BN51" s="249">
        <f t="shared" si="91"/>
        <v>0</v>
      </c>
      <c r="BO51" s="249">
        <f t="shared" si="91"/>
        <v>0</v>
      </c>
      <c r="BP51" s="249">
        <f t="shared" si="91"/>
        <v>0</v>
      </c>
      <c r="BQ51" s="249">
        <f t="shared" si="91"/>
        <v>0</v>
      </c>
      <c r="BR51" s="249">
        <f t="shared" si="91"/>
        <v>0</v>
      </c>
      <c r="BS51" s="249">
        <f t="shared" si="91"/>
        <v>0</v>
      </c>
      <c r="BT51" s="203"/>
      <c r="BU51" s="203"/>
    </row>
    <row r="52" spans="1:73" ht="12.75" customHeight="1" x14ac:dyDescent="0.35">
      <c r="A52" s="144"/>
      <c r="B52" s="236"/>
      <c r="C52" s="251"/>
      <c r="D52" s="251"/>
      <c r="E52" s="251"/>
      <c r="F52" s="236"/>
      <c r="G52" s="236"/>
      <c r="H52" s="236"/>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c r="AG52" s="247"/>
      <c r="AH52" s="247"/>
      <c r="AI52" s="247"/>
      <c r="AJ52" s="247"/>
      <c r="AK52" s="247"/>
      <c r="AL52" s="247"/>
      <c r="AM52" s="238"/>
      <c r="AN52" s="238"/>
      <c r="AO52" s="238"/>
      <c r="AP52" s="238"/>
      <c r="AQ52" s="238"/>
      <c r="AR52" s="238"/>
      <c r="AS52" s="238"/>
      <c r="AT52" s="238"/>
      <c r="AU52" s="238"/>
      <c r="AV52" s="238"/>
      <c r="AW52" s="238"/>
      <c r="AX52" s="238"/>
      <c r="AY52" s="238"/>
      <c r="AZ52" s="238"/>
      <c r="BA52" s="238"/>
      <c r="BB52" s="238"/>
      <c r="BC52" s="247"/>
      <c r="BD52" s="247"/>
      <c r="BE52" s="247"/>
      <c r="BF52" s="247"/>
      <c r="BG52" s="247"/>
      <c r="BH52" s="247"/>
      <c r="BI52" s="247"/>
      <c r="BJ52" s="247"/>
      <c r="BK52" s="247"/>
      <c r="BL52" s="247"/>
      <c r="BM52" s="250"/>
      <c r="BN52" s="250"/>
      <c r="BO52" s="250"/>
      <c r="BP52" s="250"/>
      <c r="BQ52" s="250"/>
      <c r="BR52" s="250"/>
      <c r="BS52" s="250"/>
      <c r="BT52" s="203"/>
      <c r="BU52" s="203"/>
    </row>
    <row r="53" spans="1:73" ht="12.75" customHeight="1" x14ac:dyDescent="0.35">
      <c r="A53" s="144" t="s">
        <v>159</v>
      </c>
      <c r="B53" s="236" t="str">
        <f>[32]PnL!$B$42</f>
        <v>EPS (Basic) - GAAP</v>
      </c>
      <c r="C53" s="251"/>
      <c r="D53" s="251"/>
      <c r="E53" s="251"/>
      <c r="F53" s="236"/>
      <c r="G53" s="236"/>
      <c r="H53" s="236"/>
      <c r="I53" s="247">
        <f>[32]PnL!I42</f>
        <v>5.109566639411284</v>
      </c>
      <c r="J53" s="247">
        <f>[32]PnL!J42</f>
        <v>2.1915849673202614</v>
      </c>
      <c r="K53" s="247">
        <f>[32]PnL!K42</f>
        <v>3.0529720986655882</v>
      </c>
      <c r="L53" s="247">
        <f>[32]PnL!L42</f>
        <v>3.0762711864406778</v>
      </c>
      <c r="M53" s="247">
        <f>[32]PnL!M42</f>
        <v>7.1851106639839033</v>
      </c>
      <c r="N53" s="247">
        <f>[32]PnL!N42</f>
        <v>4.2367688022284122</v>
      </c>
      <c r="O53" s="247">
        <f>[32]PnL!O42</f>
        <v>5.7738891073535195</v>
      </c>
      <c r="P53" s="247">
        <f>[32]PnL!P42</f>
        <v>6.9231974921630091</v>
      </c>
      <c r="Q53" s="247">
        <f>[32]PnL!Q42</f>
        <v>9.4145482987876417</v>
      </c>
      <c r="R53" s="247">
        <f>[32]PnL!R42</f>
        <v>2.9957031249999999</v>
      </c>
      <c r="S53" s="247">
        <f>S41/S48</f>
        <v>3.378535451375436</v>
      </c>
      <c r="T53" s="247">
        <f t="shared" ref="T53:AL53" si="92">T41/T48</f>
        <v>7.7914086687306501</v>
      </c>
      <c r="U53" s="247">
        <f t="shared" si="92"/>
        <v>12.857142857142858</v>
      </c>
      <c r="V53" s="247">
        <f t="shared" si="92"/>
        <v>10.047692904226444</v>
      </c>
      <c r="W53" s="247">
        <f t="shared" si="92"/>
        <v>8.2554413695247604</v>
      </c>
      <c r="X53" s="247">
        <f t="shared" si="92"/>
        <v>27.919615384615383</v>
      </c>
      <c r="Y53" s="247">
        <f t="shared" si="92"/>
        <v>19.822948328267476</v>
      </c>
      <c r="Z53" s="247">
        <f t="shared" si="92"/>
        <v>1.2002730061955706</v>
      </c>
      <c r="AA53" s="247">
        <f t="shared" si="92"/>
        <v>17.618501819732558</v>
      </c>
      <c r="AB53" s="247">
        <f t="shared" si="92"/>
        <v>10.699647536506125</v>
      </c>
      <c r="AC53" s="247">
        <f t="shared" si="92"/>
        <v>21.18526769264194</v>
      </c>
      <c r="AD53" s="247">
        <f t="shared" si="92"/>
        <v>3.9845704038423362</v>
      </c>
      <c r="AE53" s="247">
        <f t="shared" si="92"/>
        <v>19.24288126434455</v>
      </c>
      <c r="AF53" s="247">
        <f t="shared" si="92"/>
        <v>9.8056672765211808</v>
      </c>
      <c r="AG53" s="247">
        <f t="shared" si="92"/>
        <v>23.007807782718679</v>
      </c>
      <c r="AH53" s="247">
        <f t="shared" si="92"/>
        <v>4.1173795233571076</v>
      </c>
      <c r="AI53" s="247">
        <f t="shared" si="92"/>
        <v>21.128701567683709</v>
      </c>
      <c r="AJ53" s="247">
        <f t="shared" si="92"/>
        <v>9.4897073388783095</v>
      </c>
      <c r="AK53" s="247">
        <f t="shared" si="92"/>
        <v>25.268113188812407</v>
      </c>
      <c r="AL53" s="247">
        <f t="shared" si="92"/>
        <v>3.9777495327969068</v>
      </c>
      <c r="AM53" s="252"/>
      <c r="AN53" s="252" t="e">
        <f>[32]PnL!AP42</f>
        <v>#DIV/0!</v>
      </c>
      <c r="AO53" s="252" t="e">
        <f>[32]PnL!AQ42</f>
        <v>#DIV/0!</v>
      </c>
      <c r="AP53" s="252" t="e">
        <f>[32]PnL!AR42</f>
        <v>#DIV/0!</v>
      </c>
      <c r="AQ53" s="252" t="e">
        <f>[32]PnL!AS42</f>
        <v>#DIV/0!</v>
      </c>
      <c r="AR53" s="252" t="e">
        <f>[32]PnL!AT42</f>
        <v>#DIV/0!</v>
      </c>
      <c r="AS53" s="252" t="e">
        <f>[32]PnL!AU42</f>
        <v>#DIV/0!</v>
      </c>
      <c r="AT53" s="252" t="e">
        <f>[32]PnL!AV42</f>
        <v>#DIV/0!</v>
      </c>
      <c r="AU53" s="252" t="e">
        <f>[32]PnL!AW42</f>
        <v>#DIV/0!</v>
      </c>
      <c r="AV53" s="252" t="e">
        <f>[32]PnL!AX42</f>
        <v>#DIV/0!</v>
      </c>
      <c r="AW53" s="252" t="e">
        <f>[32]PnL!AY42</f>
        <v>#DIV/0!</v>
      </c>
      <c r="AX53" s="252" t="e">
        <f t="shared" ref="AX53" si="93">AX$41/AX48</f>
        <v>#DIV/0!</v>
      </c>
      <c r="AY53" s="252" t="e">
        <f t="shared" ref="AY53:BC53" si="94">AY$41/AY48</f>
        <v>#DIV/0!</v>
      </c>
      <c r="AZ53" s="252" t="e">
        <f t="shared" si="94"/>
        <v>#DIV/0!</v>
      </c>
      <c r="BA53" s="252" t="e">
        <f t="shared" si="94"/>
        <v>#DIV/0!</v>
      </c>
      <c r="BB53" s="252" t="e">
        <f t="shared" si="94"/>
        <v>#DIV/0!</v>
      </c>
      <c r="BC53" s="247" t="e">
        <f t="shared" si="94"/>
        <v>#DIV/0!</v>
      </c>
      <c r="BD53" s="247"/>
      <c r="BE53" s="247">
        <f>IF(ISERR(BE$41/BE48),"-",BE$41/BE48)</f>
        <v>29.072416598860862</v>
      </c>
      <c r="BF53" s="247">
        <f t="shared" ref="BF53:BH53" si="95">IF(ISERR(BF$41/BF48),"-",BF$41/BF48)</f>
        <v>17.519053349378257</v>
      </c>
      <c r="BG53" s="247">
        <f t="shared" si="95"/>
        <v>25.104974539757148</v>
      </c>
      <c r="BH53" s="247">
        <f t="shared" si="95"/>
        <v>34.064341085271316</v>
      </c>
      <c r="BI53" s="247">
        <f>IF(ISERR(BI$41/BI48),"-",BI$41/BI48)</f>
        <v>56.883517320137038</v>
      </c>
      <c r="BJ53" s="247">
        <f t="shared" ref="BJ53:BL53" si="96">IF(ISERR(BJ$41/BJ48),"-",BJ$41/BJ48)</f>
        <v>54.943611701907436</v>
      </c>
      <c r="BK53" s="247">
        <f t="shared" si="96"/>
        <v>57.708634275520332</v>
      </c>
      <c r="BL53" s="247">
        <f t="shared" si="96"/>
        <v>61.500010734084796</v>
      </c>
      <c r="BM53" s="247">
        <f>IF(ISERR(BM$41/BM48),"-",BM$41/BM48)</f>
        <v>69.600666763025771</v>
      </c>
      <c r="BN53" s="247">
        <f t="shared" ref="BN53:BR53" si="97">BN41/BN48</f>
        <v>77.348486987666064</v>
      </c>
      <c r="BO53" s="247">
        <f t="shared" si="97"/>
        <v>84.366386518804077</v>
      </c>
      <c r="BP53" s="247">
        <f t="shared" si="97"/>
        <v>90.468224706468817</v>
      </c>
      <c r="BQ53" s="247">
        <f t="shared" si="97"/>
        <v>95.615840800263285</v>
      </c>
      <c r="BR53" s="247">
        <f t="shared" si="97"/>
        <v>99.875087725003183</v>
      </c>
      <c r="BS53" s="247">
        <f>BS41/BS48</f>
        <v>103.32021031002724</v>
      </c>
      <c r="BT53" s="203"/>
      <c r="BU53" s="203"/>
    </row>
    <row r="54" spans="1:73" s="459" customFormat="1" ht="12.75" hidden="1" customHeight="1" outlineLevel="1" x14ac:dyDescent="0.35">
      <c r="A54" s="452"/>
      <c r="B54" s="460"/>
      <c r="C54" s="460" t="s">
        <v>389</v>
      </c>
      <c r="D54" s="461"/>
      <c r="E54" s="461"/>
      <c r="F54" s="460"/>
      <c r="G54" s="460"/>
      <c r="H54" s="460"/>
      <c r="I54" s="462"/>
      <c r="J54" s="462"/>
      <c r="K54" s="462"/>
      <c r="L54" s="462"/>
      <c r="M54" s="462"/>
      <c r="N54" s="462"/>
      <c r="O54" s="462"/>
      <c r="P54" s="462"/>
      <c r="Q54" s="462"/>
      <c r="R54" s="462"/>
      <c r="S54" s="462"/>
      <c r="T54" s="462"/>
      <c r="U54" s="462"/>
      <c r="V54" s="462"/>
      <c r="W54" s="462"/>
      <c r="X54" s="462"/>
      <c r="Y54" s="462"/>
      <c r="Z54" s="462"/>
      <c r="AA54" s="462"/>
      <c r="AB54" s="462"/>
      <c r="AC54" s="481">
        <f>[32]PnL!AC42</f>
        <v>16.484999999999999</v>
      </c>
      <c r="AD54" s="481">
        <f>[32]PnL!AD42</f>
        <v>8.4649999999999999</v>
      </c>
      <c r="AE54" s="481">
        <f>[32]PnL!AE42</f>
        <v>14.963000000000001</v>
      </c>
      <c r="AF54" s="481">
        <f>[32]PnL!AF42</f>
        <v>12.622</v>
      </c>
      <c r="AG54" s="481">
        <f>[32]PnL!AG42</f>
        <v>20.998000000000001</v>
      </c>
      <c r="AH54" s="481">
        <f>[32]PnL!AH42</f>
        <v>10.199</v>
      </c>
      <c r="AI54" s="481">
        <f>[32]PnL!AI42</f>
        <v>20.638000000000002</v>
      </c>
      <c r="AJ54" s="481">
        <f>[32]PnL!AJ42</f>
        <v>17.05</v>
      </c>
      <c r="AK54" s="481">
        <f>[32]PnL!AK42</f>
        <v>27.18</v>
      </c>
      <c r="AL54" s="481">
        <f>[32]PnL!AL42</f>
        <v>13.635</v>
      </c>
      <c r="AM54" s="462"/>
      <c r="AN54" s="462"/>
      <c r="AO54" s="462"/>
      <c r="AP54" s="462"/>
      <c r="AQ54" s="462"/>
      <c r="AR54" s="462"/>
      <c r="AS54" s="462"/>
      <c r="AT54" s="462"/>
      <c r="AU54" s="462"/>
      <c r="AV54" s="462"/>
      <c r="AW54" s="462"/>
      <c r="AX54" s="462" t="e">
        <f>[32]PnL!AX42</f>
        <v>#DIV/0!</v>
      </c>
      <c r="AY54" s="462" t="e">
        <f>[32]PnL!AY42</f>
        <v>#DIV/0!</v>
      </c>
      <c r="AZ54" s="462" t="e">
        <f>[32]PnL!AZ42</f>
        <v>#DIV/0!</v>
      </c>
      <c r="BA54" s="462" t="e">
        <f>[32]PnL!BA42</f>
        <v>#VALUE!</v>
      </c>
      <c r="BB54" s="462" t="e">
        <f>[32]PnL!BB42</f>
        <v>#VALUE!</v>
      </c>
      <c r="BC54" s="462" t="e">
        <f>[32]PnL!BC42</f>
        <v>#VALUE!</v>
      </c>
      <c r="BD54" s="463"/>
      <c r="BE54" s="462"/>
      <c r="BF54" s="462"/>
      <c r="BG54" s="462"/>
      <c r="BH54" s="462"/>
      <c r="BI54" s="462"/>
      <c r="BJ54" s="462">
        <f>[32]PnL!BM42</f>
        <v>66.912999999999997</v>
      </c>
      <c r="BK54" s="462">
        <f>[32]PnL!BN42</f>
        <v>80.861000000000004</v>
      </c>
      <c r="BL54" s="462">
        <f>[32]PnL!BO42</f>
        <v>99.48</v>
      </c>
      <c r="BM54" s="457"/>
      <c r="BN54" s="457"/>
      <c r="BO54" s="457"/>
      <c r="BP54" s="457"/>
      <c r="BQ54" s="457"/>
      <c r="BR54" s="457"/>
      <c r="BS54" s="481" t="e">
        <f>[32]PnL!BS42</f>
        <v>#REF!</v>
      </c>
      <c r="BT54" s="458"/>
      <c r="BU54" s="458"/>
    </row>
    <row r="55" spans="1:73" s="459" customFormat="1" ht="12.75" hidden="1" customHeight="1" outlineLevel="1" x14ac:dyDescent="0.35">
      <c r="A55" s="452"/>
      <c r="B55" s="465"/>
      <c r="C55" s="465"/>
      <c r="D55" s="464" t="s">
        <v>390</v>
      </c>
      <c r="E55" s="461"/>
      <c r="F55" s="465"/>
      <c r="G55" s="465"/>
      <c r="H55" s="465"/>
      <c r="I55" s="466"/>
      <c r="J55" s="466"/>
      <c r="K55" s="466"/>
      <c r="L55" s="466"/>
      <c r="M55" s="466"/>
      <c r="N55" s="466"/>
      <c r="O55" s="466"/>
      <c r="P55" s="466"/>
      <c r="Q55" s="466"/>
      <c r="R55" s="466"/>
      <c r="S55" s="466"/>
      <c r="T55" s="466"/>
      <c r="U55" s="466"/>
      <c r="V55" s="466"/>
      <c r="W55" s="466"/>
      <c r="X55" s="466"/>
      <c r="Y55" s="466"/>
      <c r="Z55" s="466"/>
      <c r="AA55" s="466"/>
      <c r="AB55" s="466"/>
      <c r="AC55" s="480">
        <f t="shared" ref="AC55" si="98">AC53/AC54-1</f>
        <v>0.28512391220151301</v>
      </c>
      <c r="AD55" s="480">
        <f t="shared" ref="AD55" si="99">AD53/AD54-1</f>
        <v>-0.52928878867781026</v>
      </c>
      <c r="AE55" s="480">
        <f t="shared" ref="AE55" si="100">AE53/AE54-1</f>
        <v>0.28603096065926281</v>
      </c>
      <c r="AF55" s="480">
        <f t="shared" ref="AF55" si="101">AF53/AF54-1</f>
        <v>-0.22312888000941367</v>
      </c>
      <c r="AG55" s="480">
        <f t="shared" ref="AG55" si="102">AG53/AG54-1</f>
        <v>9.5714248153094372E-2</v>
      </c>
      <c r="AH55" s="480">
        <f t="shared" ref="AH55" si="103">AH53/AH54-1</f>
        <v>-0.59629576200047962</v>
      </c>
      <c r="AI55" s="480">
        <f t="shared" ref="AI55" si="104">AI53/AI54-1</f>
        <v>2.377660469443299E-2</v>
      </c>
      <c r="AJ55" s="480">
        <f t="shared" ref="AJ55" si="105">AJ53/AJ54-1</f>
        <v>-0.44341892440596431</v>
      </c>
      <c r="AK55" s="480">
        <f t="shared" ref="AK55" si="106">AK53/AK54-1</f>
        <v>-7.0341678115805495E-2</v>
      </c>
      <c r="AL55" s="480">
        <f t="shared" ref="AL55" si="107">AL53/AL54-1</f>
        <v>-0.70826919451434489</v>
      </c>
      <c r="AM55" s="466"/>
      <c r="AN55" s="466"/>
      <c r="AO55" s="466"/>
      <c r="AP55" s="466"/>
      <c r="AQ55" s="466"/>
      <c r="AR55" s="466"/>
      <c r="AS55" s="466"/>
      <c r="AT55" s="466"/>
      <c r="AU55" s="466"/>
      <c r="AV55" s="466"/>
      <c r="AW55" s="466"/>
      <c r="AX55" s="466"/>
      <c r="AY55" s="466"/>
      <c r="AZ55" s="466"/>
      <c r="BA55" s="466"/>
      <c r="BB55" s="466"/>
      <c r="BC55" s="466"/>
      <c r="BD55" s="467"/>
      <c r="BE55" s="466"/>
      <c r="BF55" s="466"/>
      <c r="BG55" s="466"/>
      <c r="BH55" s="466"/>
      <c r="BI55" s="466"/>
      <c r="BJ55" s="468">
        <f>BJ56/BJ54-1</f>
        <v>-0.19149827627035698</v>
      </c>
      <c r="BK55" s="468">
        <f>BK56/BK54-1</f>
        <v>-0.29729031996941058</v>
      </c>
      <c r="BL55" s="468">
        <f>BL56/BL54-1</f>
        <v>-0.39128547834631855</v>
      </c>
      <c r="BM55" s="457"/>
      <c r="BN55" s="457"/>
      <c r="BO55" s="457"/>
      <c r="BP55" s="457"/>
      <c r="BQ55" s="457"/>
      <c r="BR55" s="457"/>
      <c r="BS55" s="480" t="e">
        <f t="shared" ref="BS55" si="108">BS53/BS54-1</f>
        <v>#REF!</v>
      </c>
      <c r="BT55" s="458"/>
      <c r="BU55" s="458"/>
    </row>
    <row r="56" spans="1:73" ht="12.75" customHeight="1" collapsed="1" x14ac:dyDescent="0.35">
      <c r="A56" s="144" t="s">
        <v>160</v>
      </c>
      <c r="B56" s="227" t="str">
        <f>[32]PnL!$B$43</f>
        <v>EPS (Diluted) - GAAP</v>
      </c>
      <c r="C56" s="253"/>
      <c r="D56" s="253"/>
      <c r="E56" s="253"/>
      <c r="F56" s="227"/>
      <c r="G56" s="227"/>
      <c r="H56" s="227"/>
      <c r="I56" s="254">
        <f>[32]PnL!I43</f>
        <v>4.9011764705882355</v>
      </c>
      <c r="J56" s="254">
        <f>[32]PnL!J43</f>
        <v>2.1072270227808327</v>
      </c>
      <c r="K56" s="254">
        <f>[32]PnL!K43</f>
        <v>2.940031152647975</v>
      </c>
      <c r="L56" s="254">
        <f>[32]PnL!L43</f>
        <v>2.9707716289945441</v>
      </c>
      <c r="M56" s="254">
        <f>[32]PnL!M43</f>
        <v>6.9447685725398678</v>
      </c>
      <c r="N56" s="254">
        <f>[32]PnL!N43</f>
        <v>4.1251452925222782</v>
      </c>
      <c r="O56" s="254">
        <f>[32]PnL!O43</f>
        <v>5.6494805694497883</v>
      </c>
      <c r="P56" s="254">
        <f>[32]PnL!P43</f>
        <v>6.7771384733410054</v>
      </c>
      <c r="Q56" s="254">
        <f>[32]PnL!Q43</f>
        <v>9.2057361376673033</v>
      </c>
      <c r="R56" s="254">
        <f>[32]PnL!R43</f>
        <v>2.928216876670485</v>
      </c>
      <c r="S56" s="254">
        <f>S41/S49</f>
        <v>3.3193757137419109</v>
      </c>
      <c r="T56" s="254">
        <f t="shared" ref="T56:AL56" si="109">T41/T49</f>
        <v>7.6609589041095889</v>
      </c>
      <c r="U56" s="254">
        <f t="shared" si="109"/>
        <v>12.670237184391738</v>
      </c>
      <c r="V56" s="254">
        <f t="shared" si="109"/>
        <v>9.8716190476190473</v>
      </c>
      <c r="W56" s="254">
        <f t="shared" si="109"/>
        <v>8.1385471508905365</v>
      </c>
      <c r="X56" s="254">
        <f t="shared" si="109"/>
        <v>27.538315629742034</v>
      </c>
      <c r="Y56" s="254">
        <f t="shared" si="109"/>
        <v>19.511593118922963</v>
      </c>
      <c r="Z56" s="254">
        <f t="shared" si="109"/>
        <v>1.1599979393825426</v>
      </c>
      <c r="AA56" s="254">
        <f t="shared" si="109"/>
        <v>17.343580646517278</v>
      </c>
      <c r="AB56" s="254">
        <f t="shared" si="109"/>
        <v>10.523733481708176</v>
      </c>
      <c r="AC56" s="254">
        <f t="shared" si="109"/>
        <v>20.836958430203413</v>
      </c>
      <c r="AD56" s="254">
        <f t="shared" si="109"/>
        <v>3.9190596537006823</v>
      </c>
      <c r="AE56" s="254">
        <f t="shared" si="109"/>
        <v>18.926506985878202</v>
      </c>
      <c r="AF56" s="254">
        <f t="shared" si="109"/>
        <v>9.6444512472335759</v>
      </c>
      <c r="AG56" s="254">
        <f t="shared" si="109"/>
        <v>22.629533942831841</v>
      </c>
      <c r="AH56" s="254">
        <f t="shared" si="109"/>
        <v>4.0496852442115054</v>
      </c>
      <c r="AI56" s="254">
        <f t="shared" si="109"/>
        <v>20.781322314983505</v>
      </c>
      <c r="AJ56" s="254">
        <f t="shared" si="109"/>
        <v>9.3336860408745927</v>
      </c>
      <c r="AK56" s="254">
        <f t="shared" si="109"/>
        <v>24.852677424879847</v>
      </c>
      <c r="AL56" s="254">
        <f t="shared" si="109"/>
        <v>3.9123509253289965</v>
      </c>
      <c r="AM56" s="255"/>
      <c r="AN56" s="255" t="e">
        <f>[32]PnL!AP43</f>
        <v>#DIV/0!</v>
      </c>
      <c r="AO56" s="255" t="e">
        <f>[32]PnL!AQ43</f>
        <v>#DIV/0!</v>
      </c>
      <c r="AP56" s="255" t="e">
        <f>[32]PnL!AR43</f>
        <v>#DIV/0!</v>
      </c>
      <c r="AQ56" s="255" t="e">
        <f>[32]PnL!AS43</f>
        <v>#DIV/0!</v>
      </c>
      <c r="AR56" s="255" t="e">
        <f>[32]PnL!AT43</f>
        <v>#DIV/0!</v>
      </c>
      <c r="AS56" s="255" t="e">
        <f>[32]PnL!AU43</f>
        <v>#DIV/0!</v>
      </c>
      <c r="AT56" s="255" t="e">
        <f>[32]PnL!AV43</f>
        <v>#DIV/0!</v>
      </c>
      <c r="AU56" s="255" t="e">
        <f>[32]PnL!AW43</f>
        <v>#DIV/0!</v>
      </c>
      <c r="AV56" s="255" t="e">
        <f>[32]PnL!AX43</f>
        <v>#DIV/0!</v>
      </c>
      <c r="AW56" s="255" t="e">
        <f>[32]PnL!AY43</f>
        <v>#DIV/0!</v>
      </c>
      <c r="AX56" s="255" t="e">
        <f t="shared" ref="AX56" si="110">AX$41/AX49</f>
        <v>#DIV/0!</v>
      </c>
      <c r="AY56" s="255" t="e">
        <f t="shared" ref="AY56:BC56" si="111">AY$41/AY49</f>
        <v>#DIV/0!</v>
      </c>
      <c r="AZ56" s="255" t="e">
        <f t="shared" si="111"/>
        <v>#DIV/0!</v>
      </c>
      <c r="BA56" s="255" t="e">
        <f t="shared" si="111"/>
        <v>#DIV/0!</v>
      </c>
      <c r="BB56" s="255" t="e">
        <f t="shared" si="111"/>
        <v>#DIV/0!</v>
      </c>
      <c r="BC56" s="254" t="e">
        <f t="shared" si="111"/>
        <v>#DIV/0!</v>
      </c>
      <c r="BD56" s="254"/>
      <c r="BE56" s="254">
        <f>IF(ISERR(BE$41/BE49),"-",BE$41/BE49)</f>
        <v>27.892271662763466</v>
      </c>
      <c r="BF56" s="254">
        <f t="shared" ref="BF56:BH56" si="112">IF(ISERR(BF$41/BF49),"-",BF$41/BF49)</f>
        <v>16.974349008938983</v>
      </c>
      <c r="BG56" s="254">
        <f t="shared" si="112"/>
        <v>24.556704980842913</v>
      </c>
      <c r="BH56" s="254">
        <f t="shared" si="112"/>
        <v>33.505909264201293</v>
      </c>
      <c r="BI56" s="254">
        <f t="shared" ref="BI56:BR56" si="113">BI41/BI49</f>
        <v>56.009370314842577</v>
      </c>
      <c r="BJ56" s="254">
        <f t="shared" si="113"/>
        <v>54.099275839921603</v>
      </c>
      <c r="BK56" s="254">
        <f t="shared" si="113"/>
        <v>56.821807436953492</v>
      </c>
      <c r="BL56" s="254">
        <f t="shared" si="113"/>
        <v>60.554920614108234</v>
      </c>
      <c r="BM56" s="254">
        <f t="shared" si="113"/>
        <v>68.531091299276127</v>
      </c>
      <c r="BN56" s="254">
        <f t="shared" si="113"/>
        <v>76.159848319564745</v>
      </c>
      <c r="BO56" s="254">
        <f t="shared" si="113"/>
        <v>83.069901568552595</v>
      </c>
      <c r="BP56" s="254">
        <f t="shared" si="113"/>
        <v>89.077970878520844</v>
      </c>
      <c r="BQ56" s="254">
        <f t="shared" si="113"/>
        <v>94.146481927395669</v>
      </c>
      <c r="BR56" s="254">
        <f t="shared" si="113"/>
        <v>98.340275657265124</v>
      </c>
      <c r="BS56" s="254">
        <f t="shared" ref="BS56" si="114">BS41/BS49</f>
        <v>101.73245595368874</v>
      </c>
      <c r="BT56" s="203"/>
      <c r="BU56" s="203"/>
    </row>
    <row r="57" spans="1:73" ht="12.75" customHeight="1" x14ac:dyDescent="0.35">
      <c r="A57" s="144"/>
      <c r="B57" s="236" t="str">
        <f>[32]PnL!$B$44</f>
        <v>EPS (Basic) - NON GAAP</v>
      </c>
      <c r="C57" s="251"/>
      <c r="D57" s="251"/>
      <c r="E57" s="251"/>
      <c r="F57" s="236"/>
      <c r="G57" s="236"/>
      <c r="H57" s="236"/>
      <c r="I57" s="247">
        <f>[32]PnL!I44</f>
        <v>4.7444807849550283</v>
      </c>
      <c r="J57" s="247">
        <f>[32]PnL!J44</f>
        <v>0.83088235294117652</v>
      </c>
      <c r="K57" s="247">
        <f>[32]PnL!K44</f>
        <v>3.0667205822887182</v>
      </c>
      <c r="L57" s="247">
        <f>[32]PnL!L44</f>
        <v>3.2090395480225991</v>
      </c>
      <c r="M57" s="247">
        <f>[32]PnL!M44</f>
        <v>7.2675050301810868</v>
      </c>
      <c r="N57" s="247">
        <f>[32]PnL!N44</f>
        <v>2.8219259848786313</v>
      </c>
      <c r="O57" s="247">
        <f>[32]PnL!O44</f>
        <v>5.7203643376727484</v>
      </c>
      <c r="P57" s="247">
        <f>[32]PnL!P44</f>
        <v>6.1610580073836996</v>
      </c>
      <c r="Q57" s="247">
        <f>[32]PnL!Q44</f>
        <v>10.614534107472506</v>
      </c>
      <c r="R57" s="247">
        <f>[32]PnL!R44</f>
        <v>3.5063632812499996</v>
      </c>
      <c r="S57" s="247">
        <f>S44/S48</f>
        <v>8.1879116621464547</v>
      </c>
      <c r="T57" s="247">
        <f t="shared" ref="T57:AL57" si="115">T44/T48</f>
        <v>9.7650928792569651</v>
      </c>
      <c r="U57" s="247">
        <f t="shared" si="115"/>
        <v>12.371506211180124</v>
      </c>
      <c r="V57" s="247">
        <f t="shared" si="115"/>
        <v>8.7227607599844905</v>
      </c>
      <c r="W57" s="247">
        <f t="shared" si="115"/>
        <v>12.728036889567548</v>
      </c>
      <c r="X57" s="247">
        <f t="shared" si="115"/>
        <v>13.283846153846154</v>
      </c>
      <c r="Y57" s="247">
        <f t="shared" si="115"/>
        <v>18.479483282674771</v>
      </c>
      <c r="Z57" s="247">
        <f t="shared" si="115"/>
        <v>9.3561653588536728</v>
      </c>
      <c r="AA57" s="247">
        <f t="shared" si="115"/>
        <v>15.054287577229246</v>
      </c>
      <c r="AB57" s="247">
        <f t="shared" si="115"/>
        <v>18.2749209205043</v>
      </c>
      <c r="AC57" s="247">
        <f t="shared" si="115"/>
        <v>21.959675073568288</v>
      </c>
      <c r="AD57" s="247">
        <f t="shared" si="115"/>
        <v>5.0896033178643068</v>
      </c>
      <c r="AE57" s="247">
        <f t="shared" si="115"/>
        <v>20.287144304834488</v>
      </c>
      <c r="AF57" s="247">
        <f t="shared" si="115"/>
        <v>19.02278377215497</v>
      </c>
      <c r="AG57" s="247">
        <f t="shared" si="115"/>
        <v>25.100146403352301</v>
      </c>
      <c r="AH57" s="247">
        <f t="shared" si="115"/>
        <v>6.2692853553804051</v>
      </c>
      <c r="AI57" s="247">
        <f t="shared" si="115"/>
        <v>22.956221430280749</v>
      </c>
      <c r="AJ57" s="247">
        <f t="shared" si="115"/>
        <v>21.450539982323722</v>
      </c>
      <c r="AK57" s="247">
        <f t="shared" si="115"/>
        <v>28.695561415940936</v>
      </c>
      <c r="AL57" s="247">
        <f t="shared" si="115"/>
        <v>7.1732486813874097</v>
      </c>
      <c r="AM57" s="252"/>
      <c r="AN57" s="252"/>
      <c r="AO57" s="252"/>
      <c r="AP57" s="252"/>
      <c r="AQ57" s="252"/>
      <c r="AR57" s="252"/>
      <c r="AS57" s="252"/>
      <c r="AT57" s="252"/>
      <c r="AU57" s="252"/>
      <c r="AV57" s="252"/>
      <c r="AW57" s="252"/>
      <c r="AX57" s="252"/>
      <c r="AY57" s="252"/>
      <c r="AZ57" s="252"/>
      <c r="BA57" s="252"/>
      <c r="BB57" s="252"/>
      <c r="BC57" s="247"/>
      <c r="BD57" s="247"/>
      <c r="BE57" s="247"/>
      <c r="BF57" s="247"/>
      <c r="BG57" s="247"/>
      <c r="BH57" s="247">
        <f t="shared" ref="BH57:BR57" si="116">BH44/BH48</f>
        <v>39.043023255813956</v>
      </c>
      <c r="BI57" s="247">
        <f t="shared" si="116"/>
        <v>53.804339550818426</v>
      </c>
      <c r="BJ57" s="247">
        <f t="shared" si="116"/>
        <v>62.023245046546755</v>
      </c>
      <c r="BK57" s="247">
        <f t="shared" si="116"/>
        <v>72.6106118115637</v>
      </c>
      <c r="BL57" s="247">
        <f t="shared" si="116"/>
        <v>82.469031615552097</v>
      </c>
      <c r="BM57" s="247">
        <f t="shared" si="116"/>
        <v>98.062720439485631</v>
      </c>
      <c r="BN57" s="247">
        <f t="shared" si="116"/>
        <v>111.77390296158701</v>
      </c>
      <c r="BO57" s="247">
        <f t="shared" si="116"/>
        <v>122.22729830802176</v>
      </c>
      <c r="BP57" s="247">
        <f t="shared" si="116"/>
        <v>132.98525803449917</v>
      </c>
      <c r="BQ57" s="247">
        <f t="shared" si="116"/>
        <v>142.07659671470475</v>
      </c>
      <c r="BR57" s="247">
        <f t="shared" si="116"/>
        <v>149.50806678891055</v>
      </c>
      <c r="BS57" s="247">
        <f t="shared" ref="BS57" si="117">BS44/BS48</f>
        <v>155.72658968616867</v>
      </c>
      <c r="BT57" s="203"/>
      <c r="BU57" s="203"/>
    </row>
    <row r="58" spans="1:73" s="459" customFormat="1" ht="12.75" hidden="1" customHeight="1" outlineLevel="1" x14ac:dyDescent="0.35">
      <c r="A58" s="452"/>
      <c r="B58" s="465"/>
      <c r="C58" s="465" t="s">
        <v>399</v>
      </c>
      <c r="D58" s="464"/>
      <c r="E58" s="461"/>
      <c r="F58" s="465"/>
      <c r="G58" s="465"/>
      <c r="H58" s="465"/>
      <c r="I58" s="466"/>
      <c r="J58" s="466"/>
      <c r="K58" s="466"/>
      <c r="L58" s="466"/>
      <c r="M58" s="466"/>
      <c r="N58" s="466"/>
      <c r="O58" s="466"/>
      <c r="P58" s="466"/>
      <c r="Q58" s="466"/>
      <c r="R58" s="466"/>
      <c r="S58" s="466"/>
      <c r="T58" s="466"/>
      <c r="U58" s="466"/>
      <c r="V58" s="466"/>
      <c r="W58" s="466"/>
      <c r="X58" s="466"/>
      <c r="Y58" s="466"/>
      <c r="Z58" s="466"/>
      <c r="AA58" s="482" t="str">
        <f>[32]PnL!AA44</f>
        <v>#N/A Invalid Field</v>
      </c>
      <c r="AB58" s="482" t="str">
        <f>[32]PnL!AB44</f>
        <v>#N/A Invalid Field</v>
      </c>
      <c r="AC58" s="482">
        <f>[32]PnL!AC44</f>
        <v>21.36</v>
      </c>
      <c r="AD58" s="482">
        <f>[32]PnL!AD44</f>
        <v>13.346</v>
      </c>
      <c r="AE58" s="482">
        <f>[32]PnL!AE44</f>
        <v>19.809000000000001</v>
      </c>
      <c r="AF58" s="482">
        <f>[32]PnL!AF44</f>
        <v>19.169</v>
      </c>
      <c r="AG58" s="482">
        <f>[32]PnL!AG44</f>
        <v>26.145</v>
      </c>
      <c r="AH58" s="482">
        <f>[32]PnL!AH44</f>
        <v>16.420000000000002</v>
      </c>
      <c r="AI58" s="482">
        <f>[32]PnL!AI44</f>
        <v>24.88</v>
      </c>
      <c r="AJ58" s="482">
        <f>[32]PnL!AJ44</f>
        <v>24.97</v>
      </c>
      <c r="AK58" s="482">
        <f>[32]PnL!AK44</f>
        <v>32.298000000000002</v>
      </c>
      <c r="AL58" s="482">
        <f>[32]PnL!AL44</f>
        <v>20.518000000000001</v>
      </c>
      <c r="AM58" s="466"/>
      <c r="AN58" s="466"/>
      <c r="AO58" s="466"/>
      <c r="AP58" s="466"/>
      <c r="AQ58" s="466"/>
      <c r="AR58" s="466"/>
      <c r="AS58" s="466"/>
      <c r="AT58" s="466"/>
      <c r="AU58" s="466"/>
      <c r="AV58" s="466"/>
      <c r="AW58" s="466"/>
      <c r="AX58" s="466"/>
      <c r="AY58" s="466" t="e">
        <f>[32]PnL!AY46</f>
        <v>#REF!</v>
      </c>
      <c r="AZ58" s="466" t="e">
        <f>[32]PnL!AZ46</f>
        <v>#REF!</v>
      </c>
      <c r="BA58" s="466" t="e">
        <f>[32]PnL!BA46</f>
        <v>#REF!</v>
      </c>
      <c r="BB58" s="466" t="e">
        <f>[32]PnL!BB46</f>
        <v>#REF!</v>
      </c>
      <c r="BC58" s="466" t="e">
        <f>[32]PnL!BC46</f>
        <v>#REF!</v>
      </c>
      <c r="BD58" s="467"/>
      <c r="BE58" s="466"/>
      <c r="BF58" s="466"/>
      <c r="BG58" s="466"/>
      <c r="BH58" s="466"/>
      <c r="BI58" s="466"/>
      <c r="BJ58" s="468" t="e">
        <f>[32]PnL!BM46</f>
        <v>#REF!</v>
      </c>
      <c r="BK58" s="468" t="e">
        <f>[32]PnL!BN46</f>
        <v>#REF!</v>
      </c>
      <c r="BL58" s="468" t="e">
        <f>[32]PnL!BO46</f>
        <v>#REF!</v>
      </c>
      <c r="BM58" s="457"/>
      <c r="BN58" s="457"/>
      <c r="BO58" s="457"/>
      <c r="BP58" s="457"/>
      <c r="BQ58" s="457"/>
      <c r="BR58" s="457"/>
      <c r="BS58" s="482" t="e">
        <f>[32]PnL!BS44</f>
        <v>#REF!</v>
      </c>
      <c r="BT58" s="458"/>
      <c r="BU58" s="458"/>
    </row>
    <row r="59" spans="1:73" s="459" customFormat="1" ht="12.75" hidden="1" customHeight="1" outlineLevel="1" x14ac:dyDescent="0.35">
      <c r="A59" s="452"/>
      <c r="B59" s="465"/>
      <c r="C59" s="465"/>
      <c r="D59" s="464" t="s">
        <v>400</v>
      </c>
      <c r="E59" s="461"/>
      <c r="F59" s="465"/>
      <c r="G59" s="465"/>
      <c r="H59" s="465"/>
      <c r="I59" s="466"/>
      <c r="J59" s="466"/>
      <c r="K59" s="466"/>
      <c r="L59" s="466"/>
      <c r="M59" s="466"/>
      <c r="N59" s="466"/>
      <c r="O59" s="466"/>
      <c r="P59" s="466"/>
      <c r="Q59" s="466"/>
      <c r="R59" s="466"/>
      <c r="S59" s="466"/>
      <c r="T59" s="466"/>
      <c r="U59" s="466"/>
      <c r="V59" s="466"/>
      <c r="W59" s="466"/>
      <c r="X59" s="466"/>
      <c r="Y59" s="466"/>
      <c r="Z59" s="466"/>
      <c r="AA59" s="468" t="e">
        <f>AA57/AA58-1</f>
        <v>#VALUE!</v>
      </c>
      <c r="AB59" s="468" t="e">
        <f>AB57/AB58-1</f>
        <v>#VALUE!</v>
      </c>
      <c r="AC59" s="468">
        <f t="shared" ref="AC59:AL59" si="118">AC57/AC58-1</f>
        <v>2.8074675728852361E-2</v>
      </c>
      <c r="AD59" s="468">
        <f t="shared" si="118"/>
        <v>-0.61864204122101696</v>
      </c>
      <c r="AE59" s="468">
        <f t="shared" si="118"/>
        <v>2.413773056865498E-2</v>
      </c>
      <c r="AF59" s="468">
        <f t="shared" si="118"/>
        <v>-7.6277441621905862E-3</v>
      </c>
      <c r="AG59" s="468">
        <f t="shared" si="118"/>
        <v>-3.9963801745943717E-2</v>
      </c>
      <c r="AH59" s="468">
        <f t="shared" si="118"/>
        <v>-0.61819212208401919</v>
      </c>
      <c r="AI59" s="468">
        <f t="shared" si="118"/>
        <v>-7.7322289779712672E-2</v>
      </c>
      <c r="AJ59" s="468">
        <f t="shared" si="118"/>
        <v>-0.14094753775235391</v>
      </c>
      <c r="AK59" s="468">
        <f t="shared" si="118"/>
        <v>-0.11153751266515155</v>
      </c>
      <c r="AL59" s="468">
        <f t="shared" si="118"/>
        <v>-0.65039240270068188</v>
      </c>
      <c r="AM59" s="466"/>
      <c r="AN59" s="466"/>
      <c r="AO59" s="466"/>
      <c r="AP59" s="466"/>
      <c r="AQ59" s="466"/>
      <c r="AR59" s="466"/>
      <c r="AS59" s="466"/>
      <c r="AT59" s="466"/>
      <c r="AU59" s="466"/>
      <c r="AV59" s="466"/>
      <c r="AW59" s="466"/>
      <c r="AX59" s="466"/>
      <c r="AY59" s="466"/>
      <c r="AZ59" s="466"/>
      <c r="BA59" s="466"/>
      <c r="BB59" s="466"/>
      <c r="BC59" s="466"/>
      <c r="BD59" s="467"/>
      <c r="BE59" s="466"/>
      <c r="BF59" s="466"/>
      <c r="BG59" s="466"/>
      <c r="BH59" s="466"/>
      <c r="BI59" s="466"/>
      <c r="BJ59" s="468" t="e">
        <f>BJ60/BJ58-1</f>
        <v>#REF!</v>
      </c>
      <c r="BK59" s="468" t="e">
        <f>BK60/BK58-1</f>
        <v>#REF!</v>
      </c>
      <c r="BL59" s="468" t="e">
        <f>BL60/BL58-1</f>
        <v>#REF!</v>
      </c>
      <c r="BM59" s="457"/>
      <c r="BN59" s="457"/>
      <c r="BO59" s="457"/>
      <c r="BP59" s="457"/>
      <c r="BQ59" s="457"/>
      <c r="BR59" s="457"/>
      <c r="BS59" s="468" t="e">
        <f t="shared" ref="BS59" si="119">BS57/BS58-1</f>
        <v>#REF!</v>
      </c>
      <c r="BT59" s="458"/>
      <c r="BU59" s="458"/>
    </row>
    <row r="60" spans="1:73" ht="12.75" customHeight="1" collapsed="1" x14ac:dyDescent="0.35">
      <c r="A60" s="144"/>
      <c r="B60" s="227" t="s">
        <v>398</v>
      </c>
      <c r="C60" s="253"/>
      <c r="D60" s="253"/>
      <c r="E60" s="253"/>
      <c r="F60" s="227"/>
      <c r="G60" s="227"/>
      <c r="H60" s="227"/>
      <c r="I60" s="254">
        <f>[32]PnL!I45</f>
        <v>4.5509803921568626</v>
      </c>
      <c r="J60" s="254">
        <f>[32]PnL!J45</f>
        <v>0.79890023566378632</v>
      </c>
      <c r="K60" s="254">
        <f>[32]PnL!K45</f>
        <v>2.9532710280373831</v>
      </c>
      <c r="L60" s="254">
        <f>[32]PnL!L45</f>
        <v>3.0989867498051442</v>
      </c>
      <c r="M60" s="254">
        <f>[32]PnL!M45</f>
        <v>7.024406845585375</v>
      </c>
      <c r="N60" s="254">
        <f>[32]PnL!N45</f>
        <v>2.7475784579620304</v>
      </c>
      <c r="O60" s="254">
        <f>[32]PnL!O45</f>
        <v>5.597109084533205</v>
      </c>
      <c r="P60" s="254">
        <f>[32]PnL!P45</f>
        <v>6.0310778806456469</v>
      </c>
      <c r="Q60" s="254">
        <f>[32]PnL!Q45</f>
        <v>10.379106582335449</v>
      </c>
      <c r="R60" s="254">
        <f>[32]PnL!R45</f>
        <v>3.4273730431462388</v>
      </c>
      <c r="S60" s="254">
        <f>S44/S49</f>
        <v>8.0445374952417215</v>
      </c>
      <c r="T60" s="254">
        <f t="shared" ref="T60:AL60" si="120">T44/T49</f>
        <v>9.6015981735159812</v>
      </c>
      <c r="U60" s="254">
        <f t="shared" si="120"/>
        <v>12.191660290742158</v>
      </c>
      <c r="V60" s="254">
        <f t="shared" si="120"/>
        <v>8.5699047619047626</v>
      </c>
      <c r="W60" s="254">
        <f t="shared" si="120"/>
        <v>12.54781225222157</v>
      </c>
      <c r="X60" s="254">
        <f t="shared" si="120"/>
        <v>13.102427921092564</v>
      </c>
      <c r="Y60" s="254">
        <f t="shared" si="120"/>
        <v>18.189229618548989</v>
      </c>
      <c r="Z60" s="254">
        <f t="shared" si="120"/>
        <v>9.0422199622676462</v>
      </c>
      <c r="AA60" s="254">
        <f t="shared" si="120"/>
        <v>14.819378704443213</v>
      </c>
      <c r="AB60" s="254">
        <f t="shared" si="120"/>
        <v>17.974460982055938</v>
      </c>
      <c r="AC60" s="254">
        <f t="shared" si="120"/>
        <v>21.59863369617182</v>
      </c>
      <c r="AD60" s="254">
        <f t="shared" si="120"/>
        <v>5.0059246028502074</v>
      </c>
      <c r="AE60" s="254">
        <f t="shared" si="120"/>
        <v>19.953601185516003</v>
      </c>
      <c r="AF60" s="254">
        <f t="shared" si="120"/>
        <v>18.710028140206635</v>
      </c>
      <c r="AG60" s="254">
        <f t="shared" si="120"/>
        <v>24.687472199387102</v>
      </c>
      <c r="AH60" s="254">
        <f t="shared" si="120"/>
        <v>6.1662113612336311</v>
      </c>
      <c r="AI60" s="254">
        <f t="shared" si="120"/>
        <v>22.578795727157168</v>
      </c>
      <c r="AJ60" s="254">
        <f t="shared" si="120"/>
        <v>21.097869349667693</v>
      </c>
      <c r="AK60" s="254">
        <f t="shared" si="120"/>
        <v>28.223774607435452</v>
      </c>
      <c r="AL60" s="254">
        <f t="shared" si="120"/>
        <v>7.0553125290691652</v>
      </c>
      <c r="AM60" s="255"/>
      <c r="AN60" s="255"/>
      <c r="AO60" s="255"/>
      <c r="AP60" s="255"/>
      <c r="AQ60" s="255"/>
      <c r="AR60" s="255"/>
      <c r="AS60" s="255"/>
      <c r="AT60" s="255"/>
      <c r="AU60" s="255"/>
      <c r="AV60" s="255"/>
      <c r="AW60" s="255"/>
      <c r="AX60" s="255"/>
      <c r="AY60" s="255"/>
      <c r="AZ60" s="255"/>
      <c r="BA60" s="255"/>
      <c r="BB60" s="255"/>
      <c r="BC60" s="254"/>
      <c r="BD60" s="254"/>
      <c r="BE60" s="254"/>
      <c r="BF60" s="254"/>
      <c r="BG60" s="254"/>
      <c r="BH60" s="254">
        <f>BH44/BH49</f>
        <v>38.402973694243236</v>
      </c>
      <c r="BI60" s="254">
        <f t="shared" ref="BI60:BR60" si="121">BI44/BI49</f>
        <v>52.977511244377808</v>
      </c>
      <c r="BJ60" s="254">
        <f t="shared" si="121"/>
        <v>61.070114219369685</v>
      </c>
      <c r="BK60" s="254">
        <f t="shared" si="121"/>
        <v>71.494781570081642</v>
      </c>
      <c r="BL60" s="254">
        <f t="shared" si="121"/>
        <v>81.201703918311608</v>
      </c>
      <c r="BM60" s="254">
        <f t="shared" si="121"/>
        <v>96.555759593151706</v>
      </c>
      <c r="BN60" s="254">
        <f t="shared" si="121"/>
        <v>110.0562380360154</v>
      </c>
      <c r="BO60" s="254">
        <f t="shared" si="121"/>
        <v>120.34899274931529</v>
      </c>
      <c r="BP60" s="254">
        <f t="shared" si="121"/>
        <v>130.94163150548326</v>
      </c>
      <c r="BQ60" s="254">
        <f t="shared" si="121"/>
        <v>139.89326070821943</v>
      </c>
      <c r="BR60" s="254">
        <f t="shared" si="121"/>
        <v>147.21052903091007</v>
      </c>
      <c r="BS60" s="254">
        <f t="shared" ref="BS60" si="122">BS44/BS49</f>
        <v>153.33348991962711</v>
      </c>
      <c r="BT60" s="203"/>
      <c r="BU60" s="203"/>
    </row>
    <row r="61" spans="1:73" ht="12.75" customHeight="1" x14ac:dyDescent="0.35">
      <c r="A61" s="144"/>
      <c r="B61" s="256"/>
      <c r="C61" s="223"/>
      <c r="D61" s="223"/>
      <c r="E61" s="223"/>
      <c r="F61" s="256"/>
      <c r="G61" s="256"/>
      <c r="H61" s="256"/>
      <c r="I61" s="257"/>
      <c r="J61" s="257"/>
      <c r="K61" s="257"/>
      <c r="L61" s="257"/>
      <c r="M61" s="257"/>
      <c r="N61" s="257"/>
      <c r="O61" s="257"/>
      <c r="P61" s="257"/>
      <c r="Q61" s="257"/>
      <c r="R61" s="257"/>
      <c r="S61" s="257"/>
      <c r="T61" s="257"/>
      <c r="U61" s="257"/>
      <c r="V61" s="257"/>
      <c r="W61" s="257"/>
      <c r="X61" s="257"/>
      <c r="Y61" s="257"/>
      <c r="Z61" s="257"/>
      <c r="AA61" s="257"/>
      <c r="AB61" s="257"/>
      <c r="AC61" s="257"/>
      <c r="AD61" s="257"/>
      <c r="AE61" s="257"/>
      <c r="AF61" s="257"/>
      <c r="AG61" s="257"/>
      <c r="AH61" s="257"/>
      <c r="AI61" s="257"/>
      <c r="AJ61" s="257"/>
      <c r="AK61" s="257"/>
      <c r="AL61" s="257"/>
      <c r="AM61" s="257"/>
      <c r="AN61" s="257"/>
      <c r="AO61" s="257"/>
      <c r="AP61" s="257"/>
      <c r="AQ61" s="257"/>
      <c r="AR61" s="257"/>
      <c r="AS61" s="257"/>
      <c r="AT61" s="257"/>
      <c r="AU61" s="257"/>
      <c r="AV61" s="257"/>
      <c r="AW61" s="257"/>
      <c r="AX61" s="257"/>
      <c r="AY61" s="257"/>
      <c r="AZ61" s="257"/>
      <c r="BA61" s="257"/>
      <c r="BB61" s="257"/>
      <c r="BC61" s="223"/>
      <c r="BD61" s="223"/>
      <c r="BE61" s="257"/>
      <c r="BF61" s="257"/>
      <c r="BG61" s="257"/>
      <c r="BH61" s="257"/>
      <c r="BI61" s="257"/>
      <c r="BJ61" s="257"/>
      <c r="BK61" s="257">
        <f>BK60/6.5</f>
        <v>10.999197164627946</v>
      </c>
      <c r="BL61" s="257">
        <f t="shared" ref="BL61:BS61" si="123">BL60/6.5</f>
        <v>12.492569833586401</v>
      </c>
      <c r="BM61" s="257">
        <f t="shared" si="123"/>
        <v>14.854732245100262</v>
      </c>
      <c r="BN61" s="257">
        <f t="shared" si="123"/>
        <v>16.931728928617755</v>
      </c>
      <c r="BO61" s="257">
        <f t="shared" si="123"/>
        <v>18.515229653740814</v>
      </c>
      <c r="BP61" s="257">
        <f t="shared" si="123"/>
        <v>20.144866385458961</v>
      </c>
      <c r="BQ61" s="257">
        <f t="shared" si="123"/>
        <v>21.522040108956837</v>
      </c>
      <c r="BR61" s="257">
        <f t="shared" si="123"/>
        <v>22.647773697063087</v>
      </c>
      <c r="BS61" s="257">
        <f t="shared" si="123"/>
        <v>23.589767679942632</v>
      </c>
      <c r="BT61" s="203"/>
      <c r="BU61" s="203"/>
    </row>
    <row r="62" spans="1:73" ht="12.75" customHeight="1" x14ac:dyDescent="0.35">
      <c r="A62" s="144"/>
      <c r="B62" s="258" t="s">
        <v>161</v>
      </c>
      <c r="C62" s="147"/>
      <c r="D62" s="147"/>
      <c r="E62" s="147"/>
      <c r="F62" s="258"/>
      <c r="G62" s="258"/>
      <c r="H62" s="258"/>
      <c r="I62" s="150" t="str">
        <f t="shared" ref="I62:J62" si="124">"1Q" &amp; RIGHT(BD63,2)</f>
        <v>1Q</v>
      </c>
      <c r="J62" s="150" t="str">
        <f t="shared" si="124"/>
        <v>1Q31</v>
      </c>
      <c r="K62" s="150" t="str">
        <f>"1Q" &amp; RIGHT(BF63,2)</f>
        <v>1Q31</v>
      </c>
      <c r="L62" s="150" t="str">
        <f>"2Q" &amp; RIGHT(BF63,2)</f>
        <v>2Q31</v>
      </c>
      <c r="M62" s="150" t="str">
        <f>"3Q" &amp; RIGHT(BF63,2)</f>
        <v>3Q31</v>
      </c>
      <c r="N62" s="150" t="str">
        <f>"4Q" &amp; RIGHT(BF63,2)</f>
        <v>4Q31</v>
      </c>
      <c r="O62" s="150" t="str">
        <f>"1Q" &amp; RIGHT(BG63,2)</f>
        <v>1Q31</v>
      </c>
      <c r="P62" s="150" t="str">
        <f>"2Q" &amp; RIGHT(BG63,2)</f>
        <v>2Q31</v>
      </c>
      <c r="Q62" s="150" t="str">
        <f>"3Q" &amp; RIGHT(BG63,2)</f>
        <v>3Q31</v>
      </c>
      <c r="R62" s="150" t="str">
        <f>"4Q" &amp; RIGHT(BG63,2)</f>
        <v>4Q31</v>
      </c>
      <c r="S62" s="150" t="str">
        <f>"1Q" &amp; RIGHT(BH63,2)</f>
        <v>1Q31</v>
      </c>
      <c r="T62" s="150" t="str">
        <f>"2Q" &amp; RIGHT(BH63,2)</f>
        <v>2Q31</v>
      </c>
      <c r="U62" s="150" t="str">
        <f>"3Q" &amp; RIGHT(BH63,2)</f>
        <v>3Q31</v>
      </c>
      <c r="V62" s="150" t="str">
        <f>"4Q" &amp; RIGHT(BH63,2)</f>
        <v>4Q31</v>
      </c>
      <c r="W62" s="150" t="str">
        <f>"1Q" &amp; RIGHT(BI63,2)</f>
        <v>1Q31</v>
      </c>
      <c r="X62" s="150" t="str">
        <f>"2Q" &amp; RIGHT(BI63,2)</f>
        <v>2Q31</v>
      </c>
      <c r="Y62" s="150" t="str">
        <f>"3Q" &amp; RIGHT(BI63,2)</f>
        <v>3Q31</v>
      </c>
      <c r="Z62" s="150" t="str">
        <f>"4Q" &amp; RIGHT(BI63,2)</f>
        <v>4Q31</v>
      </c>
      <c r="AA62" s="150" t="str">
        <f t="shared" ref="AA62:AC62" si="125">"4Q" &amp; RIGHT(BJ63,2)</f>
        <v>4Q31</v>
      </c>
      <c r="AB62" s="150" t="str">
        <f t="shared" si="125"/>
        <v>4Q31</v>
      </c>
      <c r="AC62" s="150" t="str">
        <f t="shared" si="125"/>
        <v>4Q31</v>
      </c>
      <c r="AD62" s="150" t="str">
        <f>"4Q" &amp; RIGHT(BJ63,2)</f>
        <v>4Q31</v>
      </c>
      <c r="AE62" s="150" t="str">
        <f t="shared" ref="AE62:AK62" si="126">"4Q" &amp; RIGHT(BK63,2)</f>
        <v>4Q31</v>
      </c>
      <c r="AF62" s="150" t="str">
        <f t="shared" si="126"/>
        <v>4Q31</v>
      </c>
      <c r="AG62" s="150" t="str">
        <f t="shared" si="126"/>
        <v>4Q31</v>
      </c>
      <c r="AH62" s="150" t="str">
        <f t="shared" si="126"/>
        <v>4Q31</v>
      </c>
      <c r="AI62" s="150" t="str">
        <f t="shared" si="126"/>
        <v>4Q31</v>
      </c>
      <c r="AJ62" s="150" t="str">
        <f t="shared" si="126"/>
        <v>4Q31</v>
      </c>
      <c r="AK62" s="150" t="str">
        <f t="shared" si="126"/>
        <v>4Q31</v>
      </c>
      <c r="AL62" s="150" t="e">
        <f>"4Q" &amp; RIGHT(#REF!,2)</f>
        <v>#REF!</v>
      </c>
      <c r="AM62" s="150"/>
      <c r="AN62" s="150" t="e">
        <f>[32]PnL!AP47</f>
        <v>#REF!</v>
      </c>
      <c r="AO62" s="150" t="e">
        <f>[32]PnL!AQ47</f>
        <v>#REF!</v>
      </c>
      <c r="AP62" s="150" t="e">
        <f>[32]PnL!AR47</f>
        <v>#REF!</v>
      </c>
      <c r="AQ62" s="150" t="e">
        <f>[32]PnL!AS47</f>
        <v>#REF!</v>
      </c>
      <c r="AR62" s="150" t="e">
        <f>[32]PnL!AT47</f>
        <v>#REF!</v>
      </c>
      <c r="AS62" s="150" t="e">
        <f>[32]PnL!AU47</f>
        <v>#REF!</v>
      </c>
      <c r="AT62" s="150" t="e">
        <f>[32]PnL!AV47</f>
        <v>#REF!</v>
      </c>
      <c r="AU62" s="150" t="e">
        <f>[32]PnL!AW47</f>
        <v>#REF!</v>
      </c>
      <c r="AV62" s="150" t="e">
        <f>[32]PnL!AX47</f>
        <v>#REF!</v>
      </c>
      <c r="AW62" s="150" t="e">
        <f>[32]PnL!AY47</f>
        <v>#REF!</v>
      </c>
      <c r="AX62" s="150" t="e">
        <f>[32]PnL!AZ47</f>
        <v>#REF!</v>
      </c>
      <c r="AY62" s="150" t="e">
        <f>[32]PnL!BA47</f>
        <v>#REF!</v>
      </c>
      <c r="AZ62" s="150" t="e">
        <f>[32]PnL!BB47</f>
        <v>#REF!</v>
      </c>
      <c r="BA62" s="150" t="e">
        <f>[32]PnL!BC47</f>
        <v>#REF!</v>
      </c>
      <c r="BB62" s="150" t="e">
        <f>[32]PnL!BD47</f>
        <v>#REF!</v>
      </c>
      <c r="BC62" s="147"/>
      <c r="BD62" s="147"/>
      <c r="BE62" s="147"/>
      <c r="BF62" s="147"/>
      <c r="BG62" s="147"/>
      <c r="BH62" s="147"/>
      <c r="BI62" s="147"/>
      <c r="BK62" s="443">
        <f>260/BK61</f>
        <v>23.638088863078821</v>
      </c>
      <c r="BM62" s="147"/>
      <c r="BN62" s="147"/>
      <c r="BO62" s="147"/>
      <c r="BP62" s="147"/>
      <c r="BQ62" s="147"/>
      <c r="BR62" s="147"/>
      <c r="BS62" s="147"/>
      <c r="BT62" s="203"/>
      <c r="BU62" s="203"/>
    </row>
    <row r="63" spans="1:73" ht="12.75" customHeight="1" x14ac:dyDescent="0.35">
      <c r="A63" s="144"/>
      <c r="B63" s="347"/>
      <c r="C63" s="346"/>
      <c r="D63" s="346"/>
      <c r="E63" s="346"/>
      <c r="F63" s="347"/>
      <c r="G63" s="347"/>
      <c r="H63" s="347"/>
      <c r="I63" s="259" t="str">
        <f t="shared" ref="I63:AL63" si="127">I10</f>
        <v>3Q16</v>
      </c>
      <c r="J63" s="259" t="str">
        <f t="shared" si="127"/>
        <v>4Q16</v>
      </c>
      <c r="K63" s="259" t="str">
        <f t="shared" si="127"/>
        <v>1Q17</v>
      </c>
      <c r="L63" s="259" t="str">
        <f t="shared" si="127"/>
        <v>2Q17</v>
      </c>
      <c r="M63" s="259" t="str">
        <f t="shared" si="127"/>
        <v>3Q17</v>
      </c>
      <c r="N63" s="259" t="str">
        <f t="shared" si="127"/>
        <v>4Q17</v>
      </c>
      <c r="O63" s="259" t="str">
        <f t="shared" si="127"/>
        <v>1Q18</v>
      </c>
      <c r="P63" s="259" t="str">
        <f t="shared" si="127"/>
        <v>2Q18</v>
      </c>
      <c r="Q63" s="259" t="str">
        <f t="shared" si="127"/>
        <v>3Q18</v>
      </c>
      <c r="R63" s="259" t="str">
        <f t="shared" si="127"/>
        <v>4Q18</v>
      </c>
      <c r="S63" s="259" t="str">
        <f t="shared" si="127"/>
        <v>1Q19</v>
      </c>
      <c r="T63" s="259" t="str">
        <f t="shared" si="127"/>
        <v>2Q19</v>
      </c>
      <c r="U63" s="259" t="str">
        <f t="shared" si="127"/>
        <v>3Q19</v>
      </c>
      <c r="V63" s="259" t="str">
        <f t="shared" si="127"/>
        <v>4Q19</v>
      </c>
      <c r="W63" s="259" t="str">
        <f t="shared" si="127"/>
        <v>1Q20</v>
      </c>
      <c r="X63" s="259" t="str">
        <f t="shared" si="127"/>
        <v>2Q20</v>
      </c>
      <c r="Y63" s="259" t="str">
        <f t="shared" si="127"/>
        <v>3Q20</v>
      </c>
      <c r="Z63" s="259" t="str">
        <f t="shared" si="127"/>
        <v>4Q20</v>
      </c>
      <c r="AA63" s="259" t="str">
        <f t="shared" si="127"/>
        <v>1Q21</v>
      </c>
      <c r="AB63" s="259" t="str">
        <f t="shared" ref="AB63" si="128">AB10</f>
        <v>2Q21</v>
      </c>
      <c r="AC63" s="259" t="str">
        <f t="shared" si="127"/>
        <v>3Q21</v>
      </c>
      <c r="AD63" s="259" t="str">
        <f t="shared" si="127"/>
        <v>4Q21</v>
      </c>
      <c r="AE63" s="259" t="str">
        <f t="shared" si="127"/>
        <v>1Q22</v>
      </c>
      <c r="AF63" s="259" t="str">
        <f t="shared" si="127"/>
        <v>2Q22</v>
      </c>
      <c r="AG63" s="259" t="str">
        <f t="shared" si="127"/>
        <v>3Q22</v>
      </c>
      <c r="AH63" s="259" t="str">
        <f t="shared" si="127"/>
        <v>4Q22</v>
      </c>
      <c r="AI63" s="259" t="str">
        <f t="shared" si="127"/>
        <v>1Q23</v>
      </c>
      <c r="AJ63" s="259" t="str">
        <f t="shared" si="127"/>
        <v>2Q23</v>
      </c>
      <c r="AK63" s="259" t="str">
        <f t="shared" si="127"/>
        <v>3Q23</v>
      </c>
      <c r="AL63" s="259" t="str">
        <f t="shared" si="127"/>
        <v>4Q23</v>
      </c>
      <c r="AM63" s="259"/>
      <c r="AN63" s="259" t="str">
        <f>[32]PnL!AP48</f>
        <v>1H15</v>
      </c>
      <c r="AO63" s="259" t="str">
        <f>[32]PnL!AQ48</f>
        <v>2H16</v>
      </c>
      <c r="AP63" s="259" t="str">
        <f>[32]PnL!AR48</f>
        <v>1H16</v>
      </c>
      <c r="AQ63" s="259" t="str">
        <f>[32]PnL!AS48</f>
        <v>2H17</v>
      </c>
      <c r="AR63" s="259" t="str">
        <f>[32]PnL!AT48</f>
        <v>1H17</v>
      </c>
      <c r="AS63" s="259" t="str">
        <f>[32]PnL!AU48</f>
        <v>2H18</v>
      </c>
      <c r="AT63" s="259" t="str">
        <f>[32]PnL!AV48</f>
        <v>1H18</v>
      </c>
      <c r="AU63" s="259" t="str">
        <f>[32]PnL!AW48</f>
        <v>2H19</v>
      </c>
      <c r="AV63" s="259" t="str">
        <f>[32]PnL!AX48</f>
        <v>1H19</v>
      </c>
      <c r="AW63" s="259" t="str">
        <f>[32]PnL!AY48</f>
        <v>2H20</v>
      </c>
      <c r="AX63" s="259" t="str">
        <f>[32]PnL!AZ48</f>
        <v>1H20</v>
      </c>
      <c r="AY63" s="259" t="str">
        <f>[32]PnL!BA48</f>
        <v>2H21</v>
      </c>
      <c r="AZ63" s="259" t="str">
        <f>[32]PnL!BB48</f>
        <v>1H21</v>
      </c>
      <c r="BA63" s="259" t="str">
        <f>[32]PnL!BC48</f>
        <v>2H22</v>
      </c>
      <c r="BB63" s="259" t="str">
        <f>[32]PnL!BD48</f>
        <v>1H22</v>
      </c>
      <c r="BC63" s="259" t="str">
        <f>[32]PnL!BE48</f>
        <v>2H23</v>
      </c>
      <c r="BD63" s="346"/>
      <c r="BE63" s="259" t="str">
        <f t="shared" ref="BE63:BS63" si="129">BE$10</f>
        <v>2016/03/31</v>
      </c>
      <c r="BF63" s="259" t="str">
        <f t="shared" si="129"/>
        <v>2017/03/31</v>
      </c>
      <c r="BG63" s="259" t="str">
        <f t="shared" si="129"/>
        <v>2018/03/31</v>
      </c>
      <c r="BH63" s="259" t="str">
        <f t="shared" si="129"/>
        <v>2019/03/31</v>
      </c>
      <c r="BI63" s="259" t="str">
        <f t="shared" si="129"/>
        <v>2020/03/31</v>
      </c>
      <c r="BJ63" s="259" t="str">
        <f t="shared" si="129"/>
        <v>2021/03/31</v>
      </c>
      <c r="BK63" s="259" t="str">
        <f t="shared" si="129"/>
        <v>2022/03/31</v>
      </c>
      <c r="BL63" s="259" t="str">
        <f t="shared" si="129"/>
        <v>2023/03/31</v>
      </c>
      <c r="BM63" s="259" t="str">
        <f t="shared" si="129"/>
        <v>2024/03/31</v>
      </c>
      <c r="BN63" s="259" t="str">
        <f t="shared" si="129"/>
        <v>2025/03/31</v>
      </c>
      <c r="BO63" s="259" t="str">
        <f t="shared" si="129"/>
        <v>2026/03/31</v>
      </c>
      <c r="BP63" s="259" t="str">
        <f t="shared" si="129"/>
        <v>2027/03/31</v>
      </c>
      <c r="BQ63" s="259" t="str">
        <f t="shared" si="129"/>
        <v>2028/03/31</v>
      </c>
      <c r="BR63" s="259" t="str">
        <f t="shared" si="129"/>
        <v>2029/03/31</v>
      </c>
      <c r="BS63" s="259" t="str">
        <f t="shared" si="129"/>
        <v>2030/03/31</v>
      </c>
      <c r="BT63" s="203"/>
      <c r="BU63" s="203"/>
    </row>
    <row r="64" spans="1:73" ht="12.75" customHeight="1" x14ac:dyDescent="0.35">
      <c r="A64" s="144"/>
      <c r="B64" s="258" t="s">
        <v>162</v>
      </c>
      <c r="C64" s="147"/>
      <c r="D64" s="147"/>
      <c r="E64" s="147"/>
      <c r="F64" s="258"/>
      <c r="G64" s="258"/>
      <c r="H64" s="258"/>
      <c r="I64" s="260"/>
      <c r="J64" s="260"/>
      <c r="K64" s="260"/>
      <c r="L64" s="260"/>
      <c r="M64" s="260"/>
      <c r="N64" s="260"/>
      <c r="O64" s="260"/>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c r="AP64" s="260"/>
      <c r="AQ64" s="260"/>
      <c r="AR64" s="260"/>
      <c r="AS64" s="260"/>
      <c r="AT64" s="260"/>
      <c r="AU64" s="260"/>
      <c r="AV64" s="260"/>
      <c r="AW64" s="260"/>
      <c r="AX64" s="260"/>
      <c r="AY64" s="260"/>
      <c r="AZ64" s="260"/>
      <c r="BA64" s="260"/>
      <c r="BB64" s="260"/>
      <c r="BC64" s="166"/>
      <c r="BD64" s="166"/>
      <c r="BE64" s="260"/>
      <c r="BF64" s="260"/>
      <c r="BG64" s="260"/>
      <c r="BH64" s="260"/>
      <c r="BI64" s="260"/>
      <c r="BM64" s="166"/>
      <c r="BN64" s="166"/>
      <c r="BO64" s="166"/>
      <c r="BP64" s="166"/>
      <c r="BQ64" s="166"/>
      <c r="BR64" s="166"/>
      <c r="BS64" s="166"/>
      <c r="BT64" s="203"/>
      <c r="BU64" s="203"/>
    </row>
    <row r="65" spans="1:73" ht="12.75" customHeight="1" x14ac:dyDescent="0.35">
      <c r="A65" s="144" t="s">
        <v>163</v>
      </c>
      <c r="B65" s="147"/>
      <c r="C65" s="197" t="s">
        <v>164</v>
      </c>
      <c r="D65" s="147"/>
      <c r="E65" s="147"/>
      <c r="F65" s="197"/>
      <c r="G65" s="197"/>
      <c r="H65" s="197"/>
      <c r="I65" s="261">
        <f t="shared" ref="I65:AL65" si="130">IF(ISERR(I17/I$12),"-",I17/I$12)</f>
        <v>0.6829748429493675</v>
      </c>
      <c r="J65" s="261">
        <f t="shared" si="130"/>
        <v>0.60461462123718157</v>
      </c>
      <c r="K65" s="261">
        <f t="shared" si="130"/>
        <v>0.63475772843192135</v>
      </c>
      <c r="L65" s="261">
        <f t="shared" si="130"/>
        <v>0.61731599206812082</v>
      </c>
      <c r="M65" s="261">
        <f t="shared" si="130"/>
        <v>0.64081280048076927</v>
      </c>
      <c r="N65" s="261">
        <f t="shared" si="130"/>
        <v>0.59848622307472976</v>
      </c>
      <c r="O65" s="261">
        <f t="shared" si="130"/>
        <v>0.65208034433285511</v>
      </c>
      <c r="P65" s="261">
        <f t="shared" si="130"/>
        <v>0.60084902579732236</v>
      </c>
      <c r="Q65" s="261">
        <f t="shared" si="130"/>
        <v>0.57751601869248925</v>
      </c>
      <c r="R65" s="261">
        <f t="shared" si="130"/>
        <v>0.47516631143835175</v>
      </c>
      <c r="S65" s="261">
        <f t="shared" si="130"/>
        <v>0.45971329708353931</v>
      </c>
      <c r="T65" s="261">
        <f t="shared" si="130"/>
        <v>0.45053318927044678</v>
      </c>
      <c r="U65" s="261">
        <f t="shared" si="130"/>
        <v>0.48146284895717867</v>
      </c>
      <c r="V65" s="261">
        <f t="shared" si="130"/>
        <v>0.4052279193137821</v>
      </c>
      <c r="W65" s="261">
        <f t="shared" si="130"/>
        <v>0.47802895826807279</v>
      </c>
      <c r="X65" s="261">
        <f t="shared" si="130"/>
        <v>0.44927195274624632</v>
      </c>
      <c r="Y65" s="261">
        <f t="shared" si="130"/>
        <v>0.47767812902586465</v>
      </c>
      <c r="Z65" s="261">
        <f t="shared" si="130"/>
        <v>0.36576447329285999</v>
      </c>
      <c r="AA65" s="261">
        <f t="shared" si="130"/>
        <v>0.45026048611065944</v>
      </c>
      <c r="AB65" s="261">
        <f t="shared" ref="AB65" si="131">IF(ISERR(AB17/AB$12),"-",AB17/AB$12)</f>
        <v>0.41983374070515095</v>
      </c>
      <c r="AC65" s="261">
        <f t="shared" si="130"/>
        <v>0.45767812902586463</v>
      </c>
      <c r="AD65" s="261">
        <f t="shared" si="130"/>
        <v>0.38522791931378209</v>
      </c>
      <c r="AE65" s="261">
        <f t="shared" si="130"/>
        <v>0.43026048611065937</v>
      </c>
      <c r="AF65" s="261">
        <f t="shared" si="130"/>
        <v>0.39983374070515093</v>
      </c>
      <c r="AG65" s="261">
        <f t="shared" si="130"/>
        <v>0.43767812902586462</v>
      </c>
      <c r="AH65" s="261">
        <f t="shared" si="130"/>
        <v>0.37522791931378208</v>
      </c>
      <c r="AI65" s="261">
        <f t="shared" si="130"/>
        <v>0.42026048611065941</v>
      </c>
      <c r="AJ65" s="261">
        <f t="shared" si="130"/>
        <v>0.38983374070515092</v>
      </c>
      <c r="AK65" s="261">
        <f t="shared" si="130"/>
        <v>0.42767812902586455</v>
      </c>
      <c r="AL65" s="261">
        <f t="shared" si="130"/>
        <v>0.36522791931378207</v>
      </c>
      <c r="AM65" s="261"/>
      <c r="AN65" s="261" t="str">
        <f t="shared" ref="AN65:BC65" si="132">IF(ISERR(AN17/AN$12),"-",AN17/AN$12)</f>
        <v>-</v>
      </c>
      <c r="AO65" s="261" t="str">
        <f t="shared" si="132"/>
        <v>-</v>
      </c>
      <c r="AP65" s="261" t="str">
        <f t="shared" si="132"/>
        <v>-</v>
      </c>
      <c r="AQ65" s="261" t="str">
        <f t="shared" si="132"/>
        <v>-</v>
      </c>
      <c r="AR65" s="261" t="str">
        <f t="shared" si="132"/>
        <v>-</v>
      </c>
      <c r="AS65" s="261" t="str">
        <f t="shared" si="132"/>
        <v>-</v>
      </c>
      <c r="AT65" s="261" t="str">
        <f t="shared" si="132"/>
        <v>-</v>
      </c>
      <c r="AU65" s="261" t="str">
        <f t="shared" si="132"/>
        <v>-</v>
      </c>
      <c r="AV65" s="261" t="str">
        <f t="shared" si="132"/>
        <v>-</v>
      </c>
      <c r="AW65" s="261" t="str">
        <f t="shared" si="132"/>
        <v>-</v>
      </c>
      <c r="AX65" s="261" t="str">
        <f t="shared" si="132"/>
        <v>-</v>
      </c>
      <c r="AY65" s="261" t="str">
        <f t="shared" si="132"/>
        <v>-</v>
      </c>
      <c r="AZ65" s="261" t="str">
        <f t="shared" si="132"/>
        <v>-</v>
      </c>
      <c r="BA65" s="261" t="str">
        <f t="shared" si="132"/>
        <v>-</v>
      </c>
      <c r="BB65" s="261" t="str">
        <f t="shared" si="132"/>
        <v>-</v>
      </c>
      <c r="BC65" s="261" t="str">
        <f t="shared" si="132"/>
        <v>-</v>
      </c>
      <c r="BD65" s="261"/>
      <c r="BE65" s="261">
        <f t="shared" ref="BE65:BS65" si="133">IF(ISERR(BE17/BE$12),"-",BE17/BE$12)</f>
        <v>0.66033240066045107</v>
      </c>
      <c r="BF65" s="261">
        <f t="shared" si="133"/>
        <v>0.62417468551174238</v>
      </c>
      <c r="BG65" s="261">
        <f t="shared" si="133"/>
        <v>0.57227909504287433</v>
      </c>
      <c r="BH65" s="261">
        <f t="shared" si="133"/>
        <v>0.45088949273439405</v>
      </c>
      <c r="BI65" s="261">
        <f t="shared" si="133"/>
        <v>0.44602529668773089</v>
      </c>
      <c r="BJ65" s="261">
        <f t="shared" si="133"/>
        <v>0.43041484560002718</v>
      </c>
      <c r="BK65" s="261">
        <f t="shared" si="133"/>
        <v>0.41280173866260467</v>
      </c>
      <c r="BL65" s="261">
        <f t="shared" si="133"/>
        <v>0.40276248774963036</v>
      </c>
      <c r="BM65" s="261">
        <f t="shared" si="133"/>
        <v>0.39977630018837867</v>
      </c>
      <c r="BN65" s="261">
        <f t="shared" si="133"/>
        <v>0.39677518168932058</v>
      </c>
      <c r="BO65" s="261">
        <f t="shared" si="133"/>
        <v>0.39375905759776719</v>
      </c>
      <c r="BP65" s="261">
        <f t="shared" si="133"/>
        <v>0.39072785288575612</v>
      </c>
      <c r="BQ65" s="261">
        <f t="shared" si="133"/>
        <v>0.38768149215018483</v>
      </c>
      <c r="BR65" s="261">
        <f t="shared" si="133"/>
        <v>0.38461989961093596</v>
      </c>
      <c r="BS65" s="261">
        <f t="shared" si="133"/>
        <v>0.3815429991089907</v>
      </c>
      <c r="BT65" s="203"/>
      <c r="BU65" s="203"/>
    </row>
    <row r="66" spans="1:73" ht="12.75" customHeight="1" x14ac:dyDescent="0.35">
      <c r="A66" s="144" t="s">
        <v>165</v>
      </c>
      <c r="B66" s="147"/>
      <c r="C66" s="197" t="s">
        <v>166</v>
      </c>
      <c r="D66" s="147"/>
      <c r="E66" s="147"/>
      <c r="F66" s="197"/>
      <c r="G66" s="197"/>
      <c r="H66" s="197"/>
      <c r="I66" s="261">
        <f t="shared" ref="I66:AL66" si="134">IF(ISERR(I24/I$12),"-",I24/I$12)</f>
        <v>0.35995715485047619</v>
      </c>
      <c r="J66" s="261">
        <f t="shared" si="134"/>
        <v>0.21137942441283494</v>
      </c>
      <c r="K66" s="261">
        <f t="shared" si="134"/>
        <v>0.27411830565403994</v>
      </c>
      <c r="L66" s="261">
        <f t="shared" si="134"/>
        <v>0.26376414324040592</v>
      </c>
      <c r="M66" s="261">
        <f t="shared" si="134"/>
        <v>0.38807091346153844</v>
      </c>
      <c r="N66" s="261">
        <f t="shared" si="134"/>
        <v>0.24707742554239354</v>
      </c>
      <c r="O66" s="261">
        <f t="shared" si="134"/>
        <v>0.34897576916945638</v>
      </c>
      <c r="P66" s="261">
        <f t="shared" si="134"/>
        <v>0.30085991074344182</v>
      </c>
      <c r="Q66" s="261">
        <f t="shared" si="134"/>
        <v>0.3130991954521366</v>
      </c>
      <c r="R66" s="261">
        <f t="shared" si="134"/>
        <v>0.14888910417877671</v>
      </c>
      <c r="S66" s="261">
        <f t="shared" si="134"/>
        <v>9.9110232328225412E-2</v>
      </c>
      <c r="T66" s="261">
        <f t="shared" si="134"/>
        <v>0.15855921454408795</v>
      </c>
      <c r="U66" s="261">
        <f t="shared" si="134"/>
        <v>0.22849980388478658</v>
      </c>
      <c r="V66" s="261">
        <f t="shared" si="134"/>
        <v>9.3745320755524178E-2</v>
      </c>
      <c r="W66" s="261">
        <f t="shared" si="134"/>
        <v>0.21209668998642581</v>
      </c>
      <c r="X66" s="261">
        <f t="shared" si="134"/>
        <v>0.17110160733340615</v>
      </c>
      <c r="Y66" s="261">
        <f t="shared" si="134"/>
        <v>0.24502031513229611</v>
      </c>
      <c r="Z66" s="261">
        <f t="shared" si="134"/>
        <v>6.2380810749339537E-2</v>
      </c>
      <c r="AA66" s="261">
        <f t="shared" si="134"/>
        <v>0.2257221091244935</v>
      </c>
      <c r="AB66" s="261">
        <f t="shared" ref="AB66" si="135">IF(ISERR(AB24/AB$12),"-",AB24/AB$12)</f>
        <v>8.7927821022965452E-2</v>
      </c>
      <c r="AC66" s="261">
        <f t="shared" si="134"/>
        <v>0.22234032475460275</v>
      </c>
      <c r="AD66" s="261">
        <f t="shared" si="134"/>
        <v>8.2758722071227808E-2</v>
      </c>
      <c r="AE66" s="261">
        <f t="shared" si="134"/>
        <v>0.20322742842213495</v>
      </c>
      <c r="AF66" s="261">
        <f t="shared" si="134"/>
        <v>6.3163248694557514E-2</v>
      </c>
      <c r="AG66" s="261">
        <f t="shared" si="134"/>
        <v>0.19842065973445816</v>
      </c>
      <c r="AH66" s="261">
        <f t="shared" si="134"/>
        <v>6.9110088669159075E-2</v>
      </c>
      <c r="AI66" s="261">
        <f t="shared" si="134"/>
        <v>0.18936610692641825</v>
      </c>
      <c r="AJ66" s="261">
        <f t="shared" si="134"/>
        <v>4.6507768705520543E-2</v>
      </c>
      <c r="AK66" s="261">
        <f t="shared" si="134"/>
        <v>0.1832666208138172</v>
      </c>
      <c r="AL66" s="261">
        <f t="shared" si="134"/>
        <v>5.4113201857291043E-2</v>
      </c>
      <c r="AM66" s="261"/>
      <c r="AN66" s="261" t="str">
        <f t="shared" ref="AN66:BC66" si="136">IF(ISERR(AN24/AN$12),"-",AN24/AN$12)</f>
        <v>-</v>
      </c>
      <c r="AO66" s="261" t="str">
        <f t="shared" si="136"/>
        <v>-</v>
      </c>
      <c r="AP66" s="261" t="str">
        <f t="shared" si="136"/>
        <v>-</v>
      </c>
      <c r="AQ66" s="261" t="str">
        <f t="shared" si="136"/>
        <v>-</v>
      </c>
      <c r="AR66" s="261" t="str">
        <f t="shared" si="136"/>
        <v>-</v>
      </c>
      <c r="AS66" s="261" t="str">
        <f t="shared" si="136"/>
        <v>-</v>
      </c>
      <c r="AT66" s="261" t="str">
        <f t="shared" si="136"/>
        <v>-</v>
      </c>
      <c r="AU66" s="261" t="str">
        <f t="shared" si="136"/>
        <v>-</v>
      </c>
      <c r="AV66" s="261" t="str">
        <f t="shared" si="136"/>
        <v>-</v>
      </c>
      <c r="AW66" s="261" t="str">
        <f t="shared" si="136"/>
        <v>-</v>
      </c>
      <c r="AX66" s="261" t="str">
        <f t="shared" si="136"/>
        <v>-</v>
      </c>
      <c r="AY66" s="261" t="str">
        <f t="shared" si="136"/>
        <v>-</v>
      </c>
      <c r="AZ66" s="261" t="str">
        <f t="shared" si="136"/>
        <v>-</v>
      </c>
      <c r="BA66" s="261" t="str">
        <f t="shared" si="136"/>
        <v>-</v>
      </c>
      <c r="BB66" s="261" t="str">
        <f t="shared" si="136"/>
        <v>-</v>
      </c>
      <c r="BC66" s="261" t="str">
        <f t="shared" si="136"/>
        <v>-</v>
      </c>
      <c r="BD66" s="261"/>
      <c r="BE66" s="261">
        <f t="shared" ref="BE66:BS66" si="137">IF(ISERR(BE24/BE$12),"-",BE24/BE$12)</f>
        <v>0.28773123201803386</v>
      </c>
      <c r="BF66" s="261">
        <f t="shared" si="137"/>
        <v>0.30362095872321876</v>
      </c>
      <c r="BG66" s="261">
        <f t="shared" si="137"/>
        <v>0.27696131316279476</v>
      </c>
      <c r="BH66" s="261">
        <f t="shared" si="137"/>
        <v>0.1514791266412627</v>
      </c>
      <c r="BI66" s="261">
        <f t="shared" si="137"/>
        <v>0.17937615629248732</v>
      </c>
      <c r="BJ66" s="261">
        <f t="shared" si="137"/>
        <v>0.15960891465137259</v>
      </c>
      <c r="BK66" s="261">
        <f t="shared" si="137"/>
        <v>0.13790418456539796</v>
      </c>
      <c r="BL66" s="261">
        <f t="shared" si="137"/>
        <v>0.12248329084947088</v>
      </c>
      <c r="BM66" s="261">
        <f t="shared" si="137"/>
        <v>0.12164511581652018</v>
      </c>
      <c r="BN66" s="261">
        <f t="shared" si="137"/>
        <v>0.12017638001254451</v>
      </c>
      <c r="BO66" s="261">
        <f t="shared" si="137"/>
        <v>0.11826756488238672</v>
      </c>
      <c r="BP66" s="261">
        <f t="shared" si="137"/>
        <v>0.11605432741426527</v>
      </c>
      <c r="BQ66" s="261">
        <f t="shared" si="137"/>
        <v>0.11362861012550836</v>
      </c>
      <c r="BR66" s="261">
        <f t="shared" si="137"/>
        <v>0.11105261923887791</v>
      </c>
      <c r="BS66" s="261">
        <f t="shared" si="137"/>
        <v>0.10836562216636592</v>
      </c>
      <c r="BT66" s="203"/>
      <c r="BU66" s="203"/>
    </row>
    <row r="67" spans="1:73" ht="12.75" customHeight="1" x14ac:dyDescent="0.35">
      <c r="A67" s="144" t="s">
        <v>167</v>
      </c>
      <c r="B67" s="147"/>
      <c r="C67" s="197" t="s">
        <v>168</v>
      </c>
      <c r="D67" s="147"/>
      <c r="E67" s="147"/>
      <c r="F67" s="197"/>
      <c r="G67" s="197"/>
      <c r="H67" s="197"/>
      <c r="I67" s="261">
        <f t="shared" ref="I67:AL67" si="138">IF(ISERR(I35/I$12),"-",I35/I$12)</f>
        <v>0.47795501259300005</v>
      </c>
      <c r="J67" s="261">
        <f t="shared" si="138"/>
        <v>0.32463612305656631</v>
      </c>
      <c r="K67" s="261">
        <f t="shared" si="138"/>
        <v>0.33280462772905395</v>
      </c>
      <c r="L67" s="261">
        <f t="shared" si="138"/>
        <v>0.28181500058322639</v>
      </c>
      <c r="M67" s="261">
        <f t="shared" si="138"/>
        <v>0.44724684495192307</v>
      </c>
      <c r="N67" s="261">
        <f t="shared" si="138"/>
        <v>0.4108193576816403</v>
      </c>
      <c r="O67" s="261">
        <f t="shared" si="138"/>
        <v>0.39996811732823212</v>
      </c>
      <c r="P67" s="261">
        <f t="shared" si="138"/>
        <v>0.38113638837487757</v>
      </c>
      <c r="Q67" s="261">
        <f t="shared" si="138"/>
        <v>0.58350195114900993</v>
      </c>
      <c r="R67" s="261">
        <f t="shared" si="138"/>
        <v>0.1755958147645805</v>
      </c>
      <c r="S67" s="261">
        <f t="shared" si="138"/>
        <v>0.17263964409293128</v>
      </c>
      <c r="T67" s="261">
        <f t="shared" si="138"/>
        <v>0.20275285385446518</v>
      </c>
      <c r="U67" s="261">
        <f t="shared" si="138"/>
        <v>0.31899418475758456</v>
      </c>
      <c r="V67" s="261">
        <f t="shared" si="138"/>
        <v>0.29493679009176665</v>
      </c>
      <c r="W67" s="261">
        <f t="shared" si="138"/>
        <v>0.22029341129790123</v>
      </c>
      <c r="X67" s="261">
        <f t="shared" si="138"/>
        <v>0.71857801826629808</v>
      </c>
      <c r="Y67" s="261">
        <f t="shared" si="138"/>
        <v>0.3491601427014171</v>
      </c>
      <c r="Z67" s="261">
        <f t="shared" si="138"/>
        <v>-4.977518064279091E-3</v>
      </c>
      <c r="AA67" s="261">
        <f t="shared" si="138"/>
        <v>0.37210814889008853</v>
      </c>
      <c r="AB67" s="261">
        <f t="shared" ref="AB67" si="139">IF(ISERR(AB35/AB$12),"-",AB35/AB$12)</f>
        <v>0.1560115826878801</v>
      </c>
      <c r="AC67" s="261">
        <f t="shared" si="138"/>
        <v>0.3045025915316541</v>
      </c>
      <c r="AD67" s="261">
        <f t="shared" si="138"/>
        <v>3.2980953495678041E-2</v>
      </c>
      <c r="AE67" s="261">
        <f t="shared" si="138"/>
        <v>0.31911784700915374</v>
      </c>
      <c r="AF67" s="261">
        <f t="shared" si="138"/>
        <v>0.11519168582564475</v>
      </c>
      <c r="AG67" s="261">
        <f t="shared" si="138"/>
        <v>0.26347090160663827</v>
      </c>
      <c r="AH67" s="261">
        <f t="shared" si="138"/>
        <v>2.886725833152522E-2</v>
      </c>
      <c r="AI67" s="261">
        <f t="shared" si="138"/>
        <v>0.2831280610324069</v>
      </c>
      <c r="AJ67" s="261">
        <f t="shared" si="138"/>
        <v>8.8070099629749571E-2</v>
      </c>
      <c r="AK67" s="261">
        <f t="shared" si="138"/>
        <v>0.23597355040862841</v>
      </c>
      <c r="AL67" s="261">
        <f t="shared" si="138"/>
        <v>2.151000459874906E-2</v>
      </c>
      <c r="AM67" s="261"/>
      <c r="AN67" s="261" t="str">
        <f t="shared" ref="AN67:BC67" si="140">IF(ISERR(AN35/AN$12),"-",AN35/AN$12)</f>
        <v>-</v>
      </c>
      <c r="AO67" s="261" t="str">
        <f t="shared" si="140"/>
        <v>-</v>
      </c>
      <c r="AP67" s="261" t="str">
        <f t="shared" si="140"/>
        <v>-</v>
      </c>
      <c r="AQ67" s="261" t="str">
        <f t="shared" si="140"/>
        <v>-</v>
      </c>
      <c r="AR67" s="261" t="str">
        <f t="shared" si="140"/>
        <v>-</v>
      </c>
      <c r="AS67" s="261" t="str">
        <f t="shared" si="140"/>
        <v>-</v>
      </c>
      <c r="AT67" s="261" t="str">
        <f t="shared" si="140"/>
        <v>-</v>
      </c>
      <c r="AU67" s="261" t="str">
        <f t="shared" si="140"/>
        <v>-</v>
      </c>
      <c r="AV67" s="261" t="str">
        <f t="shared" si="140"/>
        <v>-</v>
      </c>
      <c r="AW67" s="261" t="str">
        <f t="shared" si="140"/>
        <v>-</v>
      </c>
      <c r="AX67" s="261" t="str">
        <f t="shared" si="140"/>
        <v>-</v>
      </c>
      <c r="AY67" s="261" t="str">
        <f t="shared" si="140"/>
        <v>-</v>
      </c>
      <c r="AZ67" s="261" t="str">
        <f t="shared" si="140"/>
        <v>-</v>
      </c>
      <c r="BA67" s="261" t="str">
        <f t="shared" si="140"/>
        <v>-</v>
      </c>
      <c r="BB67" s="261" t="str">
        <f t="shared" si="140"/>
        <v>-</v>
      </c>
      <c r="BC67" s="261" t="str">
        <f t="shared" si="140"/>
        <v>-</v>
      </c>
      <c r="BD67" s="261"/>
      <c r="BE67" s="261">
        <f t="shared" ref="BE67:BS67" si="141">IF(ISERR(BE35/BE$12),"-",BE35/BE$12)</f>
        <v>0.80547343859683818</v>
      </c>
      <c r="BF67" s="261">
        <f t="shared" si="141"/>
        <v>0.37927505007171153</v>
      </c>
      <c r="BG67" s="261">
        <f t="shared" si="141"/>
        <v>0.40118513901209113</v>
      </c>
      <c r="BH67" s="261">
        <f t="shared" si="141"/>
        <v>0.25533377206483321</v>
      </c>
      <c r="BI67" s="261">
        <f t="shared" si="141"/>
        <v>0.32694016805601606</v>
      </c>
      <c r="BJ67" s="261">
        <f t="shared" si="141"/>
        <v>0.22273627563700113</v>
      </c>
      <c r="BK67" s="261">
        <f t="shared" si="141"/>
        <v>0.1877050451583441</v>
      </c>
      <c r="BL67" s="261">
        <f t="shared" si="141"/>
        <v>0.16268227316195533</v>
      </c>
      <c r="BM67" s="261">
        <f t="shared" si="141"/>
        <v>0.15458654087641938</v>
      </c>
      <c r="BN67" s="261">
        <f t="shared" si="141"/>
        <v>0.14791176029668793</v>
      </c>
      <c r="BO67" s="261">
        <f t="shared" si="141"/>
        <v>0.14220104860811419</v>
      </c>
      <c r="BP67" s="261">
        <f t="shared" si="141"/>
        <v>0.13713257329215192</v>
      </c>
      <c r="BQ67" s="261">
        <f t="shared" si="141"/>
        <v>0.13248990805417793</v>
      </c>
      <c r="BR67" s="261">
        <f t="shared" si="141"/>
        <v>0.12812784451632919</v>
      </c>
      <c r="BS67" s="261">
        <f t="shared" si="141"/>
        <v>0.1239542982841921</v>
      </c>
      <c r="BT67" s="203"/>
      <c r="BU67" s="203"/>
    </row>
    <row r="68" spans="1:73" ht="12.75" customHeight="1" x14ac:dyDescent="0.35">
      <c r="A68" s="144" t="s">
        <v>169</v>
      </c>
      <c r="B68" s="147"/>
      <c r="C68" s="197" t="s">
        <v>170</v>
      </c>
      <c r="D68" s="147"/>
      <c r="E68" s="147"/>
      <c r="F68" s="197"/>
      <c r="G68" s="197"/>
      <c r="H68" s="197"/>
      <c r="I68" s="261">
        <f t="shared" ref="I68:AL68" si="142">IF(ISERR(I41/I$12),"-",I41/I$12)</f>
        <v>0.36180991807312624</v>
      </c>
      <c r="J68" s="261">
        <f t="shared" si="142"/>
        <v>0.22184088653655309</v>
      </c>
      <c r="K68" s="261">
        <f t="shared" si="142"/>
        <v>0.23480748895938297</v>
      </c>
      <c r="L68" s="261">
        <f t="shared" si="142"/>
        <v>0.22229674559664062</v>
      </c>
      <c r="M68" s="261">
        <f t="shared" si="142"/>
        <v>0.33531775841346156</v>
      </c>
      <c r="N68" s="261">
        <f t="shared" si="142"/>
        <v>0.27597915964643976</v>
      </c>
      <c r="O68" s="261">
        <f t="shared" si="142"/>
        <v>0.29258329347999362</v>
      </c>
      <c r="P68" s="261">
        <f t="shared" si="142"/>
        <v>0.32052538006603531</v>
      </c>
      <c r="Q68" s="261">
        <f t="shared" si="142"/>
        <v>0.28993833405598113</v>
      </c>
      <c r="R68" s="261">
        <f t="shared" si="142"/>
        <v>0.12382936123490279</v>
      </c>
      <c r="S68" s="261">
        <f t="shared" si="142"/>
        <v>0.10776075135936727</v>
      </c>
      <c r="T68" s="261">
        <f t="shared" si="142"/>
        <v>0.23644712735472354</v>
      </c>
      <c r="U68" s="261">
        <f t="shared" si="142"/>
        <v>0.28240590733129828</v>
      </c>
      <c r="V68" s="261">
        <f t="shared" si="142"/>
        <v>0.27715031337568719</v>
      </c>
      <c r="W68" s="261">
        <f t="shared" si="142"/>
        <v>0.18662768438272251</v>
      </c>
      <c r="X68" s="261">
        <f t="shared" si="142"/>
        <v>0.60992127175109434</v>
      </c>
      <c r="Y68" s="261">
        <f t="shared" si="142"/>
        <v>0.32314686354176991</v>
      </c>
      <c r="Z68" s="261">
        <f t="shared" si="142"/>
        <v>2.816802841296779E-2</v>
      </c>
      <c r="AA68" s="261">
        <f t="shared" si="142"/>
        <v>0.30915571280837195</v>
      </c>
      <c r="AB68" s="261">
        <f t="shared" ref="AB68" si="143">IF(ISERR(AB41/AB$12),"-",AB41/AB$12)</f>
        <v>0.18622588821029415</v>
      </c>
      <c r="AC68" s="261">
        <f t="shared" si="142"/>
        <v>0.27938487238267529</v>
      </c>
      <c r="AD68" s="261">
        <f t="shared" si="142"/>
        <v>6.9517439166041001E-2</v>
      </c>
      <c r="AE68" s="261">
        <f t="shared" si="142"/>
        <v>0.26740380470765834</v>
      </c>
      <c r="AF68" s="261">
        <f t="shared" si="142"/>
        <v>0.13042023344593948</v>
      </c>
      <c r="AG68" s="261">
        <f t="shared" si="142"/>
        <v>0.24022636768336952</v>
      </c>
      <c r="AH68" s="261">
        <f t="shared" si="142"/>
        <v>5.8074603643692088E-2</v>
      </c>
      <c r="AI68" s="261">
        <f t="shared" si="142"/>
        <v>0.23754692315682902</v>
      </c>
      <c r="AJ68" s="261">
        <f t="shared" si="142"/>
        <v>0.10082767550429013</v>
      </c>
      <c r="AK68" s="261">
        <f t="shared" si="142"/>
        <v>0.21376522171347967</v>
      </c>
      <c r="AL68" s="261">
        <f t="shared" si="142"/>
        <v>4.5454246351542403E-2</v>
      </c>
      <c r="AM68" s="261"/>
      <c r="AN68" s="261" t="str">
        <f t="shared" ref="AN68:BC68" si="144">IF(ISERR(AN41/AN$12),"-",AN41/AN$12)</f>
        <v>-</v>
      </c>
      <c r="AO68" s="261" t="str">
        <f t="shared" si="144"/>
        <v>-</v>
      </c>
      <c r="AP68" s="261" t="str">
        <f t="shared" si="144"/>
        <v>-</v>
      </c>
      <c r="AQ68" s="261" t="str">
        <f t="shared" si="144"/>
        <v>-</v>
      </c>
      <c r="AR68" s="261" t="str">
        <f t="shared" si="144"/>
        <v>-</v>
      </c>
      <c r="AS68" s="261" t="str">
        <f t="shared" si="144"/>
        <v>-</v>
      </c>
      <c r="AT68" s="261" t="str">
        <f t="shared" si="144"/>
        <v>-</v>
      </c>
      <c r="AU68" s="261" t="str">
        <f t="shared" si="144"/>
        <v>-</v>
      </c>
      <c r="AV68" s="261" t="str">
        <f t="shared" si="144"/>
        <v>-</v>
      </c>
      <c r="AW68" s="261" t="str">
        <f t="shared" si="144"/>
        <v>-</v>
      </c>
      <c r="AX68" s="261" t="str">
        <f t="shared" si="144"/>
        <v>-</v>
      </c>
      <c r="AY68" s="261" t="str">
        <f t="shared" si="144"/>
        <v>-</v>
      </c>
      <c r="AZ68" s="261" t="str">
        <f t="shared" si="144"/>
        <v>-</v>
      </c>
      <c r="BA68" s="261" t="str">
        <f t="shared" si="144"/>
        <v>-</v>
      </c>
      <c r="BB68" s="261" t="str">
        <f t="shared" si="144"/>
        <v>-</v>
      </c>
      <c r="BC68" s="261" t="str">
        <f t="shared" si="144"/>
        <v>-</v>
      </c>
      <c r="BD68" s="261"/>
      <c r="BE68" s="261">
        <f t="shared" ref="BE68:BS68" si="145">IF(ISERR(BE41/BE$12),"-",BE41/BE$12)</f>
        <v>0.70652442581295793</v>
      </c>
      <c r="BF68" s="261">
        <f t="shared" si="145"/>
        <v>0.275947255691116</v>
      </c>
      <c r="BG68" s="261">
        <f t="shared" si="145"/>
        <v>0.256099510121231</v>
      </c>
      <c r="BH68" s="261">
        <f t="shared" si="145"/>
        <v>0.233215866512403</v>
      </c>
      <c r="BI68" s="261">
        <f t="shared" si="145"/>
        <v>0.29317201316039876</v>
      </c>
      <c r="BJ68" s="261">
        <f t="shared" si="145"/>
        <v>0.21602744478260888</v>
      </c>
      <c r="BK68" s="261">
        <f t="shared" si="145"/>
        <v>0.17899946564637831</v>
      </c>
      <c r="BL68" s="261">
        <f t="shared" si="145"/>
        <v>0.15398000890143593</v>
      </c>
      <c r="BM68" s="261">
        <f t="shared" si="145"/>
        <v>0.14440904916937947</v>
      </c>
      <c r="BN68" s="261">
        <f t="shared" si="145"/>
        <v>0.13681674592774082</v>
      </c>
      <c r="BO68" s="261">
        <f t="shared" si="145"/>
        <v>0.13057614809787502</v>
      </c>
      <c r="BP68" s="261">
        <f t="shared" si="145"/>
        <v>0.12524374413946257</v>
      </c>
      <c r="BQ68" s="261">
        <f t="shared" si="145"/>
        <v>0.12052035345919954</v>
      </c>
      <c r="BR68" s="261">
        <f t="shared" si="145"/>
        <v>0.11620456387711299</v>
      </c>
      <c r="BS68" s="261">
        <f t="shared" si="145"/>
        <v>0.11216884045901092</v>
      </c>
      <c r="BT68" s="203"/>
      <c r="BU68" s="203"/>
    </row>
    <row r="69" spans="1:73" ht="12.75" customHeight="1" x14ac:dyDescent="0.35">
      <c r="A69" s="200"/>
      <c r="B69" s="263" t="s">
        <v>171</v>
      </c>
      <c r="C69" s="263"/>
      <c r="D69" s="263"/>
      <c r="E69" s="263"/>
      <c r="F69" s="263"/>
      <c r="G69" s="263"/>
      <c r="H69" s="263"/>
      <c r="I69" s="263"/>
      <c r="J69" s="263"/>
      <c r="K69" s="263"/>
      <c r="L69" s="263"/>
      <c r="M69" s="263"/>
      <c r="N69" s="263"/>
      <c r="O69" s="263"/>
      <c r="P69" s="263"/>
      <c r="Q69" s="263"/>
      <c r="R69" s="263"/>
      <c r="S69" s="263"/>
      <c r="T69" s="263"/>
      <c r="U69" s="263"/>
      <c r="V69" s="263"/>
      <c r="W69" s="263"/>
      <c r="X69" s="263"/>
      <c r="Y69" s="263"/>
      <c r="Z69" s="263"/>
      <c r="AA69" s="263"/>
      <c r="AB69" s="263"/>
      <c r="AC69" s="263"/>
      <c r="AD69" s="263"/>
      <c r="AE69" s="263"/>
      <c r="AF69" s="263"/>
      <c r="AG69" s="263"/>
      <c r="AH69" s="263"/>
      <c r="AI69" s="263"/>
      <c r="AJ69" s="263"/>
      <c r="AK69" s="263"/>
      <c r="AL69" s="263"/>
      <c r="AM69" s="263"/>
      <c r="AN69" s="263"/>
      <c r="AO69" s="263"/>
      <c r="AP69" s="263"/>
      <c r="AQ69" s="263"/>
      <c r="AR69" s="263"/>
      <c r="AS69" s="263"/>
      <c r="AT69" s="263"/>
      <c r="AU69" s="263"/>
      <c r="AV69" s="263"/>
      <c r="AW69" s="263"/>
      <c r="AX69" s="263"/>
      <c r="AY69" s="263"/>
      <c r="AZ69" s="263"/>
      <c r="BA69" s="263"/>
      <c r="BB69" s="263"/>
      <c r="BC69" s="263"/>
      <c r="BD69" s="263"/>
      <c r="BE69" s="263"/>
      <c r="BF69" s="263"/>
      <c r="BG69" s="263"/>
      <c r="BH69" s="263"/>
      <c r="BI69" s="263"/>
      <c r="BJ69" s="263"/>
      <c r="BK69" s="263"/>
      <c r="BL69" s="263"/>
      <c r="BM69" s="263"/>
      <c r="BN69" s="263"/>
      <c r="BO69" s="263"/>
      <c r="BP69" s="263"/>
      <c r="BQ69" s="263"/>
      <c r="BR69" s="263"/>
      <c r="BS69" s="263"/>
      <c r="BT69" s="203"/>
      <c r="BU69" s="203"/>
    </row>
    <row r="70" spans="1:73" ht="12.75" customHeight="1" x14ac:dyDescent="0.35">
      <c r="A70" s="200"/>
      <c r="B70" s="264" t="s">
        <v>16</v>
      </c>
      <c r="C70" s="264"/>
      <c r="D70" s="264"/>
      <c r="E70" s="264"/>
      <c r="F70" s="204"/>
      <c r="G70" s="204"/>
      <c r="H70" s="204"/>
      <c r="I70" s="265">
        <f t="shared" ref="I70:AL70" si="146">IF(ISERR(I12/I$12),"-",I12/I$12)</f>
        <v>1</v>
      </c>
      <c r="J70" s="265">
        <f t="shared" si="146"/>
        <v>1</v>
      </c>
      <c r="K70" s="265">
        <f t="shared" si="146"/>
        <v>1</v>
      </c>
      <c r="L70" s="265">
        <f t="shared" si="146"/>
        <v>1</v>
      </c>
      <c r="M70" s="265">
        <f t="shared" si="146"/>
        <v>1</v>
      </c>
      <c r="N70" s="265">
        <f t="shared" si="146"/>
        <v>1</v>
      </c>
      <c r="O70" s="265">
        <f t="shared" si="146"/>
        <v>1</v>
      </c>
      <c r="P70" s="265">
        <f t="shared" si="146"/>
        <v>1</v>
      </c>
      <c r="Q70" s="265">
        <f t="shared" si="146"/>
        <v>1</v>
      </c>
      <c r="R70" s="265">
        <f t="shared" si="146"/>
        <v>1</v>
      </c>
      <c r="S70" s="265">
        <f t="shared" si="146"/>
        <v>1</v>
      </c>
      <c r="T70" s="265">
        <f t="shared" si="146"/>
        <v>1</v>
      </c>
      <c r="U70" s="265">
        <f t="shared" si="146"/>
        <v>1</v>
      </c>
      <c r="V70" s="265">
        <f t="shared" si="146"/>
        <v>1</v>
      </c>
      <c r="W70" s="265">
        <f t="shared" si="146"/>
        <v>1</v>
      </c>
      <c r="X70" s="265">
        <f t="shared" si="146"/>
        <v>1</v>
      </c>
      <c r="Y70" s="265">
        <f t="shared" si="146"/>
        <v>1</v>
      </c>
      <c r="Z70" s="265">
        <f t="shared" si="146"/>
        <v>1</v>
      </c>
      <c r="AA70" s="265">
        <f t="shared" si="146"/>
        <v>1</v>
      </c>
      <c r="AB70" s="265">
        <f t="shared" ref="AB70" si="147">IF(ISERR(AB12/AB$12),"-",AB12/AB$12)</f>
        <v>1</v>
      </c>
      <c r="AC70" s="265">
        <f t="shared" si="146"/>
        <v>1</v>
      </c>
      <c r="AD70" s="265">
        <f t="shared" si="146"/>
        <v>1</v>
      </c>
      <c r="AE70" s="265">
        <f t="shared" si="146"/>
        <v>1</v>
      </c>
      <c r="AF70" s="265">
        <f t="shared" si="146"/>
        <v>1</v>
      </c>
      <c r="AG70" s="265">
        <f t="shared" si="146"/>
        <v>1</v>
      </c>
      <c r="AH70" s="265">
        <f t="shared" si="146"/>
        <v>1</v>
      </c>
      <c r="AI70" s="265">
        <f t="shared" si="146"/>
        <v>1</v>
      </c>
      <c r="AJ70" s="265">
        <f t="shared" si="146"/>
        <v>1</v>
      </c>
      <c r="AK70" s="265">
        <f t="shared" si="146"/>
        <v>1</v>
      </c>
      <c r="AL70" s="265">
        <f t="shared" si="146"/>
        <v>1</v>
      </c>
      <c r="AM70" s="265"/>
      <c r="AN70" s="265" t="str">
        <f t="shared" ref="AN70:BC70" si="148">IF(ISERR(AN12/AN$12),"-",AN12/AN$12)</f>
        <v>-</v>
      </c>
      <c r="AO70" s="265" t="str">
        <f t="shared" si="148"/>
        <v>-</v>
      </c>
      <c r="AP70" s="265" t="str">
        <f t="shared" si="148"/>
        <v>-</v>
      </c>
      <c r="AQ70" s="265" t="str">
        <f t="shared" si="148"/>
        <v>-</v>
      </c>
      <c r="AR70" s="265" t="str">
        <f t="shared" si="148"/>
        <v>-</v>
      </c>
      <c r="AS70" s="265" t="str">
        <f t="shared" si="148"/>
        <v>-</v>
      </c>
      <c r="AT70" s="265" t="str">
        <f t="shared" si="148"/>
        <v>-</v>
      </c>
      <c r="AU70" s="265" t="str">
        <f t="shared" si="148"/>
        <v>-</v>
      </c>
      <c r="AV70" s="265" t="str">
        <f t="shared" si="148"/>
        <v>-</v>
      </c>
      <c r="AW70" s="265" t="str">
        <f t="shared" si="148"/>
        <v>-</v>
      </c>
      <c r="AX70" s="265">
        <f t="shared" si="148"/>
        <v>1</v>
      </c>
      <c r="AY70" s="265">
        <f t="shared" si="148"/>
        <v>1</v>
      </c>
      <c r="AZ70" s="265">
        <f t="shared" si="148"/>
        <v>1</v>
      </c>
      <c r="BA70" s="265">
        <f t="shared" si="148"/>
        <v>1</v>
      </c>
      <c r="BB70" s="265">
        <f t="shared" si="148"/>
        <v>1</v>
      </c>
      <c r="BC70" s="265">
        <f t="shared" si="148"/>
        <v>1</v>
      </c>
      <c r="BD70" s="266"/>
      <c r="BE70" s="265">
        <f t="shared" ref="BE70:BS70" si="149">IF(ISERR(BE12/BE12),"-",BE12/BE12)</f>
        <v>1</v>
      </c>
      <c r="BF70" s="265">
        <f t="shared" si="149"/>
        <v>1</v>
      </c>
      <c r="BG70" s="265">
        <f t="shared" si="149"/>
        <v>1</v>
      </c>
      <c r="BH70" s="265">
        <f t="shared" si="149"/>
        <v>1</v>
      </c>
      <c r="BI70" s="265">
        <f t="shared" si="149"/>
        <v>1</v>
      </c>
      <c r="BJ70" s="265">
        <f t="shared" si="149"/>
        <v>1</v>
      </c>
      <c r="BK70" s="265">
        <f t="shared" si="149"/>
        <v>1</v>
      </c>
      <c r="BL70" s="265">
        <f t="shared" si="149"/>
        <v>1</v>
      </c>
      <c r="BM70" s="265">
        <f t="shared" si="149"/>
        <v>1</v>
      </c>
      <c r="BN70" s="265">
        <f t="shared" si="149"/>
        <v>1</v>
      </c>
      <c r="BO70" s="265">
        <f t="shared" si="149"/>
        <v>1</v>
      </c>
      <c r="BP70" s="265">
        <f t="shared" si="149"/>
        <v>1</v>
      </c>
      <c r="BQ70" s="265">
        <f t="shared" si="149"/>
        <v>1</v>
      </c>
      <c r="BR70" s="265">
        <f t="shared" si="149"/>
        <v>1</v>
      </c>
      <c r="BS70" s="265">
        <f t="shared" si="149"/>
        <v>1</v>
      </c>
      <c r="BT70" s="203"/>
      <c r="BU70" s="203"/>
    </row>
    <row r="71" spans="1:73" ht="12.75" customHeight="1" x14ac:dyDescent="0.35">
      <c r="A71" s="200"/>
      <c r="B71" s="267"/>
      <c r="C71" s="267" t="s">
        <v>172</v>
      </c>
      <c r="D71" s="201"/>
      <c r="E71" s="267"/>
      <c r="F71" s="204"/>
      <c r="G71" s="204"/>
      <c r="H71" s="204"/>
      <c r="I71" s="358">
        <f t="shared" ref="I71:AL71" si="150">IF(ISERR(I16/I$12),"-",I16/I$12)</f>
        <v>0.31702515705063256</v>
      </c>
      <c r="J71" s="358">
        <f t="shared" si="150"/>
        <v>0.39538537876281837</v>
      </c>
      <c r="K71" s="358">
        <f t="shared" si="150"/>
        <v>0.36524227156807865</v>
      </c>
      <c r="L71" s="358">
        <f t="shared" si="150"/>
        <v>0.38268400793187918</v>
      </c>
      <c r="M71" s="358">
        <f t="shared" si="150"/>
        <v>0.35918719951923078</v>
      </c>
      <c r="N71" s="358">
        <f t="shared" si="150"/>
        <v>0.40151377692527024</v>
      </c>
      <c r="O71" s="358">
        <f t="shared" si="150"/>
        <v>0.34791965566714489</v>
      </c>
      <c r="P71" s="358">
        <f t="shared" si="150"/>
        <v>0.3991509742026777</v>
      </c>
      <c r="Q71" s="358">
        <f t="shared" si="150"/>
        <v>0.42248398130751069</v>
      </c>
      <c r="R71" s="358">
        <f t="shared" si="150"/>
        <v>0.52483368856164825</v>
      </c>
      <c r="S71" s="358">
        <f t="shared" si="150"/>
        <v>0.54028670291646075</v>
      </c>
      <c r="T71" s="358">
        <f t="shared" si="150"/>
        <v>0.54946681072955328</v>
      </c>
      <c r="U71" s="358">
        <f t="shared" si="150"/>
        <v>0.51853715104282128</v>
      </c>
      <c r="V71" s="358">
        <f t="shared" si="150"/>
        <v>0.5947720806862179</v>
      </c>
      <c r="W71" s="358">
        <f t="shared" si="150"/>
        <v>0.52197104173192721</v>
      </c>
      <c r="X71" s="358">
        <f t="shared" si="150"/>
        <v>0.55072804725375368</v>
      </c>
      <c r="Y71" s="358">
        <f t="shared" si="150"/>
        <v>0.5223218709741354</v>
      </c>
      <c r="Z71" s="358">
        <f t="shared" si="150"/>
        <v>0.63423552670714001</v>
      </c>
      <c r="AA71" s="358">
        <f t="shared" si="150"/>
        <v>0.5497395138893405</v>
      </c>
      <c r="AB71" s="358">
        <f t="shared" ref="AB71" si="151">IF(ISERR(AB16/AB$12),"-",AB16/AB$12)</f>
        <v>0.58016625929484911</v>
      </c>
      <c r="AC71" s="358">
        <f t="shared" si="150"/>
        <v>0.54232187097413542</v>
      </c>
      <c r="AD71" s="358">
        <f t="shared" si="150"/>
        <v>0.61477208068621791</v>
      </c>
      <c r="AE71" s="358">
        <f t="shared" si="150"/>
        <v>0.56973951388934063</v>
      </c>
      <c r="AF71" s="358">
        <f t="shared" si="150"/>
        <v>0.60016625929484901</v>
      </c>
      <c r="AG71" s="358">
        <f t="shared" si="150"/>
        <v>0.56232187097413544</v>
      </c>
      <c r="AH71" s="358">
        <f t="shared" si="150"/>
        <v>0.62477208068621792</v>
      </c>
      <c r="AI71" s="358">
        <f t="shared" si="150"/>
        <v>0.57973951388934053</v>
      </c>
      <c r="AJ71" s="358">
        <f t="shared" si="150"/>
        <v>0.61016625929484902</v>
      </c>
      <c r="AK71" s="358">
        <f t="shared" si="150"/>
        <v>0.57232187097413545</v>
      </c>
      <c r="AL71" s="358">
        <f t="shared" si="150"/>
        <v>0.63477208068621793</v>
      </c>
      <c r="AM71" s="265"/>
      <c r="AN71" s="358" t="str">
        <f t="shared" ref="AN71:BC71" si="152">IF(ISERR(AN16/AN$12),"-",AN16/AN$12)</f>
        <v>-</v>
      </c>
      <c r="AO71" s="358" t="str">
        <f t="shared" si="152"/>
        <v>-</v>
      </c>
      <c r="AP71" s="358" t="str">
        <f t="shared" si="152"/>
        <v>-</v>
      </c>
      <c r="AQ71" s="358" t="str">
        <f t="shared" si="152"/>
        <v>-</v>
      </c>
      <c r="AR71" s="358" t="str">
        <f t="shared" si="152"/>
        <v>-</v>
      </c>
      <c r="AS71" s="358" t="str">
        <f t="shared" si="152"/>
        <v>-</v>
      </c>
      <c r="AT71" s="358" t="str">
        <f t="shared" si="152"/>
        <v>-</v>
      </c>
      <c r="AU71" s="358" t="str">
        <f t="shared" si="152"/>
        <v>-</v>
      </c>
      <c r="AV71" s="358" t="str">
        <f t="shared" si="152"/>
        <v>-</v>
      </c>
      <c r="AW71" s="358" t="str">
        <f t="shared" si="152"/>
        <v>-</v>
      </c>
      <c r="AX71" s="358" t="str">
        <f t="shared" si="152"/>
        <v>-</v>
      </c>
      <c r="AY71" s="358" t="str">
        <f t="shared" si="152"/>
        <v>-</v>
      </c>
      <c r="AZ71" s="358" t="str">
        <f t="shared" si="152"/>
        <v>-</v>
      </c>
      <c r="BA71" s="358" t="str">
        <f t="shared" si="152"/>
        <v>-</v>
      </c>
      <c r="BB71" s="358" t="str">
        <f t="shared" si="152"/>
        <v>-</v>
      </c>
      <c r="BC71" s="358" t="str">
        <f t="shared" si="152"/>
        <v>-</v>
      </c>
      <c r="BD71" s="359"/>
      <c r="BE71" s="359">
        <f t="shared" ref="BE71:BS71" si="153">IF(ISERR(BE16/BE12),"-",BE16/BE12)</f>
        <v>0.33966759933954893</v>
      </c>
      <c r="BF71" s="359">
        <f t="shared" si="153"/>
        <v>0.37582531448825762</v>
      </c>
      <c r="BG71" s="359">
        <f t="shared" si="153"/>
        <v>0.42772090495712561</v>
      </c>
      <c r="BH71" s="359">
        <f t="shared" si="153"/>
        <v>0.54911050726560595</v>
      </c>
      <c r="BI71" s="359">
        <f t="shared" si="153"/>
        <v>0.55397470331226906</v>
      </c>
      <c r="BJ71" s="359">
        <f t="shared" si="153"/>
        <v>0.56958515439997282</v>
      </c>
      <c r="BK71" s="359">
        <f t="shared" si="153"/>
        <v>0.5871982613373955</v>
      </c>
      <c r="BL71" s="359">
        <f t="shared" si="153"/>
        <v>0.59723751225036958</v>
      </c>
      <c r="BM71" s="359">
        <f t="shared" si="153"/>
        <v>0.60022369981162138</v>
      </c>
      <c r="BN71" s="359">
        <f t="shared" si="153"/>
        <v>0.60322481831067942</v>
      </c>
      <c r="BO71" s="359">
        <f t="shared" si="153"/>
        <v>0.60624094240223281</v>
      </c>
      <c r="BP71" s="359">
        <f t="shared" si="153"/>
        <v>0.60927214711424393</v>
      </c>
      <c r="BQ71" s="359">
        <f t="shared" si="153"/>
        <v>0.61231850784981512</v>
      </c>
      <c r="BR71" s="359">
        <f t="shared" si="153"/>
        <v>0.6153801003890641</v>
      </c>
      <c r="BS71" s="359">
        <f t="shared" si="153"/>
        <v>0.6184570008910093</v>
      </c>
      <c r="BT71" s="203"/>
      <c r="BU71" s="203"/>
    </row>
    <row r="72" spans="1:73" ht="12.75" customHeight="1" x14ac:dyDescent="0.35">
      <c r="A72" s="200"/>
      <c r="B72" s="264" t="s">
        <v>17</v>
      </c>
      <c r="C72" s="264"/>
      <c r="D72" s="264"/>
      <c r="E72" s="264"/>
      <c r="F72" s="204"/>
      <c r="G72" s="204"/>
      <c r="H72" s="204"/>
      <c r="I72" s="265">
        <f t="shared" ref="I72:Z72" si="154">+IF(ISERR(I17/I$12),"-",I17/I$12)</f>
        <v>0.6829748429493675</v>
      </c>
      <c r="J72" s="265">
        <f t="shared" si="154"/>
        <v>0.60461462123718157</v>
      </c>
      <c r="K72" s="265">
        <f t="shared" si="154"/>
        <v>0.63475772843192135</v>
      </c>
      <c r="L72" s="265">
        <f t="shared" si="154"/>
        <v>0.61731599206812082</v>
      </c>
      <c r="M72" s="265">
        <f t="shared" si="154"/>
        <v>0.64081280048076927</v>
      </c>
      <c r="N72" s="265">
        <f t="shared" si="154"/>
        <v>0.59848622307472976</v>
      </c>
      <c r="O72" s="265">
        <f t="shared" si="154"/>
        <v>0.65208034433285511</v>
      </c>
      <c r="P72" s="265">
        <f t="shared" si="154"/>
        <v>0.60084902579732236</v>
      </c>
      <c r="Q72" s="265">
        <f t="shared" si="154"/>
        <v>0.57751601869248925</v>
      </c>
      <c r="R72" s="265">
        <f t="shared" si="154"/>
        <v>0.47516631143835175</v>
      </c>
      <c r="S72" s="265">
        <f t="shared" si="154"/>
        <v>0.45971329708353931</v>
      </c>
      <c r="T72" s="265">
        <f t="shared" si="154"/>
        <v>0.45053318927044678</v>
      </c>
      <c r="U72" s="265">
        <f t="shared" si="154"/>
        <v>0.48146284895717867</v>
      </c>
      <c r="V72" s="265">
        <f t="shared" si="154"/>
        <v>0.4052279193137821</v>
      </c>
      <c r="W72" s="265">
        <f t="shared" si="154"/>
        <v>0.47802895826807279</v>
      </c>
      <c r="X72" s="265">
        <f t="shared" si="154"/>
        <v>0.44927195274624632</v>
      </c>
      <c r="Y72" s="265">
        <f t="shared" si="154"/>
        <v>0.47767812902586465</v>
      </c>
      <c r="Z72" s="265">
        <f t="shared" si="154"/>
        <v>0.36576447329285999</v>
      </c>
      <c r="AA72" s="265">
        <f t="shared" ref="AA72" si="155">+IF(ISERR(AA17/AA$12),"-",AA17/AA$12)</f>
        <v>0.45026048611065944</v>
      </c>
      <c r="AB72" s="265">
        <f t="shared" ref="AB72" si="156">+IF(ISERR(AB17/AB$12),"-",AB17/AB$12)</f>
        <v>0.41983374070515095</v>
      </c>
      <c r="AC72" s="268">
        <f>OperatingMetrics!AG233</f>
        <v>0.45767812902586463</v>
      </c>
      <c r="AD72" s="268">
        <f>OperatingMetrics!AH233</f>
        <v>0.38522791931378209</v>
      </c>
      <c r="AE72" s="268">
        <f>OperatingMetrics!AI233</f>
        <v>0.43026048611065942</v>
      </c>
      <c r="AF72" s="268">
        <f>OperatingMetrics!AJ233</f>
        <v>0.39983374070515093</v>
      </c>
      <c r="AG72" s="268">
        <f>OperatingMetrics!AK233</f>
        <v>0.43767812902586462</v>
      </c>
      <c r="AH72" s="268">
        <f>OperatingMetrics!AL233</f>
        <v>0.37522791931378208</v>
      </c>
      <c r="AI72" s="268">
        <f>OperatingMetrics!AM233</f>
        <v>0.42026048611065941</v>
      </c>
      <c r="AJ72" s="268">
        <f>OperatingMetrics!AN233</f>
        <v>0.38983374070515092</v>
      </c>
      <c r="AK72" s="268">
        <f>OperatingMetrics!AO233</f>
        <v>0.42767812902586461</v>
      </c>
      <c r="AL72" s="268">
        <f>OperatingMetrics!AP233</f>
        <v>0.36522791931378207</v>
      </c>
      <c r="AM72" s="265"/>
      <c r="AN72" s="265" t="str">
        <f t="shared" ref="AN72:AW72" si="157">+IF(ISERR(AN17/AN$12),"-",AN17/AN$12)</f>
        <v>-</v>
      </c>
      <c r="AO72" s="265" t="str">
        <f t="shared" si="157"/>
        <v>-</v>
      </c>
      <c r="AP72" s="265" t="str">
        <f t="shared" si="157"/>
        <v>-</v>
      </c>
      <c r="AQ72" s="265" t="str">
        <f t="shared" si="157"/>
        <v>-</v>
      </c>
      <c r="AR72" s="265" t="str">
        <f t="shared" si="157"/>
        <v>-</v>
      </c>
      <c r="AS72" s="265" t="str">
        <f t="shared" si="157"/>
        <v>-</v>
      </c>
      <c r="AT72" s="265" t="str">
        <f t="shared" si="157"/>
        <v>-</v>
      </c>
      <c r="AU72" s="265" t="str">
        <f t="shared" si="157"/>
        <v>-</v>
      </c>
      <c r="AV72" s="265" t="str">
        <f t="shared" si="157"/>
        <v>-</v>
      </c>
      <c r="AW72" s="265" t="str">
        <f t="shared" si="157"/>
        <v>-</v>
      </c>
      <c r="AX72" s="268" t="e">
        <f t="shared" ref="AX72" si="158">AVERAGE(AV72,AT72,AR72,AP72)</f>
        <v>#DIV/0!</v>
      </c>
      <c r="AY72" s="268" t="e">
        <f>AVERAGE(AW72,AU72,AS72,AQ72)</f>
        <v>#DIV/0!</v>
      </c>
      <c r="AZ72" s="268" t="e">
        <f t="shared" ref="AZ72:BC72" si="159">AVERAGE(AX72,AV72,AT72,AR72)</f>
        <v>#DIV/0!</v>
      </c>
      <c r="BA72" s="268" t="e">
        <f t="shared" si="159"/>
        <v>#DIV/0!</v>
      </c>
      <c r="BB72" s="268" t="e">
        <f t="shared" si="159"/>
        <v>#DIV/0!</v>
      </c>
      <c r="BC72" s="268" t="e">
        <f t="shared" si="159"/>
        <v>#DIV/0!</v>
      </c>
      <c r="BD72" s="269"/>
      <c r="BE72" s="265">
        <f t="shared" ref="BE72:BL72" si="160">+IF(ISERR(BE17/BE12),"-",BE17/BE12)</f>
        <v>0.66033240066045107</v>
      </c>
      <c r="BF72" s="265">
        <f t="shared" si="160"/>
        <v>0.62417468551174238</v>
      </c>
      <c r="BG72" s="265">
        <f t="shared" si="160"/>
        <v>0.57227909504287433</v>
      </c>
      <c r="BH72" s="265">
        <f t="shared" si="160"/>
        <v>0.45088949273439405</v>
      </c>
      <c r="BI72" s="265">
        <f t="shared" si="160"/>
        <v>0.44602529668773089</v>
      </c>
      <c r="BJ72" s="265">
        <f t="shared" si="160"/>
        <v>0.43041484560002718</v>
      </c>
      <c r="BK72" s="265">
        <f t="shared" si="160"/>
        <v>0.41280173866260467</v>
      </c>
      <c r="BL72" s="265">
        <f t="shared" si="160"/>
        <v>0.40276248774963036</v>
      </c>
      <c r="BM72" s="2720">
        <f>OperatingMetrics!BD233</f>
        <v>0.39977630018837867</v>
      </c>
      <c r="BN72" s="2720">
        <f>OperatingMetrics!BE233</f>
        <v>0.39677518168932058</v>
      </c>
      <c r="BO72" s="2720">
        <f>OperatingMetrics!BF233</f>
        <v>0.39375905759776719</v>
      </c>
      <c r="BP72" s="2720">
        <f>OperatingMetrics!BG233</f>
        <v>0.39072785288575612</v>
      </c>
      <c r="BQ72" s="2720">
        <f>OperatingMetrics!BH233</f>
        <v>0.38768149215018483</v>
      </c>
      <c r="BR72" s="2720">
        <f>OperatingMetrics!BI233</f>
        <v>0.38461989961093596</v>
      </c>
      <c r="BS72" s="2720">
        <f>OperatingMetrics!BJ233</f>
        <v>0.3815429991089907</v>
      </c>
      <c r="BT72" s="203"/>
      <c r="BU72" s="203"/>
    </row>
    <row r="73" spans="1:73" ht="12.75" customHeight="1" x14ac:dyDescent="0.35">
      <c r="A73" s="271"/>
      <c r="B73" s="267"/>
      <c r="C73" s="267"/>
      <c r="D73" s="267"/>
      <c r="E73" s="267"/>
      <c r="F73" s="204"/>
      <c r="G73" s="204"/>
      <c r="H73" s="204"/>
      <c r="I73" s="359"/>
      <c r="J73" s="359"/>
      <c r="K73" s="359"/>
      <c r="L73" s="359"/>
      <c r="M73" s="359"/>
      <c r="N73" s="359"/>
      <c r="O73" s="359"/>
      <c r="P73" s="359"/>
      <c r="Q73" s="359"/>
      <c r="R73" s="359"/>
      <c r="S73" s="359"/>
      <c r="T73" s="359"/>
      <c r="U73" s="359"/>
      <c r="V73" s="359"/>
      <c r="W73" s="359"/>
      <c r="X73" s="359"/>
      <c r="Y73" s="359"/>
      <c r="Z73" s="359"/>
      <c r="AA73" s="359"/>
      <c r="AB73" s="359"/>
      <c r="AC73" s="359"/>
      <c r="AD73" s="359"/>
      <c r="AE73" s="359"/>
      <c r="AF73" s="359"/>
      <c r="AG73" s="359"/>
      <c r="AH73" s="359"/>
      <c r="AI73" s="359"/>
      <c r="AJ73" s="359"/>
      <c r="AK73" s="359"/>
      <c r="AL73" s="359"/>
      <c r="AM73" s="265"/>
      <c r="AN73" s="359"/>
      <c r="AO73" s="359"/>
      <c r="AP73" s="359"/>
      <c r="AQ73" s="359"/>
      <c r="AR73" s="359"/>
      <c r="AS73" s="359"/>
      <c r="AT73" s="359"/>
      <c r="AU73" s="359"/>
      <c r="AV73" s="359"/>
      <c r="AW73" s="359"/>
      <c r="AX73" s="359"/>
      <c r="AY73" s="359"/>
      <c r="AZ73" s="359"/>
      <c r="BA73" s="359"/>
      <c r="BB73" s="359"/>
      <c r="BC73" s="359"/>
      <c r="BD73" s="359"/>
      <c r="BE73" s="359"/>
      <c r="BF73" s="359"/>
      <c r="BG73" s="359"/>
      <c r="BH73" s="359"/>
      <c r="BI73" s="359"/>
      <c r="BJ73" s="359"/>
      <c r="BK73" s="359"/>
      <c r="BL73" s="359"/>
      <c r="BM73" s="2721"/>
      <c r="BN73" s="2721"/>
      <c r="BO73" s="2721"/>
      <c r="BP73" s="2721"/>
      <c r="BQ73" s="2721"/>
      <c r="BR73" s="2721"/>
      <c r="BS73" s="2721"/>
      <c r="BT73" s="203"/>
      <c r="BU73" s="203"/>
    </row>
    <row r="74" spans="1:73" ht="12.75" customHeight="1" x14ac:dyDescent="0.35">
      <c r="A74" s="200"/>
      <c r="B74" s="267"/>
      <c r="C74" s="267" t="s">
        <v>173</v>
      </c>
      <c r="D74" s="267"/>
      <c r="E74" s="267"/>
      <c r="F74" s="204"/>
      <c r="G74" s="204"/>
      <c r="H74" s="204"/>
      <c r="I74" s="272">
        <f t="shared" ref="I74:Z74" si="161">IF(ISERR(I19/I$12),"-",I19/I$12)</f>
        <v>0.32301768809889125</v>
      </c>
      <c r="J74" s="272">
        <f t="shared" si="161"/>
        <v>0.39323519682434666</v>
      </c>
      <c r="K74" s="272">
        <f t="shared" si="161"/>
        <v>0.36063942277788147</v>
      </c>
      <c r="L74" s="272">
        <f t="shared" si="161"/>
        <v>0.3535518488277149</v>
      </c>
      <c r="M74" s="272">
        <f t="shared" si="161"/>
        <v>0.25274188701923078</v>
      </c>
      <c r="N74" s="272">
        <f t="shared" si="161"/>
        <v>0.35140879753233623</v>
      </c>
      <c r="O74" s="272">
        <f t="shared" si="161"/>
        <v>0.30310457516339867</v>
      </c>
      <c r="P74" s="272">
        <f t="shared" si="161"/>
        <v>0.29998911505388048</v>
      </c>
      <c r="Q74" s="272">
        <f t="shared" si="161"/>
        <v>0.26441682324035265</v>
      </c>
      <c r="R74" s="272">
        <f t="shared" si="161"/>
        <v>0.32627720725957504</v>
      </c>
      <c r="S74" s="272">
        <f t="shared" si="161"/>
        <v>0.3606030647553139</v>
      </c>
      <c r="T74" s="272">
        <f t="shared" si="161"/>
        <v>0.29197397472635883</v>
      </c>
      <c r="U74" s="272">
        <f t="shared" si="161"/>
        <v>0.25296304507239209</v>
      </c>
      <c r="V74" s="272">
        <f t="shared" si="161"/>
        <v>0.31148259855825794</v>
      </c>
      <c r="W74" s="272">
        <f t="shared" si="161"/>
        <v>0.26593226828164701</v>
      </c>
      <c r="X74" s="272">
        <f t="shared" si="161"/>
        <v>0.27817034541284019</v>
      </c>
      <c r="Y74" s="272">
        <f t="shared" si="161"/>
        <v>0.23265781389356852</v>
      </c>
      <c r="Z74" s="272">
        <f t="shared" si="161"/>
        <v>0.3033836625435205</v>
      </c>
      <c r="AA74" s="272">
        <f t="shared" ref="AA74" si="162">IF(ISERR(AA19/AA$12),"-",AA19/AA$12)</f>
        <v>0.22453837698616594</v>
      </c>
      <c r="AB74" s="272">
        <f t="shared" ref="AB74" si="163">IF(ISERR(AB19/AB$12),"-",AB19/AB$12)</f>
        <v>0.33190591968218547</v>
      </c>
      <c r="AC74" s="272">
        <f>AC75+AC76+AC77+AC78</f>
        <v>0.23533780427126189</v>
      </c>
      <c r="AD74" s="272">
        <f t="shared" ref="AD74:AL74" si="164">AD75+AD76+AD77+AD78</f>
        <v>0.30246919724255428</v>
      </c>
      <c r="AE74" s="272">
        <f t="shared" si="164"/>
        <v>0.22703305768852444</v>
      </c>
      <c r="AF74" s="272">
        <f t="shared" si="164"/>
        <v>0.3366704920105934</v>
      </c>
      <c r="AG74" s="272">
        <f>AG75+AG76+AG77+AG78</f>
        <v>0.23925746929140643</v>
      </c>
      <c r="AH74" s="272">
        <f t="shared" si="164"/>
        <v>0.306117830644623</v>
      </c>
      <c r="AI74" s="272">
        <f t="shared" si="164"/>
        <v>0.23089437918424116</v>
      </c>
      <c r="AJ74" s="272">
        <f t="shared" si="164"/>
        <v>0.34332597199963039</v>
      </c>
      <c r="AK74" s="272">
        <f t="shared" si="164"/>
        <v>0.24441150821204738</v>
      </c>
      <c r="AL74" s="272">
        <f t="shared" si="164"/>
        <v>0.311114717456491</v>
      </c>
      <c r="AM74" s="265"/>
      <c r="AN74" s="272" t="str">
        <f t="shared" ref="AN74:AW74" si="165">IF(ISERR(AN19/AN$12),"-",AN19/AN$12)</f>
        <v>-</v>
      </c>
      <c r="AO74" s="272" t="str">
        <f t="shared" si="165"/>
        <v>-</v>
      </c>
      <c r="AP74" s="272" t="str">
        <f t="shared" si="165"/>
        <v>-</v>
      </c>
      <c r="AQ74" s="272" t="str">
        <f t="shared" si="165"/>
        <v>-</v>
      </c>
      <c r="AR74" s="272" t="str">
        <f t="shared" si="165"/>
        <v>-</v>
      </c>
      <c r="AS74" s="272" t="str">
        <f t="shared" si="165"/>
        <v>-</v>
      </c>
      <c r="AT74" s="272" t="str">
        <f t="shared" si="165"/>
        <v>-</v>
      </c>
      <c r="AU74" s="272" t="str">
        <f t="shared" si="165"/>
        <v>-</v>
      </c>
      <c r="AV74" s="272" t="str">
        <f t="shared" si="165"/>
        <v>-</v>
      </c>
      <c r="AW74" s="272" t="str">
        <f t="shared" si="165"/>
        <v>-</v>
      </c>
      <c r="AX74" s="273" t="e">
        <f t="shared" ref="AX74:AX78" si="166">AVERAGE(AV74,AT74,AR74,AP74)</f>
        <v>#DIV/0!</v>
      </c>
      <c r="AY74" s="273" t="e">
        <f t="shared" ref="AY74:AY78" si="167">AVERAGE(AW74,AU74,AS74,AQ74)</f>
        <v>#DIV/0!</v>
      </c>
      <c r="AZ74" s="273" t="e">
        <f t="shared" ref="AZ74:AZ78" si="168">AVERAGE(AX74,AV74,AT74,AR74)</f>
        <v>#DIV/0!</v>
      </c>
      <c r="BA74" s="273" t="e">
        <f t="shared" ref="BA74:BA78" si="169">AVERAGE(AY74,AW74,AU74,AS74)</f>
        <v>#DIV/0!</v>
      </c>
      <c r="BB74" s="273" t="e">
        <f t="shared" ref="BB74:BB78" si="170">AVERAGE(AZ74,AX74,AV74,AT74)</f>
        <v>#DIV/0!</v>
      </c>
      <c r="BC74" s="273" t="e">
        <f t="shared" ref="BC74:BC78" si="171">AVERAGE(BA74,AY74,AW74,AU74)</f>
        <v>#DIV/0!</v>
      </c>
      <c r="BD74" s="359"/>
      <c r="BE74" s="272">
        <f t="shared" ref="BE74:BL74" si="172">IF(ISERR(BE19/BE12),"-",BE19/BE12)</f>
        <v>0.37260116864241716</v>
      </c>
      <c r="BF74" s="272">
        <f t="shared" si="172"/>
        <v>0.32055372678852362</v>
      </c>
      <c r="BG74" s="272">
        <f t="shared" si="172"/>
        <v>0.29531778188007962</v>
      </c>
      <c r="BH74" s="272">
        <f t="shared" si="172"/>
        <v>0.29941036609313137</v>
      </c>
      <c r="BI74" s="272">
        <f t="shared" si="172"/>
        <v>0.26664914039524357</v>
      </c>
      <c r="BJ74" s="272">
        <f t="shared" si="172"/>
        <v>0.27080593094865457</v>
      </c>
      <c r="BK74" s="272">
        <f t="shared" si="172"/>
        <v>0.27489755409720668</v>
      </c>
      <c r="BL74" s="272">
        <f t="shared" si="172"/>
        <v>0.28027919690015951</v>
      </c>
      <c r="BM74" s="2721">
        <f>BM75+BM76+BM77+BM78</f>
        <v>0.27813118437185852</v>
      </c>
      <c r="BN74" s="2721">
        <f t="shared" ref="BN74:BS74" si="173">BN75+BN76+BN77+BN78</f>
        <v>0.27659880167677608</v>
      </c>
      <c r="BO74" s="2721">
        <f t="shared" si="173"/>
        <v>0.27549149271538048</v>
      </c>
      <c r="BP74" s="2721">
        <f t="shared" si="173"/>
        <v>0.27467352547149082</v>
      </c>
      <c r="BQ74" s="2721">
        <f t="shared" si="173"/>
        <v>0.27405288202467648</v>
      </c>
      <c r="BR74" s="2721">
        <f t="shared" si="173"/>
        <v>0.27356728037205802</v>
      </c>
      <c r="BS74" s="2721">
        <f t="shared" si="173"/>
        <v>0.27317737694262478</v>
      </c>
      <c r="BT74" s="203"/>
      <c r="BU74" s="203"/>
    </row>
    <row r="75" spans="1:73" ht="12.75" customHeight="1" x14ac:dyDescent="0.35">
      <c r="A75" s="200"/>
      <c r="B75" s="267"/>
      <c r="C75" s="267"/>
      <c r="D75" s="267" t="s">
        <v>174</v>
      </c>
      <c r="E75" s="267"/>
      <c r="F75" s="204"/>
      <c r="G75" s="204"/>
      <c r="H75" s="204"/>
      <c r="I75" s="272">
        <f t="shared" ref="I75:Z75" si="174">IF(ISERR(I20/I$12),"-",I20/I$12)</f>
        <v>0.10540485771357438</v>
      </c>
      <c r="J75" s="272">
        <f t="shared" si="174"/>
        <v>0.11830135626860734</v>
      </c>
      <c r="K75" s="272">
        <f t="shared" si="174"/>
        <v>0.11239659140386889</v>
      </c>
      <c r="L75" s="272">
        <f t="shared" si="174"/>
        <v>0.11308760060655547</v>
      </c>
      <c r="M75" s="272">
        <f t="shared" si="174"/>
        <v>8.4322415865384609E-2</v>
      </c>
      <c r="N75" s="272">
        <f t="shared" si="174"/>
        <v>0.11228906918271599</v>
      </c>
      <c r="O75" s="272">
        <f t="shared" si="174"/>
        <v>9.6644348796429136E-2</v>
      </c>
      <c r="P75" s="272">
        <f t="shared" si="174"/>
        <v>0.11367512064148616</v>
      </c>
      <c r="Q75" s="272">
        <f t="shared" si="174"/>
        <v>0.10288095582213229</v>
      </c>
      <c r="R75" s="272">
        <f t="shared" si="174"/>
        <v>0.12337725247045146</v>
      </c>
      <c r="S75" s="272">
        <f t="shared" si="174"/>
        <v>0.11024468610973802</v>
      </c>
      <c r="T75" s="272">
        <f t="shared" si="174"/>
        <v>0.10694320477286606</v>
      </c>
      <c r="U75" s="272">
        <f t="shared" si="174"/>
        <v>0.10320776275175225</v>
      </c>
      <c r="V75" s="272">
        <f t="shared" si="174"/>
        <v>0.10320006845066204</v>
      </c>
      <c r="W75" s="272">
        <f t="shared" si="174"/>
        <v>9.3087605722042388E-2</v>
      </c>
      <c r="X75" s="272">
        <f t="shared" si="174"/>
        <v>0.10079232378567768</v>
      </c>
      <c r="Y75" s="272">
        <f t="shared" si="174"/>
        <v>9.7859478743434744E-2</v>
      </c>
      <c r="Z75" s="272">
        <f t="shared" si="174"/>
        <v>0.1065398813793586</v>
      </c>
      <c r="AA75" s="272">
        <f t="shared" ref="AA75" si="175">IF(ISERR(AA20/AA$12),"-",AA20/AA$12)</f>
        <v>8.8792918420042791E-2</v>
      </c>
      <c r="AB75" s="272">
        <f t="shared" ref="AB75" si="176">IF(ISERR(AB20/AB$12),"-",AB20/AB$12)</f>
        <v>0.11202832470221012</v>
      </c>
      <c r="AC75" s="273">
        <f>OperatingMetrics!AG238</f>
        <v>0.10275245268060648</v>
      </c>
      <c r="AD75" s="273">
        <f>OperatingMetrics!AH238</f>
        <v>0.11186687544832653</v>
      </c>
      <c r="AE75" s="273">
        <f>OperatingMetrics!AI238</f>
        <v>9.3232564341044932E-2</v>
      </c>
      <c r="AF75" s="273">
        <f>OperatingMetrics!AJ238</f>
        <v>0.11762974093732063</v>
      </c>
      <c r="AG75" s="273">
        <f>OperatingMetrics!AK238</f>
        <v>0.1078900753146368</v>
      </c>
      <c r="AH75" s="273">
        <f>OperatingMetrics!AL238</f>
        <v>0.11746021922074286</v>
      </c>
      <c r="AI75" s="273">
        <f>OperatingMetrics!AM238</f>
        <v>9.7894192558097184E-2</v>
      </c>
      <c r="AJ75" s="273">
        <f>OperatingMetrics!AN238</f>
        <v>0.12351122798418668</v>
      </c>
      <c r="AK75" s="273">
        <f>OperatingMetrics!AO238</f>
        <v>0.11328457908036865</v>
      </c>
      <c r="AL75" s="273">
        <f>OperatingMetrics!AP238</f>
        <v>0.12333323018178001</v>
      </c>
      <c r="AM75" s="265"/>
      <c r="AN75" s="272" t="str">
        <f t="shared" ref="AN75:AW75" si="177">IF(ISERR(AN20/AN$12),"-",AN20/AN$12)</f>
        <v>-</v>
      </c>
      <c r="AO75" s="272" t="str">
        <f t="shared" si="177"/>
        <v>-</v>
      </c>
      <c r="AP75" s="272" t="str">
        <f t="shared" si="177"/>
        <v>-</v>
      </c>
      <c r="AQ75" s="272" t="str">
        <f t="shared" si="177"/>
        <v>-</v>
      </c>
      <c r="AR75" s="272" t="str">
        <f t="shared" si="177"/>
        <v>-</v>
      </c>
      <c r="AS75" s="272" t="str">
        <f t="shared" si="177"/>
        <v>-</v>
      </c>
      <c r="AT75" s="272" t="str">
        <f t="shared" si="177"/>
        <v>-</v>
      </c>
      <c r="AU75" s="272" t="str">
        <f t="shared" si="177"/>
        <v>-</v>
      </c>
      <c r="AV75" s="272" t="str">
        <f t="shared" si="177"/>
        <v>-</v>
      </c>
      <c r="AW75" s="272" t="str">
        <f t="shared" si="177"/>
        <v>-</v>
      </c>
      <c r="AX75" s="273" t="e">
        <f t="shared" si="166"/>
        <v>#DIV/0!</v>
      </c>
      <c r="AY75" s="273" t="e">
        <f t="shared" si="167"/>
        <v>#DIV/0!</v>
      </c>
      <c r="AZ75" s="273" t="e">
        <f t="shared" si="168"/>
        <v>#DIV/0!</v>
      </c>
      <c r="BA75" s="273" t="e">
        <f t="shared" si="169"/>
        <v>#DIV/0!</v>
      </c>
      <c r="BB75" s="273" t="e">
        <f t="shared" si="170"/>
        <v>#DIV/0!</v>
      </c>
      <c r="BC75" s="273" t="e">
        <f t="shared" si="171"/>
        <v>#DIV/0!</v>
      </c>
      <c r="BD75" s="359"/>
      <c r="BE75" s="272">
        <f t="shared" ref="BE75:BL78" si="178">IF(ISERR(BE20/BE$12),"-",BE20/BE$12)</f>
        <v>0.1117922149827472</v>
      </c>
      <c r="BF75" s="272">
        <f t="shared" si="178"/>
        <v>0.10307506649902384</v>
      </c>
      <c r="BG75" s="272">
        <f t="shared" si="178"/>
        <v>0.10907993894496255</v>
      </c>
      <c r="BH75" s="272">
        <f t="shared" si="178"/>
        <v>0.10556092176072858</v>
      </c>
      <c r="BI75" s="272">
        <f t="shared" si="178"/>
        <v>9.9415158786057195E-2</v>
      </c>
      <c r="BJ75" s="272">
        <f t="shared" si="178"/>
        <v>0.10380298281678287</v>
      </c>
      <c r="BK75" s="272">
        <f t="shared" si="178"/>
        <v>0.10902448558470872</v>
      </c>
      <c r="BL75" s="272">
        <f t="shared" si="178"/>
        <v>0.11450114769673778</v>
      </c>
      <c r="BM75" s="2721">
        <f>OperatingMetrics!BD238</f>
        <v>0.11450114769673778</v>
      </c>
      <c r="BN75" s="2721">
        <f>OperatingMetrics!BE238</f>
        <v>0.11450114769673778</v>
      </c>
      <c r="BO75" s="2721">
        <f>OperatingMetrics!BF238</f>
        <v>0.11450114769673778</v>
      </c>
      <c r="BP75" s="2721">
        <f>OperatingMetrics!BG238</f>
        <v>0.11450114769673778</v>
      </c>
      <c r="BQ75" s="2721">
        <f>OperatingMetrics!BH238</f>
        <v>0.11450114769673778</v>
      </c>
      <c r="BR75" s="2721">
        <f>OperatingMetrics!BI238</f>
        <v>0.11450114769673778</v>
      </c>
      <c r="BS75" s="2721">
        <f>OperatingMetrics!BJ238</f>
        <v>0.11450114769673778</v>
      </c>
      <c r="BT75" s="203"/>
      <c r="BU75" s="203"/>
    </row>
    <row r="76" spans="1:73" ht="12.75" customHeight="1" x14ac:dyDescent="0.35">
      <c r="A76" s="200"/>
      <c r="B76" s="267"/>
      <c r="C76" s="267"/>
      <c r="D76" s="267" t="s">
        <v>175</v>
      </c>
      <c r="E76" s="267"/>
      <c r="F76" s="204"/>
      <c r="G76" s="204"/>
      <c r="H76" s="204"/>
      <c r="I76" s="272">
        <f t="shared" ref="I76:Z76" si="179">IF(ISERR(I21/I$12),"-",I21/I$12)</f>
        <v>7.2373563384766817E-2</v>
      </c>
      <c r="J76" s="272">
        <f t="shared" si="179"/>
        <v>9.646873966258683E-2</v>
      </c>
      <c r="K76" s="272">
        <f t="shared" si="179"/>
        <v>8.5308204266965226E-2</v>
      </c>
      <c r="L76" s="272">
        <f t="shared" si="179"/>
        <v>8.2089116995217537E-2</v>
      </c>
      <c r="M76" s="272">
        <f t="shared" si="179"/>
        <v>6.1730018028846152E-2</v>
      </c>
      <c r="N76" s="272">
        <f t="shared" si="179"/>
        <v>8.7975323362451077E-2</v>
      </c>
      <c r="O76" s="272">
        <f t="shared" si="179"/>
        <v>7.3310218396301613E-2</v>
      </c>
      <c r="P76" s="272">
        <f t="shared" si="179"/>
        <v>6.2388882841696601E-2</v>
      </c>
      <c r="Q76" s="272">
        <f t="shared" si="179"/>
        <v>5.5065760948113891E-2</v>
      </c>
      <c r="R76" s="272">
        <f t="shared" si="179"/>
        <v>7.3483820964929281E-2</v>
      </c>
      <c r="S76" s="272">
        <f t="shared" si="179"/>
        <v>8.2118141374196735E-2</v>
      </c>
      <c r="T76" s="272">
        <f t="shared" si="179"/>
        <v>5.6125804481608491E-2</v>
      </c>
      <c r="U76" s="272">
        <f t="shared" si="179"/>
        <v>4.9907058442333598E-2</v>
      </c>
      <c r="V76" s="272">
        <f t="shared" si="179"/>
        <v>8.1413506171255007E-2</v>
      </c>
      <c r="W76" s="272">
        <f t="shared" si="179"/>
        <v>5.4992864849813791E-2</v>
      </c>
      <c r="X76" s="272">
        <f t="shared" si="179"/>
        <v>5.5378643387079159E-2</v>
      </c>
      <c r="Y76" s="272">
        <f t="shared" si="179"/>
        <v>4.5925824992567636E-2</v>
      </c>
      <c r="Z76" s="272">
        <f t="shared" si="179"/>
        <v>6.8854208583375612E-2</v>
      </c>
      <c r="AA76" s="272">
        <f t="shared" ref="AA76" si="180">IF(ISERR(AA21/AA$12),"-",AA21/AA$12)</f>
        <v>4.4468003460140099E-2</v>
      </c>
      <c r="AB76" s="272">
        <f t="shared" ref="AB76" si="181">IF(ISERR(AB21/AB$12),"-",AB21/AB$12)</f>
        <v>7.7138379584545239E-2</v>
      </c>
      <c r="AC76" s="273">
        <f>OperatingMetrics!AG241</f>
        <v>4.7303599742344667E-2</v>
      </c>
      <c r="AD76" s="273">
        <f>OperatingMetrics!AH241</f>
        <v>7.0919834840876883E-2</v>
      </c>
      <c r="AE76" s="273">
        <f>OperatingMetrics!AI241</f>
        <v>4.5802043563944302E-2</v>
      </c>
      <c r="AF76" s="273">
        <f>OperatingMetrics!AJ241</f>
        <v>7.9452530972081603E-2</v>
      </c>
      <c r="AG76" s="273">
        <f>OperatingMetrics!AK241</f>
        <v>4.8722707734615005E-2</v>
      </c>
      <c r="AH76" s="273">
        <f>OperatingMetrics!AL241</f>
        <v>7.3047429886103188E-2</v>
      </c>
      <c r="AI76" s="273">
        <f>OperatingMetrics!AM241</f>
        <v>4.7176104870862628E-2</v>
      </c>
      <c r="AJ76" s="273">
        <f>OperatingMetrics!AN241</f>
        <v>8.1836106901244057E-2</v>
      </c>
      <c r="AK76" s="273">
        <f>OperatingMetrics!AO241</f>
        <v>5.0184388966653455E-2</v>
      </c>
      <c r="AL76" s="273">
        <f>OperatingMetrics!AP241</f>
        <v>7.5238852782686286E-2</v>
      </c>
      <c r="AM76" s="265"/>
      <c r="AN76" s="272" t="str">
        <f t="shared" ref="AN76:AW76" si="182">IF(ISERR(AN21/AN$12),"-",AN21/AN$12)</f>
        <v>-</v>
      </c>
      <c r="AO76" s="272" t="str">
        <f t="shared" si="182"/>
        <v>-</v>
      </c>
      <c r="AP76" s="272" t="str">
        <f t="shared" si="182"/>
        <v>-</v>
      </c>
      <c r="AQ76" s="272" t="str">
        <f t="shared" si="182"/>
        <v>-</v>
      </c>
      <c r="AR76" s="272" t="str">
        <f t="shared" si="182"/>
        <v>-</v>
      </c>
      <c r="AS76" s="272" t="str">
        <f t="shared" si="182"/>
        <v>-</v>
      </c>
      <c r="AT76" s="272" t="str">
        <f t="shared" si="182"/>
        <v>-</v>
      </c>
      <c r="AU76" s="272" t="str">
        <f t="shared" si="182"/>
        <v>-</v>
      </c>
      <c r="AV76" s="272" t="str">
        <f t="shared" si="182"/>
        <v>-</v>
      </c>
      <c r="AW76" s="272" t="str">
        <f t="shared" si="182"/>
        <v>-</v>
      </c>
      <c r="AX76" s="273" t="e">
        <f t="shared" si="166"/>
        <v>#DIV/0!</v>
      </c>
      <c r="AY76" s="273" t="e">
        <f t="shared" si="167"/>
        <v>#DIV/0!</v>
      </c>
      <c r="AZ76" s="273" t="e">
        <f t="shared" si="168"/>
        <v>#DIV/0!</v>
      </c>
      <c r="BA76" s="273" t="e">
        <f t="shared" si="169"/>
        <v>#DIV/0!</v>
      </c>
      <c r="BB76" s="273" t="e">
        <f t="shared" si="170"/>
        <v>#DIV/0!</v>
      </c>
      <c r="BC76" s="273" t="e">
        <f t="shared" si="171"/>
        <v>#DIV/0!</v>
      </c>
      <c r="BD76" s="359"/>
      <c r="BE76" s="272">
        <f t="shared" si="178"/>
        <v>9.1009758460793136E-2</v>
      </c>
      <c r="BF76" s="272">
        <f t="shared" si="178"/>
        <v>7.7328413563905407E-2</v>
      </c>
      <c r="BG76" s="272">
        <f t="shared" si="178"/>
        <v>6.4894951771315323E-2</v>
      </c>
      <c r="BH76" s="272">
        <f t="shared" si="178"/>
        <v>6.6045896975936991E-2</v>
      </c>
      <c r="BI76" s="272">
        <f t="shared" si="178"/>
        <v>5.5319583057850431E-2</v>
      </c>
      <c r="BJ76" s="272">
        <f t="shared" si="178"/>
        <v>5.9042601438927172E-2</v>
      </c>
      <c r="BK76" s="272">
        <f t="shared" si="178"/>
        <v>6.0910646120549736E-2</v>
      </c>
      <c r="BL76" s="272">
        <f t="shared" si="178"/>
        <v>6.2798142376957217E-2</v>
      </c>
      <c r="BM76" s="2721">
        <f>OperatingMetrics!BD241</f>
        <v>6.2798142376957217E-2</v>
      </c>
      <c r="BN76" s="2721">
        <f>OperatingMetrics!BE241</f>
        <v>6.2798142376957217E-2</v>
      </c>
      <c r="BO76" s="2721">
        <f>OperatingMetrics!BF241</f>
        <v>6.2798142376957217E-2</v>
      </c>
      <c r="BP76" s="2721">
        <f>OperatingMetrics!BG241</f>
        <v>6.2798142376957217E-2</v>
      </c>
      <c r="BQ76" s="2721">
        <f>OperatingMetrics!BH241</f>
        <v>6.2798142376957217E-2</v>
      </c>
      <c r="BR76" s="2721">
        <f>OperatingMetrics!BI241</f>
        <v>6.2798142376957217E-2</v>
      </c>
      <c r="BS76" s="2721">
        <f>OperatingMetrics!BJ241</f>
        <v>6.2798142376957217E-2</v>
      </c>
      <c r="BT76" s="203"/>
      <c r="BU76" s="203"/>
    </row>
    <row r="77" spans="1:73" ht="12.75" customHeight="1" x14ac:dyDescent="0.35">
      <c r="A77" s="200"/>
      <c r="B77" s="267"/>
      <c r="C77" s="267"/>
      <c r="D77" s="267" t="s">
        <v>131</v>
      </c>
      <c r="E77" s="267"/>
      <c r="F77" s="204"/>
      <c r="G77" s="204"/>
      <c r="H77" s="204"/>
      <c r="I77" s="272">
        <f t="shared" ref="I77:Z77" si="183">IF(ISERR(I22/I$12),"-",I22/I$12)</f>
        <v>0.10853139565179631</v>
      </c>
      <c r="J77" s="272">
        <f t="shared" si="183"/>
        <v>0.14774230896460469</v>
      </c>
      <c r="K77" s="272">
        <f t="shared" si="183"/>
        <v>0.12402811469801579</v>
      </c>
      <c r="L77" s="272">
        <f t="shared" si="183"/>
        <v>0.12055289863525021</v>
      </c>
      <c r="M77" s="272">
        <f t="shared" si="183"/>
        <v>8.30078125E-2</v>
      </c>
      <c r="N77" s="272">
        <f t="shared" si="183"/>
        <v>0.11711034500635061</v>
      </c>
      <c r="O77" s="272">
        <f t="shared" si="183"/>
        <v>9.357564163876933E-2</v>
      </c>
      <c r="P77" s="272">
        <f t="shared" si="183"/>
        <v>9.2213635209172376E-2</v>
      </c>
      <c r="Q77" s="272">
        <f t="shared" si="183"/>
        <v>7.5745531627884569E-2</v>
      </c>
      <c r="R77" s="272">
        <f t="shared" si="183"/>
        <v>0.10795711425434347</v>
      </c>
      <c r="S77" s="272">
        <f t="shared" si="183"/>
        <v>0.14223924864063273</v>
      </c>
      <c r="T77" s="272">
        <f t="shared" si="183"/>
        <v>9.8240710292666886E-2</v>
      </c>
      <c r="U77" s="272">
        <f t="shared" si="183"/>
        <v>7.5896587595286419E-2</v>
      </c>
      <c r="V77" s="272">
        <f t="shared" si="183"/>
        <v>9.261160666538322E-2</v>
      </c>
      <c r="W77" s="272">
        <f t="shared" si="183"/>
        <v>9.1173297135498238E-2</v>
      </c>
      <c r="X77" s="272">
        <f t="shared" si="183"/>
        <v>9.1902837409781793E-2</v>
      </c>
      <c r="Y77" s="272">
        <f t="shared" si="183"/>
        <v>6.8606926964621937E-2</v>
      </c>
      <c r="Z77" s="272">
        <f t="shared" si="183"/>
        <v>9.261332820127019E-2</v>
      </c>
      <c r="AA77" s="272">
        <f t="shared" ref="AA77" si="184">IF(ISERR(AA22/AA$12),"-",AA22/AA$12)</f>
        <v>7.207757998321962E-2</v>
      </c>
      <c r="AB77" s="272">
        <f t="shared" ref="AB77" si="185">IF(ISERR(AB22/AB$12),"-",AB22/AB$12)</f>
        <v>0.12411404691117575</v>
      </c>
      <c r="AC77" s="273">
        <f>OperatingMetrics!AG243</f>
        <v>6.9292996234268156E-2</v>
      </c>
      <c r="AD77" s="273">
        <f>OperatingMetrics!AH243</f>
        <v>9.353946148328289E-2</v>
      </c>
      <c r="AE77" s="273">
        <f>OperatingMetrics!AI243</f>
        <v>7.2798355783051813E-2</v>
      </c>
      <c r="AF77" s="273">
        <f>OperatingMetrics!AJ243</f>
        <v>0.1253551873802875</v>
      </c>
      <c r="AG77" s="273">
        <f>OperatingMetrics!AK243</f>
        <v>6.9985926196610843E-2</v>
      </c>
      <c r="AH77" s="273">
        <f>OperatingMetrics!AL243</f>
        <v>9.447485609811572E-2</v>
      </c>
      <c r="AI77" s="273">
        <f>OperatingMetrics!AM243</f>
        <v>7.3526339340882332E-2</v>
      </c>
      <c r="AJ77" s="273">
        <f>OperatingMetrics!AN243</f>
        <v>0.12660873925409039</v>
      </c>
      <c r="AK77" s="273">
        <f>OperatingMetrics!AO243</f>
        <v>7.0685785458576955E-2</v>
      </c>
      <c r="AL77" s="273">
        <f>OperatingMetrics!AP243</f>
        <v>9.5419604659096879E-2</v>
      </c>
      <c r="AM77" s="265"/>
      <c r="AN77" s="272" t="str">
        <f t="shared" ref="AN77:AW77" si="186">IF(ISERR(AN22/AN$12),"-",AN22/AN$12)</f>
        <v>-</v>
      </c>
      <c r="AO77" s="272" t="str">
        <f t="shared" si="186"/>
        <v>-</v>
      </c>
      <c r="AP77" s="272" t="str">
        <f t="shared" si="186"/>
        <v>-</v>
      </c>
      <c r="AQ77" s="272" t="str">
        <f t="shared" si="186"/>
        <v>-</v>
      </c>
      <c r="AR77" s="272" t="str">
        <f t="shared" si="186"/>
        <v>-</v>
      </c>
      <c r="AS77" s="272" t="str">
        <f t="shared" si="186"/>
        <v>-</v>
      </c>
      <c r="AT77" s="272" t="str">
        <f t="shared" si="186"/>
        <v>-</v>
      </c>
      <c r="AU77" s="272" t="str">
        <f t="shared" si="186"/>
        <v>-</v>
      </c>
      <c r="AV77" s="272" t="str">
        <f t="shared" si="186"/>
        <v>-</v>
      </c>
      <c r="AW77" s="272" t="str">
        <f t="shared" si="186"/>
        <v>-</v>
      </c>
      <c r="AX77" s="273" t="e">
        <f t="shared" si="166"/>
        <v>#DIV/0!</v>
      </c>
      <c r="AY77" s="273" t="e">
        <f t="shared" si="167"/>
        <v>#DIV/0!</v>
      </c>
      <c r="AZ77" s="273" t="e">
        <f t="shared" si="168"/>
        <v>#DIV/0!</v>
      </c>
      <c r="BA77" s="273" t="e">
        <f t="shared" si="169"/>
        <v>#DIV/0!</v>
      </c>
      <c r="BB77" s="273" t="e">
        <f t="shared" si="170"/>
        <v>#DIV/0!</v>
      </c>
      <c r="BC77" s="273" t="e">
        <f t="shared" si="171"/>
        <v>#DIV/0!</v>
      </c>
      <c r="BD77" s="359"/>
      <c r="BE77" s="272">
        <f t="shared" si="178"/>
        <v>0.13632184135333142</v>
      </c>
      <c r="BF77" s="272">
        <f t="shared" si="178"/>
        <v>0.10778844149033631</v>
      </c>
      <c r="BG77" s="272">
        <f t="shared" si="178"/>
        <v>9.0919261905332727E-2</v>
      </c>
      <c r="BH77" s="272">
        <f t="shared" si="178"/>
        <v>9.9338187685089854E-2</v>
      </c>
      <c r="BI77" s="272">
        <f t="shared" si="178"/>
        <v>8.4518482041784457E-2</v>
      </c>
      <c r="BJ77" s="272">
        <f t="shared" si="178"/>
        <v>8.8269902358767222E-2</v>
      </c>
      <c r="BK77" s="272">
        <f t="shared" si="178"/>
        <v>8.9428728950798758E-2</v>
      </c>
      <c r="BL77" s="272">
        <f t="shared" si="178"/>
        <v>9.0441194433675667E-2</v>
      </c>
      <c r="BM77" s="2721">
        <f>OperatingMetrics!BD243</f>
        <v>9.0441194433675667E-2</v>
      </c>
      <c r="BN77" s="2721">
        <f>OperatingMetrics!BE243</f>
        <v>9.0441194433675667E-2</v>
      </c>
      <c r="BO77" s="2721">
        <f>OperatingMetrics!BF243</f>
        <v>9.0441194433675667E-2</v>
      </c>
      <c r="BP77" s="2721">
        <f>OperatingMetrics!BG243</f>
        <v>9.0441194433675667E-2</v>
      </c>
      <c r="BQ77" s="2721">
        <f>OperatingMetrics!BH243</f>
        <v>9.0441194433675667E-2</v>
      </c>
      <c r="BR77" s="2721">
        <f>OperatingMetrics!BI243</f>
        <v>9.0441194433675667E-2</v>
      </c>
      <c r="BS77" s="2721">
        <f>OperatingMetrics!BJ243</f>
        <v>9.0441194433675667E-2</v>
      </c>
      <c r="BT77" s="203"/>
      <c r="BU77" s="203"/>
    </row>
    <row r="78" spans="1:73" ht="12.75" customHeight="1" x14ac:dyDescent="0.35">
      <c r="A78" s="200"/>
      <c r="B78" s="267"/>
      <c r="C78" s="267" t="s">
        <v>176</v>
      </c>
      <c r="D78" s="267"/>
      <c r="E78" s="267"/>
      <c r="F78" s="204"/>
      <c r="G78" s="204"/>
      <c r="H78" s="204"/>
      <c r="I78" s="272">
        <f t="shared" ref="I78:Z78" si="187">IF(ISERR(I23/I$12),"-",I23/I$12)</f>
        <v>3.670787134875373E-2</v>
      </c>
      <c r="J78" s="272">
        <f t="shared" si="187"/>
        <v>3.07227919285478E-2</v>
      </c>
      <c r="K78" s="272">
        <f t="shared" si="187"/>
        <v>3.8906512409031535E-2</v>
      </c>
      <c r="L78" s="272">
        <f t="shared" si="187"/>
        <v>3.7822232590691708E-2</v>
      </c>
      <c r="M78" s="272">
        <f t="shared" si="187"/>
        <v>2.3681640625E-2</v>
      </c>
      <c r="N78" s="272">
        <f t="shared" si="187"/>
        <v>3.4034059980818578E-2</v>
      </c>
      <c r="O78" s="272">
        <f t="shared" si="187"/>
        <v>3.9574366331898612E-2</v>
      </c>
      <c r="P78" s="272">
        <f t="shared" si="187"/>
        <v>3.1711476361525347E-2</v>
      </c>
      <c r="Q78" s="272">
        <f t="shared" si="187"/>
        <v>3.0724574842221901E-2</v>
      </c>
      <c r="R78" s="272">
        <f t="shared" si="187"/>
        <v>2.1459019569850805E-2</v>
      </c>
      <c r="S78" s="272">
        <f t="shared" si="187"/>
        <v>2.6000988630746416E-2</v>
      </c>
      <c r="T78" s="272">
        <f t="shared" si="187"/>
        <v>3.0664255179217361E-2</v>
      </c>
      <c r="U78" s="272">
        <f t="shared" si="187"/>
        <v>2.3951636283019832E-2</v>
      </c>
      <c r="V78" s="272">
        <f t="shared" si="187"/>
        <v>3.4257417270957664E-2</v>
      </c>
      <c r="W78" s="272">
        <f t="shared" si="187"/>
        <v>2.6678500574292576E-2</v>
      </c>
      <c r="X78" s="272">
        <f t="shared" si="187"/>
        <v>3.0096540830301555E-2</v>
      </c>
      <c r="Y78" s="272">
        <f t="shared" si="187"/>
        <v>2.0265583192944209E-2</v>
      </c>
      <c r="Z78" s="272">
        <f t="shared" si="187"/>
        <v>3.5376244379516072E-2</v>
      </c>
      <c r="AA78" s="272">
        <f t="shared" ref="AA78" si="188">IF(ISERR(AA23/AA$12),"-",AA23/AA$12)</f>
        <v>1.919987512276343E-2</v>
      </c>
      <c r="AB78" s="272">
        <f t="shared" ref="AB78" si="189">IF(ISERR(AB23/AB$12),"-",AB23/AB$12)</f>
        <v>1.8625168484254381E-2</v>
      </c>
      <c r="AC78" s="273">
        <f>OperatingMetrics!AG244/OperatingMetrics!AG5</f>
        <v>1.5988755614042588E-2</v>
      </c>
      <c r="AD78" s="273">
        <f>OperatingMetrics!AH244/OperatingMetrics!AH5</f>
        <v>2.6143025470067961E-2</v>
      </c>
      <c r="AE78" s="273">
        <f>OperatingMetrics!AI244/OperatingMetrics!AI5</f>
        <v>1.520009400048338E-2</v>
      </c>
      <c r="AF78" s="273">
        <f>OperatingMetrics!AJ244/OperatingMetrics!AJ5</f>
        <v>1.4233032720903658E-2</v>
      </c>
      <c r="AG78" s="273">
        <f>OperatingMetrics!AK244/OperatingMetrics!AK5</f>
        <v>1.2658760045543784E-2</v>
      </c>
      <c r="AH78" s="273">
        <f>OperatingMetrics!AL244/OperatingMetrics!AL5</f>
        <v>2.1135325439661214E-2</v>
      </c>
      <c r="AI78" s="273">
        <f>OperatingMetrics!AM244/OperatingMetrics!AM5</f>
        <v>1.2297742414399005E-2</v>
      </c>
      <c r="AJ78" s="273">
        <f>OperatingMetrics!AN244/OperatingMetrics!AN5</f>
        <v>1.1369897860109257E-2</v>
      </c>
      <c r="AK78" s="273">
        <f>OperatingMetrics!AO244/OperatingMetrics!AO5</f>
        <v>1.0256754706448335E-2</v>
      </c>
      <c r="AL78" s="273">
        <f>OperatingMetrics!AP244/OperatingMetrics!AP5</f>
        <v>1.7123029832927766E-2</v>
      </c>
      <c r="AM78" s="265"/>
      <c r="AN78" s="272" t="str">
        <f t="shared" ref="AN78:AW78" si="190">IF(ISERR(AN23/AN$12),"-",AN23/AN$12)</f>
        <v>-</v>
      </c>
      <c r="AO78" s="272" t="str">
        <f t="shared" si="190"/>
        <v>-</v>
      </c>
      <c r="AP78" s="272" t="str">
        <f t="shared" si="190"/>
        <v>-</v>
      </c>
      <c r="AQ78" s="272" t="str">
        <f t="shared" si="190"/>
        <v>-</v>
      </c>
      <c r="AR78" s="272" t="str">
        <f t="shared" si="190"/>
        <v>-</v>
      </c>
      <c r="AS78" s="272" t="str">
        <f t="shared" si="190"/>
        <v>-</v>
      </c>
      <c r="AT78" s="272" t="str">
        <f t="shared" si="190"/>
        <v>-</v>
      </c>
      <c r="AU78" s="272" t="str">
        <f t="shared" si="190"/>
        <v>-</v>
      </c>
      <c r="AV78" s="272" t="str">
        <f t="shared" si="190"/>
        <v>-</v>
      </c>
      <c r="AW78" s="272" t="str">
        <f t="shared" si="190"/>
        <v>-</v>
      </c>
      <c r="AX78" s="273" t="e">
        <f t="shared" si="166"/>
        <v>#DIV/0!</v>
      </c>
      <c r="AY78" s="273" t="e">
        <f t="shared" si="167"/>
        <v>#DIV/0!</v>
      </c>
      <c r="AZ78" s="273" t="e">
        <f t="shared" si="168"/>
        <v>#DIV/0!</v>
      </c>
      <c r="BA78" s="273" t="e">
        <f t="shared" si="169"/>
        <v>#DIV/0!</v>
      </c>
      <c r="BB78" s="273" t="e">
        <f t="shared" si="170"/>
        <v>#DIV/0!</v>
      </c>
      <c r="BC78" s="273" t="e">
        <f t="shared" si="171"/>
        <v>#DIV/0!</v>
      </c>
      <c r="BD78" s="359"/>
      <c r="BE78" s="272">
        <f t="shared" si="178"/>
        <v>3.3477353845545413E-2</v>
      </c>
      <c r="BF78" s="272">
        <f t="shared" si="178"/>
        <v>3.2361805235258063E-2</v>
      </c>
      <c r="BG78" s="272">
        <f t="shared" si="178"/>
        <v>3.042362925846899E-2</v>
      </c>
      <c r="BH78" s="272">
        <f t="shared" si="178"/>
        <v>2.8465359671375954E-2</v>
      </c>
      <c r="BI78" s="272">
        <f t="shared" si="178"/>
        <v>2.7395916509551491E-2</v>
      </c>
      <c r="BJ78" s="272">
        <f t="shared" si="178"/>
        <v>1.9690444334177284E-2</v>
      </c>
      <c r="BK78" s="272">
        <f t="shared" si="178"/>
        <v>1.5533693441149398E-2</v>
      </c>
      <c r="BL78" s="272">
        <f t="shared" si="178"/>
        <v>1.2538712392788785E-2</v>
      </c>
      <c r="BM78" s="2721">
        <f>OperatingMetrics!BD244/OperatingMetrics!BD226</f>
        <v>1.0390699864487884E-2</v>
      </c>
      <c r="BN78" s="2721">
        <f>OperatingMetrics!BE244/OperatingMetrics!BE226</f>
        <v>8.858317169405449E-3</v>
      </c>
      <c r="BO78" s="2721">
        <f>OperatingMetrics!BF244/OperatingMetrics!BF226</f>
        <v>7.7510082080098101E-3</v>
      </c>
      <c r="BP78" s="2721">
        <f>OperatingMetrics!BG244/OperatingMetrics!BG226</f>
        <v>6.9330409641201619E-3</v>
      </c>
      <c r="BQ78" s="2721">
        <f>OperatingMetrics!BH244/OperatingMetrics!BH226</f>
        <v>6.3123975173058249E-3</v>
      </c>
      <c r="BR78" s="2721">
        <f>OperatingMetrics!BI244/OperatingMetrics!BI226</f>
        <v>5.8267958646873955E-3</v>
      </c>
      <c r="BS78" s="2721">
        <f>OperatingMetrics!BJ244/OperatingMetrics!BJ226</f>
        <v>5.4368924352541188E-3</v>
      </c>
      <c r="BT78" s="203"/>
      <c r="BU78" s="203"/>
    </row>
    <row r="79" spans="1:73" ht="12.75" customHeight="1" x14ac:dyDescent="0.35">
      <c r="A79" s="200"/>
      <c r="B79" s="264" t="s">
        <v>177</v>
      </c>
      <c r="C79" s="267"/>
      <c r="D79" s="267"/>
      <c r="E79" s="267"/>
      <c r="F79" s="204"/>
      <c r="G79" s="204"/>
      <c r="H79" s="204"/>
      <c r="I79" s="265">
        <f t="shared" ref="I79:Z79" si="191">IF(ISERR(I24/I$12),"-",I24/I$12)</f>
        <v>0.35995715485047619</v>
      </c>
      <c r="J79" s="265">
        <f t="shared" si="191"/>
        <v>0.21137942441283494</v>
      </c>
      <c r="K79" s="265">
        <f t="shared" si="191"/>
        <v>0.27411830565403994</v>
      </c>
      <c r="L79" s="265">
        <f t="shared" si="191"/>
        <v>0.26376414324040592</v>
      </c>
      <c r="M79" s="265">
        <f t="shared" si="191"/>
        <v>0.38807091346153844</v>
      </c>
      <c r="N79" s="265">
        <f t="shared" si="191"/>
        <v>0.24707742554239354</v>
      </c>
      <c r="O79" s="265">
        <f t="shared" si="191"/>
        <v>0.34897576916945638</v>
      </c>
      <c r="P79" s="265">
        <f t="shared" si="191"/>
        <v>0.30085991074344182</v>
      </c>
      <c r="Q79" s="265">
        <f t="shared" si="191"/>
        <v>0.3130991954521366</v>
      </c>
      <c r="R79" s="265">
        <f t="shared" si="191"/>
        <v>0.14888910417877671</v>
      </c>
      <c r="S79" s="265">
        <f t="shared" si="191"/>
        <v>9.9110232328225412E-2</v>
      </c>
      <c r="T79" s="265">
        <f t="shared" si="191"/>
        <v>0.15855921454408795</v>
      </c>
      <c r="U79" s="265">
        <f t="shared" si="191"/>
        <v>0.22849980388478658</v>
      </c>
      <c r="V79" s="265">
        <f t="shared" si="191"/>
        <v>9.3745320755524178E-2</v>
      </c>
      <c r="W79" s="265">
        <f t="shared" si="191"/>
        <v>0.21209668998642581</v>
      </c>
      <c r="X79" s="265">
        <f t="shared" si="191"/>
        <v>0.17110160733340615</v>
      </c>
      <c r="Y79" s="265">
        <f t="shared" si="191"/>
        <v>0.24502031513229611</v>
      </c>
      <c r="Z79" s="265">
        <f t="shared" si="191"/>
        <v>6.2380810749339537E-2</v>
      </c>
      <c r="AA79" s="265">
        <f t="shared" ref="AA79" si="192">IF(ISERR(AA24/AA$12),"-",AA24/AA$12)</f>
        <v>0.2257221091244935</v>
      </c>
      <c r="AB79" s="265">
        <f t="shared" ref="AB79" si="193">IF(ISERR(AB24/AB$12),"-",AB24/AB$12)</f>
        <v>8.7927821022965452E-2</v>
      </c>
      <c r="AC79" s="265">
        <f>IF(ISERR(AC24/AC$12),"-",AC24/AC$12)</f>
        <v>0.22234032475460275</v>
      </c>
      <c r="AD79" s="265">
        <f t="shared" ref="AD79:AL79" si="194">IF(ISERR(AD24/AD$12),0,AD24/AD$12)</f>
        <v>8.2758722071227808E-2</v>
      </c>
      <c r="AE79" s="265">
        <f t="shared" si="194"/>
        <v>0.20322742842213495</v>
      </c>
      <c r="AF79" s="265">
        <f t="shared" si="194"/>
        <v>6.3163248694557514E-2</v>
      </c>
      <c r="AG79" s="265">
        <f t="shared" si="194"/>
        <v>0.19842065973445816</v>
      </c>
      <c r="AH79" s="265">
        <f t="shared" si="194"/>
        <v>6.9110088669159075E-2</v>
      </c>
      <c r="AI79" s="265">
        <f t="shared" si="194"/>
        <v>0.18936610692641825</v>
      </c>
      <c r="AJ79" s="265">
        <f t="shared" si="194"/>
        <v>4.6507768705520543E-2</v>
      </c>
      <c r="AK79" s="265">
        <f t="shared" si="194"/>
        <v>0.1832666208138172</v>
      </c>
      <c r="AL79" s="265">
        <f t="shared" si="194"/>
        <v>5.4113201857291043E-2</v>
      </c>
      <c r="AM79" s="265"/>
      <c r="AN79" s="265" t="str">
        <f t="shared" ref="AN79:AW79" si="195">IF(ISERR(AN24/AN$12),"-",AN24/AN$12)</f>
        <v>-</v>
      </c>
      <c r="AO79" s="265" t="str">
        <f t="shared" si="195"/>
        <v>-</v>
      </c>
      <c r="AP79" s="265" t="str">
        <f t="shared" si="195"/>
        <v>-</v>
      </c>
      <c r="AQ79" s="265" t="str">
        <f t="shared" si="195"/>
        <v>-</v>
      </c>
      <c r="AR79" s="265" t="str">
        <f t="shared" si="195"/>
        <v>-</v>
      </c>
      <c r="AS79" s="265" t="str">
        <f t="shared" si="195"/>
        <v>-</v>
      </c>
      <c r="AT79" s="265" t="str">
        <f t="shared" si="195"/>
        <v>-</v>
      </c>
      <c r="AU79" s="265" t="str">
        <f t="shared" si="195"/>
        <v>-</v>
      </c>
      <c r="AV79" s="265" t="str">
        <f t="shared" si="195"/>
        <v>-</v>
      </c>
      <c r="AW79" s="265" t="str">
        <f t="shared" si="195"/>
        <v>-</v>
      </c>
      <c r="AX79" s="265" t="str">
        <f>IF(ISERR(AX24/AX$12),"-",AX24/AX$12)</f>
        <v>-</v>
      </c>
      <c r="AY79" s="265">
        <f>IF(ISERR(AY24/AY$12),0,AY24/AY$12)</f>
        <v>0</v>
      </c>
      <c r="AZ79" s="265">
        <f>IF(ISERR(AZ24/AZ$12),0,AZ24/AZ$12)</f>
        <v>0</v>
      </c>
      <c r="BA79" s="265">
        <f>IF(ISERR(BA24/BA$12),0,BA24/BA$12)</f>
        <v>0</v>
      </c>
      <c r="BB79" s="265">
        <f>IF(ISERR(BB24/BB$12),0,BB24/BB$12)</f>
        <v>0</v>
      </c>
      <c r="BC79" s="265">
        <f>IF(ISERR(BC24/BC$12),0,BC24/BC$12)</f>
        <v>0</v>
      </c>
      <c r="BD79" s="269"/>
      <c r="BE79" s="265">
        <f>IF(ISERR(BE24/BE$12),"-",BE24/BE$12)</f>
        <v>0.28773123201803386</v>
      </c>
      <c r="BF79" s="265">
        <f>IF(ISERR(BF24/BF$12),"-",BF24/BF$12)</f>
        <v>0.30362095872321876</v>
      </c>
      <c r="BG79" s="265">
        <f>IF(ISERR(BG24/BG$12),"-",BG24/BG$12)</f>
        <v>0.27696131316279476</v>
      </c>
      <c r="BH79" s="265">
        <f>IF(ISERR(BH24/BH$12),"-",BH24/BH$12)</f>
        <v>0.1514791266412627</v>
      </c>
      <c r="BI79" s="265">
        <f>BI24/BI12</f>
        <v>0.17937615629248732</v>
      </c>
      <c r="BJ79" s="265">
        <f>BJ24/BJ12</f>
        <v>0.15960891465137259</v>
      </c>
      <c r="BK79" s="265">
        <f>BK24/BK12</f>
        <v>0.13790418456539796</v>
      </c>
      <c r="BL79" s="265">
        <f>BL24/BL12</f>
        <v>0.12248329084947088</v>
      </c>
      <c r="BM79" s="265">
        <f t="shared" ref="BM79:BS79" si="196">BM24/BM12</f>
        <v>0.12164511581652018</v>
      </c>
      <c r="BN79" s="265">
        <f t="shared" si="196"/>
        <v>0.12017638001254451</v>
      </c>
      <c r="BO79" s="265">
        <f t="shared" si="196"/>
        <v>0.11826756488238672</v>
      </c>
      <c r="BP79" s="265">
        <f t="shared" si="196"/>
        <v>0.11605432741426527</v>
      </c>
      <c r="BQ79" s="265">
        <f t="shared" si="196"/>
        <v>0.11362861012550836</v>
      </c>
      <c r="BR79" s="265">
        <f t="shared" si="196"/>
        <v>0.11105261923887791</v>
      </c>
      <c r="BS79" s="265">
        <f t="shared" si="196"/>
        <v>0.10836562216636592</v>
      </c>
      <c r="BT79" s="203"/>
      <c r="BU79" s="203"/>
    </row>
    <row r="80" spans="1:73" ht="12.75" customHeight="1" x14ac:dyDescent="0.35">
      <c r="A80" s="200"/>
      <c r="B80" s="267"/>
      <c r="C80" s="267"/>
      <c r="D80" s="267"/>
      <c r="E80" s="267"/>
      <c r="F80" s="204"/>
      <c r="G80" s="204"/>
      <c r="H80" s="204"/>
      <c r="I80" s="359"/>
      <c r="J80" s="359"/>
      <c r="K80" s="359"/>
      <c r="L80" s="359"/>
      <c r="M80" s="359"/>
      <c r="N80" s="359"/>
      <c r="O80" s="359"/>
      <c r="P80" s="359"/>
      <c r="Q80" s="359"/>
      <c r="R80" s="359"/>
      <c r="S80" s="359"/>
      <c r="T80" s="359"/>
      <c r="U80" s="359"/>
      <c r="V80" s="359"/>
      <c r="W80" s="359"/>
      <c r="X80" s="359"/>
      <c r="Y80" s="359"/>
      <c r="Z80" s="359"/>
      <c r="AA80" s="359"/>
      <c r="AB80" s="359"/>
      <c r="AC80" s="359"/>
      <c r="AD80" s="359"/>
      <c r="AE80" s="359"/>
      <c r="AF80" s="359"/>
      <c r="AG80" s="359"/>
      <c r="AH80" s="359"/>
      <c r="AI80" s="359"/>
      <c r="AJ80" s="359"/>
      <c r="AK80" s="359"/>
      <c r="AL80" s="359"/>
      <c r="AM80" s="265"/>
      <c r="AN80" s="359"/>
      <c r="AO80" s="359"/>
      <c r="AP80" s="359"/>
      <c r="AQ80" s="359"/>
      <c r="AR80" s="359"/>
      <c r="AS80" s="359"/>
      <c r="AT80" s="359"/>
      <c r="AU80" s="359"/>
      <c r="AV80" s="359"/>
      <c r="AW80" s="359"/>
      <c r="AX80" s="359"/>
      <c r="AY80" s="359"/>
      <c r="AZ80" s="359"/>
      <c r="BA80" s="359"/>
      <c r="BB80" s="359"/>
      <c r="BC80" s="359"/>
      <c r="BD80" s="359"/>
      <c r="BE80" s="359"/>
      <c r="BF80" s="359"/>
      <c r="BG80" s="359"/>
      <c r="BH80" s="359"/>
      <c r="BI80" s="359"/>
      <c r="BJ80" s="359"/>
      <c r="BK80" s="359"/>
      <c r="BL80" s="359"/>
      <c r="BM80" s="355"/>
      <c r="BN80" s="355"/>
      <c r="BO80" s="355"/>
      <c r="BP80" s="355"/>
      <c r="BQ80" s="355"/>
      <c r="BR80" s="355"/>
      <c r="BS80" s="355"/>
      <c r="BT80" s="203"/>
      <c r="BU80" s="203"/>
    </row>
    <row r="81" spans="1:73" ht="12.75" customHeight="1" x14ac:dyDescent="0.35">
      <c r="A81" s="200"/>
      <c r="B81" s="236" t="s">
        <v>178</v>
      </c>
      <c r="C81" s="201"/>
      <c r="D81" s="267"/>
      <c r="E81" s="267"/>
      <c r="F81" s="204"/>
      <c r="G81" s="204"/>
      <c r="H81" s="204"/>
      <c r="I81" s="269">
        <f t="shared" ref="I81:AL81" si="197">IF(ISERR(I31/I$12),"-",I31/I$12)</f>
        <v>0</v>
      </c>
      <c r="J81" s="269">
        <f t="shared" si="197"/>
        <v>0</v>
      </c>
      <c r="K81" s="269">
        <f t="shared" si="197"/>
        <v>0</v>
      </c>
      <c r="L81" s="269">
        <f t="shared" si="197"/>
        <v>0</v>
      </c>
      <c r="M81" s="269">
        <f t="shared" si="197"/>
        <v>0</v>
      </c>
      <c r="N81" s="269">
        <f t="shared" si="197"/>
        <v>0</v>
      </c>
      <c r="O81" s="269">
        <f t="shared" si="197"/>
        <v>0</v>
      </c>
      <c r="P81" s="269">
        <f t="shared" si="197"/>
        <v>0</v>
      </c>
      <c r="Q81" s="269">
        <f t="shared" si="197"/>
        <v>0</v>
      </c>
      <c r="R81" s="269">
        <f t="shared" si="197"/>
        <v>0</v>
      </c>
      <c r="S81" s="269">
        <f t="shared" si="197"/>
        <v>0</v>
      </c>
      <c r="T81" s="269">
        <f t="shared" si="197"/>
        <v>0</v>
      </c>
      <c r="U81" s="269">
        <f t="shared" si="197"/>
        <v>0</v>
      </c>
      <c r="V81" s="269">
        <f t="shared" si="197"/>
        <v>0</v>
      </c>
      <c r="W81" s="269">
        <f t="shared" si="197"/>
        <v>0</v>
      </c>
      <c r="X81" s="269">
        <f t="shared" si="197"/>
        <v>0</v>
      </c>
      <c r="Y81" s="269">
        <f t="shared" si="197"/>
        <v>0</v>
      </c>
      <c r="Z81" s="269">
        <f t="shared" si="197"/>
        <v>0</v>
      </c>
      <c r="AA81" s="269">
        <f t="shared" si="197"/>
        <v>0</v>
      </c>
      <c r="AB81" s="269">
        <f t="shared" ref="AB81" si="198">IF(ISERR(AB31/AB$12),"-",AB31/AB$12)</f>
        <v>0</v>
      </c>
      <c r="AC81" s="269">
        <f t="shared" si="197"/>
        <v>0</v>
      </c>
      <c r="AD81" s="269">
        <f t="shared" si="197"/>
        <v>0</v>
      </c>
      <c r="AE81" s="269">
        <f t="shared" si="197"/>
        <v>0</v>
      </c>
      <c r="AF81" s="269">
        <f t="shared" si="197"/>
        <v>0</v>
      </c>
      <c r="AG81" s="269">
        <f t="shared" si="197"/>
        <v>0</v>
      </c>
      <c r="AH81" s="269">
        <f t="shared" si="197"/>
        <v>0</v>
      </c>
      <c r="AI81" s="269">
        <f t="shared" si="197"/>
        <v>0</v>
      </c>
      <c r="AJ81" s="269">
        <f t="shared" si="197"/>
        <v>0</v>
      </c>
      <c r="AK81" s="269">
        <f t="shared" si="197"/>
        <v>0</v>
      </c>
      <c r="AL81" s="269">
        <f t="shared" si="197"/>
        <v>0</v>
      </c>
      <c r="AM81" s="265"/>
      <c r="AN81" s="269" t="str">
        <f t="shared" ref="AN81:BC81" si="199">IF(ISERR(AN31/AN$12),"-",AN31/AN$12)</f>
        <v>-</v>
      </c>
      <c r="AO81" s="269" t="str">
        <f t="shared" si="199"/>
        <v>-</v>
      </c>
      <c r="AP81" s="269" t="str">
        <f t="shared" si="199"/>
        <v>-</v>
      </c>
      <c r="AQ81" s="269" t="str">
        <f t="shared" si="199"/>
        <v>-</v>
      </c>
      <c r="AR81" s="269" t="str">
        <f t="shared" si="199"/>
        <v>-</v>
      </c>
      <c r="AS81" s="269" t="str">
        <f t="shared" si="199"/>
        <v>-</v>
      </c>
      <c r="AT81" s="269" t="str">
        <f t="shared" si="199"/>
        <v>-</v>
      </c>
      <c r="AU81" s="269" t="str">
        <f t="shared" si="199"/>
        <v>-</v>
      </c>
      <c r="AV81" s="269" t="str">
        <f t="shared" si="199"/>
        <v>-</v>
      </c>
      <c r="AW81" s="269" t="str">
        <f t="shared" si="199"/>
        <v>-</v>
      </c>
      <c r="AX81" s="269">
        <f t="shared" si="199"/>
        <v>0</v>
      </c>
      <c r="AY81" s="269" t="str">
        <f t="shared" si="199"/>
        <v>-</v>
      </c>
      <c r="AZ81" s="269" t="str">
        <f t="shared" si="199"/>
        <v>-</v>
      </c>
      <c r="BA81" s="269" t="str">
        <f t="shared" si="199"/>
        <v>-</v>
      </c>
      <c r="BB81" s="269" t="str">
        <f t="shared" si="199"/>
        <v>-</v>
      </c>
      <c r="BC81" s="269" t="str">
        <f t="shared" si="199"/>
        <v>-</v>
      </c>
      <c r="BD81" s="269"/>
      <c r="BE81" s="269">
        <f t="shared" ref="BE81:BS81" si="200">IF(ISERR(BE31/BE12),"-",BE31/BE12)</f>
        <v>0</v>
      </c>
      <c r="BF81" s="269">
        <f t="shared" si="200"/>
        <v>0</v>
      </c>
      <c r="BG81" s="269">
        <f t="shared" si="200"/>
        <v>0</v>
      </c>
      <c r="BH81" s="269">
        <f t="shared" si="200"/>
        <v>0</v>
      </c>
      <c r="BI81" s="269">
        <f t="shared" si="200"/>
        <v>0</v>
      </c>
      <c r="BJ81" s="269">
        <f t="shared" si="200"/>
        <v>0</v>
      </c>
      <c r="BK81" s="269">
        <f t="shared" si="200"/>
        <v>0</v>
      </c>
      <c r="BL81" s="269">
        <f t="shared" si="200"/>
        <v>0</v>
      </c>
      <c r="BM81" s="269">
        <f t="shared" si="200"/>
        <v>0</v>
      </c>
      <c r="BN81" s="269">
        <f t="shared" si="200"/>
        <v>0</v>
      </c>
      <c r="BO81" s="269">
        <f t="shared" si="200"/>
        <v>0</v>
      </c>
      <c r="BP81" s="269">
        <f t="shared" si="200"/>
        <v>0</v>
      </c>
      <c r="BQ81" s="269">
        <f t="shared" si="200"/>
        <v>0</v>
      </c>
      <c r="BR81" s="269">
        <f t="shared" si="200"/>
        <v>0</v>
      </c>
      <c r="BS81" s="269">
        <f t="shared" si="200"/>
        <v>0</v>
      </c>
      <c r="BT81" s="203"/>
      <c r="BU81" s="203"/>
    </row>
    <row r="82" spans="1:73" ht="12.75" customHeight="1" x14ac:dyDescent="0.35">
      <c r="A82" s="200"/>
      <c r="B82" s="267"/>
      <c r="C82" s="232" t="s">
        <v>179</v>
      </c>
      <c r="D82" s="267"/>
      <c r="E82" s="267"/>
      <c r="F82" s="204"/>
      <c r="G82" s="204"/>
      <c r="H82" s="204"/>
      <c r="I82" s="359">
        <f t="shared" ref="I82:AL82" si="201">IF(ISERR(I32/I$12),"-",I32/I$12)</f>
        <v>0</v>
      </c>
      <c r="J82" s="359">
        <f t="shared" si="201"/>
        <v>0</v>
      </c>
      <c r="K82" s="359">
        <f t="shared" si="201"/>
        <v>0</v>
      </c>
      <c r="L82" s="359">
        <f t="shared" si="201"/>
        <v>0</v>
      </c>
      <c r="M82" s="359">
        <f t="shared" si="201"/>
        <v>0</v>
      </c>
      <c r="N82" s="359">
        <f t="shared" si="201"/>
        <v>0</v>
      </c>
      <c r="O82" s="359">
        <f t="shared" si="201"/>
        <v>0</v>
      </c>
      <c r="P82" s="359">
        <f t="shared" si="201"/>
        <v>0</v>
      </c>
      <c r="Q82" s="359">
        <f t="shared" si="201"/>
        <v>0</v>
      </c>
      <c r="R82" s="359">
        <f t="shared" si="201"/>
        <v>0</v>
      </c>
      <c r="S82" s="359">
        <f t="shared" si="201"/>
        <v>0</v>
      </c>
      <c r="T82" s="359">
        <f t="shared" si="201"/>
        <v>0</v>
      </c>
      <c r="U82" s="359">
        <f t="shared" si="201"/>
        <v>0</v>
      </c>
      <c r="V82" s="359">
        <f t="shared" si="201"/>
        <v>0</v>
      </c>
      <c r="W82" s="359">
        <f t="shared" si="201"/>
        <v>0</v>
      </c>
      <c r="X82" s="359">
        <f t="shared" si="201"/>
        <v>0</v>
      </c>
      <c r="Y82" s="359">
        <f t="shared" si="201"/>
        <v>0</v>
      </c>
      <c r="Z82" s="359">
        <f t="shared" si="201"/>
        <v>0</v>
      </c>
      <c r="AA82" s="359">
        <f t="shared" si="201"/>
        <v>0</v>
      </c>
      <c r="AB82" s="359">
        <f t="shared" ref="AB82" si="202">IF(ISERR(AB32/AB$12),"-",AB32/AB$12)</f>
        <v>0</v>
      </c>
      <c r="AC82" s="359">
        <f t="shared" si="201"/>
        <v>0</v>
      </c>
      <c r="AD82" s="359">
        <f t="shared" si="201"/>
        <v>0</v>
      </c>
      <c r="AE82" s="359">
        <f t="shared" si="201"/>
        <v>0</v>
      </c>
      <c r="AF82" s="359">
        <f t="shared" si="201"/>
        <v>0</v>
      </c>
      <c r="AG82" s="359">
        <f t="shared" si="201"/>
        <v>0</v>
      </c>
      <c r="AH82" s="359">
        <f t="shared" si="201"/>
        <v>0</v>
      </c>
      <c r="AI82" s="359">
        <f t="shared" si="201"/>
        <v>0</v>
      </c>
      <c r="AJ82" s="359">
        <f t="shared" si="201"/>
        <v>0</v>
      </c>
      <c r="AK82" s="359">
        <f t="shared" si="201"/>
        <v>0</v>
      </c>
      <c r="AL82" s="359">
        <f t="shared" si="201"/>
        <v>0</v>
      </c>
      <c r="AM82" s="265"/>
      <c r="AN82" s="359" t="str">
        <f t="shared" ref="AN82:BC82" si="203">IF(ISERR(AN32/AN$12),"-",AN32/AN$12)</f>
        <v>-</v>
      </c>
      <c r="AO82" s="359" t="str">
        <f t="shared" si="203"/>
        <v>-</v>
      </c>
      <c r="AP82" s="359" t="str">
        <f t="shared" si="203"/>
        <v>-</v>
      </c>
      <c r="AQ82" s="359" t="str">
        <f t="shared" si="203"/>
        <v>-</v>
      </c>
      <c r="AR82" s="359" t="str">
        <f t="shared" si="203"/>
        <v>-</v>
      </c>
      <c r="AS82" s="359" t="str">
        <f t="shared" si="203"/>
        <v>-</v>
      </c>
      <c r="AT82" s="359" t="str">
        <f t="shared" si="203"/>
        <v>-</v>
      </c>
      <c r="AU82" s="359" t="str">
        <f t="shared" si="203"/>
        <v>-</v>
      </c>
      <c r="AV82" s="359" t="str">
        <f t="shared" si="203"/>
        <v>-</v>
      </c>
      <c r="AW82" s="359" t="str">
        <f t="shared" si="203"/>
        <v>-</v>
      </c>
      <c r="AX82" s="359">
        <f t="shared" si="203"/>
        <v>0</v>
      </c>
      <c r="AY82" s="359">
        <f t="shared" si="203"/>
        <v>0</v>
      </c>
      <c r="AZ82" s="359">
        <f t="shared" si="203"/>
        <v>0</v>
      </c>
      <c r="BA82" s="359">
        <f t="shared" si="203"/>
        <v>0</v>
      </c>
      <c r="BB82" s="359">
        <f t="shared" si="203"/>
        <v>0</v>
      </c>
      <c r="BC82" s="359">
        <f t="shared" si="203"/>
        <v>0</v>
      </c>
      <c r="BD82" s="359"/>
      <c r="BE82" s="359">
        <f t="shared" ref="BE82:BS82" si="204">IF(ISERR(BE32/BE12),"-",BE32/BE12)</f>
        <v>0</v>
      </c>
      <c r="BF82" s="359">
        <f t="shared" si="204"/>
        <v>0</v>
      </c>
      <c r="BG82" s="359">
        <f t="shared" si="204"/>
        <v>0</v>
      </c>
      <c r="BH82" s="359">
        <f t="shared" si="204"/>
        <v>0</v>
      </c>
      <c r="BI82" s="359">
        <f t="shared" si="204"/>
        <v>0</v>
      </c>
      <c r="BJ82" s="359">
        <f t="shared" si="204"/>
        <v>0</v>
      </c>
      <c r="BK82" s="359">
        <f t="shared" si="204"/>
        <v>0</v>
      </c>
      <c r="BL82" s="359">
        <f t="shared" si="204"/>
        <v>0</v>
      </c>
      <c r="BM82" s="359">
        <f t="shared" si="204"/>
        <v>0</v>
      </c>
      <c r="BN82" s="359">
        <f t="shared" si="204"/>
        <v>0</v>
      </c>
      <c r="BO82" s="359">
        <f t="shared" si="204"/>
        <v>0</v>
      </c>
      <c r="BP82" s="359">
        <f t="shared" si="204"/>
        <v>0</v>
      </c>
      <c r="BQ82" s="359">
        <f t="shared" si="204"/>
        <v>0</v>
      </c>
      <c r="BR82" s="359">
        <f t="shared" si="204"/>
        <v>0</v>
      </c>
      <c r="BS82" s="359">
        <f t="shared" si="204"/>
        <v>0</v>
      </c>
      <c r="BT82" s="203"/>
      <c r="BU82" s="203"/>
    </row>
    <row r="83" spans="1:73" ht="12.75" customHeight="1" x14ac:dyDescent="0.35">
      <c r="A83" s="200"/>
      <c r="B83" s="267"/>
      <c r="C83" s="232" t="s">
        <v>180</v>
      </c>
      <c r="D83" s="267"/>
      <c r="E83" s="267"/>
      <c r="F83" s="204"/>
      <c r="G83" s="204"/>
      <c r="H83" s="204"/>
      <c r="I83" s="359">
        <f t="shared" ref="I83:AL83" si="205">IF(ISERR(I33/I$12),"-",I33/I$12)</f>
        <v>0</v>
      </c>
      <c r="J83" s="359">
        <f t="shared" si="205"/>
        <v>0</v>
      </c>
      <c r="K83" s="359">
        <f t="shared" si="205"/>
        <v>0</v>
      </c>
      <c r="L83" s="359">
        <f t="shared" si="205"/>
        <v>0</v>
      </c>
      <c r="M83" s="359">
        <f t="shared" si="205"/>
        <v>0</v>
      </c>
      <c r="N83" s="359">
        <f t="shared" si="205"/>
        <v>0</v>
      </c>
      <c r="O83" s="359">
        <f t="shared" si="205"/>
        <v>0</v>
      </c>
      <c r="P83" s="359">
        <f t="shared" si="205"/>
        <v>0</v>
      </c>
      <c r="Q83" s="359">
        <f t="shared" si="205"/>
        <v>0</v>
      </c>
      <c r="R83" s="359">
        <f t="shared" si="205"/>
        <v>0</v>
      </c>
      <c r="S83" s="359">
        <f t="shared" si="205"/>
        <v>0</v>
      </c>
      <c r="T83" s="359">
        <f t="shared" si="205"/>
        <v>0</v>
      </c>
      <c r="U83" s="359">
        <f t="shared" si="205"/>
        <v>0</v>
      </c>
      <c r="V83" s="359">
        <f t="shared" si="205"/>
        <v>0</v>
      </c>
      <c r="W83" s="359">
        <f t="shared" si="205"/>
        <v>0</v>
      </c>
      <c r="X83" s="359">
        <f t="shared" si="205"/>
        <v>0</v>
      </c>
      <c r="Y83" s="359">
        <f t="shared" si="205"/>
        <v>0</v>
      </c>
      <c r="Z83" s="359">
        <f t="shared" si="205"/>
        <v>0</v>
      </c>
      <c r="AA83" s="359">
        <f t="shared" si="205"/>
        <v>0</v>
      </c>
      <c r="AB83" s="359">
        <f t="shared" ref="AB83" si="206">IF(ISERR(AB33/AB$12),"-",AB33/AB$12)</f>
        <v>0</v>
      </c>
      <c r="AC83" s="359">
        <f t="shared" si="205"/>
        <v>0</v>
      </c>
      <c r="AD83" s="359">
        <f t="shared" si="205"/>
        <v>0</v>
      </c>
      <c r="AE83" s="359">
        <f t="shared" si="205"/>
        <v>0</v>
      </c>
      <c r="AF83" s="359">
        <f t="shared" si="205"/>
        <v>0</v>
      </c>
      <c r="AG83" s="359">
        <f t="shared" si="205"/>
        <v>0</v>
      </c>
      <c r="AH83" s="359">
        <f t="shared" si="205"/>
        <v>0</v>
      </c>
      <c r="AI83" s="359">
        <f t="shared" si="205"/>
        <v>0</v>
      </c>
      <c r="AJ83" s="359">
        <f t="shared" si="205"/>
        <v>0</v>
      </c>
      <c r="AK83" s="359">
        <f t="shared" si="205"/>
        <v>0</v>
      </c>
      <c r="AL83" s="359">
        <f t="shared" si="205"/>
        <v>0</v>
      </c>
      <c r="AM83" s="265"/>
      <c r="AN83" s="359" t="str">
        <f t="shared" ref="AN83:BC83" si="207">IF(ISERR(AN33/AN$12),"-",AN33/AN$12)</f>
        <v>-</v>
      </c>
      <c r="AO83" s="359" t="str">
        <f t="shared" si="207"/>
        <v>-</v>
      </c>
      <c r="AP83" s="359" t="str">
        <f t="shared" si="207"/>
        <v>-</v>
      </c>
      <c r="AQ83" s="359" t="str">
        <f t="shared" si="207"/>
        <v>-</v>
      </c>
      <c r="AR83" s="359" t="str">
        <f t="shared" si="207"/>
        <v>-</v>
      </c>
      <c r="AS83" s="359" t="str">
        <f t="shared" si="207"/>
        <v>-</v>
      </c>
      <c r="AT83" s="359" t="str">
        <f t="shared" si="207"/>
        <v>-</v>
      </c>
      <c r="AU83" s="359" t="str">
        <f t="shared" si="207"/>
        <v>-</v>
      </c>
      <c r="AV83" s="359" t="str">
        <f t="shared" si="207"/>
        <v>-</v>
      </c>
      <c r="AW83" s="359" t="str">
        <f t="shared" si="207"/>
        <v>-</v>
      </c>
      <c r="AX83" s="359">
        <f t="shared" si="207"/>
        <v>0</v>
      </c>
      <c r="AY83" s="359">
        <f t="shared" si="207"/>
        <v>0</v>
      </c>
      <c r="AZ83" s="359">
        <f t="shared" si="207"/>
        <v>0</v>
      </c>
      <c r="BA83" s="359">
        <f t="shared" si="207"/>
        <v>0</v>
      </c>
      <c r="BB83" s="359">
        <f t="shared" si="207"/>
        <v>0</v>
      </c>
      <c r="BC83" s="359">
        <f t="shared" si="207"/>
        <v>0</v>
      </c>
      <c r="BD83" s="359"/>
      <c r="BE83" s="359">
        <f t="shared" ref="BE83:BS83" si="208">IF(ISERR(BE33/BE12),"-",BE33/BE12)</f>
        <v>0</v>
      </c>
      <c r="BF83" s="359">
        <f t="shared" si="208"/>
        <v>0</v>
      </c>
      <c r="BG83" s="359">
        <f t="shared" si="208"/>
        <v>0</v>
      </c>
      <c r="BH83" s="359">
        <f t="shared" si="208"/>
        <v>0</v>
      </c>
      <c r="BI83" s="359">
        <f t="shared" si="208"/>
        <v>0</v>
      </c>
      <c r="BJ83" s="359">
        <f t="shared" si="208"/>
        <v>0</v>
      </c>
      <c r="BK83" s="359">
        <f t="shared" si="208"/>
        <v>0</v>
      </c>
      <c r="BL83" s="359">
        <f t="shared" si="208"/>
        <v>0</v>
      </c>
      <c r="BM83" s="359">
        <f t="shared" si="208"/>
        <v>0</v>
      </c>
      <c r="BN83" s="359">
        <f t="shared" si="208"/>
        <v>0</v>
      </c>
      <c r="BO83" s="359">
        <f t="shared" si="208"/>
        <v>0</v>
      </c>
      <c r="BP83" s="359">
        <f t="shared" si="208"/>
        <v>0</v>
      </c>
      <c r="BQ83" s="359">
        <f t="shared" si="208"/>
        <v>0</v>
      </c>
      <c r="BR83" s="359">
        <f t="shared" si="208"/>
        <v>0</v>
      </c>
      <c r="BS83" s="359">
        <f t="shared" si="208"/>
        <v>0</v>
      </c>
      <c r="BT83" s="203"/>
      <c r="BU83" s="203"/>
    </row>
    <row r="84" spans="1:73" ht="12.75" customHeight="1" x14ac:dyDescent="0.35">
      <c r="A84" s="200"/>
      <c r="B84" s="267"/>
      <c r="C84" s="232" t="s">
        <v>181</v>
      </c>
      <c r="D84" s="267"/>
      <c r="E84" s="267"/>
      <c r="F84" s="204"/>
      <c r="G84" s="204"/>
      <c r="H84" s="204"/>
      <c r="I84" s="359">
        <f t="shared" ref="I84:AL84" si="209">IF(ISERR(I34/I$12),"-",I34/I$12)</f>
        <v>-0.1179978577425238</v>
      </c>
      <c r="J84" s="359">
        <f t="shared" si="209"/>
        <v>-0.11325669864373139</v>
      </c>
      <c r="K84" s="359">
        <f t="shared" si="209"/>
        <v>-5.8686322075013994E-2</v>
      </c>
      <c r="L84" s="359">
        <f t="shared" si="209"/>
        <v>-1.8050857342820484E-2</v>
      </c>
      <c r="M84" s="359">
        <f t="shared" si="209"/>
        <v>-5.9175931490384616E-2</v>
      </c>
      <c r="N84" s="359">
        <f t="shared" si="209"/>
        <v>-0.16374193213924673</v>
      </c>
      <c r="O84" s="359">
        <f t="shared" si="209"/>
        <v>-5.0992348158775708E-2</v>
      </c>
      <c r="P84" s="359">
        <f t="shared" si="209"/>
        <v>-8.0276477631435722E-2</v>
      </c>
      <c r="Q84" s="359">
        <f t="shared" si="209"/>
        <v>-0.27040275569687333</v>
      </c>
      <c r="R84" s="359">
        <f t="shared" si="209"/>
        <v>-2.6706710585803786E-2</v>
      </c>
      <c r="S84" s="359">
        <f t="shared" si="209"/>
        <v>-7.3529411764705885E-2</v>
      </c>
      <c r="T84" s="359">
        <f t="shared" si="209"/>
        <v>-4.4193639310377224E-2</v>
      </c>
      <c r="U84" s="359">
        <f t="shared" si="209"/>
        <v>-9.0494380872797972E-2</v>
      </c>
      <c r="V84" s="359">
        <f t="shared" si="209"/>
        <v>-0.20119146933624249</v>
      </c>
      <c r="W84" s="359">
        <f t="shared" si="209"/>
        <v>-8.1967213114754103E-3</v>
      </c>
      <c r="X84" s="359">
        <f t="shared" si="209"/>
        <v>-0.5474764109328919</v>
      </c>
      <c r="Y84" s="359">
        <f t="shared" si="209"/>
        <v>-0.104139827569121</v>
      </c>
      <c r="Z84" s="359">
        <f t="shared" si="209"/>
        <v>6.7358328813618626E-2</v>
      </c>
      <c r="AA84" s="359">
        <f t="shared" si="209"/>
        <v>-0.14638603976559503</v>
      </c>
      <c r="AB84" s="359">
        <f t="shared" ref="AB84" si="210">IF(ISERR(AB34/AB$12),"-",AB34/AB$12)</f>
        <v>-6.8083761664914644E-2</v>
      </c>
      <c r="AC84" s="359">
        <f t="shared" si="209"/>
        <v>-8.2162266777051365E-2</v>
      </c>
      <c r="AD84" s="359">
        <f t="shared" si="209"/>
        <v>4.9777768575549775E-2</v>
      </c>
      <c r="AE84" s="359">
        <f t="shared" si="209"/>
        <v>-0.11589041858701878</v>
      </c>
      <c r="AF84" s="359">
        <f t="shared" si="209"/>
        <v>-5.2028437131087228E-2</v>
      </c>
      <c r="AG84" s="359">
        <f t="shared" si="209"/>
        <v>-6.5050241872180073E-2</v>
      </c>
      <c r="AH84" s="359">
        <f t="shared" si="209"/>
        <v>4.0242830337633859E-2</v>
      </c>
      <c r="AI84" s="359">
        <f t="shared" si="209"/>
        <v>-9.3761954105988615E-2</v>
      </c>
      <c r="AJ84" s="359">
        <f t="shared" si="209"/>
        <v>-4.1562330924229028E-2</v>
      </c>
      <c r="AK84" s="359">
        <f t="shared" si="209"/>
        <v>-5.2706929594811221E-2</v>
      </c>
      <c r="AL84" s="359">
        <f t="shared" si="209"/>
        <v>3.2603197258541987E-2</v>
      </c>
      <c r="AM84" s="265"/>
      <c r="AN84" s="359" t="str">
        <f t="shared" ref="AN84:BC84" si="211">IF(ISERR(AN34/AN$12),"-",AN34/AN$12)</f>
        <v>-</v>
      </c>
      <c r="AO84" s="359" t="str">
        <f t="shared" si="211"/>
        <v>-</v>
      </c>
      <c r="AP84" s="359" t="str">
        <f t="shared" si="211"/>
        <v>-</v>
      </c>
      <c r="AQ84" s="359" t="str">
        <f t="shared" si="211"/>
        <v>-</v>
      </c>
      <c r="AR84" s="359" t="str">
        <f t="shared" si="211"/>
        <v>-</v>
      </c>
      <c r="AS84" s="359" t="str">
        <f t="shared" si="211"/>
        <v>-</v>
      </c>
      <c r="AT84" s="359" t="str">
        <f t="shared" si="211"/>
        <v>-</v>
      </c>
      <c r="AU84" s="359" t="str">
        <f t="shared" si="211"/>
        <v>-</v>
      </c>
      <c r="AV84" s="359" t="str">
        <f t="shared" si="211"/>
        <v>-</v>
      </c>
      <c r="AW84" s="359" t="str">
        <f t="shared" si="211"/>
        <v>-</v>
      </c>
      <c r="AX84" s="359">
        <f t="shared" si="211"/>
        <v>0</v>
      </c>
      <c r="AY84" s="359">
        <f t="shared" si="211"/>
        <v>0</v>
      </c>
      <c r="AZ84" s="359">
        <f t="shared" si="211"/>
        <v>0</v>
      </c>
      <c r="BA84" s="359">
        <f t="shared" si="211"/>
        <v>0</v>
      </c>
      <c r="BB84" s="359">
        <f t="shared" si="211"/>
        <v>0</v>
      </c>
      <c r="BC84" s="359">
        <f t="shared" si="211"/>
        <v>0</v>
      </c>
      <c r="BD84" s="359"/>
      <c r="BE84" s="359">
        <f t="shared" ref="BE84:BS84" si="212">IF(ISERR(BE34/BE12),"-",BE34/BE12)</f>
        <v>0.51774220657880432</v>
      </c>
      <c r="BF84" s="359">
        <f t="shared" si="212"/>
        <v>7.5654091348492797E-2</v>
      </c>
      <c r="BG84" s="359">
        <f t="shared" si="212"/>
        <v>0.12422382584929635</v>
      </c>
      <c r="BH84" s="359">
        <f t="shared" si="212"/>
        <v>0.10385464542357049</v>
      </c>
      <c r="BI84" s="359">
        <f t="shared" si="212"/>
        <v>0.14756401176352874</v>
      </c>
      <c r="BJ84" s="359">
        <f t="shared" si="212"/>
        <v>-6.3127360985628572E-2</v>
      </c>
      <c r="BK84" s="359">
        <f t="shared" si="212"/>
        <v>-4.9800860592946132E-2</v>
      </c>
      <c r="BL84" s="359">
        <f t="shared" si="212"/>
        <v>-4.0198982312484442E-2</v>
      </c>
      <c r="BM84" s="359">
        <f t="shared" si="212"/>
        <v>-3.2941425059899172E-2</v>
      </c>
      <c r="BN84" s="359">
        <f t="shared" si="212"/>
        <v>-2.7735380284143431E-2</v>
      </c>
      <c r="BO84" s="359">
        <f t="shared" si="212"/>
        <v>-2.3933483725727473E-2</v>
      </c>
      <c r="BP84" s="359">
        <f t="shared" si="212"/>
        <v>-2.1078245877886644E-2</v>
      </c>
      <c r="BQ84" s="359">
        <f t="shared" si="212"/>
        <v>-1.8861297928669571E-2</v>
      </c>
      <c r="BR84" s="359">
        <f t="shared" si="212"/>
        <v>-1.7075225277451284E-2</v>
      </c>
      <c r="BS84" s="359">
        <f t="shared" si="212"/>
        <v>-1.5588676117826186E-2</v>
      </c>
      <c r="BT84" s="203"/>
      <c r="BU84" s="203"/>
    </row>
    <row r="85" spans="1:73" ht="12.75" customHeight="1" x14ac:dyDescent="0.35">
      <c r="A85" s="200"/>
      <c r="B85" s="264" t="s">
        <v>182</v>
      </c>
      <c r="C85" s="264"/>
      <c r="D85" s="264"/>
      <c r="E85" s="264"/>
      <c r="F85" s="204"/>
      <c r="G85" s="204"/>
      <c r="H85" s="204"/>
      <c r="I85" s="269">
        <f t="shared" ref="I85:AL85" si="213">IF(ISERR(I35/I$12),"-",I35/I$12)</f>
        <v>0.47795501259300005</v>
      </c>
      <c r="J85" s="269">
        <f t="shared" si="213"/>
        <v>0.32463612305656631</v>
      </c>
      <c r="K85" s="269">
        <f t="shared" si="213"/>
        <v>0.33280462772905395</v>
      </c>
      <c r="L85" s="269">
        <f t="shared" si="213"/>
        <v>0.28181500058322639</v>
      </c>
      <c r="M85" s="269">
        <f t="shared" si="213"/>
        <v>0.44724684495192307</v>
      </c>
      <c r="N85" s="269">
        <f t="shared" si="213"/>
        <v>0.4108193576816403</v>
      </c>
      <c r="O85" s="269">
        <f t="shared" si="213"/>
        <v>0.39996811732823212</v>
      </c>
      <c r="P85" s="269">
        <f t="shared" si="213"/>
        <v>0.38113638837487757</v>
      </c>
      <c r="Q85" s="269">
        <f t="shared" si="213"/>
        <v>0.58350195114900993</v>
      </c>
      <c r="R85" s="269">
        <f t="shared" si="213"/>
        <v>0.1755958147645805</v>
      </c>
      <c r="S85" s="269">
        <f t="shared" si="213"/>
        <v>0.17263964409293128</v>
      </c>
      <c r="T85" s="269">
        <f t="shared" si="213"/>
        <v>0.20275285385446518</v>
      </c>
      <c r="U85" s="269">
        <f t="shared" si="213"/>
        <v>0.31899418475758456</v>
      </c>
      <c r="V85" s="269">
        <f t="shared" si="213"/>
        <v>0.29493679009176665</v>
      </c>
      <c r="W85" s="269">
        <f t="shared" si="213"/>
        <v>0.22029341129790123</v>
      </c>
      <c r="X85" s="269">
        <f t="shared" si="213"/>
        <v>0.71857801826629808</v>
      </c>
      <c r="Y85" s="269">
        <f t="shared" si="213"/>
        <v>0.3491601427014171</v>
      </c>
      <c r="Z85" s="269">
        <f t="shared" si="213"/>
        <v>-4.977518064279091E-3</v>
      </c>
      <c r="AA85" s="269">
        <f t="shared" si="213"/>
        <v>0.37210814889008853</v>
      </c>
      <c r="AB85" s="269">
        <f t="shared" ref="AB85" si="214">IF(ISERR(AB35/AB$12),"-",AB35/AB$12)</f>
        <v>0.1560115826878801</v>
      </c>
      <c r="AC85" s="269">
        <f t="shared" si="213"/>
        <v>0.3045025915316541</v>
      </c>
      <c r="AD85" s="269">
        <f t="shared" si="213"/>
        <v>3.2980953495678041E-2</v>
      </c>
      <c r="AE85" s="269">
        <f t="shared" si="213"/>
        <v>0.31911784700915374</v>
      </c>
      <c r="AF85" s="269">
        <f t="shared" si="213"/>
        <v>0.11519168582564475</v>
      </c>
      <c r="AG85" s="269">
        <f t="shared" si="213"/>
        <v>0.26347090160663827</v>
      </c>
      <c r="AH85" s="269">
        <f t="shared" si="213"/>
        <v>2.886725833152522E-2</v>
      </c>
      <c r="AI85" s="269">
        <f t="shared" si="213"/>
        <v>0.2831280610324069</v>
      </c>
      <c r="AJ85" s="269">
        <f t="shared" si="213"/>
        <v>8.8070099629749571E-2</v>
      </c>
      <c r="AK85" s="269">
        <f t="shared" si="213"/>
        <v>0.23597355040862841</v>
      </c>
      <c r="AL85" s="269">
        <f t="shared" si="213"/>
        <v>2.151000459874906E-2</v>
      </c>
      <c r="AM85" s="265"/>
      <c r="AN85" s="269" t="str">
        <f t="shared" ref="AN85:BC85" si="215">IF(ISERR(AN35/AN$12),"-",AN35/AN$12)</f>
        <v>-</v>
      </c>
      <c r="AO85" s="269" t="str">
        <f t="shared" si="215"/>
        <v>-</v>
      </c>
      <c r="AP85" s="269" t="str">
        <f t="shared" si="215"/>
        <v>-</v>
      </c>
      <c r="AQ85" s="269" t="str">
        <f t="shared" si="215"/>
        <v>-</v>
      </c>
      <c r="AR85" s="269" t="str">
        <f t="shared" si="215"/>
        <v>-</v>
      </c>
      <c r="AS85" s="269" t="str">
        <f t="shared" si="215"/>
        <v>-</v>
      </c>
      <c r="AT85" s="269" t="str">
        <f t="shared" si="215"/>
        <v>-</v>
      </c>
      <c r="AU85" s="269" t="str">
        <f t="shared" si="215"/>
        <v>-</v>
      </c>
      <c r="AV85" s="269" t="str">
        <f t="shared" si="215"/>
        <v>-</v>
      </c>
      <c r="AW85" s="269" t="str">
        <f t="shared" si="215"/>
        <v>-</v>
      </c>
      <c r="AX85" s="269" t="str">
        <f t="shared" si="215"/>
        <v>-</v>
      </c>
      <c r="AY85" s="269" t="str">
        <f t="shared" si="215"/>
        <v>-</v>
      </c>
      <c r="AZ85" s="269" t="str">
        <f t="shared" si="215"/>
        <v>-</v>
      </c>
      <c r="BA85" s="269" t="str">
        <f t="shared" si="215"/>
        <v>-</v>
      </c>
      <c r="BB85" s="269" t="str">
        <f t="shared" si="215"/>
        <v>-</v>
      </c>
      <c r="BC85" s="269" t="str">
        <f t="shared" si="215"/>
        <v>-</v>
      </c>
      <c r="BD85" s="269"/>
      <c r="BE85" s="269">
        <f t="shared" ref="BE85:BS85" si="216">IF(ISERR(BE35/BE12),"-",BE35/BE12)</f>
        <v>0.80547343859683818</v>
      </c>
      <c r="BF85" s="269">
        <f t="shared" si="216"/>
        <v>0.37927505007171153</v>
      </c>
      <c r="BG85" s="269">
        <f t="shared" si="216"/>
        <v>0.40118513901209113</v>
      </c>
      <c r="BH85" s="269">
        <f t="shared" si="216"/>
        <v>0.25533377206483321</v>
      </c>
      <c r="BI85" s="269">
        <f t="shared" si="216"/>
        <v>0.32694016805601606</v>
      </c>
      <c r="BJ85" s="269">
        <f t="shared" si="216"/>
        <v>0.22273627563700113</v>
      </c>
      <c r="BK85" s="269">
        <f t="shared" si="216"/>
        <v>0.1877050451583441</v>
      </c>
      <c r="BL85" s="269">
        <f t="shared" si="216"/>
        <v>0.16268227316195533</v>
      </c>
      <c r="BM85" s="269">
        <f t="shared" si="216"/>
        <v>0.15458654087641938</v>
      </c>
      <c r="BN85" s="269">
        <f t="shared" si="216"/>
        <v>0.14791176029668793</v>
      </c>
      <c r="BO85" s="269">
        <f t="shared" si="216"/>
        <v>0.14220104860811419</v>
      </c>
      <c r="BP85" s="269">
        <f t="shared" si="216"/>
        <v>0.13713257329215192</v>
      </c>
      <c r="BQ85" s="269">
        <f t="shared" si="216"/>
        <v>0.13248990805417793</v>
      </c>
      <c r="BR85" s="269">
        <f t="shared" si="216"/>
        <v>0.12812784451632919</v>
      </c>
      <c r="BS85" s="269">
        <f t="shared" si="216"/>
        <v>0.1239542982841921</v>
      </c>
      <c r="BT85" s="203"/>
      <c r="BU85" s="203"/>
    </row>
    <row r="86" spans="1:73" ht="12.75" customHeight="1" x14ac:dyDescent="0.35">
      <c r="A86" s="200"/>
      <c r="B86" s="267"/>
      <c r="C86" s="267" t="s">
        <v>183</v>
      </c>
      <c r="D86" s="267"/>
      <c r="E86" s="267"/>
      <c r="F86" s="204"/>
      <c r="G86" s="204"/>
      <c r="H86" s="204"/>
      <c r="I86" s="359">
        <f t="shared" ref="I86:V86" si="217">IF(ISERR(I37/I$12),"-",I37/I$12)</f>
        <v>0.10303100483455403</v>
      </c>
      <c r="J86" s="359">
        <f t="shared" si="217"/>
        <v>7.5463116109824674E-2</v>
      </c>
      <c r="K86" s="359">
        <f t="shared" si="217"/>
        <v>6.5030789326366856E-2</v>
      </c>
      <c r="L86" s="359">
        <f t="shared" si="217"/>
        <v>5.8964189898518607E-2</v>
      </c>
      <c r="M86" s="359">
        <f t="shared" si="217"/>
        <v>9.5966045673076927E-2</v>
      </c>
      <c r="N86" s="359">
        <f t="shared" si="217"/>
        <v>0.11801757432800228</v>
      </c>
      <c r="O86" s="359">
        <f t="shared" si="217"/>
        <v>9.2718794835007168E-2</v>
      </c>
      <c r="P86" s="359">
        <f t="shared" si="217"/>
        <v>4.9326947498276548E-2</v>
      </c>
      <c r="Q86" s="359">
        <f t="shared" si="217"/>
        <v>8.0250036132389069E-2</v>
      </c>
      <c r="R86" s="359">
        <f t="shared" si="217"/>
        <v>6.7235031970548337E-2</v>
      </c>
      <c r="S86" s="359">
        <f t="shared" si="217"/>
        <v>7.0007414730598128E-2</v>
      </c>
      <c r="T86" s="359">
        <f t="shared" si="217"/>
        <v>3.2531592051486822E-3</v>
      </c>
      <c r="U86" s="359">
        <f t="shared" si="217"/>
        <v>4.7630416616927303E-2</v>
      </c>
      <c r="V86" s="359">
        <f t="shared" si="217"/>
        <v>5.3744465122248605E-2</v>
      </c>
      <c r="W86" s="359">
        <f t="shared" ref="W86:AL86" si="218">IF(ISERR(W37/W$35),"-",W37/W$35)</f>
        <v>0.26511829995655095</v>
      </c>
      <c r="X86" s="359">
        <f t="shared" si="218"/>
        <v>3.2915122247816377E-2</v>
      </c>
      <c r="Y86" s="359">
        <f t="shared" si="218"/>
        <v>0.14912903111363396</v>
      </c>
      <c r="Z86" s="359">
        <f t="shared" si="218"/>
        <v>-4.6186291739894552</v>
      </c>
      <c r="AA86" s="359">
        <f t="shared" si="218"/>
        <v>0.19443473397189401</v>
      </c>
      <c r="AB86" s="359">
        <f t="shared" ref="AB86" si="219">IF(ISERR(AB37/AB$35),"-",AB37/AB$35)</f>
        <v>7.8996320945806289E-2</v>
      </c>
      <c r="AC86" s="359">
        <f t="shared" si="218"/>
        <v>0.15</v>
      </c>
      <c r="AD86" s="359">
        <f t="shared" si="218"/>
        <v>0.15</v>
      </c>
      <c r="AE86" s="359">
        <f t="shared" si="218"/>
        <v>0.15</v>
      </c>
      <c r="AF86" s="359">
        <f t="shared" si="218"/>
        <v>0.15</v>
      </c>
      <c r="AG86" s="359">
        <f t="shared" si="218"/>
        <v>0.15</v>
      </c>
      <c r="AH86" s="359">
        <f t="shared" si="218"/>
        <v>0.15</v>
      </c>
      <c r="AI86" s="359">
        <f t="shared" si="218"/>
        <v>0.15</v>
      </c>
      <c r="AJ86" s="359">
        <f t="shared" si="218"/>
        <v>0.15</v>
      </c>
      <c r="AK86" s="359">
        <f t="shared" si="218"/>
        <v>0.15</v>
      </c>
      <c r="AL86" s="359">
        <f t="shared" si="218"/>
        <v>0.15</v>
      </c>
      <c r="AM86" s="265"/>
      <c r="AN86" s="359" t="str">
        <f t="shared" ref="AN86:BC86" si="220">IF(ISERR(AN37/AN$35),"-",AN37/AN$35)</f>
        <v>-</v>
      </c>
      <c r="AO86" s="359" t="str">
        <f t="shared" si="220"/>
        <v>-</v>
      </c>
      <c r="AP86" s="359" t="str">
        <f t="shared" si="220"/>
        <v>-</v>
      </c>
      <c r="AQ86" s="359" t="str">
        <f t="shared" si="220"/>
        <v>-</v>
      </c>
      <c r="AR86" s="359" t="str">
        <f t="shared" si="220"/>
        <v>-</v>
      </c>
      <c r="AS86" s="359" t="str">
        <f t="shared" si="220"/>
        <v>-</v>
      </c>
      <c r="AT86" s="359" t="str">
        <f t="shared" si="220"/>
        <v>-</v>
      </c>
      <c r="AU86" s="359" t="str">
        <f t="shared" si="220"/>
        <v>-</v>
      </c>
      <c r="AV86" s="359" t="str">
        <f t="shared" si="220"/>
        <v>-</v>
      </c>
      <c r="AW86" s="359" t="str">
        <f t="shared" si="220"/>
        <v>-</v>
      </c>
      <c r="AX86" s="359" t="str">
        <f t="shared" si="220"/>
        <v>-</v>
      </c>
      <c r="AY86" s="359" t="str">
        <f t="shared" si="220"/>
        <v>-</v>
      </c>
      <c r="AZ86" s="359" t="str">
        <f t="shared" si="220"/>
        <v>-</v>
      </c>
      <c r="BA86" s="359" t="str">
        <f t="shared" si="220"/>
        <v>-</v>
      </c>
      <c r="BB86" s="359" t="str">
        <f t="shared" si="220"/>
        <v>-</v>
      </c>
      <c r="BC86" s="359" t="str">
        <f t="shared" si="220"/>
        <v>-</v>
      </c>
      <c r="BD86" s="359"/>
      <c r="BE86" s="359">
        <f t="shared" ref="BE86:BS86" si="221">IF(ISERR(BE37/BE$35),"-",BE37/BE$35)</f>
        <v>0.10370943192419109</v>
      </c>
      <c r="BF86" s="359">
        <f t="shared" si="221"/>
        <v>0.22948908027786569</v>
      </c>
      <c r="BG86" s="359">
        <f t="shared" si="221"/>
        <v>0.18125952411780524</v>
      </c>
      <c r="BH86" s="359">
        <f t="shared" si="221"/>
        <v>0.17203105351222706</v>
      </c>
      <c r="BI86" s="359">
        <f t="shared" si="221"/>
        <v>0.12338804044525788</v>
      </c>
      <c r="BJ86" s="359">
        <f t="shared" si="221"/>
        <v>0.15554061143713488</v>
      </c>
      <c r="BK86" s="359">
        <f t="shared" si="221"/>
        <v>0.15000000000000002</v>
      </c>
      <c r="BL86" s="359">
        <f t="shared" si="221"/>
        <v>0.15</v>
      </c>
      <c r="BM86" s="359">
        <f t="shared" si="221"/>
        <v>0.14999999999999997</v>
      </c>
      <c r="BN86" s="359">
        <f t="shared" si="221"/>
        <v>0.14999999999999997</v>
      </c>
      <c r="BO86" s="359">
        <f t="shared" si="221"/>
        <v>0.14999999999999997</v>
      </c>
      <c r="BP86" s="359">
        <f t="shared" si="221"/>
        <v>0.14999999999999997</v>
      </c>
      <c r="BQ86" s="359">
        <f t="shared" si="221"/>
        <v>0.14999999999999997</v>
      </c>
      <c r="BR86" s="359">
        <f t="shared" si="221"/>
        <v>0.14999999999999997</v>
      </c>
      <c r="BS86" s="359">
        <f t="shared" si="221"/>
        <v>0.14999999999999997</v>
      </c>
      <c r="BT86" s="203"/>
      <c r="BU86" s="203"/>
    </row>
    <row r="87" spans="1:73" ht="12.75" customHeight="1" x14ac:dyDescent="0.35">
      <c r="A87" s="200"/>
      <c r="B87" s="267"/>
      <c r="C87" s="232" t="s">
        <v>148</v>
      </c>
      <c r="D87" s="267"/>
      <c r="E87" s="267"/>
      <c r="F87" s="204"/>
      <c r="G87" s="204"/>
      <c r="H87" s="204"/>
      <c r="I87" s="359">
        <f t="shared" ref="I87:V87" si="222">IF(ISERR(I38/I$12),"-",I38/I$12)</f>
        <v>-1.2158758648640824E-3</v>
      </c>
      <c r="J87" s="359">
        <f t="shared" si="222"/>
        <v>-2.1088322858087991E-3</v>
      </c>
      <c r="K87" s="359">
        <f t="shared" si="222"/>
        <v>-1.2688934502705728E-2</v>
      </c>
      <c r="L87" s="359">
        <f t="shared" si="222"/>
        <v>-1.5980403592674677E-2</v>
      </c>
      <c r="M87" s="359">
        <f t="shared" si="222"/>
        <v>-1.3108473557692308E-2</v>
      </c>
      <c r="N87" s="359">
        <f t="shared" si="222"/>
        <v>-2.0607066020373779E-2</v>
      </c>
      <c r="O87" s="359">
        <f t="shared" si="222"/>
        <v>-1.2992188745416865E-2</v>
      </c>
      <c r="P87" s="359">
        <f t="shared" si="222"/>
        <v>-4.7168099851239067E-3</v>
      </c>
      <c r="Q87" s="359">
        <f t="shared" si="222"/>
        <v>-8.9247001011706888E-3</v>
      </c>
      <c r="R87" s="359">
        <f t="shared" si="222"/>
        <v>-1.6598850351998966E-2</v>
      </c>
      <c r="S87" s="359">
        <f t="shared" si="222"/>
        <v>-1.3222936233316857E-2</v>
      </c>
      <c r="T87" s="359">
        <f t="shared" si="222"/>
        <v>-2.2220134354300747E-2</v>
      </c>
      <c r="U87" s="359">
        <f t="shared" si="222"/>
        <v>-1.8383669571445625E-2</v>
      </c>
      <c r="V87" s="359">
        <f t="shared" si="222"/>
        <v>-2.7102184003935912E-2</v>
      </c>
      <c r="W87" s="359">
        <f t="shared" ref="W87:AL87" si="223">IF(ISERR(W38/W$12),"-",W38/W$12)</f>
        <v>-2.0239462601371341E-2</v>
      </c>
      <c r="X87" s="359">
        <f t="shared" si="223"/>
        <v>-1.5485182789013334E-2</v>
      </c>
      <c r="Y87" s="359">
        <f t="shared" si="223"/>
        <v>-1.2647408581904667E-2</v>
      </c>
      <c r="Z87" s="359">
        <f t="shared" si="223"/>
        <v>-2.5123781863988663E-2</v>
      </c>
      <c r="AA87" s="359">
        <f t="shared" si="223"/>
        <v>-7.1284089209175871E-3</v>
      </c>
      <c r="AB87" s="359">
        <f t="shared" ref="AB87" si="224">IF(ISERR(AB38/AB$12),"-",AB38/AB$12)</f>
        <v>-1.5168419762799966E-2</v>
      </c>
      <c r="AC87" s="359">
        <f t="shared" si="223"/>
        <v>-9.9783126417710769E-3</v>
      </c>
      <c r="AD87" s="359">
        <f t="shared" si="223"/>
        <v>-1.8566461214153111E-2</v>
      </c>
      <c r="AE87" s="359">
        <f t="shared" si="223"/>
        <v>5.6433953335127997E-3</v>
      </c>
      <c r="AF87" s="359">
        <f t="shared" si="223"/>
        <v>-1.1591444930597439E-2</v>
      </c>
      <c r="AG87" s="359">
        <f t="shared" si="223"/>
        <v>-7.9001185858803193E-3</v>
      </c>
      <c r="AH87" s="359">
        <f t="shared" si="223"/>
        <v>-1.5010053081777202E-2</v>
      </c>
      <c r="AI87" s="359">
        <f t="shared" si="223"/>
        <v>4.5658284844787627E-3</v>
      </c>
      <c r="AJ87" s="359">
        <f t="shared" si="223"/>
        <v>-9.2596952101720829E-3</v>
      </c>
      <c r="AK87" s="359">
        <f t="shared" si="223"/>
        <v>-6.4010675765793093E-3</v>
      </c>
      <c r="AL87" s="359">
        <f t="shared" si="223"/>
        <v>-1.2160569159289945E-2</v>
      </c>
      <c r="AM87" s="265"/>
      <c r="AN87" s="359" t="str">
        <f t="shared" ref="AN87:BC87" si="225">IF(ISERR(AN38/AN$12),"-",AN38/AN$12)</f>
        <v>-</v>
      </c>
      <c r="AO87" s="359" t="str">
        <f t="shared" si="225"/>
        <v>-</v>
      </c>
      <c r="AP87" s="359" t="str">
        <f t="shared" si="225"/>
        <v>-</v>
      </c>
      <c r="AQ87" s="359" t="str">
        <f t="shared" si="225"/>
        <v>-</v>
      </c>
      <c r="AR87" s="359" t="str">
        <f t="shared" si="225"/>
        <v>-</v>
      </c>
      <c r="AS87" s="359" t="str">
        <f t="shared" si="225"/>
        <v>-</v>
      </c>
      <c r="AT87" s="359" t="str">
        <f t="shared" si="225"/>
        <v>-</v>
      </c>
      <c r="AU87" s="359" t="str">
        <f t="shared" si="225"/>
        <v>-</v>
      </c>
      <c r="AV87" s="359" t="str">
        <f t="shared" si="225"/>
        <v>-</v>
      </c>
      <c r="AW87" s="359" t="str">
        <f t="shared" si="225"/>
        <v>-</v>
      </c>
      <c r="AX87" s="359">
        <f t="shared" si="225"/>
        <v>0</v>
      </c>
      <c r="AY87" s="359">
        <f t="shared" si="225"/>
        <v>0</v>
      </c>
      <c r="AZ87" s="359">
        <f t="shared" si="225"/>
        <v>0</v>
      </c>
      <c r="BA87" s="359">
        <f t="shared" si="225"/>
        <v>0</v>
      </c>
      <c r="BB87" s="359">
        <f t="shared" si="225"/>
        <v>0</v>
      </c>
      <c r="BC87" s="359">
        <f t="shared" si="225"/>
        <v>0</v>
      </c>
      <c r="BD87" s="359"/>
      <c r="BE87" s="359">
        <f t="shared" ref="BE87:BS87" si="226">IF(ISERR(BE38/BE12),"-",BE38/BE12)</f>
        <v>-1.6906755781418389E-3</v>
      </c>
      <c r="BF87" s="359">
        <f t="shared" si="226"/>
        <v>-1.5473264549228233E-2</v>
      </c>
      <c r="BG87" s="359">
        <f t="shared" si="226"/>
        <v>-1.0712601791693638E-2</v>
      </c>
      <c r="BH87" s="359">
        <f t="shared" si="226"/>
        <v>-2.0305484497563978E-2</v>
      </c>
      <c r="BI87" s="359">
        <f t="shared" si="226"/>
        <v>-1.7819901865959338E-2</v>
      </c>
      <c r="BJ87" s="359">
        <f t="shared" si="226"/>
        <v>-1.251531586518626E-2</v>
      </c>
      <c r="BK87" s="359">
        <f t="shared" si="226"/>
        <v>-7.2851085840598805E-3</v>
      </c>
      <c r="BL87" s="359">
        <f t="shared" si="226"/>
        <v>-5.8804998071987531E-3</v>
      </c>
      <c r="BM87" s="359">
        <f t="shared" si="226"/>
        <v>-4.8731087081096266E-3</v>
      </c>
      <c r="BN87" s="359">
        <f t="shared" si="226"/>
        <v>-4.1544403264846168E-3</v>
      </c>
      <c r="BO87" s="359">
        <f t="shared" si="226"/>
        <v>-3.6351262270766594E-3</v>
      </c>
      <c r="BP87" s="359">
        <f t="shared" si="226"/>
        <v>-3.2515097863044539E-3</v>
      </c>
      <c r="BQ87" s="359">
        <f t="shared" si="226"/>
        <v>-2.9604357465625526E-3</v>
      </c>
      <c r="BR87" s="359">
        <f t="shared" si="226"/>
        <v>-2.7326946248951984E-3</v>
      </c>
      <c r="BS87" s="359">
        <f t="shared" si="226"/>
        <v>-2.5498347769472417E-3</v>
      </c>
      <c r="BT87" s="203"/>
      <c r="BU87" s="203"/>
    </row>
    <row r="88" spans="1:73" ht="12.75" customHeight="1" x14ac:dyDescent="0.35">
      <c r="A88" s="200"/>
      <c r="B88" s="267"/>
      <c r="C88" s="232" t="s">
        <v>150</v>
      </c>
      <c r="D88" s="267"/>
      <c r="E88" s="267"/>
      <c r="F88" s="204"/>
      <c r="G88" s="204"/>
      <c r="H88" s="204"/>
      <c r="I88" s="359">
        <f t="shared" ref="I88:V88" si="227">IF(ISERR(I39/I$12),"-",I39/I$12)</f>
        <v>0</v>
      </c>
      <c r="J88" s="359">
        <f t="shared" si="227"/>
        <v>0</v>
      </c>
      <c r="K88" s="359">
        <f t="shared" si="227"/>
        <v>0</v>
      </c>
      <c r="L88" s="359">
        <f t="shared" si="227"/>
        <v>0</v>
      </c>
      <c r="M88" s="359">
        <f t="shared" si="227"/>
        <v>0</v>
      </c>
      <c r="N88" s="359">
        <f t="shared" si="227"/>
        <v>0</v>
      </c>
      <c r="O88" s="359">
        <f t="shared" si="227"/>
        <v>0</v>
      </c>
      <c r="P88" s="359">
        <f t="shared" si="227"/>
        <v>0</v>
      </c>
      <c r="Q88" s="359">
        <f t="shared" si="227"/>
        <v>0</v>
      </c>
      <c r="R88" s="359">
        <f t="shared" si="227"/>
        <v>0</v>
      </c>
      <c r="S88" s="359">
        <f t="shared" si="227"/>
        <v>0</v>
      </c>
      <c r="T88" s="359">
        <f t="shared" si="227"/>
        <v>0</v>
      </c>
      <c r="U88" s="359">
        <f t="shared" si="227"/>
        <v>0</v>
      </c>
      <c r="V88" s="359">
        <f t="shared" si="227"/>
        <v>0</v>
      </c>
      <c r="W88" s="359">
        <f t="shared" ref="W88:AL88" si="228">IF(ISERR(W39/W$12),"-",W39/W$12)</f>
        <v>0</v>
      </c>
      <c r="X88" s="359">
        <f t="shared" si="228"/>
        <v>0</v>
      </c>
      <c r="Y88" s="359">
        <f t="shared" si="228"/>
        <v>0</v>
      </c>
      <c r="Z88" s="359">
        <f t="shared" si="228"/>
        <v>0</v>
      </c>
      <c r="AA88" s="359">
        <f t="shared" si="228"/>
        <v>0</v>
      </c>
      <c r="AB88" s="359">
        <f t="shared" ref="AB88" si="229">IF(ISERR(AB39/AB$12),"-",AB39/AB$12)</f>
        <v>0</v>
      </c>
      <c r="AC88" s="359">
        <f t="shared" si="228"/>
        <v>0</v>
      </c>
      <c r="AD88" s="359">
        <f t="shared" si="228"/>
        <v>0</v>
      </c>
      <c r="AE88" s="359">
        <f t="shared" si="228"/>
        <v>0</v>
      </c>
      <c r="AF88" s="359">
        <f t="shared" si="228"/>
        <v>0</v>
      </c>
      <c r="AG88" s="359">
        <f t="shared" si="228"/>
        <v>0</v>
      </c>
      <c r="AH88" s="359">
        <f t="shared" si="228"/>
        <v>0</v>
      </c>
      <c r="AI88" s="359">
        <f t="shared" si="228"/>
        <v>0</v>
      </c>
      <c r="AJ88" s="359">
        <f t="shared" si="228"/>
        <v>0</v>
      </c>
      <c r="AK88" s="359">
        <f t="shared" si="228"/>
        <v>0</v>
      </c>
      <c r="AL88" s="359">
        <f t="shared" si="228"/>
        <v>0</v>
      </c>
      <c r="AM88" s="265"/>
      <c r="AN88" s="359" t="str">
        <f t="shared" ref="AN88:BC88" si="230">IF(ISERR(AN39/AN$12),"-",AN39/AN$12)</f>
        <v>-</v>
      </c>
      <c r="AO88" s="359" t="str">
        <f t="shared" si="230"/>
        <v>-</v>
      </c>
      <c r="AP88" s="359" t="str">
        <f t="shared" si="230"/>
        <v>-</v>
      </c>
      <c r="AQ88" s="359" t="str">
        <f t="shared" si="230"/>
        <v>-</v>
      </c>
      <c r="AR88" s="359" t="str">
        <f t="shared" si="230"/>
        <v>-</v>
      </c>
      <c r="AS88" s="359" t="str">
        <f t="shared" si="230"/>
        <v>-</v>
      </c>
      <c r="AT88" s="359" t="str">
        <f t="shared" si="230"/>
        <v>-</v>
      </c>
      <c r="AU88" s="359" t="str">
        <f t="shared" si="230"/>
        <v>-</v>
      </c>
      <c r="AV88" s="359" t="str">
        <f t="shared" si="230"/>
        <v>-</v>
      </c>
      <c r="AW88" s="359" t="str">
        <f t="shared" si="230"/>
        <v>-</v>
      </c>
      <c r="AX88" s="359">
        <f t="shared" si="230"/>
        <v>0</v>
      </c>
      <c r="AY88" s="359">
        <f t="shared" si="230"/>
        <v>0</v>
      </c>
      <c r="AZ88" s="359">
        <f t="shared" si="230"/>
        <v>0</v>
      </c>
      <c r="BA88" s="359">
        <f t="shared" si="230"/>
        <v>0</v>
      </c>
      <c r="BB88" s="359">
        <f t="shared" si="230"/>
        <v>0</v>
      </c>
      <c r="BC88" s="359">
        <f t="shared" si="230"/>
        <v>0</v>
      </c>
      <c r="BD88" s="359"/>
      <c r="BE88" s="359">
        <f t="shared" ref="BE88:BS88" si="231">IF(ISERR(BE39/BE12),"-",BE39/BE12)</f>
        <v>0</v>
      </c>
      <c r="BF88" s="359">
        <f t="shared" si="231"/>
        <v>0</v>
      </c>
      <c r="BG88" s="359">
        <f t="shared" si="231"/>
        <v>0</v>
      </c>
      <c r="BH88" s="359">
        <f t="shared" si="231"/>
        <v>0</v>
      </c>
      <c r="BI88" s="359">
        <f t="shared" si="231"/>
        <v>0</v>
      </c>
      <c r="BJ88" s="359">
        <f t="shared" si="231"/>
        <v>0</v>
      </c>
      <c r="BK88" s="359">
        <f t="shared" si="231"/>
        <v>0</v>
      </c>
      <c r="BL88" s="359">
        <f t="shared" si="231"/>
        <v>0</v>
      </c>
      <c r="BM88" s="359">
        <f t="shared" si="231"/>
        <v>0</v>
      </c>
      <c r="BN88" s="359">
        <f t="shared" si="231"/>
        <v>0</v>
      </c>
      <c r="BO88" s="359">
        <f t="shared" si="231"/>
        <v>0</v>
      </c>
      <c r="BP88" s="359">
        <f t="shared" si="231"/>
        <v>0</v>
      </c>
      <c r="BQ88" s="359">
        <f t="shared" si="231"/>
        <v>0</v>
      </c>
      <c r="BR88" s="359">
        <f t="shared" si="231"/>
        <v>0</v>
      </c>
      <c r="BS88" s="359">
        <f t="shared" si="231"/>
        <v>0</v>
      </c>
      <c r="BT88" s="203"/>
      <c r="BU88" s="203"/>
    </row>
    <row r="89" spans="1:73" ht="12.75" customHeight="1" x14ac:dyDescent="0.35">
      <c r="A89" s="200"/>
      <c r="B89" s="267"/>
      <c r="C89" s="232" t="s">
        <v>184</v>
      </c>
      <c r="D89" s="267"/>
      <c r="E89" s="267"/>
      <c r="F89" s="204"/>
      <c r="G89" s="204"/>
      <c r="H89" s="204"/>
      <c r="I89" s="359">
        <f t="shared" ref="I89:V89" si="232">IF(ISERR(I40/I$12),"-",I40/I$12)</f>
        <v>1.4329965550183829E-2</v>
      </c>
      <c r="J89" s="359">
        <f t="shared" si="232"/>
        <v>2.9440952695997353E-2</v>
      </c>
      <c r="K89" s="359">
        <f t="shared" si="232"/>
        <v>4.5655283946009831E-2</v>
      </c>
      <c r="L89" s="359">
        <f t="shared" si="232"/>
        <v>1.6534468680741862E-2</v>
      </c>
      <c r="M89" s="359">
        <f t="shared" si="232"/>
        <v>2.9071514423076924E-2</v>
      </c>
      <c r="N89" s="359">
        <f t="shared" si="232"/>
        <v>3.7429689727571998E-2</v>
      </c>
      <c r="O89" s="359">
        <f t="shared" si="232"/>
        <v>2.7658217758648174E-2</v>
      </c>
      <c r="P89" s="359">
        <f t="shared" si="232"/>
        <v>1.600087079568956E-2</v>
      </c>
      <c r="Q89" s="359">
        <f t="shared" si="232"/>
        <v>0.22223828106181048</v>
      </c>
      <c r="R89" s="359">
        <f t="shared" si="232"/>
        <v>1.1302719111283342E-3</v>
      </c>
      <c r="S89" s="359">
        <f t="shared" si="232"/>
        <v>8.094414236282748E-3</v>
      </c>
      <c r="T89" s="359">
        <f t="shared" si="232"/>
        <v>-1.4727298351106309E-2</v>
      </c>
      <c r="U89" s="359">
        <f t="shared" si="232"/>
        <v>7.3415303808045838E-3</v>
      </c>
      <c r="V89" s="359">
        <f t="shared" si="232"/>
        <v>-8.8558044022332034E-3</v>
      </c>
      <c r="W89" s="359">
        <f t="shared" ref="W89:AL89" si="233">IF(ISERR(W40/W$12),"-",W40/W$12)</f>
        <v>-4.4986251783787545E-3</v>
      </c>
      <c r="X89" s="359">
        <f t="shared" si="233"/>
        <v>0.10048984598838821</v>
      </c>
      <c r="Y89" s="359">
        <f t="shared" si="233"/>
        <v>-1.3409226043008621E-2</v>
      </c>
      <c r="Z89" s="359">
        <f t="shared" si="233"/>
        <v>-3.1011074758997149E-2</v>
      </c>
      <c r="AA89" s="359">
        <f t="shared" si="233"/>
        <v>-2.269903935584159E-3</v>
      </c>
      <c r="AB89" s="359">
        <f t="shared" ref="AB89" si="234">IF(ISERR(AB40/AB$12),"-",AB40/AB$12)</f>
        <v>-2.7370226816889054E-2</v>
      </c>
      <c r="AC89" s="359">
        <f t="shared" si="233"/>
        <v>-1.0579356938998228E-2</v>
      </c>
      <c r="AD89" s="359">
        <f t="shared" si="233"/>
        <v>-2.2917167480561551E-2</v>
      </c>
      <c r="AE89" s="359">
        <f t="shared" si="233"/>
        <v>-1.797030083390481E-3</v>
      </c>
      <c r="AF89" s="359">
        <f t="shared" si="233"/>
        <v>-2.0915855563544018E-2</v>
      </c>
      <c r="AG89" s="359">
        <f t="shared" si="233"/>
        <v>-8.3759827318466654E-3</v>
      </c>
      <c r="AH89" s="359">
        <f t="shared" si="233"/>
        <v>-1.8527380980118448E-2</v>
      </c>
      <c r="AI89" s="359">
        <f t="shared" si="233"/>
        <v>-1.453899763761942E-3</v>
      </c>
      <c r="AJ89" s="359">
        <f t="shared" si="233"/>
        <v>-1.6708395608830917E-2</v>
      </c>
      <c r="AK89" s="359">
        <f t="shared" si="233"/>
        <v>-6.7866362895662126E-3</v>
      </c>
      <c r="AL89" s="359">
        <f t="shared" si="233"/>
        <v>-1.5010173283315758E-2</v>
      </c>
      <c r="AM89" s="265"/>
      <c r="AN89" s="359" t="str">
        <f t="shared" ref="AN89:BC89" si="235">IF(ISERR(AN40/AN$12),"-",AN40/AN$12)</f>
        <v>-</v>
      </c>
      <c r="AO89" s="359" t="str">
        <f t="shared" si="235"/>
        <v>-</v>
      </c>
      <c r="AP89" s="359" t="str">
        <f t="shared" si="235"/>
        <v>-</v>
      </c>
      <c r="AQ89" s="359" t="str">
        <f t="shared" si="235"/>
        <v>-</v>
      </c>
      <c r="AR89" s="359" t="str">
        <f t="shared" si="235"/>
        <v>-</v>
      </c>
      <c r="AS89" s="359" t="str">
        <f t="shared" si="235"/>
        <v>-</v>
      </c>
      <c r="AT89" s="359" t="str">
        <f t="shared" si="235"/>
        <v>-</v>
      </c>
      <c r="AU89" s="359" t="str">
        <f t="shared" si="235"/>
        <v>-</v>
      </c>
      <c r="AV89" s="359" t="str">
        <f t="shared" si="235"/>
        <v>-</v>
      </c>
      <c r="AW89" s="359" t="str">
        <f t="shared" si="235"/>
        <v>-</v>
      </c>
      <c r="AX89" s="359">
        <f t="shared" si="235"/>
        <v>0</v>
      </c>
      <c r="AY89" s="359">
        <f t="shared" si="235"/>
        <v>0</v>
      </c>
      <c r="AZ89" s="359">
        <f t="shared" si="235"/>
        <v>0</v>
      </c>
      <c r="BA89" s="359">
        <f t="shared" si="235"/>
        <v>0</v>
      </c>
      <c r="BB89" s="359">
        <f t="shared" si="235"/>
        <v>0</v>
      </c>
      <c r="BC89" s="359">
        <f t="shared" si="235"/>
        <v>0</v>
      </c>
      <c r="BD89" s="359"/>
      <c r="BE89" s="359">
        <f t="shared" ref="BE89:BS89" si="236">IF(ISERR(BE40/BE12),"-",BE40/BE12)</f>
        <v>1.7104495615119189E-2</v>
      </c>
      <c r="BF89" s="359">
        <f t="shared" si="236"/>
        <v>3.1761576516525246E-2</v>
      </c>
      <c r="BG89" s="359">
        <f t="shared" si="236"/>
        <v>8.307960330208658E-2</v>
      </c>
      <c r="BH89" s="359">
        <f t="shared" si="236"/>
        <v>-1.5019477555699441E-3</v>
      </c>
      <c r="BI89" s="359">
        <f t="shared" si="236"/>
        <v>1.1247550082301539E-2</v>
      </c>
      <c r="BJ89" s="359">
        <f t="shared" si="236"/>
        <v>-1.5420389782230811E-2</v>
      </c>
      <c r="BK89" s="359">
        <f t="shared" si="236"/>
        <v>-1.2165068677725923E-2</v>
      </c>
      <c r="BL89" s="359">
        <f t="shared" si="236"/>
        <v>-9.8195769065751622E-3</v>
      </c>
      <c r="BM89" s="359">
        <f t="shared" si="236"/>
        <v>-8.1373807163133676E-3</v>
      </c>
      <c r="BN89" s="359">
        <f t="shared" si="236"/>
        <v>-6.9373093490714757E-3</v>
      </c>
      <c r="BO89" s="359">
        <f t="shared" si="236"/>
        <v>-6.0701305539012677E-3</v>
      </c>
      <c r="BP89" s="359">
        <f t="shared" si="236"/>
        <v>-5.4295470548289771E-3</v>
      </c>
      <c r="BQ89" s="359">
        <f t="shared" si="236"/>
        <v>-4.9434958665857337E-3</v>
      </c>
      <c r="BR89" s="359">
        <f t="shared" si="236"/>
        <v>-4.5632014133379622E-3</v>
      </c>
      <c r="BS89" s="359">
        <f t="shared" si="236"/>
        <v>-4.2578521405003946E-3</v>
      </c>
      <c r="BT89" s="203"/>
      <c r="BU89" s="203"/>
    </row>
    <row r="90" spans="1:73" ht="12.75" customHeight="1" x14ac:dyDescent="0.35">
      <c r="A90" s="200"/>
      <c r="B90" s="264" t="s">
        <v>1343</v>
      </c>
      <c r="C90" s="264"/>
      <c r="D90" s="264"/>
      <c r="E90" s="264"/>
      <c r="F90" s="204"/>
      <c r="G90" s="204"/>
      <c r="H90" s="204"/>
      <c r="I90" s="269">
        <f t="shared" ref="I90:BH90" si="237">IF(ISERR(I41/I12),"-",I44/I12)</f>
        <v>0</v>
      </c>
      <c r="J90" s="269">
        <f t="shared" si="237"/>
        <v>0</v>
      </c>
      <c r="K90" s="269">
        <f t="shared" si="237"/>
        <v>0</v>
      </c>
      <c r="L90" s="269">
        <f t="shared" si="237"/>
        <v>0</v>
      </c>
      <c r="M90" s="269">
        <f t="shared" si="237"/>
        <v>0</v>
      </c>
      <c r="N90" s="269">
        <f t="shared" si="237"/>
        <v>0</v>
      </c>
      <c r="O90" s="269">
        <f t="shared" si="237"/>
        <v>0</v>
      </c>
      <c r="P90" s="269">
        <f t="shared" si="237"/>
        <v>0</v>
      </c>
      <c r="Q90" s="269">
        <f t="shared" si="237"/>
        <v>0</v>
      </c>
      <c r="R90" s="269">
        <f t="shared" si="237"/>
        <v>0</v>
      </c>
      <c r="S90" s="269">
        <f t="shared" si="237"/>
        <v>0.26115916955017299</v>
      </c>
      <c r="T90" s="269">
        <f t="shared" si="237"/>
        <v>0.29634283835204583</v>
      </c>
      <c r="U90" s="269">
        <f t="shared" si="237"/>
        <v>0.27173894507068674</v>
      </c>
      <c r="V90" s="269">
        <f t="shared" si="237"/>
        <v>0.24060407709255813</v>
      </c>
      <c r="W90" s="269">
        <f t="shared" si="237"/>
        <v>0.28773798336291811</v>
      </c>
      <c r="X90" s="269">
        <f t="shared" si="237"/>
        <v>0.29019383785509634</v>
      </c>
      <c r="Y90" s="269">
        <f t="shared" si="237"/>
        <v>0.30124615994450499</v>
      </c>
      <c r="Z90" s="269">
        <f t="shared" si="237"/>
        <v>0.21957065626257502</v>
      </c>
      <c r="AA90" s="269">
        <f t="shared" si="237"/>
        <v>0.26416088350644873</v>
      </c>
      <c r="AB90" s="269">
        <f t="shared" si="237"/>
        <v>0.31807247563830543</v>
      </c>
      <c r="AC90" s="269">
        <f t="shared" si="237"/>
        <v>0.2895975215892489</v>
      </c>
      <c r="AD90" s="269">
        <f t="shared" si="237"/>
        <v>8.8796571065158272E-2</v>
      </c>
      <c r="AE90" s="269">
        <f t="shared" si="237"/>
        <v>0.2819151404222327</v>
      </c>
      <c r="AF90" s="269">
        <f t="shared" si="237"/>
        <v>0.25301244988156124</v>
      </c>
      <c r="AG90" s="269">
        <f t="shared" si="237"/>
        <v>0.2620726431540808</v>
      </c>
      <c r="AH90" s="269">
        <f t="shared" si="237"/>
        <v>8.842669471627003E-2</v>
      </c>
      <c r="AI90" s="269">
        <f t="shared" si="237"/>
        <v>0.2580934635572058</v>
      </c>
      <c r="AJ90" s="269">
        <f t="shared" si="237"/>
        <v>0.22791093629081119</v>
      </c>
      <c r="AK90" s="269">
        <f t="shared" si="237"/>
        <v>0.24276102463350124</v>
      </c>
      <c r="AL90" s="269">
        <f t="shared" si="237"/>
        <v>8.1969618754602333E-2</v>
      </c>
      <c r="AM90" s="269" t="str">
        <f t="shared" si="237"/>
        <v>-</v>
      </c>
      <c r="AN90" s="269" t="str">
        <f t="shared" si="237"/>
        <v>-</v>
      </c>
      <c r="AO90" s="269" t="str">
        <f t="shared" si="237"/>
        <v>-</v>
      </c>
      <c r="AP90" s="269" t="str">
        <f t="shared" si="237"/>
        <v>-</v>
      </c>
      <c r="AQ90" s="269" t="str">
        <f t="shared" si="237"/>
        <v>-</v>
      </c>
      <c r="AR90" s="269" t="str">
        <f t="shared" si="237"/>
        <v>-</v>
      </c>
      <c r="AS90" s="269" t="str">
        <f t="shared" si="237"/>
        <v>-</v>
      </c>
      <c r="AT90" s="269" t="str">
        <f t="shared" si="237"/>
        <v>-</v>
      </c>
      <c r="AU90" s="269" t="str">
        <f t="shared" si="237"/>
        <v>-</v>
      </c>
      <c r="AV90" s="269" t="str">
        <f t="shared" si="237"/>
        <v>-</v>
      </c>
      <c r="AW90" s="269" t="str">
        <f t="shared" si="237"/>
        <v>-</v>
      </c>
      <c r="AX90" s="269" t="str">
        <f t="shared" si="237"/>
        <v>-</v>
      </c>
      <c r="AY90" s="269" t="str">
        <f t="shared" si="237"/>
        <v>-</v>
      </c>
      <c r="AZ90" s="269" t="str">
        <f t="shared" si="237"/>
        <v>-</v>
      </c>
      <c r="BA90" s="269" t="str">
        <f t="shared" si="237"/>
        <v>-</v>
      </c>
      <c r="BB90" s="269" t="str">
        <f t="shared" si="237"/>
        <v>-</v>
      </c>
      <c r="BC90" s="269" t="str">
        <f t="shared" si="237"/>
        <v>-</v>
      </c>
      <c r="BD90" s="269" t="str">
        <f t="shared" si="237"/>
        <v>-</v>
      </c>
      <c r="BE90" s="269">
        <f t="shared" si="237"/>
        <v>0.42427058718843619</v>
      </c>
      <c r="BF90" s="269">
        <f t="shared" si="237"/>
        <v>0.38231410284761141</v>
      </c>
      <c r="BG90" s="269">
        <f t="shared" si="237"/>
        <v>0.34269936787258359</v>
      </c>
      <c r="BH90" s="269">
        <f t="shared" si="237"/>
        <v>0.26730158898642409</v>
      </c>
      <c r="BI90" s="269">
        <f>IF(ISERR(BI41/BI12),"-",BI44/BI12)</f>
        <v>0.27730223597293369</v>
      </c>
      <c r="BJ90" s="269">
        <f t="shared" ref="BJ90:BS90" si="238">IF(ISERR(BJ41/BJ12),"-",BJ44/BJ12)</f>
        <v>0.2438631667904341</v>
      </c>
      <c r="BK90" s="269">
        <f t="shared" si="238"/>
        <v>0.22522211585311888</v>
      </c>
      <c r="BL90" s="269">
        <f t="shared" si="238"/>
        <v>0.20648097570522295</v>
      </c>
      <c r="BM90" s="269">
        <f t="shared" si="238"/>
        <v>0.20346276661176574</v>
      </c>
      <c r="BN90" s="269">
        <f t="shared" si="238"/>
        <v>0.1977096421457597</v>
      </c>
      <c r="BO90" s="269">
        <f t="shared" si="238"/>
        <v>0.18917450970730085</v>
      </c>
      <c r="BP90" s="269">
        <f t="shared" si="238"/>
        <v>0.18410410600665059</v>
      </c>
      <c r="BQ90" s="269">
        <f t="shared" si="238"/>
        <v>0.17908247745376954</v>
      </c>
      <c r="BR90" s="269">
        <f t="shared" si="238"/>
        <v>0.17395248497955779</v>
      </c>
      <c r="BS90" s="269">
        <f t="shared" si="238"/>
        <v>0.1690634479093629</v>
      </c>
      <c r="BT90" s="203"/>
      <c r="BU90" s="203"/>
    </row>
    <row r="91" spans="1:73" ht="12.75" customHeight="1" x14ac:dyDescent="0.35">
      <c r="A91" s="200"/>
      <c r="B91" s="274" t="str">
        <f>Summary!A1</f>
        <v>Alibaba Group Holding-Sp Adr</v>
      </c>
      <c r="C91" s="274"/>
      <c r="D91" s="274"/>
      <c r="E91" s="274"/>
      <c r="F91" s="204"/>
      <c r="G91" s="204"/>
      <c r="H91" s="204"/>
      <c r="I91" s="359"/>
      <c r="J91" s="359"/>
      <c r="K91" s="359"/>
      <c r="L91" s="359"/>
      <c r="M91" s="359"/>
      <c r="N91" s="359"/>
      <c r="O91" s="359"/>
      <c r="P91" s="359"/>
      <c r="Q91" s="359"/>
      <c r="R91" s="359"/>
      <c r="S91" s="359"/>
      <c r="T91" s="359"/>
      <c r="U91" s="359"/>
      <c r="V91" s="359"/>
      <c r="W91" s="359"/>
      <c r="X91" s="359"/>
      <c r="Y91" s="359"/>
      <c r="Z91" s="359"/>
      <c r="AA91" s="359"/>
      <c r="AB91" s="359"/>
      <c r="AC91" s="359"/>
      <c r="AD91" s="359"/>
      <c r="AE91" s="359"/>
      <c r="AF91" s="359"/>
      <c r="AG91" s="359"/>
      <c r="AH91" s="359"/>
      <c r="AI91" s="359"/>
      <c r="AJ91" s="359"/>
      <c r="AK91" s="359"/>
      <c r="AL91" s="359"/>
      <c r="AM91" s="359"/>
      <c r="AN91" s="359"/>
      <c r="AO91" s="359"/>
      <c r="AP91" s="359"/>
      <c r="AQ91" s="359"/>
      <c r="AR91" s="359"/>
      <c r="AS91" s="359"/>
      <c r="AT91" s="359"/>
      <c r="AU91" s="359"/>
      <c r="AV91" s="359"/>
      <c r="AW91" s="359"/>
      <c r="AX91" s="359"/>
      <c r="AY91" s="359"/>
      <c r="AZ91" s="359"/>
      <c r="BA91" s="359"/>
      <c r="BB91" s="359"/>
      <c r="BC91" s="359"/>
      <c r="BD91" s="359"/>
      <c r="BE91" s="359"/>
      <c r="BF91" s="359"/>
      <c r="BG91" s="359"/>
      <c r="BH91" s="359"/>
      <c r="BI91" s="359"/>
      <c r="BJ91" s="359"/>
      <c r="BK91" s="359"/>
      <c r="BL91" s="359"/>
      <c r="BM91" s="355"/>
      <c r="BN91" s="355"/>
      <c r="BO91" s="355"/>
      <c r="BP91" s="355"/>
      <c r="BQ91" s="355"/>
      <c r="BR91" s="355"/>
      <c r="BS91" s="355"/>
      <c r="BT91" s="203"/>
      <c r="BU91" s="203"/>
    </row>
    <row r="92" spans="1:73" ht="12.75" customHeight="1" x14ac:dyDescent="0.35">
      <c r="A92" s="200"/>
      <c r="B92" s="263" t="s">
        <v>185</v>
      </c>
      <c r="C92" s="263"/>
      <c r="D92" s="263"/>
      <c r="E92" s="263"/>
      <c r="F92" s="263"/>
      <c r="G92" s="263"/>
      <c r="H92" s="263"/>
      <c r="I92" s="263"/>
      <c r="J92" s="263"/>
      <c r="K92" s="263"/>
      <c r="L92" s="263"/>
      <c r="M92" s="263"/>
      <c r="N92" s="263"/>
      <c r="O92" s="263"/>
      <c r="P92" s="263"/>
      <c r="Q92" s="263"/>
      <c r="R92" s="263"/>
      <c r="S92" s="263"/>
      <c r="T92" s="263"/>
      <c r="U92" s="263"/>
      <c r="V92" s="263"/>
      <c r="W92" s="263"/>
      <c r="X92" s="263"/>
      <c r="Y92" s="263"/>
      <c r="Z92" s="263"/>
      <c r="AA92" s="263"/>
      <c r="AB92" s="263"/>
      <c r="AC92" s="263"/>
      <c r="AD92" s="263"/>
      <c r="AE92" s="263"/>
      <c r="AF92" s="263"/>
      <c r="AG92" s="263"/>
      <c r="AH92" s="263"/>
      <c r="AI92" s="263"/>
      <c r="AJ92" s="263"/>
      <c r="AK92" s="263"/>
      <c r="AL92" s="263"/>
      <c r="AM92" s="263"/>
      <c r="AN92" s="263"/>
      <c r="AO92" s="263"/>
      <c r="AP92" s="263"/>
      <c r="AQ92" s="263"/>
      <c r="AR92" s="263"/>
      <c r="AS92" s="263"/>
      <c r="AT92" s="263"/>
      <c r="AU92" s="263"/>
      <c r="AV92" s="263"/>
      <c r="AW92" s="263"/>
      <c r="AX92" s="263"/>
      <c r="AY92" s="263"/>
      <c r="AZ92" s="263"/>
      <c r="BA92" s="263"/>
      <c r="BB92" s="263"/>
      <c r="BC92" s="263"/>
      <c r="BD92" s="263"/>
      <c r="BE92" s="263"/>
      <c r="BF92" s="263"/>
      <c r="BG92" s="263"/>
      <c r="BH92" s="263"/>
      <c r="BI92" s="263"/>
      <c r="BJ92" s="263"/>
      <c r="BK92" s="263"/>
      <c r="BL92" s="263"/>
      <c r="BM92" s="263"/>
      <c r="BN92" s="263"/>
      <c r="BO92" s="263"/>
      <c r="BP92" s="263"/>
      <c r="BQ92" s="263"/>
      <c r="BR92" s="263"/>
      <c r="BS92" s="263"/>
      <c r="BT92" s="203"/>
      <c r="BU92" s="203"/>
    </row>
    <row r="93" spans="1:73" ht="12.75" customHeight="1" x14ac:dyDescent="0.35">
      <c r="A93" s="200"/>
      <c r="B93" s="264" t="s">
        <v>16</v>
      </c>
      <c r="C93" s="264"/>
      <c r="D93" s="264"/>
      <c r="E93" s="264"/>
      <c r="F93" s="204"/>
      <c r="G93" s="204"/>
      <c r="H93" s="204"/>
      <c r="I93" s="359"/>
      <c r="J93" s="359"/>
      <c r="K93" s="359"/>
      <c r="L93" s="269">
        <f t="shared" ref="L93:AL93" si="239">IF(ISERR(L12/K12-1),"-",L12/K12-1)</f>
        <v>6.6492504820551135E-2</v>
      </c>
      <c r="M93" s="269">
        <f t="shared" si="239"/>
        <v>0.5527819899685058</v>
      </c>
      <c r="N93" s="269">
        <f t="shared" si="239"/>
        <v>-0.27548452524038458</v>
      </c>
      <c r="O93" s="269">
        <f t="shared" si="239"/>
        <v>0.30081132222193419</v>
      </c>
      <c r="P93" s="269">
        <f t="shared" si="239"/>
        <v>9.8397895743663311E-2</v>
      </c>
      <c r="Q93" s="269">
        <f t="shared" si="239"/>
        <v>0.50625884401872212</v>
      </c>
      <c r="R93" s="269">
        <f t="shared" si="239"/>
        <v>-0.25408295996531294</v>
      </c>
      <c r="S93" s="269">
        <f t="shared" si="239"/>
        <v>0.30659432926435448</v>
      </c>
      <c r="T93" s="269">
        <f t="shared" si="239"/>
        <v>5.2249134948096909E-2</v>
      </c>
      <c r="U93" s="269">
        <f t="shared" si="239"/>
        <v>0.37734297928313065</v>
      </c>
      <c r="V93" s="269">
        <f t="shared" si="239"/>
        <v>-0.20276607718412665</v>
      </c>
      <c r="W93" s="269">
        <f t="shared" si="239"/>
        <v>0.22915998203170118</v>
      </c>
      <c r="X93" s="269">
        <f t="shared" si="239"/>
        <v>3.561484111238733E-2</v>
      </c>
      <c r="Y93" s="269">
        <f t="shared" si="239"/>
        <v>0.35657931219909766</v>
      </c>
      <c r="Z93" s="269">
        <f t="shared" si="239"/>
        <v>-0.29198047765335444</v>
      </c>
      <c r="AA93" s="269">
        <f t="shared" si="239"/>
        <v>0.34498836537956845</v>
      </c>
      <c r="AB93" s="269">
        <f t="shared" si="239"/>
        <v>8.507261741387051E-3</v>
      </c>
      <c r="AC93" s="269">
        <f t="shared" si="239"/>
        <v>0.31978033122781557</v>
      </c>
      <c r="AD93" s="269">
        <f t="shared" si="239"/>
        <v>-0.2441133584139481</v>
      </c>
      <c r="AE93" s="269">
        <f t="shared" si="239"/>
        <v>0.25549439596297119</v>
      </c>
      <c r="AF93" s="269">
        <f t="shared" si="239"/>
        <v>4.4791574553159075E-2</v>
      </c>
      <c r="AG93" s="269">
        <f t="shared" si="239"/>
        <v>0.27386201080379613</v>
      </c>
      <c r="AH93" s="269">
        <f t="shared" si="239"/>
        <v>-0.2597471636463482</v>
      </c>
      <c r="AI93" s="269">
        <f t="shared" si="239"/>
        <v>0.25455224951663546</v>
      </c>
      <c r="AJ93" s="269">
        <f t="shared" si="239"/>
        <v>5.8155916676106756E-2</v>
      </c>
      <c r="AK93" s="269">
        <f t="shared" si="239"/>
        <v>0.25592209250163411</v>
      </c>
      <c r="AL93" s="269">
        <f t="shared" si="239"/>
        <v>-0.25966683014031966</v>
      </c>
      <c r="AM93" s="269"/>
      <c r="AN93" s="269" t="str">
        <f t="shared" ref="AN93:BC93" si="240">IF(ISERR(AN12/AM12-1),"-",AN12/AM12-1)</f>
        <v>-</v>
      </c>
      <c r="AO93" s="269" t="str">
        <f t="shared" si="240"/>
        <v>-</v>
      </c>
      <c r="AP93" s="269" t="str">
        <f t="shared" si="240"/>
        <v>-</v>
      </c>
      <c r="AQ93" s="269" t="str">
        <f t="shared" si="240"/>
        <v>-</v>
      </c>
      <c r="AR93" s="269" t="str">
        <f t="shared" si="240"/>
        <v>-</v>
      </c>
      <c r="AS93" s="269" t="str">
        <f t="shared" si="240"/>
        <v>-</v>
      </c>
      <c r="AT93" s="269" t="str">
        <f t="shared" si="240"/>
        <v>-</v>
      </c>
      <c r="AU93" s="269" t="str">
        <f t="shared" si="240"/>
        <v>-</v>
      </c>
      <c r="AV93" s="269" t="str">
        <f t="shared" si="240"/>
        <v>-</v>
      </c>
      <c r="AW93" s="269" t="str">
        <f t="shared" si="240"/>
        <v>-</v>
      </c>
      <c r="AX93" s="269" t="str">
        <f t="shared" si="240"/>
        <v>-</v>
      </c>
      <c r="AY93" s="269">
        <f t="shared" si="240"/>
        <v>0.16360010030875771</v>
      </c>
      <c r="AZ93" s="269">
        <f t="shared" si="240"/>
        <v>0.10515710741701301</v>
      </c>
      <c r="BA93" s="269">
        <f t="shared" si="240"/>
        <v>0.13270117549021609</v>
      </c>
      <c r="BB93" s="269">
        <f t="shared" si="240"/>
        <v>9.8334827987407669E-2</v>
      </c>
      <c r="BC93" s="269">
        <f t="shared" si="240"/>
        <v>0.12374168306396749</v>
      </c>
      <c r="BD93" s="269"/>
      <c r="BE93" s="269"/>
      <c r="BF93" s="270">
        <f t="shared" ref="BF93:BL93" si="241">IF(ISERR(BF12/BE12-1),"-",BF12/BE12-1)</f>
        <v>0.56484383496633472</v>
      </c>
      <c r="BG93" s="270">
        <f t="shared" si="241"/>
        <v>0.58122990023566867</v>
      </c>
      <c r="BH93" s="270">
        <f t="shared" si="241"/>
        <v>0.50577385661655994</v>
      </c>
      <c r="BI93" s="270">
        <f t="shared" si="241"/>
        <v>0.35257825519313024</v>
      </c>
      <c r="BJ93" s="270">
        <f t="shared" si="241"/>
        <v>0.3108238726971706</v>
      </c>
      <c r="BK93" s="270">
        <f t="shared" si="241"/>
        <v>0.26759578517343985</v>
      </c>
      <c r="BL93" s="270">
        <f t="shared" si="241"/>
        <v>0.23885874039850186</v>
      </c>
      <c r="BM93" s="270">
        <f t="shared" ref="BM93" si="242">IF(ISERR(BM12/BL12-1),"-",BM12/BL12-1)</f>
        <v>0.20672452831037158</v>
      </c>
      <c r="BN93" s="270">
        <f t="shared" ref="BN93" si="243">IF(ISERR(BN12/BM12-1),"-",BN12/BM12-1)</f>
        <v>0.17298801406376896</v>
      </c>
      <c r="BO93" s="270">
        <f t="shared" ref="BO93" si="244">IF(ISERR(BO12/BN12-1),"-",BO12/BN12-1)</f>
        <v>0.14285999081401535</v>
      </c>
      <c r="BP93" s="270">
        <f t="shared" ref="BP93" si="245">IF(ISERR(BP12/BO12-1),"-",BP12/BO12-1)</f>
        <v>0.11798101989051979</v>
      </c>
      <c r="BQ93" s="270">
        <f t="shared" ref="BQ93" si="246">IF(ISERR(BQ12/BP12-1),"-",BQ12/BP12-1)</f>
        <v>9.8321350186328482E-2</v>
      </c>
      <c r="BR93" s="270">
        <f t="shared" ref="BR93" si="247">IF(ISERR(BR12/BQ12-1),"-",BR12/BQ12-1)</f>
        <v>8.3339396796335619E-2</v>
      </c>
      <c r="BS93" s="270">
        <f t="shared" ref="BS93" si="248">IF(ISERR(BS12/BR12-1),"-",BS12/BR12-1)</f>
        <v>7.1714390909235037E-2</v>
      </c>
      <c r="BT93" s="203"/>
      <c r="BU93" s="203"/>
    </row>
    <row r="94" spans="1:73" ht="12.75" customHeight="1" x14ac:dyDescent="0.35">
      <c r="A94" s="200"/>
      <c r="B94" s="267"/>
      <c r="C94" s="267" t="s">
        <v>172</v>
      </c>
      <c r="D94" s="201"/>
      <c r="E94" s="267"/>
      <c r="F94" s="204"/>
      <c r="G94" s="204"/>
      <c r="H94" s="204"/>
      <c r="I94" s="359"/>
      <c r="J94" s="359"/>
      <c r="K94" s="359"/>
      <c r="L94" s="359">
        <f t="shared" ref="L94:AL94" si="249">IF(ISERR(L16/K16-1),"-",L16/K16-1)</f>
        <v>0.11742166212534055</v>
      </c>
      <c r="M94" s="359">
        <f t="shared" si="249"/>
        <v>0.45744113388706853</v>
      </c>
      <c r="N94" s="359">
        <f t="shared" si="249"/>
        <v>-0.19010770678657329</v>
      </c>
      <c r="O94" s="359">
        <f t="shared" si="249"/>
        <v>0.12717882504841826</v>
      </c>
      <c r="P94" s="359">
        <f t="shared" si="249"/>
        <v>0.2601374570446735</v>
      </c>
      <c r="Q94" s="359">
        <f t="shared" si="249"/>
        <v>0.59430960821743484</v>
      </c>
      <c r="R94" s="359">
        <f t="shared" si="249"/>
        <v>-7.3379326073322315E-2</v>
      </c>
      <c r="S94" s="359">
        <f t="shared" si="249"/>
        <v>0.3450652227418165</v>
      </c>
      <c r="T94" s="359">
        <f t="shared" si="249"/>
        <v>7.0128087831655916E-2</v>
      </c>
      <c r="U94" s="359">
        <f t="shared" si="249"/>
        <v>0.29981190954559067</v>
      </c>
      <c r="V94" s="359">
        <f t="shared" si="249"/>
        <v>-8.5557364379326817E-2</v>
      </c>
      <c r="W94" s="359">
        <f t="shared" si="249"/>
        <v>7.870886531199428E-2</v>
      </c>
      <c r="X94" s="359">
        <f t="shared" si="249"/>
        <v>9.2670078517012033E-2</v>
      </c>
      <c r="Y94" s="359">
        <f t="shared" si="249"/>
        <v>0.2866078784365178</v>
      </c>
      <c r="Z94" s="359">
        <f t="shared" si="249"/>
        <v>-0.14027889769008206</v>
      </c>
      <c r="AA94" s="359">
        <f t="shared" si="249"/>
        <v>0.16580232269454642</v>
      </c>
      <c r="AB94" s="359">
        <f t="shared" si="249"/>
        <v>6.4325686499532742E-2</v>
      </c>
      <c r="AC94" s="359">
        <f t="shared" si="249"/>
        <v>0.23369073440477428</v>
      </c>
      <c r="AD94" s="359">
        <f t="shared" si="249"/>
        <v>-0.143132467484541</v>
      </c>
      <c r="AE94" s="359">
        <f t="shared" si="249"/>
        <v>0.16352838607813913</v>
      </c>
      <c r="AF94" s="359">
        <f t="shared" si="249"/>
        <v>0.10058831405563229</v>
      </c>
      <c r="AG94" s="359">
        <f t="shared" si="249"/>
        <v>0.19353672117404352</v>
      </c>
      <c r="AH94" s="359">
        <f t="shared" si="249"/>
        <v>-0.17753633874963037</v>
      </c>
      <c r="AI94" s="359">
        <f t="shared" si="249"/>
        <v>0.16412614098361855</v>
      </c>
      <c r="AJ94" s="359">
        <f t="shared" si="249"/>
        <v>0.11369161832259134</v>
      </c>
      <c r="AK94" s="359">
        <f t="shared" si="249"/>
        <v>0.17802594100986924</v>
      </c>
      <c r="AL94" s="359">
        <f t="shared" si="249"/>
        <v>-0.17888368334941673</v>
      </c>
      <c r="AM94" s="359"/>
      <c r="AN94" s="359" t="str">
        <f t="shared" ref="AN94:BC94" si="250">IF(ISERR(AN16/AM16-1),"-",AN16/AM16-1)</f>
        <v>-</v>
      </c>
      <c r="AO94" s="359" t="str">
        <f t="shared" si="250"/>
        <v>-</v>
      </c>
      <c r="AP94" s="359" t="str">
        <f t="shared" si="250"/>
        <v>-</v>
      </c>
      <c r="AQ94" s="359" t="str">
        <f t="shared" si="250"/>
        <v>-</v>
      </c>
      <c r="AR94" s="359" t="str">
        <f t="shared" si="250"/>
        <v>-</v>
      </c>
      <c r="AS94" s="359" t="str">
        <f t="shared" si="250"/>
        <v>-</v>
      </c>
      <c r="AT94" s="359" t="str">
        <f t="shared" si="250"/>
        <v>-</v>
      </c>
      <c r="AU94" s="359" t="str">
        <f t="shared" si="250"/>
        <v>-</v>
      </c>
      <c r="AV94" s="359" t="str">
        <f t="shared" si="250"/>
        <v>-</v>
      </c>
      <c r="AW94" s="359" t="str">
        <f t="shared" si="250"/>
        <v>-</v>
      </c>
      <c r="AX94" s="359" t="str">
        <f t="shared" si="250"/>
        <v>-</v>
      </c>
      <c r="AY94" s="359" t="str">
        <f t="shared" si="250"/>
        <v>-</v>
      </c>
      <c r="AZ94" s="359" t="str">
        <f t="shared" si="250"/>
        <v>-</v>
      </c>
      <c r="BA94" s="359" t="str">
        <f t="shared" si="250"/>
        <v>-</v>
      </c>
      <c r="BB94" s="359" t="str">
        <f t="shared" si="250"/>
        <v>-</v>
      </c>
      <c r="BC94" s="359" t="str">
        <f t="shared" si="250"/>
        <v>-</v>
      </c>
      <c r="BD94" s="359"/>
      <c r="BE94" s="359"/>
      <c r="BF94" s="355">
        <f t="shared" ref="BF94:BL95" si="251">IF(ISERR(BF16/BE16-1),"-",BF16/BE16-1)</f>
        <v>0.73142191820695679</v>
      </c>
      <c r="BG94" s="355">
        <f t="shared" si="251"/>
        <v>0.79957298724005188</v>
      </c>
      <c r="BH94" s="355">
        <f t="shared" si="251"/>
        <v>0.93312095960539598</v>
      </c>
      <c r="BI94" s="355">
        <f t="shared" si="251"/>
        <v>0.36455982486746663</v>
      </c>
      <c r="BJ94" s="355">
        <f t="shared" si="251"/>
        <v>0.34776157369143257</v>
      </c>
      <c r="BK94" s="355">
        <f t="shared" si="251"/>
        <v>0.30679326064346957</v>
      </c>
      <c r="BL94" s="355">
        <f t="shared" si="251"/>
        <v>0.26003934422431141</v>
      </c>
      <c r="BM94" s="355">
        <f t="shared" ref="BM94:BM95" si="252">IF(ISERR(BM16/BL16-1),"-",BM16/BL16-1)</f>
        <v>0.21275815095192319</v>
      </c>
      <c r="BN94" s="355">
        <f t="shared" ref="BN94:BN95" si="253">IF(ISERR(BN16/BM16-1),"-",BN16/BM16-1)</f>
        <v>0.17885295413408775</v>
      </c>
      <c r="BO94" s="355">
        <f t="shared" ref="BO94:BO95" si="254">IF(ISERR(BO16/BN16-1),"-",BO16/BN16-1)</f>
        <v>0.14857429076808537</v>
      </c>
      <c r="BP94" s="355">
        <f t="shared" ref="BP94:BP95" si="255">IF(ISERR(BP16/BO16-1),"-",BP16/BO16-1)</f>
        <v>0.12357092498997213</v>
      </c>
      <c r="BQ94" s="355">
        <f t="shared" ref="BQ94:BQ95" si="256">IF(ISERR(BQ16/BP16-1),"-",BQ16/BP16-1)</f>
        <v>0.10381295693726011</v>
      </c>
      <c r="BR94" s="355">
        <f t="shared" ref="BR94:BR95" si="257">IF(ISERR(BR16/BQ16-1),"-",BR16/BQ16-1)</f>
        <v>8.8756093780316903E-2</v>
      </c>
      <c r="BS94" s="355">
        <f t="shared" ref="BS94:BS95" si="258">IF(ISERR(BS16/BR16-1),"-",BS16/BR16-1)</f>
        <v>7.7072962863780958E-2</v>
      </c>
      <c r="BT94" s="203"/>
      <c r="BU94" s="203"/>
    </row>
    <row r="95" spans="1:73" ht="12.75" customHeight="1" x14ac:dyDescent="0.35">
      <c r="A95" s="200"/>
      <c r="B95" s="264" t="s">
        <v>17</v>
      </c>
      <c r="C95" s="264"/>
      <c r="D95" s="264"/>
      <c r="E95" s="264"/>
      <c r="F95" s="204"/>
      <c r="G95" s="204"/>
      <c r="H95" s="204"/>
      <c r="I95" s="359"/>
      <c r="J95" s="359"/>
      <c r="K95" s="359"/>
      <c r="L95" s="269">
        <f t="shared" ref="L95:AL95" si="259">IF(ISERR(L17/K17-1),"-",L17/K17-1)</f>
        <v>3.7187653111220076E-2</v>
      </c>
      <c r="M95" s="269">
        <f t="shared" si="259"/>
        <v>0.61188530398223828</v>
      </c>
      <c r="N95" s="269">
        <f t="shared" si="259"/>
        <v>-0.32333978078658931</v>
      </c>
      <c r="O95" s="269">
        <f t="shared" si="259"/>
        <v>0.41729828056650353</v>
      </c>
      <c r="P95" s="269">
        <f t="shared" si="259"/>
        <v>1.2101210121012063E-2</v>
      </c>
      <c r="Q95" s="269">
        <f t="shared" si="259"/>
        <v>0.44776570048309172</v>
      </c>
      <c r="R95" s="269">
        <f t="shared" si="259"/>
        <v>-0.3862773722627737</v>
      </c>
      <c r="S95" s="269">
        <f t="shared" si="259"/>
        <v>0.26410221557700142</v>
      </c>
      <c r="T95" s="269">
        <f t="shared" si="259"/>
        <v>3.1236559139784958E-2</v>
      </c>
      <c r="U95" s="269">
        <f t="shared" si="259"/>
        <v>0.4718992753245399</v>
      </c>
      <c r="V95" s="269">
        <f t="shared" si="259"/>
        <v>-0.32900026565128837</v>
      </c>
      <c r="W95" s="269">
        <f t="shared" si="259"/>
        <v>0.44998416385135132</v>
      </c>
      <c r="X95" s="269">
        <f t="shared" si="259"/>
        <v>-2.6685112037424741E-2</v>
      </c>
      <c r="Y95" s="269">
        <f t="shared" si="259"/>
        <v>0.44235192908305443</v>
      </c>
      <c r="Z95" s="269">
        <f t="shared" si="259"/>
        <v>-0.45786006949847002</v>
      </c>
      <c r="AA95" s="269">
        <f t="shared" si="259"/>
        <v>0.65569692911125999</v>
      </c>
      <c r="AB95" s="269">
        <f t="shared" si="259"/>
        <v>-5.9643496850985134E-2</v>
      </c>
      <c r="AC95" s="269">
        <f t="shared" si="259"/>
        <v>0.43874713763345596</v>
      </c>
      <c r="AD95" s="269">
        <f t="shared" si="259"/>
        <v>-0.3637698205176384</v>
      </c>
      <c r="AE95" s="269">
        <f t="shared" si="259"/>
        <v>0.40225981044803949</v>
      </c>
      <c r="AF95" s="269">
        <f t="shared" si="259"/>
        <v>-2.9092986699749579E-2</v>
      </c>
      <c r="AG95" s="269">
        <f t="shared" si="259"/>
        <v>0.39443344761861554</v>
      </c>
      <c r="AH95" s="269">
        <f t="shared" si="259"/>
        <v>-0.36537031866471914</v>
      </c>
      <c r="AI95" s="269">
        <f t="shared" si="259"/>
        <v>0.40511596044691522</v>
      </c>
      <c r="AJ95" s="269">
        <f t="shared" si="259"/>
        <v>-1.8454285187026964E-2</v>
      </c>
      <c r="AK95" s="269">
        <f t="shared" si="259"/>
        <v>0.37784484675892638</v>
      </c>
      <c r="AL95" s="269">
        <f t="shared" si="259"/>
        <v>-0.36777140359572724</v>
      </c>
      <c r="AM95" s="269"/>
      <c r="AN95" s="269" t="str">
        <f t="shared" ref="AN95:BC95" si="260">IF(ISERR(AN17/AM17-1),"-",AN17/AM17-1)</f>
        <v>-</v>
      </c>
      <c r="AO95" s="269" t="str">
        <f t="shared" si="260"/>
        <v>-</v>
      </c>
      <c r="AP95" s="269" t="str">
        <f t="shared" si="260"/>
        <v>-</v>
      </c>
      <c r="AQ95" s="269" t="str">
        <f t="shared" si="260"/>
        <v>-</v>
      </c>
      <c r="AR95" s="269" t="str">
        <f t="shared" si="260"/>
        <v>-</v>
      </c>
      <c r="AS95" s="269" t="str">
        <f t="shared" si="260"/>
        <v>-</v>
      </c>
      <c r="AT95" s="269" t="str">
        <f t="shared" si="260"/>
        <v>-</v>
      </c>
      <c r="AU95" s="269" t="str">
        <f t="shared" si="260"/>
        <v>-</v>
      </c>
      <c r="AV95" s="269" t="str">
        <f t="shared" si="260"/>
        <v>-</v>
      </c>
      <c r="AW95" s="269" t="str">
        <f t="shared" si="260"/>
        <v>-</v>
      </c>
      <c r="AX95" s="269" t="str">
        <f t="shared" si="260"/>
        <v>-</v>
      </c>
      <c r="AY95" s="269" t="str">
        <f t="shared" si="260"/>
        <v>-</v>
      </c>
      <c r="AZ95" s="269" t="str">
        <f t="shared" si="260"/>
        <v>-</v>
      </c>
      <c r="BA95" s="269" t="str">
        <f t="shared" si="260"/>
        <v>-</v>
      </c>
      <c r="BB95" s="269" t="str">
        <f t="shared" si="260"/>
        <v>-</v>
      </c>
      <c r="BC95" s="269" t="str">
        <f t="shared" si="260"/>
        <v>-</v>
      </c>
      <c r="BD95" s="269"/>
      <c r="BE95" s="269"/>
      <c r="BF95" s="270">
        <f t="shared" si="251"/>
        <v>0.47915793256273576</v>
      </c>
      <c r="BG95" s="270">
        <f t="shared" si="251"/>
        <v>0.44976212167223406</v>
      </c>
      <c r="BH95" s="270">
        <f t="shared" si="251"/>
        <v>0.18637499825445802</v>
      </c>
      <c r="BI95" s="270">
        <f t="shared" si="251"/>
        <v>0.33798664037901305</v>
      </c>
      <c r="BJ95" s="270">
        <f t="shared" si="251"/>
        <v>0.26494631350648712</v>
      </c>
      <c r="BK95" s="270">
        <f t="shared" si="251"/>
        <v>0.21572420047807106</v>
      </c>
      <c r="BL95" s="270">
        <f t="shared" si="251"/>
        <v>0.20872995804190153</v>
      </c>
      <c r="BM95" s="270">
        <f t="shared" si="252"/>
        <v>0.19777755363943905</v>
      </c>
      <c r="BN95" s="270">
        <f t="shared" si="253"/>
        <v>0.16418239945749691</v>
      </c>
      <c r="BO95" s="270">
        <f t="shared" si="254"/>
        <v>0.13417243244181432</v>
      </c>
      <c r="BP95" s="270">
        <f t="shared" si="255"/>
        <v>0.10937466717293254</v>
      </c>
      <c r="BQ95" s="270">
        <f t="shared" si="256"/>
        <v>8.9758144334644463E-2</v>
      </c>
      <c r="BR95" s="270">
        <f t="shared" si="257"/>
        <v>7.4784064953408169E-2</v>
      </c>
      <c r="BS95" s="270">
        <f t="shared" si="258"/>
        <v>6.3140839330998233E-2</v>
      </c>
      <c r="BT95" s="203"/>
      <c r="BU95" s="203"/>
    </row>
    <row r="96" spans="1:73" ht="12.75" customHeight="1" x14ac:dyDescent="0.35">
      <c r="A96" s="200"/>
      <c r="B96" s="267"/>
      <c r="C96" s="267"/>
      <c r="D96" s="267"/>
      <c r="E96" s="267"/>
      <c r="F96" s="204"/>
      <c r="G96" s="204"/>
      <c r="H96" s="204"/>
      <c r="I96" s="359"/>
      <c r="J96" s="359"/>
      <c r="K96" s="359"/>
      <c r="L96" s="359"/>
      <c r="M96" s="359"/>
      <c r="N96" s="359"/>
      <c r="O96" s="359"/>
      <c r="P96" s="359"/>
      <c r="Q96" s="359"/>
      <c r="R96" s="359"/>
      <c r="S96" s="359"/>
      <c r="T96" s="359"/>
      <c r="U96" s="359"/>
      <c r="V96" s="359"/>
      <c r="W96" s="359"/>
      <c r="X96" s="359"/>
      <c r="Y96" s="359"/>
      <c r="Z96" s="359"/>
      <c r="AA96" s="359"/>
      <c r="AB96" s="359"/>
      <c r="AC96" s="359"/>
      <c r="AD96" s="359"/>
      <c r="AE96" s="359"/>
      <c r="AF96" s="359"/>
      <c r="AG96" s="359"/>
      <c r="AH96" s="359"/>
      <c r="AI96" s="359"/>
      <c r="AJ96" s="359"/>
      <c r="AK96" s="359"/>
      <c r="AL96" s="359"/>
      <c r="AM96" s="359"/>
      <c r="AN96" s="359"/>
      <c r="AO96" s="359"/>
      <c r="AP96" s="359"/>
      <c r="AQ96" s="359"/>
      <c r="AR96" s="359"/>
      <c r="AS96" s="359"/>
      <c r="AT96" s="359"/>
      <c r="AU96" s="359"/>
      <c r="AV96" s="359"/>
      <c r="AW96" s="359"/>
      <c r="AX96" s="359"/>
      <c r="AY96" s="359"/>
      <c r="AZ96" s="359"/>
      <c r="BA96" s="359"/>
      <c r="BB96" s="359"/>
      <c r="BC96" s="359"/>
      <c r="BD96" s="359"/>
      <c r="BE96" s="359"/>
      <c r="BF96" s="355"/>
      <c r="BG96" s="355"/>
      <c r="BH96" s="355"/>
      <c r="BI96" s="355"/>
      <c r="BJ96" s="355"/>
      <c r="BK96" s="355"/>
      <c r="BL96" s="355"/>
      <c r="BM96" s="355"/>
      <c r="BN96" s="355"/>
      <c r="BO96" s="355"/>
      <c r="BP96" s="355"/>
      <c r="BQ96" s="355"/>
      <c r="BR96" s="355"/>
      <c r="BS96" s="355"/>
      <c r="BT96" s="203"/>
      <c r="BU96" s="203"/>
    </row>
    <row r="97" spans="1:73" ht="12.75" customHeight="1" x14ac:dyDescent="0.35">
      <c r="A97" s="200"/>
      <c r="B97" s="267"/>
      <c r="C97" s="267" t="s">
        <v>173</v>
      </c>
      <c r="D97" s="267"/>
      <c r="E97" s="267"/>
      <c r="F97" s="204"/>
      <c r="G97" s="204"/>
      <c r="H97" s="204"/>
      <c r="I97" s="359"/>
      <c r="J97" s="359"/>
      <c r="K97" s="359"/>
      <c r="L97" s="359">
        <f t="shared" ref="L97:AL97" si="261">IF(ISERR(L19/K19-1),"-",L19/K19-1)</f>
        <v>4.5532942393929021E-2</v>
      </c>
      <c r="M97" s="359">
        <f t="shared" si="261"/>
        <v>0.11002969317057087</v>
      </c>
      <c r="N97" s="359">
        <f t="shared" si="261"/>
        <v>7.3562193490861461E-3</v>
      </c>
      <c r="O97" s="359">
        <f t="shared" si="261"/>
        <v>0.12200339308106511</v>
      </c>
      <c r="P97" s="359">
        <f t="shared" si="261"/>
        <v>8.710801393728218E-2</v>
      </c>
      <c r="Q97" s="359">
        <f t="shared" si="261"/>
        <v>0.32764876632801165</v>
      </c>
      <c r="R97" s="359">
        <f t="shared" si="261"/>
        <v>-7.9575475995262823E-2</v>
      </c>
      <c r="S97" s="359">
        <f t="shared" si="261"/>
        <v>0.44405404067897258</v>
      </c>
      <c r="T97" s="359">
        <f t="shared" si="261"/>
        <v>-0.14801233721727214</v>
      </c>
      <c r="U97" s="359">
        <f t="shared" si="261"/>
        <v>0.19331483045734288</v>
      </c>
      <c r="V97" s="359">
        <f t="shared" si="261"/>
        <v>-1.8336872619408751E-2</v>
      </c>
      <c r="W97" s="359">
        <f t="shared" si="261"/>
        <v>4.9411118360058959E-2</v>
      </c>
      <c r="X97" s="359">
        <f t="shared" si="261"/>
        <v>8.3273345985210412E-2</v>
      </c>
      <c r="Y97" s="359">
        <f t="shared" si="261"/>
        <v>0.13462409762285921</v>
      </c>
      <c r="Z97" s="359">
        <f t="shared" si="261"/>
        <v>-7.6749015014375477E-2</v>
      </c>
      <c r="AA97" s="359">
        <f t="shared" si="261"/>
        <v>-4.5558086560364419E-3</v>
      </c>
      <c r="AB97" s="359">
        <f t="shared" si="261"/>
        <v>0.49074530023462626</v>
      </c>
      <c r="AC97" s="359">
        <f t="shared" si="261"/>
        <v>-6.421010637905944E-2</v>
      </c>
      <c r="AD97" s="359">
        <f t="shared" si="261"/>
        <v>-2.8492568820900011E-2</v>
      </c>
      <c r="AE97" s="359">
        <f t="shared" si="261"/>
        <v>-5.7627241964397835E-2</v>
      </c>
      <c r="AF97" s="359">
        <f t="shared" si="261"/>
        <v>0.54933601755879513</v>
      </c>
      <c r="AG97" s="359">
        <f t="shared" si="261"/>
        <v>-9.4720184381978823E-2</v>
      </c>
      <c r="AH97" s="359">
        <f t="shared" si="261"/>
        <v>-5.288393685585091E-2</v>
      </c>
      <c r="AI97" s="359">
        <f t="shared" si="261"/>
        <v>-5.3733452258068137E-2</v>
      </c>
      <c r="AJ97" s="359">
        <f t="shared" si="261"/>
        <v>0.57341382628503346</v>
      </c>
      <c r="AK97" s="359">
        <f t="shared" si="261"/>
        <v>-0.10591729767101532</v>
      </c>
      <c r="AL97" s="359">
        <f t="shared" si="261"/>
        <v>-5.7619886029533496E-2</v>
      </c>
      <c r="AM97" s="359"/>
      <c r="AN97" s="359" t="str">
        <f t="shared" ref="AN97:BC97" si="262">IF(ISERR(AN19/AM19-1),"-",AN19/AM19-1)</f>
        <v>-</v>
      </c>
      <c r="AO97" s="359" t="str">
        <f t="shared" si="262"/>
        <v>-</v>
      </c>
      <c r="AP97" s="359" t="str">
        <f t="shared" si="262"/>
        <v>-</v>
      </c>
      <c r="AQ97" s="359" t="str">
        <f t="shared" si="262"/>
        <v>-</v>
      </c>
      <c r="AR97" s="359" t="str">
        <f t="shared" si="262"/>
        <v>-</v>
      </c>
      <c r="AS97" s="359" t="str">
        <f t="shared" si="262"/>
        <v>-</v>
      </c>
      <c r="AT97" s="359" t="str">
        <f t="shared" si="262"/>
        <v>-</v>
      </c>
      <c r="AU97" s="359" t="str">
        <f t="shared" si="262"/>
        <v>-</v>
      </c>
      <c r="AV97" s="359" t="str">
        <f t="shared" si="262"/>
        <v>-</v>
      </c>
      <c r="AW97" s="359" t="str">
        <f t="shared" si="262"/>
        <v>-</v>
      </c>
      <c r="AX97" s="359" t="str">
        <f t="shared" si="262"/>
        <v>-</v>
      </c>
      <c r="AY97" s="359" t="str">
        <f t="shared" si="262"/>
        <v>-</v>
      </c>
      <c r="AZ97" s="359" t="str">
        <f t="shared" si="262"/>
        <v>-</v>
      </c>
      <c r="BA97" s="359" t="str">
        <f t="shared" si="262"/>
        <v>-</v>
      </c>
      <c r="BB97" s="359" t="str">
        <f t="shared" si="262"/>
        <v>-</v>
      </c>
      <c r="BC97" s="359" t="str">
        <f t="shared" si="262"/>
        <v>-</v>
      </c>
      <c r="BD97" s="359"/>
      <c r="BE97" s="359"/>
      <c r="BF97" s="355">
        <f t="shared" ref="BF97:BL102" si="263">IF(ISERR(BF19/BE19-1),"-",BF19/BE19-1)</f>
        <v>0.346255904049249</v>
      </c>
      <c r="BG97" s="355">
        <f t="shared" si="263"/>
        <v>0.45674583620774611</v>
      </c>
      <c r="BH97" s="355">
        <f t="shared" si="263"/>
        <v>0.5266412296368459</v>
      </c>
      <c r="BI97" s="355">
        <f t="shared" si="263"/>
        <v>0.2045803015128822</v>
      </c>
      <c r="BJ97" s="355">
        <f t="shared" si="263"/>
        <v>0.33125829181112909</v>
      </c>
      <c r="BK97" s="355">
        <f t="shared" si="263"/>
        <v>0.28674796636627375</v>
      </c>
      <c r="BL97" s="355">
        <f t="shared" si="263"/>
        <v>0.26311175802187159</v>
      </c>
      <c r="BM97" s="355">
        <f t="shared" ref="BM97:BM102" si="264">IF(ISERR(BM19/BL19-1),"-",BM19/BL19-1)</f>
        <v>0.1974763949002345</v>
      </c>
      <c r="BN97" s="355">
        <f t="shared" ref="BN97:BN102" si="265">IF(ISERR(BN19/BM19-1),"-",BN19/BM19-1)</f>
        <v>0.16652535674488589</v>
      </c>
      <c r="BO97" s="355">
        <f t="shared" ref="BO97:BO102" si="266">IF(ISERR(BO19/BN19-1),"-",BO19/BN19-1)</f>
        <v>0.13828477536920047</v>
      </c>
      <c r="BP97" s="355">
        <f t="shared" ref="BP97:BP102" si="267">IF(ISERR(BP19/BO19-1),"-",BP19/BO19-1)</f>
        <v>0.11466160031589956</v>
      </c>
      <c r="BQ97" s="355">
        <f t="shared" ref="BQ97:BQ102" si="268">IF(ISERR(BQ19/BP19-1),"-",BQ19/BP19-1)</f>
        <v>9.5839618656799574E-2</v>
      </c>
      <c r="BR97" s="355">
        <f t="shared" ref="BR97:BR102" si="269">IF(ISERR(BR19/BQ19-1),"-",BR19/BQ19-1)</f>
        <v>8.141979866058735E-2</v>
      </c>
      <c r="BS97" s="355">
        <f t="shared" ref="BS97:BS102" si="270">IF(ISERR(BS19/BR19-1),"-",BS19/BR19-1)</f>
        <v>7.0186923458375405E-2</v>
      </c>
      <c r="BT97" s="203"/>
      <c r="BU97" s="203"/>
    </row>
    <row r="98" spans="1:73" ht="12.75" customHeight="1" x14ac:dyDescent="0.35">
      <c r="A98" s="200"/>
      <c r="B98" s="267"/>
      <c r="C98" s="267"/>
      <c r="D98" s="267" t="s">
        <v>174</v>
      </c>
      <c r="E98" s="267"/>
      <c r="F98" s="204"/>
      <c r="G98" s="204"/>
      <c r="H98" s="204"/>
      <c r="I98" s="359"/>
      <c r="J98" s="359"/>
      <c r="K98" s="359"/>
      <c r="L98" s="359">
        <f t="shared" ref="L98:AL98" si="271">IF(ISERR(L20/K20-1),"-",L20/K20-1)</f>
        <v>7.3049252905368123E-2</v>
      </c>
      <c r="M98" s="359">
        <f t="shared" si="271"/>
        <v>0.15781330582774622</v>
      </c>
      <c r="N98" s="359">
        <f t="shared" si="271"/>
        <v>-3.5189309576837413E-2</v>
      </c>
      <c r="O98" s="359">
        <f t="shared" si="271"/>
        <v>0.11957525392428447</v>
      </c>
      <c r="P98" s="359">
        <f t="shared" si="271"/>
        <v>0.29195876288659783</v>
      </c>
      <c r="Q98" s="359">
        <f t="shared" si="271"/>
        <v>0.36323013086498568</v>
      </c>
      <c r="R98" s="359">
        <f t="shared" si="271"/>
        <v>-0.10547881058300168</v>
      </c>
      <c r="S98" s="359">
        <f t="shared" si="271"/>
        <v>0.16751734066221702</v>
      </c>
      <c r="T98" s="359">
        <f t="shared" si="271"/>
        <v>2.0737585472480724E-2</v>
      </c>
      <c r="U98" s="359">
        <f t="shared" si="271"/>
        <v>0.32923347243575662</v>
      </c>
      <c r="V98" s="359">
        <f t="shared" si="271"/>
        <v>-0.20282551222736289</v>
      </c>
      <c r="W98" s="359">
        <f t="shared" si="271"/>
        <v>0.10871592911182515</v>
      </c>
      <c r="X98" s="359">
        <f t="shared" si="271"/>
        <v>0.12133108992335018</v>
      </c>
      <c r="Y98" s="359">
        <f t="shared" si="271"/>
        <v>0.31710570190063359</v>
      </c>
      <c r="Z98" s="359">
        <f t="shared" si="271"/>
        <v>-0.22917721518987344</v>
      </c>
      <c r="AA98" s="359">
        <f t="shared" si="271"/>
        <v>0.12094589046719761</v>
      </c>
      <c r="AB98" s="359">
        <f t="shared" si="271"/>
        <v>0.27241429827131558</v>
      </c>
      <c r="AC98" s="359">
        <f t="shared" si="271"/>
        <v>0.21050338290567949</v>
      </c>
      <c r="AD98" s="359">
        <f t="shared" si="271"/>
        <v>-0.17706415193609959</v>
      </c>
      <c r="AE98" s="359">
        <f t="shared" si="271"/>
        <v>4.6359448070113274E-2</v>
      </c>
      <c r="AF98" s="359">
        <f t="shared" si="271"/>
        <v>0.31819352086702457</v>
      </c>
      <c r="AG98" s="359">
        <f t="shared" si="271"/>
        <v>0.16838706938332892</v>
      </c>
      <c r="AH98" s="359">
        <f t="shared" si="271"/>
        <v>-0.1940847183273714</v>
      </c>
      <c r="AI98" s="359">
        <f t="shared" si="271"/>
        <v>4.5574240395145571E-2</v>
      </c>
      <c r="AJ98" s="359">
        <f t="shared" si="271"/>
        <v>0.33505505538375768</v>
      </c>
      <c r="AK98" s="359">
        <f t="shared" si="271"/>
        <v>0.15193256458432525</v>
      </c>
      <c r="AL98" s="359">
        <f t="shared" si="271"/>
        <v>-0.19399725902028175</v>
      </c>
      <c r="AM98" s="359"/>
      <c r="AN98" s="359" t="str">
        <f t="shared" ref="AN98:BC98" si="272">IF(ISERR(AN20/AM20-1),"-",AN20/AM20-1)</f>
        <v>-</v>
      </c>
      <c r="AO98" s="359" t="str">
        <f t="shared" si="272"/>
        <v>-</v>
      </c>
      <c r="AP98" s="359" t="str">
        <f t="shared" si="272"/>
        <v>-</v>
      </c>
      <c r="AQ98" s="359" t="str">
        <f t="shared" si="272"/>
        <v>-</v>
      </c>
      <c r="AR98" s="359" t="str">
        <f t="shared" si="272"/>
        <v>-</v>
      </c>
      <c r="AS98" s="359" t="str">
        <f t="shared" si="272"/>
        <v>-</v>
      </c>
      <c r="AT98" s="359" t="str">
        <f t="shared" si="272"/>
        <v>-</v>
      </c>
      <c r="AU98" s="359" t="str">
        <f t="shared" si="272"/>
        <v>-</v>
      </c>
      <c r="AV98" s="359" t="str">
        <f t="shared" si="272"/>
        <v>-</v>
      </c>
      <c r="AW98" s="359" t="str">
        <f t="shared" si="272"/>
        <v>-</v>
      </c>
      <c r="AX98" s="359" t="str">
        <f t="shared" si="272"/>
        <v>-</v>
      </c>
      <c r="AY98" s="359" t="str">
        <f t="shared" si="272"/>
        <v>-</v>
      </c>
      <c r="AZ98" s="359" t="str">
        <f t="shared" si="272"/>
        <v>-</v>
      </c>
      <c r="BA98" s="359" t="str">
        <f t="shared" si="272"/>
        <v>-</v>
      </c>
      <c r="BB98" s="359" t="str">
        <f t="shared" si="272"/>
        <v>-</v>
      </c>
      <c r="BC98" s="359" t="str">
        <f t="shared" si="272"/>
        <v>-</v>
      </c>
      <c r="BD98" s="359"/>
      <c r="BE98" s="359"/>
      <c r="BF98" s="355">
        <f t="shared" si="263"/>
        <v>0.44282302998142753</v>
      </c>
      <c r="BG98" s="355">
        <f t="shared" si="263"/>
        <v>0.67334804462424902</v>
      </c>
      <c r="BH98" s="355">
        <f t="shared" si="263"/>
        <v>0.45719623429429657</v>
      </c>
      <c r="BI98" s="355">
        <f t="shared" si="263"/>
        <v>0.27383107088989433</v>
      </c>
      <c r="BJ98" s="355">
        <f t="shared" si="263"/>
        <v>0.36867887749625949</v>
      </c>
      <c r="BK98" s="355">
        <f t="shared" si="263"/>
        <v>0.33135845095903349</v>
      </c>
      <c r="BL98" s="355">
        <f t="shared" si="263"/>
        <v>0.30109073066480696</v>
      </c>
      <c r="BM98" s="355">
        <f t="shared" si="264"/>
        <v>-0.95674735133706745</v>
      </c>
      <c r="BN98" s="355">
        <f t="shared" si="265"/>
        <v>8.0428363668414438E-3</v>
      </c>
      <c r="BO98" s="355">
        <f t="shared" si="266"/>
        <v>7.9786652676678838E-3</v>
      </c>
      <c r="BP98" s="355">
        <f t="shared" si="267"/>
        <v>7.9155100624566099E-3</v>
      </c>
      <c r="BQ98" s="355">
        <f t="shared" si="268"/>
        <v>7.8748628353808581E-3</v>
      </c>
      <c r="BR98" s="355">
        <f t="shared" si="269"/>
        <v>7.7919859957731319E-3</v>
      </c>
      <c r="BS98" s="355">
        <f t="shared" si="270"/>
        <v>7.7317403829859632E-3</v>
      </c>
      <c r="BT98" s="203"/>
      <c r="BU98" s="203"/>
    </row>
    <row r="99" spans="1:73" ht="12.75" customHeight="1" x14ac:dyDescent="0.35">
      <c r="A99" s="200"/>
      <c r="B99" s="267"/>
      <c r="C99" s="267"/>
      <c r="D99" s="267" t="s">
        <v>175</v>
      </c>
      <c r="E99" s="267"/>
      <c r="F99" s="204"/>
      <c r="G99" s="204"/>
      <c r="H99" s="204"/>
      <c r="I99" s="359"/>
      <c r="J99" s="359"/>
      <c r="K99" s="359"/>
      <c r="L99" s="359">
        <f t="shared" ref="L99:AL99" si="273">IF(ISERR(L21/K21-1),"-",L21/K21-1)</f>
        <v>2.6248632883703937E-2</v>
      </c>
      <c r="M99" s="359">
        <f t="shared" si="273"/>
        <v>0.16767317939609239</v>
      </c>
      <c r="N99" s="359">
        <f t="shared" si="273"/>
        <v>3.2552479464557305E-2</v>
      </c>
      <c r="O99" s="359">
        <f t="shared" si="273"/>
        <v>8.3971714790807228E-2</v>
      </c>
      <c r="P99" s="359">
        <f t="shared" si="273"/>
        <v>-6.5235118238651801E-2</v>
      </c>
      <c r="Q99" s="359">
        <f t="shared" si="273"/>
        <v>0.32945623727827855</v>
      </c>
      <c r="R99" s="359">
        <f t="shared" si="273"/>
        <v>-4.5931758530183275E-3</v>
      </c>
      <c r="S99" s="359">
        <f t="shared" si="273"/>
        <v>0.46011865524060647</v>
      </c>
      <c r="T99" s="359">
        <f t="shared" si="273"/>
        <v>-0.28081264108352144</v>
      </c>
      <c r="U99" s="359">
        <f t="shared" si="273"/>
        <v>0.22473320778405514</v>
      </c>
      <c r="V99" s="359">
        <f t="shared" si="273"/>
        <v>0.30052964291816164</v>
      </c>
      <c r="W99" s="359">
        <f t="shared" si="273"/>
        <v>-0.16973200210194428</v>
      </c>
      <c r="X99" s="359">
        <f t="shared" si="273"/>
        <v>4.2879746835442933E-2</v>
      </c>
      <c r="Y99" s="359">
        <f t="shared" si="273"/>
        <v>0.1250189652556517</v>
      </c>
      <c r="Z99" s="359">
        <f t="shared" si="273"/>
        <v>6.1496965610249532E-2</v>
      </c>
      <c r="AA99" s="359">
        <f t="shared" si="273"/>
        <v>-0.13136831406428662</v>
      </c>
      <c r="AB99" s="359">
        <f t="shared" si="273"/>
        <v>0.7494515138218516</v>
      </c>
      <c r="AC99" s="359">
        <f t="shared" si="273"/>
        <v>-0.19067057316397595</v>
      </c>
      <c r="AD99" s="359">
        <f t="shared" si="273"/>
        <v>0.13326165601981255</v>
      </c>
      <c r="AE99" s="359">
        <f t="shared" si="273"/>
        <v>-0.18916606126894719</v>
      </c>
      <c r="AF99" s="359">
        <f t="shared" si="273"/>
        <v>0.81239369419538066</v>
      </c>
      <c r="AG99" s="359">
        <f t="shared" si="273"/>
        <v>-0.21882908338777307</v>
      </c>
      <c r="AH99" s="359">
        <f t="shared" si="273"/>
        <v>0.10982270230264479</v>
      </c>
      <c r="AI99" s="359">
        <f t="shared" si="273"/>
        <v>-0.18977452620228374</v>
      </c>
      <c r="AJ99" s="359">
        <f t="shared" si="273"/>
        <v>0.83557673852750947</v>
      </c>
      <c r="AK99" s="359">
        <f t="shared" si="273"/>
        <v>-0.2298303867512399</v>
      </c>
      <c r="AL99" s="359">
        <f t="shared" si="273"/>
        <v>0.10994314216368628</v>
      </c>
      <c r="AM99" s="359"/>
      <c r="AN99" s="359" t="str">
        <f t="shared" ref="AN99:BC99" si="274">IF(ISERR(AN21/AM21-1),"-",AN21/AM21-1)</f>
        <v>-</v>
      </c>
      <c r="AO99" s="359" t="str">
        <f t="shared" si="274"/>
        <v>-</v>
      </c>
      <c r="AP99" s="359" t="str">
        <f t="shared" si="274"/>
        <v>-</v>
      </c>
      <c r="AQ99" s="359" t="str">
        <f t="shared" si="274"/>
        <v>-</v>
      </c>
      <c r="AR99" s="359" t="str">
        <f t="shared" si="274"/>
        <v>-</v>
      </c>
      <c r="AS99" s="359" t="str">
        <f t="shared" si="274"/>
        <v>-</v>
      </c>
      <c r="AT99" s="359" t="str">
        <f t="shared" si="274"/>
        <v>-</v>
      </c>
      <c r="AU99" s="359" t="str">
        <f t="shared" si="274"/>
        <v>-</v>
      </c>
      <c r="AV99" s="359" t="str">
        <f t="shared" si="274"/>
        <v>-</v>
      </c>
      <c r="AW99" s="359" t="str">
        <f t="shared" si="274"/>
        <v>-</v>
      </c>
      <c r="AX99" s="359" t="str">
        <f t="shared" si="274"/>
        <v>-</v>
      </c>
      <c r="AY99" s="359" t="str">
        <f t="shared" si="274"/>
        <v>-</v>
      </c>
      <c r="AZ99" s="359" t="str">
        <f t="shared" si="274"/>
        <v>-</v>
      </c>
      <c r="BA99" s="359" t="str">
        <f t="shared" si="274"/>
        <v>-</v>
      </c>
      <c r="BB99" s="359" t="str">
        <f t="shared" si="274"/>
        <v>-</v>
      </c>
      <c r="BC99" s="359" t="str">
        <f t="shared" si="274"/>
        <v>-</v>
      </c>
      <c r="BD99" s="359"/>
      <c r="BE99" s="359"/>
      <c r="BF99" s="355">
        <f t="shared" si="263"/>
        <v>0.3296034763715372</v>
      </c>
      <c r="BG99" s="355">
        <f t="shared" si="263"/>
        <v>0.32698749897867474</v>
      </c>
      <c r="BH99" s="355">
        <f t="shared" si="263"/>
        <v>0.53247952712271407</v>
      </c>
      <c r="BI99" s="355">
        <f t="shared" si="263"/>
        <v>0.13291012093696009</v>
      </c>
      <c r="BJ99" s="355">
        <f t="shared" si="263"/>
        <v>0.39904256674087435</v>
      </c>
      <c r="BK99" s="355">
        <f t="shared" si="263"/>
        <v>0.30770115836553691</v>
      </c>
      <c r="BL99" s="355">
        <f t="shared" si="263"/>
        <v>0.2772484371699333</v>
      </c>
      <c r="BM99" s="355">
        <f t="shared" si="264"/>
        <v>0.20672452831037136</v>
      </c>
      <c r="BN99" s="355">
        <f t="shared" si="265"/>
        <v>0.17298801406376896</v>
      </c>
      <c r="BO99" s="355">
        <f t="shared" si="266"/>
        <v>0.14285999081401513</v>
      </c>
      <c r="BP99" s="355">
        <f t="shared" si="267"/>
        <v>0.11798101989051979</v>
      </c>
      <c r="BQ99" s="355">
        <f t="shared" si="268"/>
        <v>9.8321350186328482E-2</v>
      </c>
      <c r="BR99" s="355">
        <f t="shared" si="269"/>
        <v>8.3339396796335619E-2</v>
      </c>
      <c r="BS99" s="355">
        <f t="shared" si="270"/>
        <v>7.1714390909234815E-2</v>
      </c>
      <c r="BT99" s="203"/>
      <c r="BU99" s="203"/>
    </row>
    <row r="100" spans="1:73" ht="12.75" customHeight="1" x14ac:dyDescent="0.35">
      <c r="A100" s="200"/>
      <c r="B100" s="267"/>
      <c r="C100" s="267"/>
      <c r="D100" s="267" t="s">
        <v>131</v>
      </c>
      <c r="E100" s="267"/>
      <c r="F100" s="204"/>
      <c r="G100" s="204"/>
      <c r="H100" s="204"/>
      <c r="I100" s="359"/>
      <c r="J100" s="359"/>
      <c r="K100" s="359"/>
      <c r="L100" s="359">
        <f t="shared" ref="L100:AL100" si="275">IF(ISERR(L22/K22-1),"-",L22/K22-1)</f>
        <v>3.6609829488465362E-2</v>
      </c>
      <c r="M100" s="359">
        <f t="shared" si="275"/>
        <v>6.9182389937106903E-2</v>
      </c>
      <c r="N100" s="359">
        <f t="shared" si="275"/>
        <v>2.2171945701357387E-2</v>
      </c>
      <c r="O100" s="359">
        <f t="shared" si="275"/>
        <v>3.9397963700752436E-2</v>
      </c>
      <c r="P100" s="359">
        <f t="shared" si="275"/>
        <v>8.2410562180579294E-2</v>
      </c>
      <c r="Q100" s="359">
        <f t="shared" si="275"/>
        <v>0.23726145976785373</v>
      </c>
      <c r="R100" s="359">
        <f t="shared" si="275"/>
        <v>6.3126093178565768E-2</v>
      </c>
      <c r="S100" s="359">
        <f t="shared" si="275"/>
        <v>0.72150762787915057</v>
      </c>
      <c r="T100" s="359">
        <f t="shared" si="275"/>
        <v>-0.27324066029539529</v>
      </c>
      <c r="U100" s="359">
        <f t="shared" si="275"/>
        <v>6.4076509264793691E-2</v>
      </c>
      <c r="V100" s="359">
        <f t="shared" si="275"/>
        <v>-2.71879564093922E-2</v>
      </c>
      <c r="W100" s="359">
        <f t="shared" si="275"/>
        <v>0.21007044693382615</v>
      </c>
      <c r="X100" s="359">
        <f t="shared" si="275"/>
        <v>4.390150792135894E-2</v>
      </c>
      <c r="Y100" s="359">
        <f t="shared" si="275"/>
        <v>1.2707990491863219E-2</v>
      </c>
      <c r="Z100" s="359">
        <f t="shared" si="275"/>
        <v>-4.4235803918028394E-2</v>
      </c>
      <c r="AA100" s="359">
        <f t="shared" si="275"/>
        <v>4.6755454803060426E-2</v>
      </c>
      <c r="AB100" s="359">
        <f t="shared" si="275"/>
        <v>0.73659989171629681</v>
      </c>
      <c r="AC100" s="359">
        <f t="shared" si="275"/>
        <v>-0.26316532416931837</v>
      </c>
      <c r="AD100" s="359">
        <f t="shared" si="275"/>
        <v>2.0380604662033619E-2</v>
      </c>
      <c r="AE100" s="359">
        <f t="shared" si="275"/>
        <v>-2.2894441857841064E-2</v>
      </c>
      <c r="AF100" s="359">
        <f t="shared" si="275"/>
        <v>0.79907969338983365</v>
      </c>
      <c r="AG100" s="359">
        <f t="shared" si="275"/>
        <v>-0.28880156828037051</v>
      </c>
      <c r="AH100" s="359">
        <f t="shared" si="275"/>
        <v>-7.2365986463196474E-4</v>
      </c>
      <c r="AI100" s="359">
        <f t="shared" si="275"/>
        <v>-2.3627680120200889E-2</v>
      </c>
      <c r="AJ100" s="359">
        <f t="shared" si="275"/>
        <v>0.82209243307352864</v>
      </c>
      <c r="AK100" s="359">
        <f t="shared" si="275"/>
        <v>-0.29881744256931753</v>
      </c>
      <c r="AL100" s="359">
        <f t="shared" si="275"/>
        <v>-6.1521668420472242E-4</v>
      </c>
      <c r="AM100" s="359"/>
      <c r="AN100" s="359" t="str">
        <f t="shared" ref="AN100:BC100" si="276">IF(ISERR(AN22/AM22-1),"-",AN22/AM22-1)</f>
        <v>-</v>
      </c>
      <c r="AO100" s="359" t="str">
        <f t="shared" si="276"/>
        <v>-</v>
      </c>
      <c r="AP100" s="359" t="str">
        <f t="shared" si="276"/>
        <v>-</v>
      </c>
      <c r="AQ100" s="359" t="str">
        <f t="shared" si="276"/>
        <v>-</v>
      </c>
      <c r="AR100" s="359" t="str">
        <f t="shared" si="276"/>
        <v>-</v>
      </c>
      <c r="AS100" s="359" t="str">
        <f t="shared" si="276"/>
        <v>-</v>
      </c>
      <c r="AT100" s="359" t="str">
        <f t="shared" si="276"/>
        <v>-</v>
      </c>
      <c r="AU100" s="359" t="str">
        <f t="shared" si="276"/>
        <v>-</v>
      </c>
      <c r="AV100" s="359" t="str">
        <f t="shared" si="276"/>
        <v>-</v>
      </c>
      <c r="AW100" s="359" t="str">
        <f t="shared" si="276"/>
        <v>-</v>
      </c>
      <c r="AX100" s="359" t="str">
        <f t="shared" si="276"/>
        <v>-</v>
      </c>
      <c r="AY100" s="359" t="str">
        <f t="shared" si="276"/>
        <v>-</v>
      </c>
      <c r="AZ100" s="359" t="str">
        <f t="shared" si="276"/>
        <v>-</v>
      </c>
      <c r="BA100" s="359" t="str">
        <f t="shared" si="276"/>
        <v>-</v>
      </c>
      <c r="BB100" s="359" t="str">
        <f t="shared" si="276"/>
        <v>-</v>
      </c>
      <c r="BC100" s="359" t="str">
        <f t="shared" si="276"/>
        <v>-</v>
      </c>
      <c r="BD100" s="359"/>
      <c r="BE100" s="359"/>
      <c r="BF100" s="355">
        <f t="shared" si="263"/>
        <v>0.23730780388743833</v>
      </c>
      <c r="BG100" s="355">
        <f t="shared" si="263"/>
        <v>0.33376318874560384</v>
      </c>
      <c r="BH100" s="355">
        <f t="shared" si="263"/>
        <v>0.64520523863936008</v>
      </c>
      <c r="BI100" s="355">
        <f t="shared" si="263"/>
        <v>0.15079471083210905</v>
      </c>
      <c r="BJ100" s="355">
        <f t="shared" si="263"/>
        <v>0.36900583703475864</v>
      </c>
      <c r="BK100" s="355">
        <f t="shared" si="263"/>
        <v>0.28423705999705673</v>
      </c>
      <c r="BL100" s="355">
        <f t="shared" si="263"/>
        <v>0.25288445369589119</v>
      </c>
      <c r="BM100" s="355">
        <f t="shared" si="264"/>
        <v>0.20672452831037136</v>
      </c>
      <c r="BN100" s="355">
        <f t="shared" si="265"/>
        <v>0.17298801406376918</v>
      </c>
      <c r="BO100" s="355">
        <f t="shared" si="266"/>
        <v>0.14285999081401513</v>
      </c>
      <c r="BP100" s="355">
        <f t="shared" si="267"/>
        <v>0.11798101989051957</v>
      </c>
      <c r="BQ100" s="355">
        <f t="shared" si="268"/>
        <v>9.8321350186328704E-2</v>
      </c>
      <c r="BR100" s="355">
        <f t="shared" si="269"/>
        <v>8.3339396796335397E-2</v>
      </c>
      <c r="BS100" s="355">
        <f t="shared" si="270"/>
        <v>7.1714390909234815E-2</v>
      </c>
      <c r="BT100" s="203"/>
      <c r="BU100" s="203"/>
    </row>
    <row r="101" spans="1:73" ht="12.75" customHeight="1" x14ac:dyDescent="0.35">
      <c r="A101" s="200"/>
      <c r="B101" s="267"/>
      <c r="C101" s="267" t="s">
        <v>176</v>
      </c>
      <c r="D101" s="267"/>
      <c r="E101" s="267"/>
      <c r="F101" s="204"/>
      <c r="G101" s="204"/>
      <c r="H101" s="204"/>
      <c r="I101" s="359"/>
      <c r="J101" s="359"/>
      <c r="K101" s="359"/>
      <c r="L101" s="359">
        <f t="shared" ref="L101:AL101" si="277">IF(ISERR(L23/K23-1),"-",L23/K23-1)</f>
        <v>3.6770583533173529E-2</v>
      </c>
      <c r="M101" s="359">
        <f t="shared" si="277"/>
        <v>-2.7756360832690841E-2</v>
      </c>
      <c r="N101" s="359">
        <f t="shared" si="277"/>
        <v>4.1237113402061931E-2</v>
      </c>
      <c r="O101" s="359">
        <f t="shared" si="277"/>
        <v>0.51256664127951246</v>
      </c>
      <c r="P101" s="359">
        <f t="shared" si="277"/>
        <v>-0.1198388721047331</v>
      </c>
      <c r="Q101" s="359">
        <f t="shared" si="277"/>
        <v>0.45938215102974822</v>
      </c>
      <c r="R101" s="359">
        <f t="shared" si="277"/>
        <v>-0.47902783222265777</v>
      </c>
      <c r="S101" s="359">
        <f t="shared" si="277"/>
        <v>0.58314522197140706</v>
      </c>
      <c r="T101" s="359">
        <f t="shared" si="277"/>
        <v>0.24096958174904937</v>
      </c>
      <c r="U101" s="359">
        <f t="shared" si="277"/>
        <v>7.5833014170815671E-2</v>
      </c>
      <c r="V101" s="359">
        <f t="shared" si="277"/>
        <v>0.14026343894624427</v>
      </c>
      <c r="W101" s="359">
        <f t="shared" si="277"/>
        <v>-4.2772400874180438E-2</v>
      </c>
      <c r="X101" s="359">
        <f t="shared" si="277"/>
        <v>0.16829745596868895</v>
      </c>
      <c r="Y101" s="359">
        <f t="shared" si="277"/>
        <v>-8.6543830262423183E-2</v>
      </c>
      <c r="Z101" s="359">
        <f t="shared" si="277"/>
        <v>0.23594132029339843</v>
      </c>
      <c r="AA101" s="359">
        <f t="shared" si="277"/>
        <v>-0.27002967359050445</v>
      </c>
      <c r="AB101" s="359">
        <f t="shared" si="277"/>
        <v>-2.1680216802168029E-2</v>
      </c>
      <c r="AC101" s="359">
        <f t="shared" si="277"/>
        <v>0.13296398891966765</v>
      </c>
      <c r="AD101" s="359">
        <f t="shared" si="277"/>
        <v>0.23594132029339843</v>
      </c>
      <c r="AE101" s="359">
        <f t="shared" si="277"/>
        <v>-0.27002967359050445</v>
      </c>
      <c r="AF101" s="359">
        <f t="shared" si="277"/>
        <v>-2.1680216802168029E-2</v>
      </c>
      <c r="AG101" s="359">
        <f t="shared" si="277"/>
        <v>0.13296398891966765</v>
      </c>
      <c r="AH101" s="359">
        <f t="shared" si="277"/>
        <v>0.23594132029339843</v>
      </c>
      <c r="AI101" s="359">
        <f t="shared" si="277"/>
        <v>-0.27002967359050445</v>
      </c>
      <c r="AJ101" s="359">
        <f t="shared" si="277"/>
        <v>-2.1680216802168029E-2</v>
      </c>
      <c r="AK101" s="359">
        <f t="shared" si="277"/>
        <v>0.13296398891966765</v>
      </c>
      <c r="AL101" s="359">
        <f t="shared" si="277"/>
        <v>0.23594132029339865</v>
      </c>
      <c r="AM101" s="359"/>
      <c r="AN101" s="359" t="str">
        <f t="shared" ref="AN101:BC101" si="278">IF(ISERR(AN23/AM23-1),"-",AN23/AM23-1)</f>
        <v>-</v>
      </c>
      <c r="AO101" s="359" t="str">
        <f t="shared" si="278"/>
        <v>-</v>
      </c>
      <c r="AP101" s="359" t="str">
        <f t="shared" si="278"/>
        <v>-</v>
      </c>
      <c r="AQ101" s="359" t="str">
        <f t="shared" si="278"/>
        <v>-</v>
      </c>
      <c r="AR101" s="359" t="str">
        <f t="shared" si="278"/>
        <v>-</v>
      </c>
      <c r="AS101" s="359" t="str">
        <f t="shared" si="278"/>
        <v>-</v>
      </c>
      <c r="AT101" s="359" t="str">
        <f t="shared" si="278"/>
        <v>-</v>
      </c>
      <c r="AU101" s="359" t="str">
        <f t="shared" si="278"/>
        <v>-</v>
      </c>
      <c r="AV101" s="359" t="str">
        <f t="shared" si="278"/>
        <v>-</v>
      </c>
      <c r="AW101" s="359" t="str">
        <f t="shared" si="278"/>
        <v>-</v>
      </c>
      <c r="AX101" s="359" t="str">
        <f t="shared" si="278"/>
        <v>-</v>
      </c>
      <c r="AY101" s="359" t="str">
        <f t="shared" si="278"/>
        <v>-</v>
      </c>
      <c r="AZ101" s="359" t="str">
        <f t="shared" si="278"/>
        <v>-</v>
      </c>
      <c r="BA101" s="359" t="str">
        <f t="shared" si="278"/>
        <v>-</v>
      </c>
      <c r="BB101" s="359" t="str">
        <f t="shared" si="278"/>
        <v>-</v>
      </c>
      <c r="BC101" s="359" t="str">
        <f t="shared" si="278"/>
        <v>-</v>
      </c>
      <c r="BD101" s="359"/>
      <c r="BE101" s="359"/>
      <c r="BF101" s="355">
        <f t="shared" si="263"/>
        <v>0.51269935026580038</v>
      </c>
      <c r="BG101" s="355">
        <f t="shared" si="263"/>
        <v>0.48652869972666934</v>
      </c>
      <c r="BH101" s="355">
        <f t="shared" si="263"/>
        <v>0.40885211452587344</v>
      </c>
      <c r="BI101" s="355">
        <f t="shared" si="263"/>
        <v>0.30176190920108148</v>
      </c>
      <c r="BJ101" s="355">
        <f t="shared" si="263"/>
        <v>-5.7863076482383313E-2</v>
      </c>
      <c r="BK101" s="355">
        <f t="shared" si="263"/>
        <v>0</v>
      </c>
      <c r="BL101" s="355">
        <f t="shared" si="263"/>
        <v>0</v>
      </c>
      <c r="BM101" s="355">
        <f t="shared" si="264"/>
        <v>0</v>
      </c>
      <c r="BN101" s="355">
        <f t="shared" si="265"/>
        <v>0</v>
      </c>
      <c r="BO101" s="355">
        <f t="shared" si="266"/>
        <v>0</v>
      </c>
      <c r="BP101" s="355">
        <f t="shared" si="267"/>
        <v>0</v>
      </c>
      <c r="BQ101" s="355">
        <f t="shared" si="268"/>
        <v>0</v>
      </c>
      <c r="BR101" s="355">
        <f t="shared" si="269"/>
        <v>0</v>
      </c>
      <c r="BS101" s="355">
        <f t="shared" si="270"/>
        <v>0</v>
      </c>
      <c r="BT101" s="203"/>
      <c r="BU101" s="203"/>
    </row>
    <row r="102" spans="1:73" ht="12.75" customHeight="1" x14ac:dyDescent="0.35">
      <c r="A102" s="200"/>
      <c r="B102" s="264" t="s">
        <v>186</v>
      </c>
      <c r="C102" s="264"/>
      <c r="D102" s="264"/>
      <c r="E102" s="264"/>
      <c r="F102" s="204"/>
      <c r="G102" s="204"/>
      <c r="H102" s="204"/>
      <c r="I102" s="359"/>
      <c r="J102" s="359"/>
      <c r="K102" s="359"/>
      <c r="L102" s="269">
        <f t="shared" ref="L102:AL102" si="279">IF(ISERR(L24/K24-1),"-",L24/K24-1)</f>
        <v>2.620830496936688E-2</v>
      </c>
      <c r="M102" s="269">
        <f t="shared" si="279"/>
        <v>1.2845771144278606</v>
      </c>
      <c r="N102" s="269">
        <f t="shared" si="279"/>
        <v>-0.53871467286101438</v>
      </c>
      <c r="O102" s="269">
        <f t="shared" si="279"/>
        <v>0.83728493495593792</v>
      </c>
      <c r="P102" s="269">
        <f t="shared" si="279"/>
        <v>-5.3046308456575098E-2</v>
      </c>
      <c r="Q102" s="269">
        <f t="shared" si="279"/>
        <v>0.5675349734684032</v>
      </c>
      <c r="R102" s="269">
        <f t="shared" si="279"/>
        <v>-0.64529158332051084</v>
      </c>
      <c r="S102" s="269">
        <f t="shared" si="279"/>
        <v>-0.13024617720420784</v>
      </c>
      <c r="T102" s="269">
        <f t="shared" si="279"/>
        <v>0.68341645885286773</v>
      </c>
      <c r="U102" s="269">
        <f t="shared" si="279"/>
        <v>0.98489000814754468</v>
      </c>
      <c r="V102" s="269">
        <f t="shared" si="279"/>
        <v>-0.67292335248899171</v>
      </c>
      <c r="W102" s="269">
        <f t="shared" si="279"/>
        <v>1.7809469480889901</v>
      </c>
      <c r="X102" s="269">
        <f t="shared" si="279"/>
        <v>-0.16455384615384616</v>
      </c>
      <c r="Y102" s="269">
        <f t="shared" si="279"/>
        <v>0.94264388135926147</v>
      </c>
      <c r="Z102" s="269">
        <f t="shared" si="279"/>
        <v>-0.81974216380182008</v>
      </c>
      <c r="AA102" s="269">
        <f t="shared" si="279"/>
        <v>3.8667788528958074</v>
      </c>
      <c r="AB102" s="269">
        <f t="shared" si="279"/>
        <v>-0.60714594438841663</v>
      </c>
      <c r="AC102" s="269">
        <f t="shared" si="279"/>
        <v>2.3372871525303394</v>
      </c>
      <c r="AD102" s="269">
        <f t="shared" si="279"/>
        <v>-0.71864657228769802</v>
      </c>
      <c r="AE102" s="269">
        <f t="shared" si="279"/>
        <v>2.0830695678258055</v>
      </c>
      <c r="AF102" s="269">
        <f t="shared" si="279"/>
        <v>-0.67527793580892537</v>
      </c>
      <c r="AG102" s="269">
        <f t="shared" si="279"/>
        <v>3.0017026644187146</v>
      </c>
      <c r="AH102" s="269">
        <f t="shared" si="279"/>
        <v>-0.7421692921167472</v>
      </c>
      <c r="AI102" s="269">
        <f t="shared" si="279"/>
        <v>2.4375541979699857</v>
      </c>
      <c r="AJ102" s="269">
        <f t="shared" si="279"/>
        <v>-0.74011996430663873</v>
      </c>
      <c r="AK102" s="269">
        <f t="shared" si="279"/>
        <v>3.9490354902980203</v>
      </c>
      <c r="AL102" s="269">
        <f t="shared" si="279"/>
        <v>-0.78140155537126266</v>
      </c>
      <c r="AM102" s="269"/>
      <c r="AN102" s="269" t="str">
        <f t="shared" ref="AN102:BC102" si="280">IF(ISERR(AN24/AM24-1),"-",AN24/AM24-1)</f>
        <v>-</v>
      </c>
      <c r="AO102" s="269" t="str">
        <f t="shared" si="280"/>
        <v>-</v>
      </c>
      <c r="AP102" s="269" t="str">
        <f t="shared" si="280"/>
        <v>-</v>
      </c>
      <c r="AQ102" s="269" t="str">
        <f t="shared" si="280"/>
        <v>-</v>
      </c>
      <c r="AR102" s="269" t="str">
        <f t="shared" si="280"/>
        <v>-</v>
      </c>
      <c r="AS102" s="269" t="str">
        <f t="shared" si="280"/>
        <v>-</v>
      </c>
      <c r="AT102" s="269" t="str">
        <f t="shared" si="280"/>
        <v>-</v>
      </c>
      <c r="AU102" s="269" t="str">
        <f t="shared" si="280"/>
        <v>-</v>
      </c>
      <c r="AV102" s="269" t="str">
        <f t="shared" si="280"/>
        <v>-</v>
      </c>
      <c r="AW102" s="269" t="str">
        <f t="shared" si="280"/>
        <v>-</v>
      </c>
      <c r="AX102" s="269" t="str">
        <f t="shared" si="280"/>
        <v>-</v>
      </c>
      <c r="AY102" s="269" t="str">
        <f t="shared" si="280"/>
        <v>-</v>
      </c>
      <c r="AZ102" s="269" t="str">
        <f t="shared" si="280"/>
        <v>-</v>
      </c>
      <c r="BA102" s="269" t="str">
        <f t="shared" si="280"/>
        <v>-</v>
      </c>
      <c r="BB102" s="269" t="str">
        <f t="shared" si="280"/>
        <v>-</v>
      </c>
      <c r="BC102" s="269" t="str">
        <f t="shared" si="280"/>
        <v>-</v>
      </c>
      <c r="BD102" s="269"/>
      <c r="BE102" s="269"/>
      <c r="BF102" s="270">
        <f t="shared" si="263"/>
        <v>0.651261081712597</v>
      </c>
      <c r="BG102" s="270">
        <f t="shared" si="263"/>
        <v>0.44238892935178442</v>
      </c>
      <c r="BH102" s="270">
        <f t="shared" si="263"/>
        <v>-0.1764434313414317</v>
      </c>
      <c r="BI102" s="270">
        <f t="shared" si="263"/>
        <v>0.60167472496671581</v>
      </c>
      <c r="BJ102" s="270">
        <f t="shared" si="263"/>
        <v>0.16637116071968694</v>
      </c>
      <c r="BK102" s="270">
        <f t="shared" si="263"/>
        <v>9.5219295831326711E-2</v>
      </c>
      <c r="BL102" s="270">
        <f t="shared" si="263"/>
        <v>0.10032553326675719</v>
      </c>
      <c r="BM102" s="270">
        <f t="shared" si="264"/>
        <v>0.19846669686034968</v>
      </c>
      <c r="BN102" s="270">
        <f t="shared" si="265"/>
        <v>0.15882542740892669</v>
      </c>
      <c r="BO102" s="270">
        <f t="shared" si="266"/>
        <v>0.12470743502984161</v>
      </c>
      <c r="BP102" s="270">
        <f t="shared" si="267"/>
        <v>9.7059328602371542E-2</v>
      </c>
      <c r="BQ102" s="270">
        <f t="shared" si="268"/>
        <v>7.5364713005125594E-2</v>
      </c>
      <c r="BR102" s="270">
        <f t="shared" si="269"/>
        <v>5.8779803836493283E-2</v>
      </c>
      <c r="BS102" s="270">
        <f t="shared" si="270"/>
        <v>4.5783499313173159E-2</v>
      </c>
      <c r="BT102" s="203"/>
      <c r="BU102" s="203"/>
    </row>
    <row r="103" spans="1:73" ht="12.75" customHeight="1" x14ac:dyDescent="0.35">
      <c r="A103" s="200"/>
      <c r="B103" s="264"/>
      <c r="C103" s="264"/>
      <c r="D103" s="264"/>
      <c r="E103" s="264"/>
      <c r="F103" s="204"/>
      <c r="G103" s="204"/>
      <c r="H103" s="204"/>
      <c r="I103" s="359"/>
      <c r="J103" s="359"/>
      <c r="K103" s="359"/>
      <c r="L103" s="359"/>
      <c r="M103" s="359"/>
      <c r="N103" s="359"/>
      <c r="O103" s="359"/>
      <c r="P103" s="359"/>
      <c r="Q103" s="359"/>
      <c r="R103" s="359"/>
      <c r="S103" s="359"/>
      <c r="T103" s="359"/>
      <c r="U103" s="359"/>
      <c r="V103" s="359"/>
      <c r="W103" s="359"/>
      <c r="X103" s="359"/>
      <c r="Y103" s="359"/>
      <c r="Z103" s="359"/>
      <c r="AA103" s="359"/>
      <c r="AB103" s="359"/>
      <c r="AC103" s="359"/>
      <c r="AD103" s="359"/>
      <c r="AE103" s="359"/>
      <c r="AF103" s="359"/>
      <c r="AG103" s="359"/>
      <c r="AH103" s="359"/>
      <c r="AI103" s="359"/>
      <c r="AJ103" s="359"/>
      <c r="AK103" s="359"/>
      <c r="AL103" s="359"/>
      <c r="AM103" s="359"/>
      <c r="AN103" s="359"/>
      <c r="AO103" s="359"/>
      <c r="AP103" s="359"/>
      <c r="AQ103" s="359"/>
      <c r="AR103" s="359"/>
      <c r="AS103" s="359"/>
      <c r="AT103" s="359"/>
      <c r="AU103" s="359"/>
      <c r="AV103" s="359"/>
      <c r="AW103" s="359"/>
      <c r="AX103" s="359"/>
      <c r="AY103" s="359"/>
      <c r="AZ103" s="359"/>
      <c r="BA103" s="359"/>
      <c r="BB103" s="359"/>
      <c r="BC103" s="359"/>
      <c r="BD103" s="359"/>
      <c r="BE103" s="359"/>
      <c r="BF103" s="355"/>
      <c r="BG103" s="355"/>
      <c r="BH103" s="355"/>
      <c r="BI103" s="355"/>
      <c r="BJ103" s="355"/>
      <c r="BK103" s="355"/>
      <c r="BL103" s="355"/>
      <c r="BM103" s="355"/>
      <c r="BN103" s="355"/>
      <c r="BO103" s="355"/>
      <c r="BP103" s="355"/>
      <c r="BQ103" s="355"/>
      <c r="BR103" s="355"/>
      <c r="BS103" s="355"/>
      <c r="BT103" s="203"/>
      <c r="BU103" s="203"/>
    </row>
    <row r="104" spans="1:73" ht="12.75" customHeight="1" x14ac:dyDescent="0.35">
      <c r="A104" s="200"/>
      <c r="B104" s="267"/>
      <c r="C104" s="232" t="s">
        <v>178</v>
      </c>
      <c r="D104" s="267"/>
      <c r="E104" s="267"/>
      <c r="F104" s="275"/>
      <c r="G104" s="275"/>
      <c r="H104" s="275"/>
      <c r="I104" s="276"/>
      <c r="J104" s="276"/>
      <c r="K104" s="276"/>
      <c r="L104" s="359" t="str">
        <f t="shared" ref="L104:AL104" si="281">IF(ISERR(L31/K31-1),"-",L31/K31-1)</f>
        <v>-</v>
      </c>
      <c r="M104" s="359" t="str">
        <f t="shared" si="281"/>
        <v>-</v>
      </c>
      <c r="N104" s="359" t="str">
        <f t="shared" si="281"/>
        <v>-</v>
      </c>
      <c r="O104" s="359" t="str">
        <f t="shared" si="281"/>
        <v>-</v>
      </c>
      <c r="P104" s="359" t="str">
        <f t="shared" si="281"/>
        <v>-</v>
      </c>
      <c r="Q104" s="359" t="str">
        <f t="shared" si="281"/>
        <v>-</v>
      </c>
      <c r="R104" s="359" t="str">
        <f t="shared" si="281"/>
        <v>-</v>
      </c>
      <c r="S104" s="359" t="str">
        <f t="shared" si="281"/>
        <v>-</v>
      </c>
      <c r="T104" s="359" t="str">
        <f t="shared" si="281"/>
        <v>-</v>
      </c>
      <c r="U104" s="359" t="str">
        <f t="shared" si="281"/>
        <v>-</v>
      </c>
      <c r="V104" s="359" t="str">
        <f t="shared" si="281"/>
        <v>-</v>
      </c>
      <c r="W104" s="359" t="str">
        <f t="shared" si="281"/>
        <v>-</v>
      </c>
      <c r="X104" s="359" t="str">
        <f t="shared" si="281"/>
        <v>-</v>
      </c>
      <c r="Y104" s="359" t="str">
        <f t="shared" si="281"/>
        <v>-</v>
      </c>
      <c r="Z104" s="359" t="str">
        <f t="shared" si="281"/>
        <v>-</v>
      </c>
      <c r="AA104" s="359" t="str">
        <f t="shared" si="281"/>
        <v>-</v>
      </c>
      <c r="AB104" s="359" t="str">
        <f t="shared" si="281"/>
        <v>-</v>
      </c>
      <c r="AC104" s="359" t="str">
        <f t="shared" si="281"/>
        <v>-</v>
      </c>
      <c r="AD104" s="359" t="str">
        <f t="shared" si="281"/>
        <v>-</v>
      </c>
      <c r="AE104" s="359" t="str">
        <f t="shared" si="281"/>
        <v>-</v>
      </c>
      <c r="AF104" s="359" t="str">
        <f t="shared" si="281"/>
        <v>-</v>
      </c>
      <c r="AG104" s="359" t="str">
        <f t="shared" si="281"/>
        <v>-</v>
      </c>
      <c r="AH104" s="359" t="str">
        <f t="shared" si="281"/>
        <v>-</v>
      </c>
      <c r="AI104" s="359" t="str">
        <f t="shared" si="281"/>
        <v>-</v>
      </c>
      <c r="AJ104" s="359" t="str">
        <f t="shared" si="281"/>
        <v>-</v>
      </c>
      <c r="AK104" s="359" t="str">
        <f t="shared" si="281"/>
        <v>-</v>
      </c>
      <c r="AL104" s="359" t="str">
        <f t="shared" si="281"/>
        <v>-</v>
      </c>
      <c r="AM104" s="359"/>
      <c r="AN104" s="359" t="str">
        <f t="shared" ref="AN104:BC104" si="282">IF(ISERR(AN31/AM31-1),"-",AN31/AM31-1)</f>
        <v>-</v>
      </c>
      <c r="AO104" s="359" t="str">
        <f t="shared" si="282"/>
        <v>-</v>
      </c>
      <c r="AP104" s="359" t="str">
        <f t="shared" si="282"/>
        <v>-</v>
      </c>
      <c r="AQ104" s="359" t="str">
        <f t="shared" si="282"/>
        <v>-</v>
      </c>
      <c r="AR104" s="359" t="str">
        <f t="shared" si="282"/>
        <v>-</v>
      </c>
      <c r="AS104" s="359" t="str">
        <f t="shared" si="282"/>
        <v>-</v>
      </c>
      <c r="AT104" s="359" t="str">
        <f t="shared" si="282"/>
        <v>-</v>
      </c>
      <c r="AU104" s="359" t="str">
        <f t="shared" si="282"/>
        <v>-</v>
      </c>
      <c r="AV104" s="359" t="str">
        <f t="shared" si="282"/>
        <v>-</v>
      </c>
      <c r="AW104" s="359" t="str">
        <f t="shared" si="282"/>
        <v>-</v>
      </c>
      <c r="AX104" s="359" t="str">
        <f t="shared" si="282"/>
        <v>-</v>
      </c>
      <c r="AY104" s="359" t="str">
        <f t="shared" si="282"/>
        <v>-</v>
      </c>
      <c r="AZ104" s="359" t="str">
        <f t="shared" si="282"/>
        <v>-</v>
      </c>
      <c r="BA104" s="359" t="str">
        <f t="shared" si="282"/>
        <v>-</v>
      </c>
      <c r="BB104" s="359" t="str">
        <f t="shared" si="282"/>
        <v>-</v>
      </c>
      <c r="BC104" s="359" t="str">
        <f t="shared" si="282"/>
        <v>-</v>
      </c>
      <c r="BD104" s="277"/>
      <c r="BE104" s="359"/>
      <c r="BF104" s="355" t="str">
        <f t="shared" ref="BF104:BL107" si="283">IF(ISERR(BF31/BE31-1),"-",BF31/BE31-1)</f>
        <v>-</v>
      </c>
      <c r="BG104" s="355" t="str">
        <f t="shared" si="283"/>
        <v>-</v>
      </c>
      <c r="BH104" s="355" t="str">
        <f t="shared" si="283"/>
        <v>-</v>
      </c>
      <c r="BI104" s="355" t="str">
        <f t="shared" si="283"/>
        <v>-</v>
      </c>
      <c r="BJ104" s="355" t="str">
        <f t="shared" si="283"/>
        <v>-</v>
      </c>
      <c r="BK104" s="355" t="str">
        <f t="shared" si="283"/>
        <v>-</v>
      </c>
      <c r="BL104" s="355" t="str">
        <f t="shared" si="283"/>
        <v>-</v>
      </c>
      <c r="BM104" s="355" t="str">
        <f t="shared" ref="BM104:BM108" si="284">IF(ISERR(BM31/BL31-1),"-",BM31/BL31-1)</f>
        <v>-</v>
      </c>
      <c r="BN104" s="355" t="str">
        <f t="shared" ref="BN104:BN108" si="285">IF(ISERR(BN31/BM31-1),"-",BN31/BM31-1)</f>
        <v>-</v>
      </c>
      <c r="BO104" s="355" t="str">
        <f t="shared" ref="BO104:BO108" si="286">IF(ISERR(BO31/BN31-1),"-",BO31/BN31-1)</f>
        <v>-</v>
      </c>
      <c r="BP104" s="355" t="str">
        <f t="shared" ref="BP104:BP108" si="287">IF(ISERR(BP31/BO31-1),"-",BP31/BO31-1)</f>
        <v>-</v>
      </c>
      <c r="BQ104" s="355" t="str">
        <f t="shared" ref="BQ104:BQ108" si="288">IF(ISERR(BQ31/BP31-1),"-",BQ31/BP31-1)</f>
        <v>-</v>
      </c>
      <c r="BR104" s="355" t="str">
        <f t="shared" ref="BR104:BR108" si="289">IF(ISERR(BR31/BQ31-1),"-",BR31/BQ31-1)</f>
        <v>-</v>
      </c>
      <c r="BS104" s="355" t="str">
        <f t="shared" ref="BS104:BS108" si="290">IF(ISERR(BS31/BR31-1),"-",BS31/BR31-1)</f>
        <v>-</v>
      </c>
      <c r="BT104" s="203"/>
      <c r="BU104" s="203"/>
    </row>
    <row r="105" spans="1:73" ht="12.75" customHeight="1" x14ac:dyDescent="0.35">
      <c r="A105" s="200"/>
      <c r="B105" s="267"/>
      <c r="C105" s="232" t="s">
        <v>179</v>
      </c>
      <c r="D105" s="267"/>
      <c r="E105" s="267"/>
      <c r="F105" s="278"/>
      <c r="G105" s="278"/>
      <c r="H105" s="278"/>
      <c r="I105" s="276"/>
      <c r="J105" s="276"/>
      <c r="K105" s="276"/>
      <c r="L105" s="359" t="str">
        <f t="shared" ref="L105:R105" si="291">IF(ISERR(L32/K32-1),"-",L32/K32-1)</f>
        <v>-</v>
      </c>
      <c r="M105" s="359" t="str">
        <f t="shared" si="291"/>
        <v>-</v>
      </c>
      <c r="N105" s="359" t="str">
        <f t="shared" si="291"/>
        <v>-</v>
      </c>
      <c r="O105" s="359" t="str">
        <f t="shared" si="291"/>
        <v>-</v>
      </c>
      <c r="P105" s="359" t="str">
        <f t="shared" si="291"/>
        <v>-</v>
      </c>
      <c r="Q105" s="359" t="str">
        <f t="shared" si="291"/>
        <v>-</v>
      </c>
      <c r="R105" s="359" t="str">
        <f t="shared" si="291"/>
        <v>-</v>
      </c>
      <c r="S105" s="359" t="s">
        <v>187</v>
      </c>
      <c r="T105" s="359" t="str">
        <f t="shared" ref="T105:AL105" si="292">IF(ISERR(T32/S32-1),"-",T32/S32-1)</f>
        <v>-</v>
      </c>
      <c r="U105" s="359" t="str">
        <f t="shared" si="292"/>
        <v>-</v>
      </c>
      <c r="V105" s="359" t="str">
        <f t="shared" si="292"/>
        <v>-</v>
      </c>
      <c r="W105" s="359" t="str">
        <f t="shared" si="292"/>
        <v>-</v>
      </c>
      <c r="X105" s="359" t="str">
        <f t="shared" si="292"/>
        <v>-</v>
      </c>
      <c r="Y105" s="359" t="str">
        <f t="shared" si="292"/>
        <v>-</v>
      </c>
      <c r="Z105" s="359" t="str">
        <f t="shared" si="292"/>
        <v>-</v>
      </c>
      <c r="AA105" s="359" t="str">
        <f t="shared" si="292"/>
        <v>-</v>
      </c>
      <c r="AB105" s="359" t="str">
        <f t="shared" si="292"/>
        <v>-</v>
      </c>
      <c r="AC105" s="359" t="str">
        <f t="shared" si="292"/>
        <v>-</v>
      </c>
      <c r="AD105" s="359" t="str">
        <f t="shared" si="292"/>
        <v>-</v>
      </c>
      <c r="AE105" s="359" t="str">
        <f t="shared" si="292"/>
        <v>-</v>
      </c>
      <c r="AF105" s="359" t="str">
        <f t="shared" si="292"/>
        <v>-</v>
      </c>
      <c r="AG105" s="359" t="str">
        <f t="shared" si="292"/>
        <v>-</v>
      </c>
      <c r="AH105" s="359" t="str">
        <f t="shared" si="292"/>
        <v>-</v>
      </c>
      <c r="AI105" s="359" t="str">
        <f t="shared" si="292"/>
        <v>-</v>
      </c>
      <c r="AJ105" s="359" t="str">
        <f t="shared" si="292"/>
        <v>-</v>
      </c>
      <c r="AK105" s="359" t="str">
        <f t="shared" si="292"/>
        <v>-</v>
      </c>
      <c r="AL105" s="359" t="str">
        <f t="shared" si="292"/>
        <v>-</v>
      </c>
      <c r="AM105" s="359"/>
      <c r="AN105" s="359" t="str">
        <f t="shared" ref="AN105:BC105" si="293">IF(ISERR(AN32/AM32-1),"-",AN32/AM32-1)</f>
        <v>-</v>
      </c>
      <c r="AO105" s="359" t="str">
        <f t="shared" si="293"/>
        <v>-</v>
      </c>
      <c r="AP105" s="359" t="str">
        <f t="shared" si="293"/>
        <v>-</v>
      </c>
      <c r="AQ105" s="359" t="str">
        <f t="shared" si="293"/>
        <v>-</v>
      </c>
      <c r="AR105" s="359" t="str">
        <f t="shared" si="293"/>
        <v>-</v>
      </c>
      <c r="AS105" s="359" t="str">
        <f t="shared" si="293"/>
        <v>-</v>
      </c>
      <c r="AT105" s="359" t="str">
        <f t="shared" si="293"/>
        <v>-</v>
      </c>
      <c r="AU105" s="359" t="str">
        <f t="shared" si="293"/>
        <v>-</v>
      </c>
      <c r="AV105" s="359" t="str">
        <f t="shared" si="293"/>
        <v>-</v>
      </c>
      <c r="AW105" s="359" t="str">
        <f t="shared" si="293"/>
        <v>-</v>
      </c>
      <c r="AX105" s="359" t="str">
        <f t="shared" si="293"/>
        <v>-</v>
      </c>
      <c r="AY105" s="359" t="str">
        <f t="shared" si="293"/>
        <v>-</v>
      </c>
      <c r="AZ105" s="359" t="str">
        <f t="shared" si="293"/>
        <v>-</v>
      </c>
      <c r="BA105" s="359" t="str">
        <f t="shared" si="293"/>
        <v>-</v>
      </c>
      <c r="BB105" s="359" t="str">
        <f t="shared" si="293"/>
        <v>-</v>
      </c>
      <c r="BC105" s="359" t="str">
        <f t="shared" si="293"/>
        <v>-</v>
      </c>
      <c r="BD105" s="277"/>
      <c r="BE105" s="359"/>
      <c r="BF105" s="355" t="str">
        <f t="shared" si="283"/>
        <v>-</v>
      </c>
      <c r="BG105" s="355" t="str">
        <f t="shared" si="283"/>
        <v>-</v>
      </c>
      <c r="BH105" s="355" t="str">
        <f t="shared" si="283"/>
        <v>-</v>
      </c>
      <c r="BI105" s="355" t="str">
        <f t="shared" si="283"/>
        <v>-</v>
      </c>
      <c r="BJ105" s="355" t="str">
        <f t="shared" si="283"/>
        <v>-</v>
      </c>
      <c r="BK105" s="355" t="str">
        <f t="shared" si="283"/>
        <v>-</v>
      </c>
      <c r="BL105" s="355" t="str">
        <f t="shared" si="283"/>
        <v>-</v>
      </c>
      <c r="BM105" s="355" t="str">
        <f t="shared" si="284"/>
        <v>-</v>
      </c>
      <c r="BN105" s="355" t="str">
        <f t="shared" si="285"/>
        <v>-</v>
      </c>
      <c r="BO105" s="355" t="str">
        <f t="shared" si="286"/>
        <v>-</v>
      </c>
      <c r="BP105" s="355" t="str">
        <f t="shared" si="287"/>
        <v>-</v>
      </c>
      <c r="BQ105" s="355" t="str">
        <f t="shared" si="288"/>
        <v>-</v>
      </c>
      <c r="BR105" s="355" t="str">
        <f t="shared" si="289"/>
        <v>-</v>
      </c>
      <c r="BS105" s="355" t="str">
        <f t="shared" si="290"/>
        <v>-</v>
      </c>
      <c r="BT105" s="203"/>
      <c r="BU105" s="203"/>
    </row>
    <row r="106" spans="1:73" ht="12.75" customHeight="1" x14ac:dyDescent="0.35">
      <c r="A106" s="200"/>
      <c r="B106" s="267"/>
      <c r="C106" s="232" t="s">
        <v>188</v>
      </c>
      <c r="D106" s="267"/>
      <c r="E106" s="267"/>
      <c r="F106" s="275"/>
      <c r="G106" s="275"/>
      <c r="H106" s="275"/>
      <c r="I106" s="276"/>
      <c r="J106" s="276"/>
      <c r="K106" s="276"/>
      <c r="L106" s="359" t="str">
        <f t="shared" ref="L106:Q107" si="294">IF(ISERR(L33/K33-1),"-",L33/K33-1)</f>
        <v>-</v>
      </c>
      <c r="M106" s="359" t="str">
        <f t="shared" si="294"/>
        <v>-</v>
      </c>
      <c r="N106" s="359" t="str">
        <f t="shared" si="294"/>
        <v>-</v>
      </c>
      <c r="O106" s="359" t="str">
        <f t="shared" si="294"/>
        <v>-</v>
      </c>
      <c r="P106" s="359" t="str">
        <f t="shared" si="294"/>
        <v>-</v>
      </c>
      <c r="Q106" s="359" t="str">
        <f t="shared" si="294"/>
        <v>-</v>
      </c>
      <c r="R106" s="359" t="s">
        <v>189</v>
      </c>
      <c r="S106" s="359" t="str">
        <f>IF(ISERR(S33/R33-1),"-",S33/R33-1)</f>
        <v>-</v>
      </c>
      <c r="T106" s="359" t="str">
        <f t="shared" ref="T106:AL106" si="295">IF(ISERR(T33/S33-1),"-",T33/S33-1)</f>
        <v>-</v>
      </c>
      <c r="U106" s="359" t="str">
        <f t="shared" si="295"/>
        <v>-</v>
      </c>
      <c r="V106" s="359" t="str">
        <f t="shared" si="295"/>
        <v>-</v>
      </c>
      <c r="W106" s="359" t="str">
        <f t="shared" si="295"/>
        <v>-</v>
      </c>
      <c r="X106" s="359" t="str">
        <f t="shared" si="295"/>
        <v>-</v>
      </c>
      <c r="Y106" s="359" t="str">
        <f t="shared" si="295"/>
        <v>-</v>
      </c>
      <c r="Z106" s="359" t="str">
        <f t="shared" si="295"/>
        <v>-</v>
      </c>
      <c r="AA106" s="359" t="str">
        <f t="shared" si="295"/>
        <v>-</v>
      </c>
      <c r="AB106" s="359" t="str">
        <f t="shared" si="295"/>
        <v>-</v>
      </c>
      <c r="AC106" s="359" t="str">
        <f t="shared" si="295"/>
        <v>-</v>
      </c>
      <c r="AD106" s="359" t="str">
        <f t="shared" si="295"/>
        <v>-</v>
      </c>
      <c r="AE106" s="359" t="str">
        <f t="shared" si="295"/>
        <v>-</v>
      </c>
      <c r="AF106" s="359" t="str">
        <f t="shared" si="295"/>
        <v>-</v>
      </c>
      <c r="AG106" s="359" t="str">
        <f t="shared" si="295"/>
        <v>-</v>
      </c>
      <c r="AH106" s="359" t="str">
        <f t="shared" si="295"/>
        <v>-</v>
      </c>
      <c r="AI106" s="359" t="str">
        <f t="shared" si="295"/>
        <v>-</v>
      </c>
      <c r="AJ106" s="359" t="str">
        <f t="shared" si="295"/>
        <v>-</v>
      </c>
      <c r="AK106" s="359" t="str">
        <f t="shared" si="295"/>
        <v>-</v>
      </c>
      <c r="AL106" s="359" t="str">
        <f t="shared" si="295"/>
        <v>-</v>
      </c>
      <c r="AM106" s="359"/>
      <c r="AN106" s="359" t="str">
        <f t="shared" ref="AN106:BC106" si="296">IF(ISERR(AN33/AM33-1),"-",AN33/AM33-1)</f>
        <v>-</v>
      </c>
      <c r="AO106" s="359" t="str">
        <f t="shared" si="296"/>
        <v>-</v>
      </c>
      <c r="AP106" s="359" t="str">
        <f t="shared" si="296"/>
        <v>-</v>
      </c>
      <c r="AQ106" s="359" t="str">
        <f t="shared" si="296"/>
        <v>-</v>
      </c>
      <c r="AR106" s="359" t="str">
        <f t="shared" si="296"/>
        <v>-</v>
      </c>
      <c r="AS106" s="359" t="str">
        <f t="shared" si="296"/>
        <v>-</v>
      </c>
      <c r="AT106" s="359" t="str">
        <f t="shared" si="296"/>
        <v>-</v>
      </c>
      <c r="AU106" s="359" t="str">
        <f t="shared" si="296"/>
        <v>-</v>
      </c>
      <c r="AV106" s="359" t="str">
        <f t="shared" si="296"/>
        <v>-</v>
      </c>
      <c r="AW106" s="359" t="str">
        <f t="shared" si="296"/>
        <v>-</v>
      </c>
      <c r="AX106" s="359" t="str">
        <f t="shared" si="296"/>
        <v>-</v>
      </c>
      <c r="AY106" s="359" t="str">
        <f t="shared" si="296"/>
        <v>-</v>
      </c>
      <c r="AZ106" s="359" t="str">
        <f t="shared" si="296"/>
        <v>-</v>
      </c>
      <c r="BA106" s="359" t="str">
        <f t="shared" si="296"/>
        <v>-</v>
      </c>
      <c r="BB106" s="359" t="str">
        <f t="shared" si="296"/>
        <v>-</v>
      </c>
      <c r="BC106" s="359" t="str">
        <f t="shared" si="296"/>
        <v>-</v>
      </c>
      <c r="BD106" s="277"/>
      <c r="BE106" s="359"/>
      <c r="BF106" s="355" t="str">
        <f t="shared" si="283"/>
        <v>-</v>
      </c>
      <c r="BG106" s="355" t="str">
        <f t="shared" si="283"/>
        <v>-</v>
      </c>
      <c r="BH106" s="355" t="str">
        <f t="shared" si="283"/>
        <v>-</v>
      </c>
      <c r="BI106" s="355" t="str">
        <f t="shared" si="283"/>
        <v>-</v>
      </c>
      <c r="BJ106" s="355" t="str">
        <f t="shared" si="283"/>
        <v>-</v>
      </c>
      <c r="BK106" s="355" t="str">
        <f t="shared" si="283"/>
        <v>-</v>
      </c>
      <c r="BL106" s="355" t="str">
        <f t="shared" si="283"/>
        <v>-</v>
      </c>
      <c r="BM106" s="355" t="str">
        <f t="shared" si="284"/>
        <v>-</v>
      </c>
      <c r="BN106" s="355" t="str">
        <f t="shared" si="285"/>
        <v>-</v>
      </c>
      <c r="BO106" s="355" t="str">
        <f t="shared" si="286"/>
        <v>-</v>
      </c>
      <c r="BP106" s="355" t="str">
        <f t="shared" si="287"/>
        <v>-</v>
      </c>
      <c r="BQ106" s="355" t="str">
        <f t="shared" si="288"/>
        <v>-</v>
      </c>
      <c r="BR106" s="355" t="str">
        <f t="shared" si="289"/>
        <v>-</v>
      </c>
      <c r="BS106" s="355" t="str">
        <f t="shared" si="290"/>
        <v>-</v>
      </c>
      <c r="BT106" s="203"/>
      <c r="BU106" s="203"/>
    </row>
    <row r="107" spans="1:73" ht="12.75" customHeight="1" x14ac:dyDescent="0.35">
      <c r="A107" s="200" t="s">
        <v>190</v>
      </c>
      <c r="B107" s="267"/>
      <c r="C107" s="232" t="s">
        <v>181</v>
      </c>
      <c r="D107" s="267"/>
      <c r="E107" s="267"/>
      <c r="F107" s="275"/>
      <c r="G107" s="275"/>
      <c r="H107" s="275"/>
      <c r="I107" s="276"/>
      <c r="J107" s="276"/>
      <c r="K107" s="276"/>
      <c r="L107" s="359">
        <f t="shared" si="294"/>
        <v>-0.67196608373078959</v>
      </c>
      <c r="M107" s="359">
        <f t="shared" si="294"/>
        <v>4.0904684975767367</v>
      </c>
      <c r="N107" s="359">
        <f t="shared" si="294"/>
        <v>1.0047603935258649</v>
      </c>
      <c r="O107" s="359">
        <f t="shared" si="294"/>
        <v>-0.59490264365996515</v>
      </c>
      <c r="P107" s="359">
        <f t="shared" si="294"/>
        <v>0.72919109026963658</v>
      </c>
      <c r="Q107" s="359">
        <f t="shared" si="294"/>
        <v>4.0736723163841804</v>
      </c>
      <c r="R107" s="359">
        <f>IF(ISERR(R34/Q34-1),"-",R34/Q34-1)</f>
        <v>-0.92632844862144226</v>
      </c>
      <c r="S107" s="359">
        <f>IF(ISERR(S34/R34-1),"-",S34/R34-1)</f>
        <v>2.5973397823458284</v>
      </c>
      <c r="T107" s="359">
        <f t="shared" ref="T107:AL107" si="297">IF(ISERR(T34/S34-1),"-",T34/S34-1)</f>
        <v>-0.36756302521008399</v>
      </c>
      <c r="U107" s="359">
        <f t="shared" si="297"/>
        <v>1.8203560988572947</v>
      </c>
      <c r="V107" s="359">
        <f t="shared" si="297"/>
        <v>0.77244888344483176</v>
      </c>
      <c r="W107" s="359">
        <f t="shared" si="297"/>
        <v>-0.94992291744192225</v>
      </c>
      <c r="X107" s="359">
        <f t="shared" si="297"/>
        <v>68.170912951167722</v>
      </c>
      <c r="Y107" s="359">
        <f t="shared" si="297"/>
        <v>-0.74195429641338873</v>
      </c>
      <c r="Z107" s="359">
        <f t="shared" si="297"/>
        <v>-1.4579517069109076</v>
      </c>
      <c r="AA107" s="359">
        <f t="shared" si="297"/>
        <v>-3.9229870129870128</v>
      </c>
      <c r="AB107" s="359">
        <f t="shared" si="297"/>
        <v>-0.53094592793353179</v>
      </c>
      <c r="AC107" s="359">
        <f t="shared" si="297"/>
        <v>0.59268731647248263</v>
      </c>
      <c r="AD107" s="359">
        <f t="shared" si="297"/>
        <v>-1.4579517069109076</v>
      </c>
      <c r="AE107" s="359">
        <f t="shared" si="297"/>
        <v>-3.9229870129870128</v>
      </c>
      <c r="AF107" s="359">
        <f t="shared" si="297"/>
        <v>-0.53094592793353179</v>
      </c>
      <c r="AG107" s="359">
        <f t="shared" si="297"/>
        <v>0.59268731647248263</v>
      </c>
      <c r="AH107" s="359">
        <f t="shared" si="297"/>
        <v>-1.4579517069109076</v>
      </c>
      <c r="AI107" s="359">
        <f t="shared" si="297"/>
        <v>-3.9229870129870128</v>
      </c>
      <c r="AJ107" s="359">
        <f t="shared" si="297"/>
        <v>-0.53094592793353179</v>
      </c>
      <c r="AK107" s="359">
        <f t="shared" si="297"/>
        <v>0.59268731647248263</v>
      </c>
      <c r="AL107" s="359">
        <f t="shared" si="297"/>
        <v>-1.4579517069109076</v>
      </c>
      <c r="AM107" s="359"/>
      <c r="AN107" s="359" t="str">
        <f t="shared" ref="AN107:BC107" si="298">IF(ISERR(AN34/AM34-1),"-",AN34/AM34-1)</f>
        <v>-</v>
      </c>
      <c r="AO107" s="359" t="str">
        <f t="shared" si="298"/>
        <v>-</v>
      </c>
      <c r="AP107" s="359" t="str">
        <f t="shared" si="298"/>
        <v>-</v>
      </c>
      <c r="AQ107" s="359" t="str">
        <f t="shared" si="298"/>
        <v>-</v>
      </c>
      <c r="AR107" s="359" t="str">
        <f t="shared" si="298"/>
        <v>-</v>
      </c>
      <c r="AS107" s="359" t="str">
        <f t="shared" si="298"/>
        <v>-</v>
      </c>
      <c r="AT107" s="359" t="str">
        <f t="shared" si="298"/>
        <v>-</v>
      </c>
      <c r="AU107" s="359" t="str">
        <f t="shared" si="298"/>
        <v>-</v>
      </c>
      <c r="AV107" s="359" t="str">
        <f t="shared" si="298"/>
        <v>-</v>
      </c>
      <c r="AW107" s="359" t="str">
        <f t="shared" si="298"/>
        <v>-</v>
      </c>
      <c r="AX107" s="359" t="str">
        <f t="shared" si="298"/>
        <v>-</v>
      </c>
      <c r="AY107" s="359" t="str">
        <f t="shared" si="298"/>
        <v>-</v>
      </c>
      <c r="AZ107" s="359" t="str">
        <f t="shared" si="298"/>
        <v>-</v>
      </c>
      <c r="BA107" s="359" t="str">
        <f t="shared" si="298"/>
        <v>-</v>
      </c>
      <c r="BB107" s="359" t="str">
        <f t="shared" si="298"/>
        <v>-</v>
      </c>
      <c r="BC107" s="359" t="str">
        <f t="shared" si="298"/>
        <v>-</v>
      </c>
      <c r="BD107" s="277"/>
      <c r="BE107" s="359"/>
      <c r="BF107" s="355">
        <f t="shared" si="283"/>
        <v>-0.77134018256120385</v>
      </c>
      <c r="BG107" s="355">
        <f t="shared" si="283"/>
        <v>1.5963754802071155</v>
      </c>
      <c r="BH107" s="355">
        <f t="shared" si="283"/>
        <v>0.25886969667728144</v>
      </c>
      <c r="BI107" s="355">
        <f t="shared" si="283"/>
        <v>0.9218386692899303</v>
      </c>
      <c r="BJ107" s="355">
        <f t="shared" si="283"/>
        <v>-1.5607658046932129</v>
      </c>
      <c r="BK107" s="355">
        <f t="shared" si="283"/>
        <v>0</v>
      </c>
      <c r="BL107" s="355">
        <f t="shared" si="283"/>
        <v>0</v>
      </c>
      <c r="BM107" s="355">
        <f t="shared" si="284"/>
        <v>-1.113850822703788E-2</v>
      </c>
      <c r="BN107" s="355">
        <f t="shared" si="285"/>
        <v>-1.2390369279901781E-2</v>
      </c>
      <c r="BO107" s="355">
        <f t="shared" si="286"/>
        <v>-1.3800398238273837E-2</v>
      </c>
      <c r="BP107" s="355">
        <f t="shared" si="287"/>
        <v>-1.5392865739332406E-2</v>
      </c>
      <c r="BQ107" s="355">
        <f t="shared" si="288"/>
        <v>-1.7196861290244225E-2</v>
      </c>
      <c r="BR107" s="355">
        <f t="shared" si="289"/>
        <v>-1.9247544776976211E-2</v>
      </c>
      <c r="BS107" s="355">
        <f t="shared" si="290"/>
        <v>-2.1587811625573994E-2</v>
      </c>
      <c r="BT107" s="203"/>
      <c r="BU107" s="203"/>
    </row>
    <row r="108" spans="1:73" ht="12.75" customHeight="1" x14ac:dyDescent="0.35">
      <c r="A108" s="200"/>
      <c r="B108" s="264" t="s">
        <v>191</v>
      </c>
      <c r="C108" s="264"/>
      <c r="D108" s="264"/>
      <c r="E108" s="264"/>
      <c r="F108" s="204"/>
      <c r="G108" s="204"/>
      <c r="H108" s="204"/>
      <c r="I108" s="359"/>
      <c r="J108" s="359"/>
      <c r="K108" s="359"/>
      <c r="L108" s="269">
        <f t="shared" ref="L108:Q108" si="299">IF(ISERR(L35/K35-1),"-",L35/K35-1)</f>
        <v>-9.6906831137276939E-2</v>
      </c>
      <c r="M108" s="269">
        <f t="shared" si="299"/>
        <v>1.4643004966887418</v>
      </c>
      <c r="N108" s="269">
        <f t="shared" si="299"/>
        <v>-0.33449506613478897</v>
      </c>
      <c r="O108" s="269">
        <f t="shared" si="299"/>
        <v>0.26645214209098356</v>
      </c>
      <c r="P108" s="269">
        <f t="shared" si="299"/>
        <v>4.6681944998007152E-2</v>
      </c>
      <c r="Q108" s="269">
        <f t="shared" si="299"/>
        <v>1.306011709267457</v>
      </c>
      <c r="R108" s="269">
        <f>IF(ISERR(R35/Q35-1),"-",R35/Q35-1)</f>
        <v>-0.77552789646417741</v>
      </c>
      <c r="S108" s="269">
        <f>IF(ISERR(S35/R35-1),"-",S35/R35-1)</f>
        <v>0.2845977011494254</v>
      </c>
      <c r="T108" s="269">
        <f t="shared" ref="T108:AL108" si="300">IF(ISERR(T35/S35-1),"-",T35/S35-1)</f>
        <v>0.23579098067287041</v>
      </c>
      <c r="U108" s="269">
        <f t="shared" si="300"/>
        <v>1.1669949026876738</v>
      </c>
      <c r="V108" s="269">
        <f t="shared" si="300"/>
        <v>-0.26289059367565693</v>
      </c>
      <c r="W108" s="269">
        <f t="shared" si="300"/>
        <v>-8.1919060052219272E-2</v>
      </c>
      <c r="X108" s="269">
        <f t="shared" si="300"/>
        <v>2.37808587115377</v>
      </c>
      <c r="Y108" s="269">
        <f t="shared" si="300"/>
        <v>-0.34083229072880983</v>
      </c>
      <c r="Z108" s="269">
        <f t="shared" si="300"/>
        <v>-1.0100933054244865</v>
      </c>
      <c r="AA108" s="269">
        <f t="shared" si="300"/>
        <v>-101.54833040421792</v>
      </c>
      <c r="AB108" s="269">
        <f t="shared" si="300"/>
        <v>-0.57716912535831644</v>
      </c>
      <c r="AC108" s="269">
        <f t="shared" si="300"/>
        <v>1.5759403512710781</v>
      </c>
      <c r="AD108" s="269">
        <f t="shared" si="300"/>
        <v>-0.91812922823166754</v>
      </c>
      <c r="AE108" s="269">
        <f t="shared" si="300"/>
        <v>11.14794073871346</v>
      </c>
      <c r="AF108" s="269">
        <f t="shared" si="300"/>
        <v>-0.62286251321520103</v>
      </c>
      <c r="AG108" s="269">
        <f t="shared" si="300"/>
        <v>1.9136267092828856</v>
      </c>
      <c r="AH108" s="269">
        <f t="shared" si="300"/>
        <v>-0.91889400412965094</v>
      </c>
      <c r="AI108" s="269">
        <f t="shared" si="300"/>
        <v>11.304561167195615</v>
      </c>
      <c r="AJ108" s="269">
        <f t="shared" si="300"/>
        <v>-0.67084895553744861</v>
      </c>
      <c r="AK108" s="269">
        <f t="shared" si="300"/>
        <v>2.3650966270070417</v>
      </c>
      <c r="AL108" s="269">
        <f t="shared" si="300"/>
        <v>-0.93251544564756483</v>
      </c>
      <c r="AM108" s="269"/>
      <c r="AN108" s="269" t="str">
        <f t="shared" ref="AN108:BC108" si="301">IF(ISERR(AN35/AM35-1),"-",AN35/AM35-1)</f>
        <v>-</v>
      </c>
      <c r="AO108" s="269" t="str">
        <f t="shared" si="301"/>
        <v>-</v>
      </c>
      <c r="AP108" s="269" t="str">
        <f t="shared" si="301"/>
        <v>-</v>
      </c>
      <c r="AQ108" s="269" t="str">
        <f t="shared" si="301"/>
        <v>-</v>
      </c>
      <c r="AR108" s="269" t="str">
        <f t="shared" si="301"/>
        <v>-</v>
      </c>
      <c r="AS108" s="269" t="str">
        <f t="shared" si="301"/>
        <v>-</v>
      </c>
      <c r="AT108" s="269" t="str">
        <f t="shared" si="301"/>
        <v>-</v>
      </c>
      <c r="AU108" s="269" t="str">
        <f t="shared" si="301"/>
        <v>-</v>
      </c>
      <c r="AV108" s="269" t="str">
        <f t="shared" si="301"/>
        <v>-</v>
      </c>
      <c r="AW108" s="269" t="str">
        <f t="shared" si="301"/>
        <v>-</v>
      </c>
      <c r="AX108" s="269" t="str">
        <f t="shared" si="301"/>
        <v>-</v>
      </c>
      <c r="AY108" s="269" t="str">
        <f t="shared" si="301"/>
        <v>-</v>
      </c>
      <c r="AZ108" s="269" t="str">
        <f t="shared" si="301"/>
        <v>-</v>
      </c>
      <c r="BA108" s="269" t="str">
        <f t="shared" si="301"/>
        <v>-</v>
      </c>
      <c r="BB108" s="269" t="str">
        <f t="shared" si="301"/>
        <v>-</v>
      </c>
      <c r="BC108" s="269" t="str">
        <f t="shared" si="301"/>
        <v>-</v>
      </c>
      <c r="BD108" s="269"/>
      <c r="BE108" s="269"/>
      <c r="BF108" s="270">
        <f t="shared" ref="BF108:BL108" si="302">IF(ISERR(BF35/BE35-1),"-",BF35/BE35-1)</f>
        <v>-0.26315854077674672</v>
      </c>
      <c r="BG108" s="270">
        <f t="shared" si="302"/>
        <v>0.67257492212097492</v>
      </c>
      <c r="BH108" s="270">
        <f t="shared" si="302"/>
        <v>-4.165214186827082E-2</v>
      </c>
      <c r="BI108" s="270">
        <f t="shared" si="302"/>
        <v>0.73189844212801769</v>
      </c>
      <c r="BJ108" s="270">
        <f t="shared" si="302"/>
        <v>-0.10696801449427851</v>
      </c>
      <c r="BK108" s="270">
        <f t="shared" si="302"/>
        <v>6.8232479949850378E-2</v>
      </c>
      <c r="BL108" s="270">
        <f t="shared" si="302"/>
        <v>7.3707719707638564E-2</v>
      </c>
      <c r="BM108" s="270">
        <f t="shared" si="284"/>
        <v>0.14667300251281445</v>
      </c>
      <c r="BN108" s="270">
        <f t="shared" si="285"/>
        <v>0.12234041193655876</v>
      </c>
      <c r="BO108" s="270">
        <f t="shared" si="286"/>
        <v>9.8735413465644628E-2</v>
      </c>
      <c r="BP108" s="270">
        <f t="shared" si="287"/>
        <v>7.8132796136239246E-2</v>
      </c>
      <c r="BQ108" s="270">
        <f t="shared" si="288"/>
        <v>6.1137344736570398E-2</v>
      </c>
      <c r="BR108" s="270">
        <f t="shared" si="289"/>
        <v>4.7671810100238465E-2</v>
      </c>
      <c r="BS108" s="270">
        <f t="shared" si="290"/>
        <v>3.6805120601981045E-2</v>
      </c>
      <c r="BT108" s="203"/>
      <c r="BU108" s="203"/>
    </row>
    <row r="109" spans="1:73" ht="12.75" customHeight="1" x14ac:dyDescent="0.35">
      <c r="A109" s="200"/>
      <c r="B109" s="267"/>
      <c r="C109" s="267"/>
      <c r="D109" s="267"/>
      <c r="E109" s="267"/>
      <c r="F109" s="204"/>
      <c r="G109" s="204"/>
      <c r="H109" s="204"/>
      <c r="I109" s="359"/>
      <c r="J109" s="359"/>
      <c r="K109" s="359"/>
      <c r="L109" s="359"/>
      <c r="M109" s="359"/>
      <c r="N109" s="359"/>
      <c r="O109" s="359"/>
      <c r="P109" s="359"/>
      <c r="Q109" s="359"/>
      <c r="R109" s="359"/>
      <c r="S109" s="359"/>
      <c r="T109" s="359"/>
      <c r="U109" s="359"/>
      <c r="V109" s="359"/>
      <c r="W109" s="359"/>
      <c r="X109" s="359"/>
      <c r="Y109" s="359"/>
      <c r="Z109" s="359"/>
      <c r="AA109" s="359"/>
      <c r="AB109" s="359"/>
      <c r="AC109" s="359"/>
      <c r="AD109" s="359"/>
      <c r="AE109" s="359"/>
      <c r="AF109" s="359"/>
      <c r="AG109" s="359"/>
      <c r="AH109" s="359"/>
      <c r="AI109" s="359"/>
      <c r="AJ109" s="359"/>
      <c r="AK109" s="359"/>
      <c r="AL109" s="359"/>
      <c r="AM109" s="359"/>
      <c r="AN109" s="359"/>
      <c r="AO109" s="359"/>
      <c r="AP109" s="359"/>
      <c r="AQ109" s="359"/>
      <c r="AR109" s="359"/>
      <c r="AS109" s="359"/>
      <c r="AT109" s="359"/>
      <c r="AU109" s="359"/>
      <c r="AV109" s="359"/>
      <c r="AW109" s="359"/>
      <c r="AX109" s="359"/>
      <c r="AY109" s="359"/>
      <c r="AZ109" s="359"/>
      <c r="BA109" s="359"/>
      <c r="BB109" s="359"/>
      <c r="BC109" s="359"/>
      <c r="BD109" s="359"/>
      <c r="BE109" s="359"/>
      <c r="BF109" s="355"/>
      <c r="BG109" s="355"/>
      <c r="BH109" s="355"/>
      <c r="BI109" s="355"/>
      <c r="BJ109" s="355"/>
      <c r="BK109" s="355"/>
      <c r="BL109" s="355"/>
      <c r="BM109" s="355"/>
      <c r="BN109" s="355"/>
      <c r="BO109" s="355"/>
      <c r="BP109" s="355"/>
      <c r="BQ109" s="355"/>
      <c r="BR109" s="355"/>
      <c r="BS109" s="355"/>
      <c r="BT109" s="203"/>
      <c r="BU109" s="203"/>
    </row>
    <row r="110" spans="1:73" ht="12.75" customHeight="1" x14ac:dyDescent="0.35">
      <c r="A110" s="200"/>
      <c r="B110" s="264" t="s">
        <v>146</v>
      </c>
      <c r="C110" s="201"/>
      <c r="D110" s="267"/>
      <c r="E110" s="267"/>
      <c r="F110" s="204"/>
      <c r="G110" s="204"/>
      <c r="H110" s="204"/>
      <c r="I110" s="359"/>
      <c r="J110" s="359"/>
      <c r="K110" s="359"/>
      <c r="L110" s="269">
        <f t="shared" ref="L110:AL110" si="303">IF(ISERR(L37/K37-1),"-",L37/K37-1)</f>
        <v>-3.2998565279770409E-2</v>
      </c>
      <c r="M110" s="269">
        <f t="shared" si="303"/>
        <v>1.5272007912957468</v>
      </c>
      <c r="N110" s="269">
        <f t="shared" si="303"/>
        <v>-0.10900195694716242</v>
      </c>
      <c r="O110" s="269">
        <f t="shared" si="303"/>
        <v>2.1963540522732306E-2</v>
      </c>
      <c r="P110" s="269">
        <f t="shared" si="303"/>
        <v>-0.41564581990113902</v>
      </c>
      <c r="Q110" s="269">
        <f t="shared" si="303"/>
        <v>1.4505332842956968</v>
      </c>
      <c r="R110" s="269">
        <f t="shared" si="303"/>
        <v>-0.37505628095452503</v>
      </c>
      <c r="S110" s="269">
        <f t="shared" si="303"/>
        <v>0.36047070124879932</v>
      </c>
      <c r="T110" s="269">
        <f t="shared" si="303"/>
        <v>-0.95110326566637249</v>
      </c>
      <c r="U110" s="269">
        <f t="shared" si="303"/>
        <v>19.166064981949457</v>
      </c>
      <c r="V110" s="269">
        <f t="shared" si="303"/>
        <v>-0.1004296455424275</v>
      </c>
      <c r="W110" s="269">
        <f t="shared" si="303"/>
        <v>0.33572139303482595</v>
      </c>
      <c r="X110" s="269">
        <f t="shared" si="303"/>
        <v>-0.58060190703218117</v>
      </c>
      <c r="Y110" s="269">
        <f t="shared" si="303"/>
        <v>1.9865008880994672</v>
      </c>
      <c r="Z110" s="269">
        <f t="shared" si="303"/>
        <v>-0.6874033543475675</v>
      </c>
      <c r="AA110" s="269">
        <f t="shared" si="303"/>
        <v>3.2328767123287667</v>
      </c>
      <c r="AB110" s="269">
        <f t="shared" si="303"/>
        <v>-0.82820927723840343</v>
      </c>
      <c r="AC110" s="269">
        <f t="shared" si="303"/>
        <v>3.8912537706121384</v>
      </c>
      <c r="AD110" s="269">
        <f t="shared" si="303"/>
        <v>-0.91812922823166754</v>
      </c>
      <c r="AE110" s="269">
        <f t="shared" si="303"/>
        <v>11.147940738713459</v>
      </c>
      <c r="AF110" s="269">
        <f t="shared" si="303"/>
        <v>-0.62286251321520103</v>
      </c>
      <c r="AG110" s="269">
        <f t="shared" si="303"/>
        <v>1.9136267092828856</v>
      </c>
      <c r="AH110" s="269">
        <f t="shared" si="303"/>
        <v>-0.91889400412965094</v>
      </c>
      <c r="AI110" s="269">
        <f t="shared" si="303"/>
        <v>11.304561167195615</v>
      </c>
      <c r="AJ110" s="269">
        <f t="shared" si="303"/>
        <v>-0.67084895553744861</v>
      </c>
      <c r="AK110" s="269">
        <f t="shared" si="303"/>
        <v>2.3650966270070417</v>
      </c>
      <c r="AL110" s="269">
        <f t="shared" si="303"/>
        <v>-0.93251544564756483</v>
      </c>
      <c r="AM110" s="269"/>
      <c r="AN110" s="269" t="str">
        <f t="shared" ref="AN110:BC110" si="304">IF(ISERR(AN37/AM37-1),"-",AN37/AM37-1)</f>
        <v>-</v>
      </c>
      <c r="AO110" s="269" t="str">
        <f t="shared" si="304"/>
        <v>-</v>
      </c>
      <c r="AP110" s="269" t="str">
        <f t="shared" si="304"/>
        <v>-</v>
      </c>
      <c r="AQ110" s="269" t="str">
        <f t="shared" si="304"/>
        <v>-</v>
      </c>
      <c r="AR110" s="269" t="str">
        <f t="shared" si="304"/>
        <v>-</v>
      </c>
      <c r="AS110" s="269" t="str">
        <f t="shared" si="304"/>
        <v>-</v>
      </c>
      <c r="AT110" s="269" t="str">
        <f t="shared" si="304"/>
        <v>-</v>
      </c>
      <c r="AU110" s="269" t="str">
        <f t="shared" si="304"/>
        <v>-</v>
      </c>
      <c r="AV110" s="269" t="str">
        <f t="shared" si="304"/>
        <v>-</v>
      </c>
      <c r="AW110" s="269" t="str">
        <f t="shared" si="304"/>
        <v>-</v>
      </c>
      <c r="AX110" s="269" t="str">
        <f t="shared" si="304"/>
        <v>-</v>
      </c>
      <c r="AY110" s="269" t="str">
        <f t="shared" si="304"/>
        <v>-</v>
      </c>
      <c r="AZ110" s="269" t="str">
        <f t="shared" si="304"/>
        <v>-</v>
      </c>
      <c r="BA110" s="269" t="str">
        <f t="shared" si="304"/>
        <v>-</v>
      </c>
      <c r="BB110" s="269" t="str">
        <f t="shared" si="304"/>
        <v>-</v>
      </c>
      <c r="BC110" s="269" t="str">
        <f t="shared" si="304"/>
        <v>-</v>
      </c>
      <c r="BD110" s="269"/>
      <c r="BE110" s="269"/>
      <c r="BF110" s="270">
        <f t="shared" ref="BF110:BL114" si="305">IF(ISERR(BF37/BE37-1),"-",BF37/BE37-1)</f>
        <v>0.6304888152444077</v>
      </c>
      <c r="BG110" s="270">
        <f t="shared" si="305"/>
        <v>0.32106562137049943</v>
      </c>
      <c r="BH110" s="270">
        <f t="shared" si="305"/>
        <v>-9.0444529919226357E-2</v>
      </c>
      <c r="BI110" s="270">
        <f t="shared" si="305"/>
        <v>0.24219174771944663</v>
      </c>
      <c r="BJ110" s="270">
        <f t="shared" si="305"/>
        <v>0.12573909559819807</v>
      </c>
      <c r="BK110" s="270">
        <f t="shared" si="305"/>
        <v>3.018028868454059E-2</v>
      </c>
      <c r="BL110" s="270">
        <f t="shared" si="305"/>
        <v>7.3707719707638564E-2</v>
      </c>
      <c r="BM110" s="270">
        <f t="shared" ref="BM110:BM114" si="306">IF(ISERR(BM37/BL37-1),"-",BM37/BL37-1)</f>
        <v>0.14667300251281423</v>
      </c>
      <c r="BN110" s="270">
        <f t="shared" ref="BN110:BN114" si="307">IF(ISERR(BN37/BM37-1),"-",BN37/BM37-1)</f>
        <v>0.12234041193655876</v>
      </c>
      <c r="BO110" s="270">
        <f t="shared" ref="BO110:BO114" si="308">IF(ISERR(BO37/BN37-1),"-",BO37/BN37-1)</f>
        <v>9.8735413465644628E-2</v>
      </c>
      <c r="BP110" s="270">
        <f t="shared" ref="BP110:BP114" si="309">IF(ISERR(BP37/BO37-1),"-",BP37/BO37-1)</f>
        <v>7.8132796136239246E-2</v>
      </c>
      <c r="BQ110" s="270">
        <f t="shared" ref="BQ110:BQ114" si="310">IF(ISERR(BQ37/BP37-1),"-",BQ37/BP37-1)</f>
        <v>6.1137344736570398E-2</v>
      </c>
      <c r="BR110" s="270">
        <f t="shared" ref="BR110:BR114" si="311">IF(ISERR(BR37/BQ37-1),"-",BR37/BQ37-1)</f>
        <v>4.7671810100238465E-2</v>
      </c>
      <c r="BS110" s="270">
        <f t="shared" ref="BS110:BS114" si="312">IF(ISERR(BS37/BR37-1),"-",BS37/BR37-1)</f>
        <v>3.6805120601980823E-2</v>
      </c>
      <c r="BT110" s="203"/>
      <c r="BU110" s="203"/>
    </row>
    <row r="111" spans="1:73" ht="12.75" customHeight="1" x14ac:dyDescent="0.35">
      <c r="A111" s="200"/>
      <c r="B111" s="267"/>
      <c r="C111" s="232" t="s">
        <v>148</v>
      </c>
      <c r="D111" s="267"/>
      <c r="E111" s="267"/>
      <c r="F111" s="204"/>
      <c r="G111" s="204"/>
      <c r="H111" s="204"/>
      <c r="I111" s="359"/>
      <c r="J111" s="359"/>
      <c r="K111" s="359"/>
      <c r="L111" s="359">
        <f t="shared" ref="L111:AL111" si="313">IF(ISERR(L38/K38-1),"-",L38/K38-1)</f>
        <v>0.34313725490196068</v>
      </c>
      <c r="M111" s="359">
        <f t="shared" si="313"/>
        <v>0.27372262773722622</v>
      </c>
      <c r="N111" s="359">
        <f t="shared" si="313"/>
        <v>0.13896848137535822</v>
      </c>
      <c r="O111" s="359">
        <f t="shared" si="313"/>
        <v>-0.17987421383647795</v>
      </c>
      <c r="P111" s="359">
        <f t="shared" si="313"/>
        <v>-0.60122699386503076</v>
      </c>
      <c r="Q111" s="359">
        <f t="shared" si="313"/>
        <v>1.85</v>
      </c>
      <c r="R111" s="359">
        <f t="shared" si="313"/>
        <v>0.38731443994601888</v>
      </c>
      <c r="S111" s="359">
        <f t="shared" si="313"/>
        <v>4.0856031128404746E-2</v>
      </c>
      <c r="T111" s="359">
        <f t="shared" si="313"/>
        <v>0.76822429906542067</v>
      </c>
      <c r="U111" s="359">
        <f t="shared" si="313"/>
        <v>0.13953488372093026</v>
      </c>
      <c r="V111" s="359">
        <f t="shared" si="313"/>
        <v>0.17532467532467533</v>
      </c>
      <c r="W111" s="359">
        <f t="shared" si="313"/>
        <v>-8.2083662194159412E-2</v>
      </c>
      <c r="X111" s="359">
        <f t="shared" si="313"/>
        <v>-0.20765262252794492</v>
      </c>
      <c r="Y111" s="359">
        <f t="shared" si="313"/>
        <v>0.10797612588171468</v>
      </c>
      <c r="Z111" s="359">
        <f t="shared" si="313"/>
        <v>0.40646425073457393</v>
      </c>
      <c r="AA111" s="359">
        <f t="shared" si="313"/>
        <v>-0.61838440111420612</v>
      </c>
      <c r="AB111" s="359">
        <f t="shared" si="313"/>
        <v>1.1459854014598538</v>
      </c>
      <c r="AC111" s="359">
        <f t="shared" si="313"/>
        <v>-0.13180272108843538</v>
      </c>
      <c r="AD111" s="359">
        <f t="shared" si="313"/>
        <v>0.40646425073457393</v>
      </c>
      <c r="AE111" s="359">
        <f t="shared" si="313"/>
        <v>-1.3816155988857939</v>
      </c>
      <c r="AF111" s="359">
        <f t="shared" si="313"/>
        <v>-3.1459854014598538</v>
      </c>
      <c r="AG111" s="359">
        <f t="shared" si="313"/>
        <v>-0.13180272108843538</v>
      </c>
      <c r="AH111" s="359">
        <f t="shared" si="313"/>
        <v>0.40646425073457393</v>
      </c>
      <c r="AI111" s="359">
        <f t="shared" si="313"/>
        <v>-1.3816155988857939</v>
      </c>
      <c r="AJ111" s="359">
        <f t="shared" si="313"/>
        <v>-3.1459854014598538</v>
      </c>
      <c r="AK111" s="359">
        <f t="shared" si="313"/>
        <v>-0.13180272108843538</v>
      </c>
      <c r="AL111" s="359">
        <f t="shared" si="313"/>
        <v>0.40646425073457393</v>
      </c>
      <c r="AM111" s="359"/>
      <c r="AN111" s="359" t="str">
        <f t="shared" ref="AN111:BC111" si="314">IF(ISERR(AN38/AM38-1),"-",AN38/AM38-1)</f>
        <v>-</v>
      </c>
      <c r="AO111" s="359" t="str">
        <f t="shared" si="314"/>
        <v>-</v>
      </c>
      <c r="AP111" s="359" t="str">
        <f t="shared" si="314"/>
        <v>-</v>
      </c>
      <c r="AQ111" s="359" t="str">
        <f t="shared" si="314"/>
        <v>-</v>
      </c>
      <c r="AR111" s="359" t="str">
        <f t="shared" si="314"/>
        <v>-</v>
      </c>
      <c r="AS111" s="359" t="str">
        <f t="shared" si="314"/>
        <v>-</v>
      </c>
      <c r="AT111" s="359" t="str">
        <f t="shared" si="314"/>
        <v>-</v>
      </c>
      <c r="AU111" s="359" t="str">
        <f t="shared" si="314"/>
        <v>-</v>
      </c>
      <c r="AV111" s="359" t="str">
        <f t="shared" si="314"/>
        <v>-</v>
      </c>
      <c r="AW111" s="359" t="str">
        <f t="shared" si="314"/>
        <v>-</v>
      </c>
      <c r="AX111" s="359" t="str">
        <f t="shared" si="314"/>
        <v>-</v>
      </c>
      <c r="AY111" s="359" t="str">
        <f t="shared" si="314"/>
        <v>-</v>
      </c>
      <c r="AZ111" s="359" t="str">
        <f t="shared" si="314"/>
        <v>-</v>
      </c>
      <c r="BA111" s="359" t="str">
        <f t="shared" si="314"/>
        <v>-</v>
      </c>
      <c r="BB111" s="359" t="str">
        <f t="shared" si="314"/>
        <v>-</v>
      </c>
      <c r="BC111" s="359" t="str">
        <f t="shared" si="314"/>
        <v>-</v>
      </c>
      <c r="BD111" s="359"/>
      <c r="BE111" s="359"/>
      <c r="BF111" s="355">
        <f t="shared" si="305"/>
        <v>13.321637426900585</v>
      </c>
      <c r="BG111" s="355">
        <f t="shared" si="305"/>
        <v>9.4732543895467591E-2</v>
      </c>
      <c r="BH111" s="355">
        <f t="shared" si="305"/>
        <v>1.8541588959343529</v>
      </c>
      <c r="BI111" s="355">
        <f t="shared" si="305"/>
        <v>0.18700993204391003</v>
      </c>
      <c r="BJ111" s="355">
        <f t="shared" si="305"/>
        <v>-7.9379059782010319E-2</v>
      </c>
      <c r="BK111" s="355">
        <f t="shared" si="305"/>
        <v>-0.26213824443912936</v>
      </c>
      <c r="BL111" s="355">
        <f t="shared" si="305"/>
        <v>0</v>
      </c>
      <c r="BM111" s="355">
        <f t="shared" si="306"/>
        <v>0</v>
      </c>
      <c r="BN111" s="355">
        <f t="shared" si="307"/>
        <v>0</v>
      </c>
      <c r="BO111" s="355">
        <f t="shared" si="308"/>
        <v>0</v>
      </c>
      <c r="BP111" s="355">
        <f t="shared" si="309"/>
        <v>0</v>
      </c>
      <c r="BQ111" s="355">
        <f t="shared" si="310"/>
        <v>0</v>
      </c>
      <c r="BR111" s="355">
        <f t="shared" si="311"/>
        <v>0</v>
      </c>
      <c r="BS111" s="355">
        <f t="shared" si="312"/>
        <v>0</v>
      </c>
      <c r="BT111" s="203"/>
      <c r="BU111" s="203"/>
    </row>
    <row r="112" spans="1:73" ht="12.75" customHeight="1" x14ac:dyDescent="0.35">
      <c r="A112" s="200"/>
      <c r="B112" s="267"/>
      <c r="C112" s="232" t="s">
        <v>150</v>
      </c>
      <c r="D112" s="267"/>
      <c r="E112" s="267"/>
      <c r="F112" s="204"/>
      <c r="G112" s="204"/>
      <c r="H112" s="204"/>
      <c r="I112" s="359"/>
      <c r="J112" s="359"/>
      <c r="K112" s="359"/>
      <c r="L112" s="359" t="str">
        <f t="shared" ref="L112:AL112" si="315">IF(ISERR(L39/K39-1),"-",L39/K39-1)</f>
        <v>-</v>
      </c>
      <c r="M112" s="359" t="str">
        <f t="shared" si="315"/>
        <v>-</v>
      </c>
      <c r="N112" s="359" t="str">
        <f t="shared" si="315"/>
        <v>-</v>
      </c>
      <c r="O112" s="359" t="str">
        <f t="shared" si="315"/>
        <v>-</v>
      </c>
      <c r="P112" s="359" t="str">
        <f t="shared" si="315"/>
        <v>-</v>
      </c>
      <c r="Q112" s="359" t="str">
        <f t="shared" si="315"/>
        <v>-</v>
      </c>
      <c r="R112" s="359" t="str">
        <f t="shared" si="315"/>
        <v>-</v>
      </c>
      <c r="S112" s="359" t="str">
        <f t="shared" si="315"/>
        <v>-</v>
      </c>
      <c r="T112" s="359" t="str">
        <f t="shared" si="315"/>
        <v>-</v>
      </c>
      <c r="U112" s="359" t="str">
        <f t="shared" si="315"/>
        <v>-</v>
      </c>
      <c r="V112" s="359" t="str">
        <f t="shared" si="315"/>
        <v>-</v>
      </c>
      <c r="W112" s="359" t="str">
        <f t="shared" si="315"/>
        <v>-</v>
      </c>
      <c r="X112" s="359" t="str">
        <f t="shared" si="315"/>
        <v>-</v>
      </c>
      <c r="Y112" s="359" t="str">
        <f t="shared" si="315"/>
        <v>-</v>
      </c>
      <c r="Z112" s="359" t="str">
        <f t="shared" si="315"/>
        <v>-</v>
      </c>
      <c r="AA112" s="359" t="str">
        <f t="shared" si="315"/>
        <v>-</v>
      </c>
      <c r="AB112" s="359" t="str">
        <f t="shared" si="315"/>
        <v>-</v>
      </c>
      <c r="AC112" s="359" t="str">
        <f t="shared" si="315"/>
        <v>-</v>
      </c>
      <c r="AD112" s="359" t="str">
        <f t="shared" si="315"/>
        <v>-</v>
      </c>
      <c r="AE112" s="359" t="str">
        <f t="shared" si="315"/>
        <v>-</v>
      </c>
      <c r="AF112" s="359" t="str">
        <f t="shared" si="315"/>
        <v>-</v>
      </c>
      <c r="AG112" s="359" t="str">
        <f t="shared" si="315"/>
        <v>-</v>
      </c>
      <c r="AH112" s="359" t="str">
        <f t="shared" si="315"/>
        <v>-</v>
      </c>
      <c r="AI112" s="359" t="str">
        <f t="shared" si="315"/>
        <v>-</v>
      </c>
      <c r="AJ112" s="359" t="str">
        <f t="shared" si="315"/>
        <v>-</v>
      </c>
      <c r="AK112" s="359" t="str">
        <f t="shared" si="315"/>
        <v>-</v>
      </c>
      <c r="AL112" s="359" t="str">
        <f t="shared" si="315"/>
        <v>-</v>
      </c>
      <c r="AM112" s="359"/>
      <c r="AN112" s="359" t="str">
        <f t="shared" ref="AN112:BC112" si="316">IF(ISERR(AN39/AM39-1),"-",AN39/AM39-1)</f>
        <v>-</v>
      </c>
      <c r="AO112" s="359" t="str">
        <f t="shared" si="316"/>
        <v>-</v>
      </c>
      <c r="AP112" s="359" t="str">
        <f t="shared" si="316"/>
        <v>-</v>
      </c>
      <c r="AQ112" s="359" t="str">
        <f t="shared" si="316"/>
        <v>-</v>
      </c>
      <c r="AR112" s="359" t="str">
        <f t="shared" si="316"/>
        <v>-</v>
      </c>
      <c r="AS112" s="359" t="str">
        <f t="shared" si="316"/>
        <v>-</v>
      </c>
      <c r="AT112" s="359" t="str">
        <f t="shared" si="316"/>
        <v>-</v>
      </c>
      <c r="AU112" s="359" t="str">
        <f t="shared" si="316"/>
        <v>-</v>
      </c>
      <c r="AV112" s="359" t="str">
        <f t="shared" si="316"/>
        <v>-</v>
      </c>
      <c r="AW112" s="359" t="str">
        <f t="shared" si="316"/>
        <v>-</v>
      </c>
      <c r="AX112" s="359" t="str">
        <f t="shared" si="316"/>
        <v>-</v>
      </c>
      <c r="AY112" s="359" t="str">
        <f t="shared" si="316"/>
        <v>-</v>
      </c>
      <c r="AZ112" s="359" t="str">
        <f t="shared" si="316"/>
        <v>-</v>
      </c>
      <c r="BA112" s="359" t="str">
        <f t="shared" si="316"/>
        <v>-</v>
      </c>
      <c r="BB112" s="359" t="str">
        <f t="shared" si="316"/>
        <v>-</v>
      </c>
      <c r="BC112" s="359" t="str">
        <f t="shared" si="316"/>
        <v>-</v>
      </c>
      <c r="BD112" s="359"/>
      <c r="BE112" s="359"/>
      <c r="BF112" s="355" t="str">
        <f t="shared" si="305"/>
        <v>-</v>
      </c>
      <c r="BG112" s="355" t="str">
        <f t="shared" si="305"/>
        <v>-</v>
      </c>
      <c r="BH112" s="355" t="str">
        <f t="shared" si="305"/>
        <v>-</v>
      </c>
      <c r="BI112" s="355" t="str">
        <f t="shared" si="305"/>
        <v>-</v>
      </c>
      <c r="BJ112" s="355" t="str">
        <f t="shared" si="305"/>
        <v>-</v>
      </c>
      <c r="BK112" s="355" t="str">
        <f t="shared" si="305"/>
        <v>-</v>
      </c>
      <c r="BL112" s="355" t="str">
        <f t="shared" si="305"/>
        <v>-</v>
      </c>
      <c r="BM112" s="355" t="str">
        <f t="shared" si="306"/>
        <v>-</v>
      </c>
      <c r="BN112" s="355" t="str">
        <f t="shared" si="307"/>
        <v>-</v>
      </c>
      <c r="BO112" s="355" t="str">
        <f t="shared" si="308"/>
        <v>-</v>
      </c>
      <c r="BP112" s="355" t="str">
        <f t="shared" si="309"/>
        <v>-</v>
      </c>
      <c r="BQ112" s="355" t="str">
        <f t="shared" si="310"/>
        <v>-</v>
      </c>
      <c r="BR112" s="355" t="str">
        <f t="shared" si="311"/>
        <v>-</v>
      </c>
      <c r="BS112" s="355" t="str">
        <f t="shared" si="312"/>
        <v>-</v>
      </c>
      <c r="BT112" s="203"/>
      <c r="BU112" s="203"/>
    </row>
    <row r="113" spans="1:73" ht="12.75" customHeight="1" x14ac:dyDescent="0.35">
      <c r="A113" s="200"/>
      <c r="B113" s="267"/>
      <c r="C113" s="232" t="s">
        <v>151</v>
      </c>
      <c r="D113" s="267"/>
      <c r="E113" s="267"/>
      <c r="F113" s="204"/>
      <c r="G113" s="204"/>
      <c r="H113" s="204"/>
      <c r="I113" s="359"/>
      <c r="J113" s="359"/>
      <c r="K113" s="359"/>
      <c r="L113" s="359">
        <f t="shared" ref="L113:AL113" si="317">IF(ISERR(L40/K40-1),"-",L40/K40-1)</f>
        <v>-0.61376021798365121</v>
      </c>
      <c r="M113" s="359">
        <f t="shared" si="317"/>
        <v>1.7301587301587302</v>
      </c>
      <c r="N113" s="359">
        <f t="shared" si="317"/>
        <v>-6.7183462532299787E-2</v>
      </c>
      <c r="O113" s="359">
        <f t="shared" si="317"/>
        <v>-3.878116343490301E-2</v>
      </c>
      <c r="P113" s="359">
        <f t="shared" si="317"/>
        <v>-0.36455331412103742</v>
      </c>
      <c r="Q113" s="359">
        <f t="shared" si="317"/>
        <v>19.920634920634921</v>
      </c>
      <c r="R113" s="359">
        <f t="shared" si="317"/>
        <v>-0.99620637329286799</v>
      </c>
      <c r="S113" s="359">
        <f t="shared" si="317"/>
        <v>8.3571428571428577</v>
      </c>
      <c r="T113" s="359">
        <f t="shared" si="317"/>
        <v>-2.9145038167938928</v>
      </c>
      <c r="U113" s="359">
        <f t="shared" si="317"/>
        <v>-1.6866028708133971</v>
      </c>
      <c r="V113" s="359">
        <f t="shared" si="317"/>
        <v>-1.9616724738675959</v>
      </c>
      <c r="W113" s="359">
        <f t="shared" si="317"/>
        <v>-0.37560386473429952</v>
      </c>
      <c r="X113" s="359">
        <f t="shared" si="317"/>
        <v>-24.133462282398451</v>
      </c>
      <c r="Y113" s="359">
        <f t="shared" si="317"/>
        <v>-1.181020066889632</v>
      </c>
      <c r="Z113" s="359">
        <f t="shared" si="317"/>
        <v>0.63741339491916849</v>
      </c>
      <c r="AA113" s="359">
        <f t="shared" si="317"/>
        <v>-0.90155148095909732</v>
      </c>
      <c r="AB113" s="359">
        <f t="shared" si="317"/>
        <v>11.160458452722063</v>
      </c>
      <c r="AC113" s="359">
        <f t="shared" si="317"/>
        <v>-0.48986804901036762</v>
      </c>
      <c r="AD113" s="359">
        <f t="shared" si="317"/>
        <v>0.63741339491916849</v>
      </c>
      <c r="AE113" s="359">
        <f t="shared" si="317"/>
        <v>-0.90155148095909732</v>
      </c>
      <c r="AF113" s="359">
        <f t="shared" si="317"/>
        <v>11.160458452722063</v>
      </c>
      <c r="AG113" s="359">
        <f t="shared" si="317"/>
        <v>-0.48986804901036762</v>
      </c>
      <c r="AH113" s="359">
        <f t="shared" si="317"/>
        <v>0.63741339491916849</v>
      </c>
      <c r="AI113" s="359">
        <f t="shared" si="317"/>
        <v>-0.90155148095909732</v>
      </c>
      <c r="AJ113" s="359">
        <f t="shared" si="317"/>
        <v>11.160458452722063</v>
      </c>
      <c r="AK113" s="359">
        <f t="shared" si="317"/>
        <v>-0.48986804901036762</v>
      </c>
      <c r="AL113" s="359">
        <f t="shared" si="317"/>
        <v>0.63741339491916849</v>
      </c>
      <c r="AM113" s="359"/>
      <c r="AN113" s="359" t="str">
        <f t="shared" ref="AN113:BC113" si="318">IF(ISERR(AN40/AM40-1),"-",AN40/AM40-1)</f>
        <v>-</v>
      </c>
      <c r="AO113" s="359" t="str">
        <f t="shared" si="318"/>
        <v>-</v>
      </c>
      <c r="AP113" s="359" t="str">
        <f t="shared" si="318"/>
        <v>-</v>
      </c>
      <c r="AQ113" s="359" t="str">
        <f t="shared" si="318"/>
        <v>-</v>
      </c>
      <c r="AR113" s="359" t="str">
        <f t="shared" si="318"/>
        <v>-</v>
      </c>
      <c r="AS113" s="359" t="str">
        <f t="shared" si="318"/>
        <v>-</v>
      </c>
      <c r="AT113" s="359" t="str">
        <f t="shared" si="318"/>
        <v>-</v>
      </c>
      <c r="AU113" s="359" t="str">
        <f t="shared" si="318"/>
        <v>-</v>
      </c>
      <c r="AV113" s="359" t="str">
        <f t="shared" si="318"/>
        <v>-</v>
      </c>
      <c r="AW113" s="359" t="str">
        <f t="shared" si="318"/>
        <v>-</v>
      </c>
      <c r="AX113" s="359" t="str">
        <f t="shared" si="318"/>
        <v>-</v>
      </c>
      <c r="AY113" s="359" t="str">
        <f t="shared" si="318"/>
        <v>-</v>
      </c>
      <c r="AZ113" s="359" t="str">
        <f t="shared" si="318"/>
        <v>-</v>
      </c>
      <c r="BA113" s="359" t="str">
        <f t="shared" si="318"/>
        <v>-</v>
      </c>
      <c r="BB113" s="359" t="str">
        <f t="shared" si="318"/>
        <v>-</v>
      </c>
      <c r="BC113" s="359" t="str">
        <f t="shared" si="318"/>
        <v>-</v>
      </c>
      <c r="BD113" s="359"/>
      <c r="BE113" s="359"/>
      <c r="BF113" s="355">
        <f t="shared" si="305"/>
        <v>1.9057803468208094</v>
      </c>
      <c r="BG113" s="355">
        <f t="shared" si="305"/>
        <v>3.1360652476626214</v>
      </c>
      <c r="BH113" s="355">
        <f t="shared" si="305"/>
        <v>-1.0272220084647941</v>
      </c>
      <c r="BI113" s="355">
        <f t="shared" si="305"/>
        <v>-11.128975265017667</v>
      </c>
      <c r="BJ113" s="355">
        <f t="shared" si="305"/>
        <v>-2.7971393685679402</v>
      </c>
      <c r="BK113" s="355">
        <f t="shared" si="305"/>
        <v>0</v>
      </c>
      <c r="BL113" s="355">
        <f t="shared" si="305"/>
        <v>0</v>
      </c>
      <c r="BM113" s="355">
        <f t="shared" si="306"/>
        <v>0</v>
      </c>
      <c r="BN113" s="355">
        <f t="shared" si="307"/>
        <v>0</v>
      </c>
      <c r="BO113" s="355">
        <f t="shared" si="308"/>
        <v>0</v>
      </c>
      <c r="BP113" s="355">
        <f t="shared" si="309"/>
        <v>0</v>
      </c>
      <c r="BQ113" s="355">
        <f t="shared" si="310"/>
        <v>0</v>
      </c>
      <c r="BR113" s="355">
        <f t="shared" si="311"/>
        <v>0</v>
      </c>
      <c r="BS113" s="355">
        <f t="shared" si="312"/>
        <v>0</v>
      </c>
      <c r="BT113" s="203"/>
      <c r="BU113" s="203"/>
    </row>
    <row r="114" spans="1:73" ht="12.75" customHeight="1" x14ac:dyDescent="0.35">
      <c r="A114" s="200"/>
      <c r="B114" s="264" t="s">
        <v>23</v>
      </c>
      <c r="C114" s="264"/>
      <c r="D114" s="264"/>
      <c r="E114" s="264"/>
      <c r="F114" s="204"/>
      <c r="G114" s="204"/>
      <c r="H114" s="204"/>
      <c r="I114" s="359"/>
      <c r="J114" s="359"/>
      <c r="K114" s="359"/>
      <c r="L114" s="269">
        <f t="shared" ref="L114:AL114" si="319">IF(ISERR(L41/K41-1),"-",L41/K41-1)</f>
        <v>9.6688741721855376E-3</v>
      </c>
      <c r="M114" s="269">
        <f t="shared" si="319"/>
        <v>1.3422537058900694</v>
      </c>
      <c r="N114" s="269">
        <f t="shared" si="319"/>
        <v>-0.40369644357322876</v>
      </c>
      <c r="O114" s="269">
        <f t="shared" si="319"/>
        <v>0.37907391753545605</v>
      </c>
      <c r="P114" s="269">
        <f t="shared" si="319"/>
        <v>0.20329632908806095</v>
      </c>
      <c r="Q114" s="269">
        <f t="shared" si="319"/>
        <v>0.36251980982567344</v>
      </c>
      <c r="R114" s="269">
        <f t="shared" si="319"/>
        <v>-0.68142732521912519</v>
      </c>
      <c r="S114" s="269">
        <f t="shared" si="319"/>
        <v>0.13704524709870913</v>
      </c>
      <c r="T114" s="269">
        <f t="shared" si="319"/>
        <v>1.3088302752293579</v>
      </c>
      <c r="U114" s="269">
        <f t="shared" si="319"/>
        <v>0.6450603486812696</v>
      </c>
      <c r="V114" s="269">
        <f t="shared" si="319"/>
        <v>-0.21760265700483095</v>
      </c>
      <c r="W114" s="269">
        <f t="shared" si="319"/>
        <v>-0.17230733608613436</v>
      </c>
      <c r="X114" s="269">
        <f t="shared" si="319"/>
        <v>2.3845113763521075</v>
      </c>
      <c r="Y114" s="269">
        <f t="shared" si="319"/>
        <v>-0.28126076235345976</v>
      </c>
      <c r="Z114" s="269">
        <f t="shared" si="319"/>
        <v>-0.93828343619427301</v>
      </c>
      <c r="AA114" s="269">
        <f t="shared" si="319"/>
        <v>13.761801242236025</v>
      </c>
      <c r="AB114" s="269">
        <f t="shared" si="319"/>
        <v>-0.39250625880966905</v>
      </c>
      <c r="AC114" s="269">
        <f t="shared" si="319"/>
        <v>0.97999678217062081</v>
      </c>
      <c r="AD114" s="269">
        <f t="shared" si="319"/>
        <v>-0.81191786378860553</v>
      </c>
      <c r="AE114" s="269">
        <f t="shared" si="319"/>
        <v>3.8293490424434635</v>
      </c>
      <c r="AF114" s="269">
        <f t="shared" si="319"/>
        <v>-0.49042624429168713</v>
      </c>
      <c r="AG114" s="269">
        <f t="shared" si="319"/>
        <v>1.3463785924909848</v>
      </c>
      <c r="AH114" s="269">
        <f t="shared" si="319"/>
        <v>-0.82104424888103855</v>
      </c>
      <c r="AI114" s="269">
        <f t="shared" si="319"/>
        <v>4.1315895092557344</v>
      </c>
      <c r="AJ114" s="269">
        <f t="shared" si="319"/>
        <v>-0.55086178350908277</v>
      </c>
      <c r="AK114" s="269">
        <f t="shared" si="319"/>
        <v>1.6626862437887486</v>
      </c>
      <c r="AL114" s="269">
        <f t="shared" si="319"/>
        <v>-0.84257829213152025</v>
      </c>
      <c r="AM114" s="269"/>
      <c r="AN114" s="269" t="str">
        <f t="shared" ref="AN114:BC114" si="320">IF(ISERR(AN41/AM41-1),"-",AN41/AM41-1)</f>
        <v>-</v>
      </c>
      <c r="AO114" s="269" t="str">
        <f t="shared" si="320"/>
        <v>-</v>
      </c>
      <c r="AP114" s="269" t="str">
        <f t="shared" si="320"/>
        <v>-</v>
      </c>
      <c r="AQ114" s="269" t="str">
        <f t="shared" si="320"/>
        <v>-</v>
      </c>
      <c r="AR114" s="269" t="str">
        <f t="shared" si="320"/>
        <v>-</v>
      </c>
      <c r="AS114" s="269" t="str">
        <f t="shared" si="320"/>
        <v>-</v>
      </c>
      <c r="AT114" s="269" t="str">
        <f t="shared" si="320"/>
        <v>-</v>
      </c>
      <c r="AU114" s="269" t="str">
        <f t="shared" si="320"/>
        <v>-</v>
      </c>
      <c r="AV114" s="269" t="str">
        <f t="shared" si="320"/>
        <v>-</v>
      </c>
      <c r="AW114" s="269" t="str">
        <f t="shared" si="320"/>
        <v>-</v>
      </c>
      <c r="AX114" s="269" t="str">
        <f t="shared" si="320"/>
        <v>-</v>
      </c>
      <c r="AY114" s="269" t="str">
        <f t="shared" si="320"/>
        <v>-</v>
      </c>
      <c r="AZ114" s="269" t="str">
        <f t="shared" si="320"/>
        <v>-</v>
      </c>
      <c r="BA114" s="269" t="str">
        <f t="shared" si="320"/>
        <v>-</v>
      </c>
      <c r="BB114" s="269" t="str">
        <f t="shared" si="320"/>
        <v>-</v>
      </c>
      <c r="BC114" s="269" t="str">
        <f t="shared" si="320"/>
        <v>-</v>
      </c>
      <c r="BD114" s="269"/>
      <c r="BE114" s="269"/>
      <c r="BF114" s="270">
        <f t="shared" si="305"/>
        <v>-0.38881891967534288</v>
      </c>
      <c r="BG114" s="270">
        <f t="shared" si="305"/>
        <v>0.46749856897538633</v>
      </c>
      <c r="BH114" s="270">
        <f t="shared" si="305"/>
        <v>0.37122618694709253</v>
      </c>
      <c r="BI114" s="270">
        <f t="shared" si="305"/>
        <v>0.70030494049109082</v>
      </c>
      <c r="BJ114" s="270">
        <f t="shared" si="305"/>
        <v>-3.4103123534220514E-2</v>
      </c>
      <c r="BK114" s="270">
        <f t="shared" si="305"/>
        <v>5.032473272078164E-2</v>
      </c>
      <c r="BL114" s="270">
        <f t="shared" si="305"/>
        <v>6.5698599631784038E-2</v>
      </c>
      <c r="BM114" s="270">
        <f t="shared" si="306"/>
        <v>0.13171796122063761</v>
      </c>
      <c r="BN114" s="270">
        <f t="shared" si="307"/>
        <v>0.11131818968085239</v>
      </c>
      <c r="BO114" s="270">
        <f t="shared" si="308"/>
        <v>9.0730921889358829E-2</v>
      </c>
      <c r="BP114" s="270">
        <f t="shared" si="309"/>
        <v>7.2325465620181939E-2</v>
      </c>
      <c r="BQ114" s="270">
        <f t="shared" si="310"/>
        <v>5.6899713800025342E-2</v>
      </c>
      <c r="BR114" s="270">
        <f t="shared" si="311"/>
        <v>4.4545410980982192E-2</v>
      </c>
      <c r="BS114" s="270">
        <f t="shared" si="312"/>
        <v>3.449431348195553E-2</v>
      </c>
      <c r="BT114" s="203"/>
      <c r="BU114" s="203"/>
    </row>
    <row r="115" spans="1:73" ht="12.75" customHeight="1" x14ac:dyDescent="0.35">
      <c r="A115" s="200"/>
      <c r="B115" s="267"/>
      <c r="C115" s="267"/>
      <c r="D115" s="267"/>
      <c r="E115" s="267"/>
      <c r="F115" s="204"/>
      <c r="G115" s="204"/>
      <c r="H115" s="204"/>
      <c r="I115" s="359"/>
      <c r="J115" s="359"/>
      <c r="K115" s="359"/>
      <c r="L115" s="359"/>
      <c r="M115" s="359"/>
      <c r="N115" s="359"/>
      <c r="O115" s="359"/>
      <c r="P115" s="359"/>
      <c r="Q115" s="359"/>
      <c r="R115" s="359"/>
      <c r="S115" s="359"/>
      <c r="T115" s="359"/>
      <c r="U115" s="359"/>
      <c r="V115" s="359"/>
      <c r="W115" s="359"/>
      <c r="X115" s="359"/>
      <c r="Y115" s="359"/>
      <c r="Z115" s="359"/>
      <c r="AA115" s="359"/>
      <c r="AB115" s="359"/>
      <c r="AC115" s="359"/>
      <c r="AD115" s="359"/>
      <c r="AE115" s="359"/>
      <c r="AF115" s="359"/>
      <c r="AG115" s="359"/>
      <c r="AH115" s="359"/>
      <c r="AI115" s="359"/>
      <c r="AJ115" s="359"/>
      <c r="AK115" s="359"/>
      <c r="AL115" s="359"/>
      <c r="AM115" s="359"/>
      <c r="AN115" s="359"/>
      <c r="AO115" s="359"/>
      <c r="AP115" s="359"/>
      <c r="AQ115" s="359"/>
      <c r="AR115" s="359"/>
      <c r="AS115" s="359"/>
      <c r="AT115" s="359"/>
      <c r="AU115" s="359"/>
      <c r="AV115" s="359"/>
      <c r="AW115" s="359"/>
      <c r="AX115" s="359"/>
      <c r="AY115" s="359"/>
      <c r="AZ115" s="359"/>
      <c r="BA115" s="359"/>
      <c r="BB115" s="359"/>
      <c r="BC115" s="359"/>
      <c r="BD115" s="359"/>
      <c r="BE115" s="359"/>
      <c r="BF115" s="355"/>
      <c r="BG115" s="355"/>
      <c r="BH115" s="355"/>
      <c r="BI115" s="355"/>
      <c r="BJ115" s="355"/>
      <c r="BK115" s="355"/>
      <c r="BL115" s="355"/>
      <c r="BM115" s="355"/>
      <c r="BN115" s="355"/>
      <c r="BO115" s="355"/>
      <c r="BP115" s="355"/>
      <c r="BQ115" s="355"/>
      <c r="BR115" s="355"/>
      <c r="BS115" s="355"/>
      <c r="BT115" s="203"/>
      <c r="BU115" s="203"/>
    </row>
    <row r="116" spans="1:73" ht="12.75" customHeight="1" x14ac:dyDescent="0.35">
      <c r="A116" s="200"/>
      <c r="B116" s="267" t="s">
        <v>192</v>
      </c>
      <c r="C116" s="267"/>
      <c r="D116" s="267"/>
      <c r="E116" s="267"/>
      <c r="F116" s="204"/>
      <c r="G116" s="204"/>
      <c r="H116" s="204"/>
      <c r="I116" s="359"/>
      <c r="J116" s="359"/>
      <c r="K116" s="359"/>
      <c r="L116" s="359">
        <f t="shared" ref="L116:AL116" si="321">IF(ISERR(L53/K53-1),"-",L53/K53-1)</f>
        <v>7.6316084858008004E-3</v>
      </c>
      <c r="M116" s="359">
        <f t="shared" si="321"/>
        <v>1.3356558081269991</v>
      </c>
      <c r="N116" s="359">
        <f t="shared" si="321"/>
        <v>-0.41034049434121511</v>
      </c>
      <c r="O116" s="359">
        <f t="shared" si="321"/>
        <v>0.36280485834313847</v>
      </c>
      <c r="P116" s="359">
        <f t="shared" si="321"/>
        <v>0.19905272918140238</v>
      </c>
      <c r="Q116" s="359">
        <f t="shared" si="321"/>
        <v>0.35985551610290134</v>
      </c>
      <c r="R116" s="359">
        <f t="shared" si="321"/>
        <v>-0.68180065257238398</v>
      </c>
      <c r="S116" s="359">
        <f t="shared" si="321"/>
        <v>0.12779381347256691</v>
      </c>
      <c r="T116" s="359">
        <f t="shared" si="321"/>
        <v>1.3061497447240606</v>
      </c>
      <c r="U116" s="359">
        <f t="shared" si="321"/>
        <v>0.65016923175170827</v>
      </c>
      <c r="V116" s="359">
        <f t="shared" si="321"/>
        <v>-0.21851277411572101</v>
      </c>
      <c r="W116" s="359">
        <f t="shared" si="321"/>
        <v>-0.17837443399049291</v>
      </c>
      <c r="X116" s="359">
        <f t="shared" si="321"/>
        <v>2.3819651954263259</v>
      </c>
      <c r="Y116" s="359">
        <f t="shared" si="321"/>
        <v>-0.2899992333278858</v>
      </c>
      <c r="Z116" s="359">
        <f t="shared" si="321"/>
        <v>-0.93945032866357303</v>
      </c>
      <c r="AA116" s="359">
        <f t="shared" si="321"/>
        <v>13.67874535942186</v>
      </c>
      <c r="AB116" s="359">
        <f t="shared" si="321"/>
        <v>-0.39270389469082889</v>
      </c>
      <c r="AC116" s="359">
        <f t="shared" si="321"/>
        <v>0.97999678217062103</v>
      </c>
      <c r="AD116" s="359">
        <f t="shared" si="321"/>
        <v>-0.81191786378860553</v>
      </c>
      <c r="AE116" s="359">
        <f t="shared" si="321"/>
        <v>3.8293490424434635</v>
      </c>
      <c r="AF116" s="359">
        <f t="shared" si="321"/>
        <v>-0.49042624429168713</v>
      </c>
      <c r="AG116" s="359">
        <f t="shared" si="321"/>
        <v>1.3463785924909852</v>
      </c>
      <c r="AH116" s="359">
        <f t="shared" si="321"/>
        <v>-0.82104424888103855</v>
      </c>
      <c r="AI116" s="359">
        <f t="shared" si="321"/>
        <v>4.1315895092557344</v>
      </c>
      <c r="AJ116" s="359">
        <f t="shared" si="321"/>
        <v>-0.55086178350908277</v>
      </c>
      <c r="AK116" s="359">
        <f t="shared" si="321"/>
        <v>1.6626862437887486</v>
      </c>
      <c r="AL116" s="359">
        <f t="shared" si="321"/>
        <v>-0.84257829213152025</v>
      </c>
      <c r="AM116" s="359"/>
      <c r="AN116" s="359" t="str">
        <f t="shared" ref="AN116:BC116" si="322">IF(ISERR(AN53/AM53-1),"-",AN53/AM53-1)</f>
        <v>-</v>
      </c>
      <c r="AO116" s="359" t="str">
        <f t="shared" si="322"/>
        <v>-</v>
      </c>
      <c r="AP116" s="359" t="str">
        <f t="shared" si="322"/>
        <v>-</v>
      </c>
      <c r="AQ116" s="359" t="str">
        <f t="shared" si="322"/>
        <v>-</v>
      </c>
      <c r="AR116" s="359" t="str">
        <f t="shared" si="322"/>
        <v>-</v>
      </c>
      <c r="AS116" s="359" t="str">
        <f t="shared" si="322"/>
        <v>-</v>
      </c>
      <c r="AT116" s="359" t="str">
        <f t="shared" si="322"/>
        <v>-</v>
      </c>
      <c r="AU116" s="359" t="str">
        <f t="shared" si="322"/>
        <v>-</v>
      </c>
      <c r="AV116" s="359" t="str">
        <f t="shared" si="322"/>
        <v>-</v>
      </c>
      <c r="AW116" s="359" t="str">
        <f t="shared" si="322"/>
        <v>-</v>
      </c>
      <c r="AX116" s="359" t="str">
        <f t="shared" si="322"/>
        <v>-</v>
      </c>
      <c r="AY116" s="359" t="str">
        <f t="shared" si="322"/>
        <v>-</v>
      </c>
      <c r="AZ116" s="359" t="str">
        <f t="shared" si="322"/>
        <v>-</v>
      </c>
      <c r="BA116" s="359" t="str">
        <f t="shared" si="322"/>
        <v>-</v>
      </c>
      <c r="BB116" s="359" t="str">
        <f t="shared" si="322"/>
        <v>-</v>
      </c>
      <c r="BC116" s="359" t="str">
        <f t="shared" si="322"/>
        <v>-</v>
      </c>
      <c r="BD116" s="359"/>
      <c r="BE116" s="359"/>
      <c r="BF116" s="355">
        <f t="shared" ref="BF116:BL116" si="323">IF(ISERR(BF53/BE53-1),"-",BF53/BE53-1)</f>
        <v>-0.39739948036983264</v>
      </c>
      <c r="BG116" s="355">
        <f t="shared" si="323"/>
        <v>0.43300976594423757</v>
      </c>
      <c r="BH116" s="355">
        <f t="shared" si="323"/>
        <v>0.35687614545578561</v>
      </c>
      <c r="BI116" s="355">
        <f t="shared" si="323"/>
        <v>0.66988456279673181</v>
      </c>
      <c r="BJ116" s="355">
        <f t="shared" si="323"/>
        <v>-3.4103123534220403E-2</v>
      </c>
      <c r="BK116" s="355">
        <f t="shared" si="323"/>
        <v>5.0324732720781418E-2</v>
      </c>
      <c r="BL116" s="355">
        <f t="shared" si="323"/>
        <v>6.5698599631784038E-2</v>
      </c>
      <c r="BM116" s="355">
        <f t="shared" ref="BM116" si="324">IF(ISERR(BM53/BL53-1),"-",BM53/BL53-1)</f>
        <v>0.13171796122063761</v>
      </c>
      <c r="BN116" s="355">
        <f t="shared" ref="BN116" si="325">IF(ISERR(BN53/BM53-1),"-",BN53/BM53-1)</f>
        <v>0.11131818968085216</v>
      </c>
      <c r="BO116" s="355">
        <f t="shared" ref="BO116" si="326">IF(ISERR(BO53/BN53-1),"-",BO53/BN53-1)</f>
        <v>9.0730921889358829E-2</v>
      </c>
      <c r="BP116" s="355">
        <f t="shared" ref="BP116" si="327">IF(ISERR(BP53/BO53-1),"-",BP53/BO53-1)</f>
        <v>7.2325465620181939E-2</v>
      </c>
      <c r="BQ116" s="355">
        <f t="shared" ref="BQ116" si="328">IF(ISERR(BQ53/BP53-1),"-",BQ53/BP53-1)</f>
        <v>5.6899713800025564E-2</v>
      </c>
      <c r="BR116" s="355">
        <f t="shared" ref="BR116" si="329">IF(ISERR(BR53/BQ53-1),"-",BR53/BQ53-1)</f>
        <v>4.4545410980982192E-2</v>
      </c>
      <c r="BS116" s="355">
        <f t="shared" ref="BS116" si="330">IF(ISERR(BS53/BR53-1),"-",BS53/BR53-1)</f>
        <v>3.4494313481955308E-2</v>
      </c>
      <c r="BT116" s="203"/>
      <c r="BU116" s="203"/>
    </row>
    <row r="117" spans="1:73" ht="12.75" customHeight="1" x14ac:dyDescent="0.35">
      <c r="A117" s="200"/>
      <c r="B117" s="267" t="s">
        <v>193</v>
      </c>
      <c r="C117" s="267"/>
      <c r="D117" s="267"/>
      <c r="E117" s="267"/>
      <c r="F117" s="204"/>
      <c r="G117" s="204"/>
      <c r="H117" s="204"/>
      <c r="I117" s="359"/>
      <c r="J117" s="359"/>
      <c r="K117" s="359"/>
      <c r="L117" s="359">
        <f t="shared" ref="L117:AL117" si="331">IF(ISERR(L56/K56-1),"-",L56/K56-1)</f>
        <v>1.0455833544104509E-2</v>
      </c>
      <c r="M117" s="359">
        <f t="shared" si="331"/>
        <v>1.3376985644939396</v>
      </c>
      <c r="N117" s="359">
        <f t="shared" si="331"/>
        <v>-0.40600680218007412</v>
      </c>
      <c r="O117" s="359">
        <f t="shared" si="331"/>
        <v>0.36952280921855007</v>
      </c>
      <c r="P117" s="359">
        <f t="shared" si="331"/>
        <v>0.19960382021475676</v>
      </c>
      <c r="Q117" s="359">
        <f t="shared" si="331"/>
        <v>0.35835148918375914</v>
      </c>
      <c r="R117" s="359">
        <f t="shared" si="331"/>
        <v>-0.68191388142344866</v>
      </c>
      <c r="S117" s="359">
        <f t="shared" si="331"/>
        <v>0.13358260454949322</v>
      </c>
      <c r="T117" s="359">
        <f t="shared" si="331"/>
        <v>1.3079517248963177</v>
      </c>
      <c r="U117" s="359">
        <f t="shared" si="331"/>
        <v>0.6538709243819345</v>
      </c>
      <c r="V117" s="359">
        <f t="shared" si="331"/>
        <v>-0.22088127444214412</v>
      </c>
      <c r="W117" s="359">
        <f t="shared" si="331"/>
        <v>-0.17556105927188437</v>
      </c>
      <c r="X117" s="359">
        <f t="shared" si="331"/>
        <v>2.3836893881887424</v>
      </c>
      <c r="Y117" s="359">
        <f t="shared" si="331"/>
        <v>-0.29147470813901266</v>
      </c>
      <c r="Z117" s="359">
        <f t="shared" si="331"/>
        <v>-0.94054827136296015</v>
      </c>
      <c r="AA117" s="359">
        <f t="shared" si="331"/>
        <v>13.95138918587142</v>
      </c>
      <c r="AB117" s="359">
        <f t="shared" si="331"/>
        <v>-0.3932202527151496</v>
      </c>
      <c r="AC117" s="359">
        <f t="shared" si="331"/>
        <v>0.97999678217062103</v>
      </c>
      <c r="AD117" s="359">
        <f t="shared" si="331"/>
        <v>-0.81191786378860553</v>
      </c>
      <c r="AE117" s="359">
        <f t="shared" si="331"/>
        <v>3.8293490424434635</v>
      </c>
      <c r="AF117" s="359">
        <f t="shared" si="331"/>
        <v>-0.49042624429168713</v>
      </c>
      <c r="AG117" s="359">
        <f t="shared" si="331"/>
        <v>1.3463785924909848</v>
      </c>
      <c r="AH117" s="359">
        <f t="shared" si="331"/>
        <v>-0.82104424888103855</v>
      </c>
      <c r="AI117" s="359">
        <f t="shared" si="331"/>
        <v>4.1315895092557335</v>
      </c>
      <c r="AJ117" s="359">
        <f t="shared" si="331"/>
        <v>-0.55086178350908266</v>
      </c>
      <c r="AK117" s="359">
        <f t="shared" si="331"/>
        <v>1.6626862437887486</v>
      </c>
      <c r="AL117" s="359">
        <f t="shared" si="331"/>
        <v>-0.84257829213152025</v>
      </c>
      <c r="AM117" s="359"/>
      <c r="AN117" s="359" t="str">
        <f t="shared" ref="AN117:BC117" si="332">IF(ISERR(AN56/AM56-1),"-",AN56/AM56-1)</f>
        <v>-</v>
      </c>
      <c r="AO117" s="359" t="str">
        <f t="shared" si="332"/>
        <v>-</v>
      </c>
      <c r="AP117" s="359" t="str">
        <f t="shared" si="332"/>
        <v>-</v>
      </c>
      <c r="AQ117" s="359" t="str">
        <f t="shared" si="332"/>
        <v>-</v>
      </c>
      <c r="AR117" s="359" t="str">
        <f t="shared" si="332"/>
        <v>-</v>
      </c>
      <c r="AS117" s="359" t="str">
        <f t="shared" si="332"/>
        <v>-</v>
      </c>
      <c r="AT117" s="359" t="str">
        <f t="shared" si="332"/>
        <v>-</v>
      </c>
      <c r="AU117" s="359" t="str">
        <f t="shared" si="332"/>
        <v>-</v>
      </c>
      <c r="AV117" s="359" t="str">
        <f t="shared" si="332"/>
        <v>-</v>
      </c>
      <c r="AW117" s="359" t="str">
        <f t="shared" si="332"/>
        <v>-</v>
      </c>
      <c r="AX117" s="359" t="str">
        <f t="shared" si="332"/>
        <v>-</v>
      </c>
      <c r="AY117" s="359" t="str">
        <f t="shared" si="332"/>
        <v>-</v>
      </c>
      <c r="AZ117" s="359" t="str">
        <f t="shared" si="332"/>
        <v>-</v>
      </c>
      <c r="BA117" s="359" t="str">
        <f t="shared" si="332"/>
        <v>-</v>
      </c>
      <c r="BB117" s="359" t="str">
        <f t="shared" si="332"/>
        <v>-</v>
      </c>
      <c r="BC117" s="359" t="str">
        <f t="shared" si="332"/>
        <v>-</v>
      </c>
      <c r="BD117" s="359"/>
      <c r="BE117" s="359"/>
      <c r="BF117" s="355">
        <f t="shared" ref="BF117:BL117" si="333">IF(ISERR(BF56/BE56-1),"-",BF56/BE56-1)</f>
        <v>-0.39143181974668806</v>
      </c>
      <c r="BG117" s="355">
        <f t="shared" si="333"/>
        <v>0.44669494941519883</v>
      </c>
      <c r="BH117" s="355">
        <f t="shared" si="333"/>
        <v>0.36443017458326765</v>
      </c>
      <c r="BI117" s="355">
        <f t="shared" si="333"/>
        <v>0.6716266337736625</v>
      </c>
      <c r="BJ117" s="355">
        <f t="shared" si="333"/>
        <v>-3.4103123534220403E-2</v>
      </c>
      <c r="BK117" s="355">
        <f t="shared" si="333"/>
        <v>5.032473272078164E-2</v>
      </c>
      <c r="BL117" s="355">
        <f t="shared" si="333"/>
        <v>6.5698599631784038E-2</v>
      </c>
      <c r="BM117" s="355">
        <f t="shared" ref="BM117" si="334">IF(ISERR(BM56/BL56-1),"-",BM56/BL56-1)</f>
        <v>0.13171796122063761</v>
      </c>
      <c r="BN117" s="355">
        <f t="shared" ref="BN117" si="335">IF(ISERR(BN56/BM56-1),"-",BN56/BM56-1)</f>
        <v>0.11131818968085216</v>
      </c>
      <c r="BO117" s="355">
        <f t="shared" ref="BO117" si="336">IF(ISERR(BO56/BN56-1),"-",BO56/BN56-1)</f>
        <v>9.0730921889358829E-2</v>
      </c>
      <c r="BP117" s="355">
        <f t="shared" ref="BP117" si="337">IF(ISERR(BP56/BO56-1),"-",BP56/BO56-1)</f>
        <v>7.2325465620181939E-2</v>
      </c>
      <c r="BQ117" s="355">
        <f t="shared" ref="BQ117" si="338">IF(ISERR(BQ56/BP56-1),"-",BQ56/BP56-1)</f>
        <v>5.6899713800025342E-2</v>
      </c>
      <c r="BR117" s="355">
        <f t="shared" ref="BR117" si="339">IF(ISERR(BR56/BQ56-1),"-",BR56/BQ56-1)</f>
        <v>4.4545410980982192E-2</v>
      </c>
      <c r="BS117" s="355">
        <f t="shared" ref="BS117" si="340">IF(ISERR(BS56/BR56-1),"-",BS56/BR56-1)</f>
        <v>3.449431348195553E-2</v>
      </c>
      <c r="BT117" s="203"/>
      <c r="BU117" s="203"/>
    </row>
    <row r="118" spans="1:73" ht="12.75" customHeight="1" x14ac:dyDescent="0.35">
      <c r="A118" s="200"/>
      <c r="B118" s="267"/>
      <c r="C118" s="267"/>
      <c r="D118" s="267"/>
      <c r="E118" s="267"/>
      <c r="F118" s="204"/>
      <c r="G118" s="204"/>
      <c r="H118" s="204"/>
      <c r="I118" s="359"/>
      <c r="J118" s="359"/>
      <c r="K118" s="359"/>
      <c r="L118" s="359"/>
      <c r="M118" s="359"/>
      <c r="N118" s="359"/>
      <c r="O118" s="359"/>
      <c r="P118" s="359"/>
      <c r="Q118" s="359"/>
      <c r="R118" s="359"/>
      <c r="S118" s="359"/>
      <c r="T118" s="359"/>
      <c r="U118" s="359"/>
      <c r="V118" s="359"/>
      <c r="W118" s="359"/>
      <c r="X118" s="359"/>
      <c r="Y118" s="359"/>
      <c r="Z118" s="359"/>
      <c r="AA118" s="359"/>
      <c r="AB118" s="359"/>
      <c r="AC118" s="359"/>
      <c r="AD118" s="359"/>
      <c r="AE118" s="359"/>
      <c r="AF118" s="359"/>
      <c r="AG118" s="359"/>
      <c r="AH118" s="359"/>
      <c r="AI118" s="359"/>
      <c r="AJ118" s="359"/>
      <c r="AK118" s="359"/>
      <c r="AL118" s="359"/>
      <c r="AM118" s="359"/>
      <c r="AN118" s="359"/>
      <c r="AO118" s="359"/>
      <c r="AP118" s="359"/>
      <c r="AQ118" s="359"/>
      <c r="AR118" s="359"/>
      <c r="AS118" s="359"/>
      <c r="AT118" s="359"/>
      <c r="AU118" s="359"/>
      <c r="AV118" s="359"/>
      <c r="AW118" s="359"/>
      <c r="AX118" s="359"/>
      <c r="AY118" s="359"/>
      <c r="AZ118" s="359"/>
      <c r="BA118" s="359"/>
      <c r="BB118" s="359"/>
      <c r="BC118" s="359"/>
      <c r="BD118" s="359"/>
      <c r="BE118" s="359"/>
      <c r="BF118" s="359"/>
      <c r="BG118" s="359"/>
      <c r="BH118" s="359"/>
      <c r="BI118" s="359"/>
      <c r="BJ118" s="359"/>
      <c r="BK118" s="359"/>
      <c r="BL118" s="359"/>
      <c r="BM118" s="355"/>
      <c r="BN118" s="355"/>
      <c r="BO118" s="355"/>
      <c r="BP118" s="355"/>
      <c r="BQ118" s="355"/>
      <c r="BR118" s="355"/>
      <c r="BS118" s="355"/>
      <c r="BT118" s="203"/>
      <c r="BU118" s="203"/>
    </row>
    <row r="119" spans="1:73" ht="12.75" customHeight="1" x14ac:dyDescent="0.35">
      <c r="A119" s="200"/>
      <c r="B119" s="263" t="s">
        <v>194</v>
      </c>
      <c r="C119" s="263"/>
      <c r="D119" s="263"/>
      <c r="E119" s="263"/>
      <c r="F119" s="263"/>
      <c r="G119" s="263"/>
      <c r="H119" s="263"/>
      <c r="I119" s="263"/>
      <c r="J119" s="263"/>
      <c r="K119" s="263"/>
      <c r="L119" s="263"/>
      <c r="M119" s="263"/>
      <c r="N119" s="263"/>
      <c r="O119" s="263"/>
      <c r="P119" s="263"/>
      <c r="Q119" s="263"/>
      <c r="R119" s="263"/>
      <c r="S119" s="263"/>
      <c r="T119" s="263"/>
      <c r="U119" s="263"/>
      <c r="V119" s="263"/>
      <c r="W119" s="263"/>
      <c r="X119" s="263"/>
      <c r="Y119" s="263"/>
      <c r="Z119" s="263"/>
      <c r="AA119" s="263"/>
      <c r="AB119" s="263"/>
      <c r="AC119" s="263"/>
      <c r="AD119" s="263"/>
      <c r="AE119" s="263"/>
      <c r="AF119" s="263"/>
      <c r="AG119" s="263"/>
      <c r="AH119" s="263"/>
      <c r="AI119" s="263"/>
      <c r="AJ119" s="263"/>
      <c r="AK119" s="263"/>
      <c r="AL119" s="263"/>
      <c r="AM119" s="263"/>
      <c r="AN119" s="263"/>
      <c r="AO119" s="263"/>
      <c r="AP119" s="263"/>
      <c r="AQ119" s="263"/>
      <c r="AR119" s="263"/>
      <c r="AS119" s="263"/>
      <c r="AT119" s="263"/>
      <c r="AU119" s="263"/>
      <c r="AV119" s="263"/>
      <c r="AW119" s="263"/>
      <c r="AX119" s="263"/>
      <c r="AY119" s="263"/>
      <c r="AZ119" s="263"/>
      <c r="BA119" s="263"/>
      <c r="BB119" s="263"/>
      <c r="BC119" s="263"/>
      <c r="BD119" s="263"/>
      <c r="BE119" s="263"/>
      <c r="BF119" s="263"/>
      <c r="BG119" s="263"/>
      <c r="BH119" s="263"/>
      <c r="BI119" s="263"/>
      <c r="BJ119" s="263"/>
      <c r="BK119" s="263"/>
      <c r="BL119" s="263"/>
      <c r="BM119" s="263"/>
      <c r="BN119" s="263"/>
      <c r="BO119" s="263"/>
      <c r="BP119" s="263"/>
      <c r="BQ119" s="263"/>
      <c r="BR119" s="263"/>
      <c r="BS119" s="263"/>
      <c r="BT119" s="203"/>
      <c r="BU119" s="203"/>
    </row>
    <row r="120" spans="1:73" ht="12.75" customHeight="1" x14ac:dyDescent="0.35">
      <c r="A120" s="200"/>
      <c r="B120" s="264" t="s">
        <v>16</v>
      </c>
      <c r="C120" s="264"/>
      <c r="D120" s="264"/>
      <c r="E120" s="264"/>
      <c r="F120" s="204"/>
      <c r="G120" s="204"/>
      <c r="H120" s="204"/>
      <c r="I120" s="359"/>
      <c r="J120" s="359"/>
      <c r="K120" s="359"/>
      <c r="L120" s="359"/>
      <c r="M120" s="359"/>
      <c r="N120" s="359"/>
      <c r="O120" s="269">
        <f t="shared" ref="O120:AL120" si="341">IF(ISERR(O12/K12-1),"-",O12/K12-1)</f>
        <v>0.56073894383280454</v>
      </c>
      <c r="P120" s="269">
        <f t="shared" si="341"/>
        <v>0.60743030444418533</v>
      </c>
      <c r="Q120" s="269">
        <f t="shared" si="341"/>
        <v>0.55926983173076916</v>
      </c>
      <c r="R120" s="269">
        <f t="shared" si="341"/>
        <v>0.60532932424375963</v>
      </c>
      <c r="S120" s="269">
        <f t="shared" si="341"/>
        <v>0.61246612466124661</v>
      </c>
      <c r="T120" s="269">
        <f t="shared" si="341"/>
        <v>0.54471898697434784</v>
      </c>
      <c r="U120" s="269">
        <f t="shared" si="341"/>
        <v>0.41251144192320655</v>
      </c>
      <c r="V120" s="269">
        <f t="shared" si="341"/>
        <v>0.50968804495252851</v>
      </c>
      <c r="W120" s="269">
        <f t="shared" si="341"/>
        <v>0.42021749876421155</v>
      </c>
      <c r="X120" s="269">
        <f t="shared" si="341"/>
        <v>0.39776624230751167</v>
      </c>
      <c r="Y120" s="269">
        <f t="shared" si="341"/>
        <v>0.37669469124644017</v>
      </c>
      <c r="Z120" s="269">
        <f t="shared" si="341"/>
        <v>0.22263577830541825</v>
      </c>
      <c r="AA120" s="269">
        <f t="shared" si="341"/>
        <v>0.33784936131704435</v>
      </c>
      <c r="AB120" s="269">
        <f t="shared" si="341"/>
        <v>0.3028306880529672</v>
      </c>
      <c r="AC120" s="269">
        <f t="shared" si="341"/>
        <v>0.26748970852649556</v>
      </c>
      <c r="AD120" s="269">
        <f t="shared" si="341"/>
        <v>0.35318096293099432</v>
      </c>
      <c r="AE120" s="269">
        <f t="shared" si="341"/>
        <v>0.26314186755376978</v>
      </c>
      <c r="AF120" s="269">
        <f t="shared" si="341"/>
        <v>0.30858748444385387</v>
      </c>
      <c r="AG120" s="269">
        <f t="shared" si="341"/>
        <v>0.26305858998180875</v>
      </c>
      <c r="AH120" s="269">
        <f t="shared" si="341"/>
        <v>0.23693508030917831</v>
      </c>
      <c r="AI120" s="269">
        <f t="shared" si="341"/>
        <v>0.2360068611199817</v>
      </c>
      <c r="AJ120" s="269">
        <f t="shared" si="341"/>
        <v>0.25181711357668157</v>
      </c>
      <c r="AK120" s="269">
        <f t="shared" si="341"/>
        <v>0.23418765563198352</v>
      </c>
      <c r="AL120" s="269">
        <f t="shared" si="341"/>
        <v>0.23432159179082679</v>
      </c>
      <c r="AM120" s="269"/>
      <c r="AN120" s="269" t="str">
        <f t="shared" ref="AN120:BC120" si="342">IF(ISERR(AN12/AJ12-1),"-",AN12/AJ12-1)</f>
        <v>-</v>
      </c>
      <c r="AO120" s="269" t="str">
        <f t="shared" si="342"/>
        <v>-</v>
      </c>
      <c r="AP120" s="269" t="str">
        <f t="shared" si="342"/>
        <v>-</v>
      </c>
      <c r="AQ120" s="269" t="str">
        <f t="shared" si="342"/>
        <v>-</v>
      </c>
      <c r="AR120" s="269" t="str">
        <f t="shared" si="342"/>
        <v>-</v>
      </c>
      <c r="AS120" s="269" t="str">
        <f t="shared" si="342"/>
        <v>-</v>
      </c>
      <c r="AT120" s="269" t="str">
        <f t="shared" si="342"/>
        <v>-</v>
      </c>
      <c r="AU120" s="269" t="str">
        <f t="shared" si="342"/>
        <v>-</v>
      </c>
      <c r="AV120" s="269" t="str">
        <f t="shared" si="342"/>
        <v>-</v>
      </c>
      <c r="AW120" s="269" t="str">
        <f t="shared" si="342"/>
        <v>-</v>
      </c>
      <c r="AX120" s="269" t="str">
        <f t="shared" si="342"/>
        <v>-</v>
      </c>
      <c r="AY120" s="269" t="str">
        <f t="shared" si="342"/>
        <v>-</v>
      </c>
      <c r="AZ120" s="269" t="str">
        <f t="shared" si="342"/>
        <v>-</v>
      </c>
      <c r="BA120" s="269" t="str">
        <f t="shared" si="342"/>
        <v>-</v>
      </c>
      <c r="BB120" s="269">
        <f t="shared" si="342"/>
        <v>0.59984488631106081</v>
      </c>
      <c r="BC120" s="269">
        <f t="shared" si="342"/>
        <v>0.54504316792979757</v>
      </c>
      <c r="BD120" s="269"/>
      <c r="BE120" s="269"/>
      <c r="BF120" s="269">
        <f t="shared" ref="BF120:BL120" si="343">IF(ISERR(BF12/BE12-1),"-",BF12/BE12-1)</f>
        <v>0.56484383496633472</v>
      </c>
      <c r="BG120" s="269">
        <f t="shared" si="343"/>
        <v>0.58122990023566867</v>
      </c>
      <c r="BH120" s="269">
        <f t="shared" si="343"/>
        <v>0.50577385661655994</v>
      </c>
      <c r="BI120" s="269">
        <f t="shared" si="343"/>
        <v>0.35257825519313024</v>
      </c>
      <c r="BJ120" s="269">
        <f t="shared" si="343"/>
        <v>0.3108238726971706</v>
      </c>
      <c r="BK120" s="269">
        <f t="shared" si="343"/>
        <v>0.26759578517343985</v>
      </c>
      <c r="BL120" s="269">
        <f t="shared" si="343"/>
        <v>0.23885874039850186</v>
      </c>
      <c r="BM120" s="269">
        <f t="shared" ref="BM120" si="344">IF(ISERR(BM12/BL12-1),"-",BM12/BL12-1)</f>
        <v>0.20672452831037158</v>
      </c>
      <c r="BN120" s="269">
        <f t="shared" ref="BN120" si="345">IF(ISERR(BN12/BM12-1),"-",BN12/BM12-1)</f>
        <v>0.17298801406376896</v>
      </c>
      <c r="BO120" s="269">
        <f t="shared" ref="BO120" si="346">IF(ISERR(BO12/BN12-1),"-",BO12/BN12-1)</f>
        <v>0.14285999081401535</v>
      </c>
      <c r="BP120" s="269">
        <f t="shared" ref="BP120" si="347">IF(ISERR(BP12/BO12-1),"-",BP12/BO12-1)</f>
        <v>0.11798101989051979</v>
      </c>
      <c r="BQ120" s="269">
        <f t="shared" ref="BQ120" si="348">IF(ISERR(BQ12/BP12-1),"-",BQ12/BP12-1)</f>
        <v>9.8321350186328482E-2</v>
      </c>
      <c r="BR120" s="269">
        <f t="shared" ref="BR120" si="349">IF(ISERR(BR12/BQ12-1),"-",BR12/BQ12-1)</f>
        <v>8.3339396796335619E-2</v>
      </c>
      <c r="BS120" s="269">
        <f t="shared" ref="BS120" si="350">IF(ISERR(BS12/BR12-1),"-",BS12/BR12-1)</f>
        <v>7.1714390909235037E-2</v>
      </c>
      <c r="BT120" s="203"/>
      <c r="BU120" s="203"/>
    </row>
    <row r="121" spans="1:73" ht="12.75" customHeight="1" x14ac:dyDescent="0.35">
      <c r="A121" s="200"/>
      <c r="B121" s="267"/>
      <c r="C121" s="267" t="s">
        <v>172</v>
      </c>
      <c r="D121" s="201"/>
      <c r="E121" s="267"/>
      <c r="F121" s="204"/>
      <c r="G121" s="204"/>
      <c r="H121" s="204"/>
      <c r="I121" s="359"/>
      <c r="J121" s="359"/>
      <c r="K121" s="359"/>
      <c r="L121" s="359"/>
      <c r="M121" s="359"/>
      <c r="N121" s="359"/>
      <c r="O121" s="359">
        <f t="shared" ref="O121:X122" si="351">IF(ISERR(O16/K16-1),"-",O16/K16-1)</f>
        <v>0.48671662125340598</v>
      </c>
      <c r="P121" s="359">
        <f t="shared" si="351"/>
        <v>0.67659833879448295</v>
      </c>
      <c r="Q121" s="359">
        <f t="shared" si="351"/>
        <v>0.83404789292063164</v>
      </c>
      <c r="R121" s="359">
        <f t="shared" si="351"/>
        <v>1.0983860555196903</v>
      </c>
      <c r="S121" s="359">
        <f t="shared" si="351"/>
        <v>1.5040091638029782</v>
      </c>
      <c r="T121" s="359">
        <f t="shared" si="351"/>
        <v>1.1264430506317606</v>
      </c>
      <c r="U121" s="359">
        <f t="shared" si="351"/>
        <v>0.73365072124978625</v>
      </c>
      <c r="V121" s="359">
        <f t="shared" si="351"/>
        <v>0.71086635491016481</v>
      </c>
      <c r="W121" s="359">
        <f t="shared" si="351"/>
        <v>0.37207227813357724</v>
      </c>
      <c r="X121" s="359">
        <f t="shared" si="351"/>
        <v>0.40097465053648529</v>
      </c>
      <c r="Y121" s="359">
        <f t="shared" ref="Y121:AH122" si="352">IF(ISERR(Y16/U16-1),"-",Y16/U16-1)</f>
        <v>0.38674296614210779</v>
      </c>
      <c r="Z121" s="359">
        <f t="shared" si="352"/>
        <v>0.30375831684948751</v>
      </c>
      <c r="AA121" s="359">
        <f t="shared" si="352"/>
        <v>0.40902195475686409</v>
      </c>
      <c r="AB121" s="359">
        <f t="shared" si="352"/>
        <v>0.37247124157080513</v>
      </c>
      <c r="AC121" s="359">
        <f t="shared" si="352"/>
        <v>0.31602260668611559</v>
      </c>
      <c r="AD121" s="359">
        <f t="shared" si="352"/>
        <v>0.31165448968959808</v>
      </c>
      <c r="AE121" s="359">
        <f t="shared" si="352"/>
        <v>0.30909606351895325</v>
      </c>
      <c r="AF121" s="359">
        <f t="shared" si="352"/>
        <v>0.35369825962179524</v>
      </c>
      <c r="AG121" s="359">
        <f t="shared" si="352"/>
        <v>0.30963825632324049</v>
      </c>
      <c r="AH121" s="359">
        <f t="shared" si="352"/>
        <v>0.25705530240723617</v>
      </c>
      <c r="AI121" s="359">
        <f t="shared" ref="AI121:AL122" si="353">IF(ISERR(AI16/AE16-1),"-",AI16/AE16-1)</f>
        <v>0.2577011061387684</v>
      </c>
      <c r="AJ121" s="359">
        <f t="shared" si="353"/>
        <v>0.27267495245365314</v>
      </c>
      <c r="AK121" s="359">
        <f t="shared" si="353"/>
        <v>0.25613571988731709</v>
      </c>
      <c r="AL121" s="359">
        <f t="shared" si="353"/>
        <v>0.25407794182546817</v>
      </c>
      <c r="AM121" s="359"/>
      <c r="AN121" s="359">
        <f t="shared" ref="AN121:BC122" si="354">IF(ISERR(AN16/AJ16-1),"-",AN16/AJ16-1)</f>
        <v>-1</v>
      </c>
      <c r="AO121" s="359">
        <f t="shared" si="354"/>
        <v>-1</v>
      </c>
      <c r="AP121" s="359">
        <f t="shared" si="354"/>
        <v>-1</v>
      </c>
      <c r="AQ121" s="359" t="str">
        <f t="shared" si="354"/>
        <v>-</v>
      </c>
      <c r="AR121" s="359" t="str">
        <f t="shared" si="354"/>
        <v>-</v>
      </c>
      <c r="AS121" s="359" t="str">
        <f t="shared" si="354"/>
        <v>-</v>
      </c>
      <c r="AT121" s="359" t="str">
        <f t="shared" si="354"/>
        <v>-</v>
      </c>
      <c r="AU121" s="359" t="str">
        <f t="shared" si="354"/>
        <v>-</v>
      </c>
      <c r="AV121" s="359" t="str">
        <f t="shared" si="354"/>
        <v>-</v>
      </c>
      <c r="AW121" s="359" t="str">
        <f t="shared" si="354"/>
        <v>-</v>
      </c>
      <c r="AX121" s="359" t="str">
        <f t="shared" si="354"/>
        <v>-</v>
      </c>
      <c r="AY121" s="359" t="str">
        <f t="shared" si="354"/>
        <v>-</v>
      </c>
      <c r="AZ121" s="359" t="str">
        <f t="shared" si="354"/>
        <v>-</v>
      </c>
      <c r="BA121" s="359" t="str">
        <f t="shared" si="354"/>
        <v>-</v>
      </c>
      <c r="BB121" s="359" t="str">
        <f t="shared" si="354"/>
        <v>-</v>
      </c>
      <c r="BC121" s="359" t="str">
        <f t="shared" si="354"/>
        <v>-</v>
      </c>
      <c r="BD121" s="359"/>
      <c r="BE121" s="359"/>
      <c r="BF121" s="359">
        <f t="shared" ref="BF121:BL122" si="355">IF(ISERR(BF16/BE16-1),"-",BF16/BE16-1)</f>
        <v>0.73142191820695679</v>
      </c>
      <c r="BG121" s="359">
        <f t="shared" si="355"/>
        <v>0.79957298724005188</v>
      </c>
      <c r="BH121" s="359">
        <f t="shared" si="355"/>
        <v>0.93312095960539598</v>
      </c>
      <c r="BI121" s="359">
        <f t="shared" si="355"/>
        <v>0.36455982486746663</v>
      </c>
      <c r="BJ121" s="359">
        <f t="shared" si="355"/>
        <v>0.34776157369143257</v>
      </c>
      <c r="BK121" s="359">
        <f t="shared" si="355"/>
        <v>0.30679326064346957</v>
      </c>
      <c r="BL121" s="359">
        <f t="shared" si="355"/>
        <v>0.26003934422431141</v>
      </c>
      <c r="BM121" s="359">
        <f t="shared" ref="BM121:BM122" si="356">IF(ISERR(BM16/BL16-1),"-",BM16/BL16-1)</f>
        <v>0.21275815095192319</v>
      </c>
      <c r="BN121" s="359">
        <f t="shared" ref="BN121:BN122" si="357">IF(ISERR(BN16/BM16-1),"-",BN16/BM16-1)</f>
        <v>0.17885295413408775</v>
      </c>
      <c r="BO121" s="359">
        <f t="shared" ref="BO121:BO122" si="358">IF(ISERR(BO16/BN16-1),"-",BO16/BN16-1)</f>
        <v>0.14857429076808537</v>
      </c>
      <c r="BP121" s="359">
        <f t="shared" ref="BP121:BP122" si="359">IF(ISERR(BP16/BO16-1),"-",BP16/BO16-1)</f>
        <v>0.12357092498997213</v>
      </c>
      <c r="BQ121" s="359">
        <f t="shared" ref="BQ121:BQ122" si="360">IF(ISERR(BQ16/BP16-1),"-",BQ16/BP16-1)</f>
        <v>0.10381295693726011</v>
      </c>
      <c r="BR121" s="359">
        <f t="shared" ref="BR121:BR122" si="361">IF(ISERR(BR16/BQ16-1),"-",BR16/BQ16-1)</f>
        <v>8.8756093780316903E-2</v>
      </c>
      <c r="BS121" s="359">
        <f t="shared" ref="BS121:BS122" si="362">IF(ISERR(BS16/BR16-1),"-",BS16/BR16-1)</f>
        <v>7.7072962863780958E-2</v>
      </c>
      <c r="BT121" s="203"/>
      <c r="BU121" s="203"/>
    </row>
    <row r="122" spans="1:73" ht="12.75" customHeight="1" x14ac:dyDescent="0.35">
      <c r="A122" s="200"/>
      <c r="B122" s="264" t="s">
        <v>17</v>
      </c>
      <c r="C122" s="264"/>
      <c r="D122" s="264"/>
      <c r="E122" s="264"/>
      <c r="F122" s="204"/>
      <c r="G122" s="204"/>
      <c r="H122" s="204"/>
      <c r="I122" s="269"/>
      <c r="J122" s="269"/>
      <c r="K122" s="269"/>
      <c r="L122" s="269"/>
      <c r="M122" s="269"/>
      <c r="N122" s="269"/>
      <c r="O122" s="269">
        <f t="shared" si="351"/>
        <v>0.60333170014698667</v>
      </c>
      <c r="P122" s="269">
        <f t="shared" si="351"/>
        <v>0.56455193915631341</v>
      </c>
      <c r="Q122" s="269">
        <f t="shared" si="351"/>
        <v>0.40525174374303963</v>
      </c>
      <c r="R122" s="269">
        <f t="shared" si="351"/>
        <v>0.27454632075880281</v>
      </c>
      <c r="S122" s="269">
        <f t="shared" si="351"/>
        <v>0.13678034470113687</v>
      </c>
      <c r="T122" s="269">
        <f t="shared" si="351"/>
        <v>0.15827294685990334</v>
      </c>
      <c r="U122" s="269">
        <f t="shared" si="351"/>
        <v>0.17758081334723674</v>
      </c>
      <c r="V122" s="269">
        <f t="shared" si="351"/>
        <v>0.2874813103167051</v>
      </c>
      <c r="W122" s="269">
        <f t="shared" si="351"/>
        <v>0.47680107526881721</v>
      </c>
      <c r="X122" s="269">
        <f t="shared" si="351"/>
        <v>0.39385329232052557</v>
      </c>
      <c r="Y122" s="269">
        <f t="shared" si="352"/>
        <v>0.36587266448242284</v>
      </c>
      <c r="Z122" s="269">
        <f t="shared" si="352"/>
        <v>0.10356841216216206</v>
      </c>
      <c r="AA122" s="269">
        <f t="shared" si="352"/>
        <v>0.26013433569361277</v>
      </c>
      <c r="AB122" s="269">
        <f t="shared" si="352"/>
        <v>0.21746367189691607</v>
      </c>
      <c r="AC122" s="269">
        <f t="shared" si="352"/>
        <v>0.21442093139360452</v>
      </c>
      <c r="AD122" s="269">
        <f t="shared" si="352"/>
        <v>0.42518785958620553</v>
      </c>
      <c r="AE122" s="269">
        <f t="shared" si="352"/>
        <v>0.20703470707585336</v>
      </c>
      <c r="AF122" s="269">
        <f t="shared" si="352"/>
        <v>0.24624911772535452</v>
      </c>
      <c r="AG122" s="269">
        <f t="shared" si="352"/>
        <v>0.20786440394236916</v>
      </c>
      <c r="AH122" s="269">
        <f t="shared" si="352"/>
        <v>0.20482590497960795</v>
      </c>
      <c r="AI122" s="269">
        <f t="shared" si="353"/>
        <v>0.20727991776776133</v>
      </c>
      <c r="AJ122" s="269">
        <f t="shared" si="353"/>
        <v>0.22050867243889849</v>
      </c>
      <c r="AK122" s="269">
        <f t="shared" si="353"/>
        <v>0.20598913316116896</v>
      </c>
      <c r="AL122" s="269">
        <f t="shared" si="353"/>
        <v>0.20142634257674485</v>
      </c>
      <c r="AM122" s="269"/>
      <c r="AN122" s="269">
        <f t="shared" si="354"/>
        <v>-1</v>
      </c>
      <c r="AO122" s="269">
        <f t="shared" si="354"/>
        <v>-1</v>
      </c>
      <c r="AP122" s="269">
        <f t="shared" si="354"/>
        <v>-1</v>
      </c>
      <c r="AQ122" s="269" t="str">
        <f t="shared" si="354"/>
        <v>-</v>
      </c>
      <c r="AR122" s="269" t="str">
        <f t="shared" si="354"/>
        <v>-</v>
      </c>
      <c r="AS122" s="269" t="str">
        <f t="shared" si="354"/>
        <v>-</v>
      </c>
      <c r="AT122" s="269" t="str">
        <f t="shared" si="354"/>
        <v>-</v>
      </c>
      <c r="AU122" s="269" t="str">
        <f t="shared" si="354"/>
        <v>-</v>
      </c>
      <c r="AV122" s="269" t="str">
        <f t="shared" si="354"/>
        <v>-</v>
      </c>
      <c r="AW122" s="269" t="str">
        <f t="shared" si="354"/>
        <v>-</v>
      </c>
      <c r="AX122" s="269" t="str">
        <f t="shared" si="354"/>
        <v>-</v>
      </c>
      <c r="AY122" s="269" t="str">
        <f t="shared" si="354"/>
        <v>-</v>
      </c>
      <c r="AZ122" s="269" t="str">
        <f t="shared" si="354"/>
        <v>-</v>
      </c>
      <c r="BA122" s="269" t="str">
        <f t="shared" si="354"/>
        <v>-</v>
      </c>
      <c r="BB122" s="269" t="str">
        <f t="shared" si="354"/>
        <v>-</v>
      </c>
      <c r="BC122" s="269" t="str">
        <f t="shared" si="354"/>
        <v>-</v>
      </c>
      <c r="BD122" s="269"/>
      <c r="BE122" s="269"/>
      <c r="BF122" s="269">
        <f t="shared" si="355"/>
        <v>0.47915793256273576</v>
      </c>
      <c r="BG122" s="269">
        <f t="shared" si="355"/>
        <v>0.44976212167223406</v>
      </c>
      <c r="BH122" s="269">
        <f t="shared" si="355"/>
        <v>0.18637499825445802</v>
      </c>
      <c r="BI122" s="269">
        <f t="shared" si="355"/>
        <v>0.33798664037901305</v>
      </c>
      <c r="BJ122" s="269">
        <f t="shared" si="355"/>
        <v>0.26494631350648712</v>
      </c>
      <c r="BK122" s="269">
        <f t="shared" si="355"/>
        <v>0.21572420047807106</v>
      </c>
      <c r="BL122" s="269">
        <f t="shared" si="355"/>
        <v>0.20872995804190153</v>
      </c>
      <c r="BM122" s="269">
        <f t="shared" si="356"/>
        <v>0.19777755363943905</v>
      </c>
      <c r="BN122" s="269">
        <f t="shared" si="357"/>
        <v>0.16418239945749691</v>
      </c>
      <c r="BO122" s="269">
        <f t="shared" si="358"/>
        <v>0.13417243244181432</v>
      </c>
      <c r="BP122" s="269">
        <f t="shared" si="359"/>
        <v>0.10937466717293254</v>
      </c>
      <c r="BQ122" s="269">
        <f t="shared" si="360"/>
        <v>8.9758144334644463E-2</v>
      </c>
      <c r="BR122" s="269">
        <f t="shared" si="361"/>
        <v>7.4784064953408169E-2</v>
      </c>
      <c r="BS122" s="269">
        <f t="shared" si="362"/>
        <v>6.3140839330998233E-2</v>
      </c>
      <c r="BT122" s="203"/>
      <c r="BU122" s="203"/>
    </row>
    <row r="123" spans="1:73" ht="12.75" customHeight="1" x14ac:dyDescent="0.35">
      <c r="A123" s="200"/>
      <c r="B123" s="267"/>
      <c r="C123" s="267"/>
      <c r="D123" s="267"/>
      <c r="E123" s="267"/>
      <c r="F123" s="204"/>
      <c r="G123" s="204"/>
      <c r="H123" s="204"/>
      <c r="I123" s="359"/>
      <c r="J123" s="359"/>
      <c r="K123" s="359"/>
      <c r="L123" s="359"/>
      <c r="M123" s="359"/>
      <c r="N123" s="359"/>
      <c r="O123" s="359"/>
      <c r="P123" s="359"/>
      <c r="Q123" s="359"/>
      <c r="R123" s="359"/>
      <c r="S123" s="359"/>
      <c r="T123" s="359"/>
      <c r="U123" s="359"/>
      <c r="V123" s="359"/>
      <c r="W123" s="359"/>
      <c r="X123" s="359"/>
      <c r="Y123" s="359"/>
      <c r="Z123" s="359"/>
      <c r="AA123" s="359"/>
      <c r="AB123" s="359"/>
      <c r="AC123" s="359"/>
      <c r="AD123" s="359"/>
      <c r="AE123" s="359"/>
      <c r="AF123" s="359"/>
      <c r="AG123" s="359"/>
      <c r="AH123" s="359"/>
      <c r="AI123" s="359"/>
      <c r="AJ123" s="359"/>
      <c r="AK123" s="359"/>
      <c r="AL123" s="359"/>
      <c r="AM123" s="359"/>
      <c r="AN123" s="359"/>
      <c r="AO123" s="359"/>
      <c r="AP123" s="359"/>
      <c r="AQ123" s="359"/>
      <c r="AR123" s="359"/>
      <c r="AS123" s="359"/>
      <c r="AT123" s="359"/>
      <c r="AU123" s="359"/>
      <c r="AV123" s="359"/>
      <c r="AW123" s="359"/>
      <c r="AX123" s="359"/>
      <c r="AY123" s="359"/>
      <c r="AZ123" s="359"/>
      <c r="BA123" s="359"/>
      <c r="BB123" s="359"/>
      <c r="BC123" s="359"/>
      <c r="BD123" s="359"/>
      <c r="BE123" s="359"/>
      <c r="BF123" s="359"/>
      <c r="BG123" s="359"/>
      <c r="BH123" s="359"/>
      <c r="BI123" s="359"/>
      <c r="BJ123" s="359"/>
      <c r="BK123" s="359"/>
      <c r="BL123" s="359"/>
      <c r="BM123" s="355"/>
      <c r="BN123" s="355"/>
      <c r="BO123" s="355"/>
      <c r="BP123" s="355"/>
      <c r="BQ123" s="355"/>
      <c r="BR123" s="355"/>
      <c r="BS123" s="355"/>
      <c r="BT123" s="203"/>
      <c r="BU123" s="203"/>
    </row>
    <row r="124" spans="1:73" ht="12.75" customHeight="1" x14ac:dyDescent="0.35">
      <c r="A124" s="200"/>
      <c r="B124" s="267"/>
      <c r="C124" s="267" t="s">
        <v>173</v>
      </c>
      <c r="D124" s="267"/>
      <c r="E124" s="267"/>
      <c r="F124" s="204"/>
      <c r="G124" s="204"/>
      <c r="H124" s="204"/>
      <c r="I124" s="359"/>
      <c r="J124" s="359"/>
      <c r="K124" s="359"/>
      <c r="L124" s="359"/>
      <c r="M124" s="359"/>
      <c r="N124" s="359"/>
      <c r="O124" s="359">
        <f t="shared" ref="O124:X128" si="363">IF(ISERR(O19/K19-1),"-",O19/K19-1)</f>
        <v>0.31174542945843386</v>
      </c>
      <c r="P124" s="359">
        <f t="shared" si="363"/>
        <v>0.36390630155064341</v>
      </c>
      <c r="Q124" s="359">
        <f t="shared" si="363"/>
        <v>0.63129736959429339</v>
      </c>
      <c r="R124" s="359">
        <f t="shared" si="363"/>
        <v>0.49052150180718446</v>
      </c>
      <c r="S124" s="359">
        <f t="shared" si="363"/>
        <v>0.91834856353954386</v>
      </c>
      <c r="T124" s="359">
        <f t="shared" si="363"/>
        <v>0.50344702467343971</v>
      </c>
      <c r="U124" s="359">
        <f t="shared" si="363"/>
        <v>0.35132549877015573</v>
      </c>
      <c r="V124" s="359">
        <f t="shared" si="363"/>
        <v>0.44123323600732411</v>
      </c>
      <c r="W124" s="359">
        <f t="shared" si="363"/>
        <v>4.7361206305688741E-2</v>
      </c>
      <c r="X124" s="359">
        <f t="shared" si="363"/>
        <v>0.33168416395157063</v>
      </c>
      <c r="Y124" s="359">
        <f t="shared" ref="Y124:AH128" si="364">IF(ISERR(Y19/U19-1),"-",Y19/U19-1)</f>
        <v>0.26618802035932188</v>
      </c>
      <c r="Z124" s="359">
        <f t="shared" si="364"/>
        <v>0.19084572331147198</v>
      </c>
      <c r="AA124" s="359">
        <f t="shared" si="364"/>
        <v>0.12960539231725665</v>
      </c>
      <c r="AB124" s="359">
        <f t="shared" si="364"/>
        <v>0.55450508955809941</v>
      </c>
      <c r="AC124" s="359">
        <f t="shared" si="364"/>
        <v>0.28208994982434543</v>
      </c>
      <c r="AD124" s="359">
        <f t="shared" si="364"/>
        <v>0.34910217692731171</v>
      </c>
      <c r="AE124" s="359">
        <f t="shared" si="364"/>
        <v>0.27717570748627107</v>
      </c>
      <c r="AF124" s="359">
        <f t="shared" si="364"/>
        <v>0.32737250558373687</v>
      </c>
      <c r="AG124" s="359">
        <f t="shared" si="364"/>
        <v>0.2840954420459092</v>
      </c>
      <c r="AH124" s="359">
        <f t="shared" si="364"/>
        <v>0.25185601338715857</v>
      </c>
      <c r="AI124" s="359">
        <f t="shared" ref="AI124:AL128" si="365">IF(ISERR(AI19/AE19-1),"-",AI19/AE19-1)</f>
        <v>0.257028556860184</v>
      </c>
      <c r="AJ124" s="359">
        <f t="shared" si="365"/>
        <v>0.27656369501774658</v>
      </c>
      <c r="AK124" s="359">
        <f t="shared" si="365"/>
        <v>0.26077429149058795</v>
      </c>
      <c r="AL124" s="359">
        <f t="shared" si="365"/>
        <v>0.25446992901978005</v>
      </c>
      <c r="AM124" s="359"/>
      <c r="AN124" s="359">
        <f t="shared" ref="AN124:BC128" si="366">IF(ISERR(AN19/AJ19-1),"-",AN19/AJ19-1)</f>
        <v>-1</v>
      </c>
      <c r="AO124" s="359">
        <f t="shared" si="366"/>
        <v>-1</v>
      </c>
      <c r="AP124" s="359">
        <f t="shared" si="366"/>
        <v>-1</v>
      </c>
      <c r="AQ124" s="359" t="str">
        <f t="shared" si="366"/>
        <v>-</v>
      </c>
      <c r="AR124" s="359" t="str">
        <f t="shared" si="366"/>
        <v>-</v>
      </c>
      <c r="AS124" s="359" t="str">
        <f t="shared" si="366"/>
        <v>-</v>
      </c>
      <c r="AT124" s="359" t="str">
        <f t="shared" si="366"/>
        <v>-</v>
      </c>
      <c r="AU124" s="359" t="str">
        <f t="shared" si="366"/>
        <v>-</v>
      </c>
      <c r="AV124" s="359" t="str">
        <f t="shared" si="366"/>
        <v>-</v>
      </c>
      <c r="AW124" s="359" t="str">
        <f t="shared" si="366"/>
        <v>-</v>
      </c>
      <c r="AX124" s="359" t="str">
        <f t="shared" si="366"/>
        <v>-</v>
      </c>
      <c r="AY124" s="359" t="str">
        <f t="shared" si="366"/>
        <v>-</v>
      </c>
      <c r="AZ124" s="359" t="str">
        <f t="shared" si="366"/>
        <v>-</v>
      </c>
      <c r="BA124" s="359" t="str">
        <f t="shared" si="366"/>
        <v>-</v>
      </c>
      <c r="BB124" s="359" t="str">
        <f t="shared" si="366"/>
        <v>-</v>
      </c>
      <c r="BC124" s="359" t="str">
        <f t="shared" si="366"/>
        <v>-</v>
      </c>
      <c r="BD124" s="359"/>
      <c r="BE124" s="359"/>
      <c r="BF124" s="359">
        <f t="shared" ref="BF124:BL128" si="367">IF(ISERR(BF19/BE19-1),"-",BF19/BE19-1)</f>
        <v>0.346255904049249</v>
      </c>
      <c r="BG124" s="359">
        <f t="shared" si="367"/>
        <v>0.45674583620774611</v>
      </c>
      <c r="BH124" s="359">
        <f t="shared" si="367"/>
        <v>0.5266412296368459</v>
      </c>
      <c r="BI124" s="359">
        <f t="shared" si="367"/>
        <v>0.2045803015128822</v>
      </c>
      <c r="BJ124" s="359">
        <f t="shared" si="367"/>
        <v>0.33125829181112909</v>
      </c>
      <c r="BK124" s="359">
        <f t="shared" si="367"/>
        <v>0.28674796636627375</v>
      </c>
      <c r="BL124" s="359">
        <f t="shared" si="367"/>
        <v>0.26311175802187159</v>
      </c>
      <c r="BM124" s="359">
        <f t="shared" ref="BM124:BM129" si="368">IF(ISERR(BM19/BL19-1),"-",BM19/BL19-1)</f>
        <v>0.1974763949002345</v>
      </c>
      <c r="BN124" s="359">
        <f t="shared" ref="BN124:BN129" si="369">IF(ISERR(BN19/BM19-1),"-",BN19/BM19-1)</f>
        <v>0.16652535674488589</v>
      </c>
      <c r="BO124" s="359">
        <f t="shared" ref="BO124:BO129" si="370">IF(ISERR(BO19/BN19-1),"-",BO19/BN19-1)</f>
        <v>0.13828477536920047</v>
      </c>
      <c r="BP124" s="359">
        <f t="shared" ref="BP124:BP129" si="371">IF(ISERR(BP19/BO19-1),"-",BP19/BO19-1)</f>
        <v>0.11466160031589956</v>
      </c>
      <c r="BQ124" s="359">
        <f t="shared" ref="BQ124:BQ129" si="372">IF(ISERR(BQ19/BP19-1),"-",BQ19/BP19-1)</f>
        <v>9.5839618656799574E-2</v>
      </c>
      <c r="BR124" s="359">
        <f t="shared" ref="BR124:BR129" si="373">IF(ISERR(BR19/BQ19-1),"-",BR19/BQ19-1)</f>
        <v>8.141979866058735E-2</v>
      </c>
      <c r="BS124" s="359">
        <f t="shared" ref="BS124:BS129" si="374">IF(ISERR(BS19/BR19-1),"-",BS19/BR19-1)</f>
        <v>7.0186923458375405E-2</v>
      </c>
      <c r="BT124" s="203"/>
      <c r="BU124" s="203"/>
    </row>
    <row r="125" spans="1:73" ht="12.75" customHeight="1" x14ac:dyDescent="0.35">
      <c r="A125" s="200"/>
      <c r="B125" s="267"/>
      <c r="C125" s="267"/>
      <c r="D125" s="267" t="s">
        <v>174</v>
      </c>
      <c r="E125" s="267"/>
      <c r="F125" s="204"/>
      <c r="G125" s="204"/>
      <c r="H125" s="204"/>
      <c r="I125" s="359"/>
      <c r="J125" s="359"/>
      <c r="K125" s="359"/>
      <c r="L125" s="359"/>
      <c r="M125" s="359"/>
      <c r="N125" s="359"/>
      <c r="O125" s="359">
        <f t="shared" si="363"/>
        <v>0.34200332042058657</v>
      </c>
      <c r="P125" s="359">
        <f t="shared" si="363"/>
        <v>0.61578133058277462</v>
      </c>
      <c r="Q125" s="359">
        <f t="shared" si="363"/>
        <v>0.90244988864142539</v>
      </c>
      <c r="R125" s="359">
        <f t="shared" si="363"/>
        <v>0.76385041551246546</v>
      </c>
      <c r="S125" s="359">
        <f t="shared" si="363"/>
        <v>0.83938144329896902</v>
      </c>
      <c r="T125" s="359">
        <f t="shared" si="363"/>
        <v>0.45323970635173949</v>
      </c>
      <c r="U125" s="359">
        <f t="shared" si="363"/>
        <v>0.41699836103956911</v>
      </c>
      <c r="V125" s="359">
        <f t="shared" si="363"/>
        <v>0.26279282816385297</v>
      </c>
      <c r="W125" s="359">
        <f t="shared" si="363"/>
        <v>0.19919291559242236</v>
      </c>
      <c r="X125" s="359">
        <f t="shared" si="363"/>
        <v>0.3173731605534813</v>
      </c>
      <c r="Y125" s="359">
        <f t="shared" si="364"/>
        <v>0.3053536021150034</v>
      </c>
      <c r="Z125" s="359">
        <f t="shared" si="364"/>
        <v>0.26220333713338162</v>
      </c>
      <c r="AA125" s="359">
        <f t="shared" si="364"/>
        <v>0.27612637876238555</v>
      </c>
      <c r="AB125" s="359">
        <f t="shared" si="364"/>
        <v>0.44806602200733581</v>
      </c>
      <c r="AC125" s="359">
        <f t="shared" si="364"/>
        <v>0.33086419395282007</v>
      </c>
      <c r="AD125" s="359">
        <f t="shared" si="364"/>
        <v>0.42084001107754365</v>
      </c>
      <c r="AE125" s="359">
        <f t="shared" si="364"/>
        <v>0.32629896093145816</v>
      </c>
      <c r="AF125" s="359">
        <f t="shared" si="364"/>
        <v>0.37401685866604684</v>
      </c>
      <c r="AG125" s="359">
        <f t="shared" si="364"/>
        <v>0.32621151948089921</v>
      </c>
      <c r="AH125" s="359">
        <f t="shared" si="364"/>
        <v>0.29878183432463734</v>
      </c>
      <c r="AI125" s="359">
        <f t="shared" si="365"/>
        <v>0.29780720417598094</v>
      </c>
      <c r="AJ125" s="359">
        <f t="shared" si="365"/>
        <v>0.31440796925551551</v>
      </c>
      <c r="AK125" s="359">
        <f t="shared" si="365"/>
        <v>0.29589703841358284</v>
      </c>
      <c r="AL125" s="359">
        <f t="shared" si="365"/>
        <v>0.29603767138036807</v>
      </c>
      <c r="AM125" s="359"/>
      <c r="AN125" s="359">
        <f t="shared" si="366"/>
        <v>-1</v>
      </c>
      <c r="AO125" s="359">
        <f t="shared" si="366"/>
        <v>-1</v>
      </c>
      <c r="AP125" s="359">
        <f t="shared" si="366"/>
        <v>-1</v>
      </c>
      <c r="AQ125" s="359" t="str">
        <f t="shared" si="366"/>
        <v>-</v>
      </c>
      <c r="AR125" s="359" t="str">
        <f t="shared" si="366"/>
        <v>-</v>
      </c>
      <c r="AS125" s="359" t="str">
        <f t="shared" si="366"/>
        <v>-</v>
      </c>
      <c r="AT125" s="359" t="str">
        <f t="shared" si="366"/>
        <v>-</v>
      </c>
      <c r="AU125" s="359" t="str">
        <f t="shared" si="366"/>
        <v>-</v>
      </c>
      <c r="AV125" s="359" t="str">
        <f t="shared" si="366"/>
        <v>-</v>
      </c>
      <c r="AW125" s="359" t="str">
        <f t="shared" si="366"/>
        <v>-</v>
      </c>
      <c r="AX125" s="359" t="str">
        <f t="shared" si="366"/>
        <v>-</v>
      </c>
      <c r="AY125" s="359" t="str">
        <f t="shared" si="366"/>
        <v>-</v>
      </c>
      <c r="AZ125" s="359" t="str">
        <f t="shared" si="366"/>
        <v>-</v>
      </c>
      <c r="BA125" s="359" t="str">
        <f t="shared" si="366"/>
        <v>-</v>
      </c>
      <c r="BB125" s="359" t="str">
        <f t="shared" si="366"/>
        <v>-</v>
      </c>
      <c r="BC125" s="359" t="str">
        <f t="shared" si="366"/>
        <v>-</v>
      </c>
      <c r="BD125" s="359"/>
      <c r="BE125" s="359"/>
      <c r="BF125" s="359">
        <f t="shared" si="367"/>
        <v>0.44282302998142753</v>
      </c>
      <c r="BG125" s="359">
        <f t="shared" si="367"/>
        <v>0.67334804462424902</v>
      </c>
      <c r="BH125" s="359">
        <f t="shared" si="367"/>
        <v>0.45719623429429657</v>
      </c>
      <c r="BI125" s="359">
        <f t="shared" si="367"/>
        <v>0.27383107088989433</v>
      </c>
      <c r="BJ125" s="359">
        <f t="shared" si="367"/>
        <v>0.36867887749625949</v>
      </c>
      <c r="BK125" s="359">
        <f t="shared" si="367"/>
        <v>0.33135845095903349</v>
      </c>
      <c r="BL125" s="359">
        <f t="shared" si="367"/>
        <v>0.30109073066480696</v>
      </c>
      <c r="BM125" s="359">
        <f t="shared" si="368"/>
        <v>-0.95674735133706745</v>
      </c>
      <c r="BN125" s="359">
        <f t="shared" si="369"/>
        <v>8.0428363668414438E-3</v>
      </c>
      <c r="BO125" s="359">
        <f t="shared" si="370"/>
        <v>7.9786652676678838E-3</v>
      </c>
      <c r="BP125" s="359">
        <f t="shared" si="371"/>
        <v>7.9155100624566099E-3</v>
      </c>
      <c r="BQ125" s="359">
        <f t="shared" si="372"/>
        <v>7.8748628353808581E-3</v>
      </c>
      <c r="BR125" s="359">
        <f t="shared" si="373"/>
        <v>7.7919859957731319E-3</v>
      </c>
      <c r="BS125" s="359">
        <f t="shared" si="374"/>
        <v>7.7317403829859632E-3</v>
      </c>
      <c r="BT125" s="203"/>
      <c r="BU125" s="203"/>
    </row>
    <row r="126" spans="1:73" ht="12.75" customHeight="1" x14ac:dyDescent="0.35">
      <c r="A126" s="200"/>
      <c r="B126" s="267"/>
      <c r="C126" s="267"/>
      <c r="D126" s="267" t="s">
        <v>175</v>
      </c>
      <c r="E126" s="267"/>
      <c r="F126" s="204"/>
      <c r="G126" s="204"/>
      <c r="H126" s="204"/>
      <c r="I126" s="359"/>
      <c r="J126" s="359"/>
      <c r="K126" s="359"/>
      <c r="L126" s="359"/>
      <c r="M126" s="359"/>
      <c r="N126" s="359"/>
      <c r="O126" s="359">
        <f t="shared" si="363"/>
        <v>0.34123222748815163</v>
      </c>
      <c r="P126" s="359">
        <f t="shared" si="363"/>
        <v>0.2216696269982239</v>
      </c>
      <c r="Q126" s="359">
        <f t="shared" si="363"/>
        <v>0.39093398235473065</v>
      </c>
      <c r="R126" s="359">
        <f t="shared" si="363"/>
        <v>0.340895698291102</v>
      </c>
      <c r="S126" s="359">
        <f t="shared" si="363"/>
        <v>0.80619733623267198</v>
      </c>
      <c r="T126" s="359">
        <f t="shared" si="363"/>
        <v>0.38964815353300386</v>
      </c>
      <c r="U126" s="359">
        <f t="shared" si="363"/>
        <v>0.28018372703412076</v>
      </c>
      <c r="V126" s="359">
        <f t="shared" si="363"/>
        <v>0.67259942869698963</v>
      </c>
      <c r="W126" s="359">
        <f t="shared" si="363"/>
        <v>-4.890895410082774E-2</v>
      </c>
      <c r="X126" s="359">
        <f t="shared" si="363"/>
        <v>0.3791588198367859</v>
      </c>
      <c r="Y126" s="359">
        <f t="shared" si="364"/>
        <v>0.26687168973176156</v>
      </c>
      <c r="Z126" s="359">
        <f t="shared" si="364"/>
        <v>3.4025223331581644E-2</v>
      </c>
      <c r="AA126" s="359">
        <f t="shared" si="364"/>
        <v>8.1803797468354533E-2</v>
      </c>
      <c r="AB126" s="359">
        <f t="shared" si="364"/>
        <v>0.81474738279472003</v>
      </c>
      <c r="AC126" s="359">
        <f t="shared" si="364"/>
        <v>0.30551439978229045</v>
      </c>
      <c r="AD126" s="359">
        <f t="shared" si="364"/>
        <v>0.3937763918189241</v>
      </c>
      <c r="AE126" s="359">
        <f t="shared" si="364"/>
        <v>0.30103612358038312</v>
      </c>
      <c r="AF126" s="359">
        <f t="shared" si="364"/>
        <v>0.34784510897716969</v>
      </c>
      <c r="AG126" s="359">
        <f t="shared" si="364"/>
        <v>0.30095034768126294</v>
      </c>
      <c r="AH126" s="359">
        <f t="shared" si="364"/>
        <v>0.2740431327184536</v>
      </c>
      <c r="AI126" s="359">
        <f t="shared" si="365"/>
        <v>0.27308706695358098</v>
      </c>
      <c r="AJ126" s="359">
        <f t="shared" si="365"/>
        <v>0.28937162698398189</v>
      </c>
      <c r="AK126" s="359">
        <f t="shared" si="365"/>
        <v>0.27121328530094302</v>
      </c>
      <c r="AL126" s="359">
        <f t="shared" si="365"/>
        <v>0.27135123954455165</v>
      </c>
      <c r="AM126" s="359"/>
      <c r="AN126" s="359">
        <f t="shared" si="366"/>
        <v>-1</v>
      </c>
      <c r="AO126" s="359">
        <f t="shared" si="366"/>
        <v>-1</v>
      </c>
      <c r="AP126" s="359">
        <f t="shared" si="366"/>
        <v>-1</v>
      </c>
      <c r="AQ126" s="359" t="str">
        <f t="shared" si="366"/>
        <v>-</v>
      </c>
      <c r="AR126" s="359" t="str">
        <f t="shared" si="366"/>
        <v>-</v>
      </c>
      <c r="AS126" s="359" t="str">
        <f t="shared" si="366"/>
        <v>-</v>
      </c>
      <c r="AT126" s="359" t="str">
        <f t="shared" si="366"/>
        <v>-</v>
      </c>
      <c r="AU126" s="359" t="str">
        <f t="shared" si="366"/>
        <v>-</v>
      </c>
      <c r="AV126" s="359" t="str">
        <f t="shared" si="366"/>
        <v>-</v>
      </c>
      <c r="AW126" s="359" t="str">
        <f t="shared" si="366"/>
        <v>-</v>
      </c>
      <c r="AX126" s="359" t="str">
        <f t="shared" si="366"/>
        <v>-</v>
      </c>
      <c r="AY126" s="359" t="str">
        <f t="shared" si="366"/>
        <v>-</v>
      </c>
      <c r="AZ126" s="359" t="str">
        <f t="shared" si="366"/>
        <v>-</v>
      </c>
      <c r="BA126" s="359" t="str">
        <f t="shared" si="366"/>
        <v>-</v>
      </c>
      <c r="BB126" s="359" t="str">
        <f t="shared" si="366"/>
        <v>-</v>
      </c>
      <c r="BC126" s="359" t="str">
        <f t="shared" si="366"/>
        <v>-</v>
      </c>
      <c r="BD126" s="359"/>
      <c r="BE126" s="359"/>
      <c r="BF126" s="359">
        <f t="shared" si="367"/>
        <v>0.3296034763715372</v>
      </c>
      <c r="BG126" s="359">
        <f t="shared" si="367"/>
        <v>0.32698749897867474</v>
      </c>
      <c r="BH126" s="359">
        <f t="shared" si="367"/>
        <v>0.53247952712271407</v>
      </c>
      <c r="BI126" s="359">
        <f t="shared" si="367"/>
        <v>0.13291012093696009</v>
      </c>
      <c r="BJ126" s="359">
        <f t="shared" si="367"/>
        <v>0.39904256674087435</v>
      </c>
      <c r="BK126" s="359">
        <f t="shared" si="367"/>
        <v>0.30770115836553691</v>
      </c>
      <c r="BL126" s="359">
        <f t="shared" si="367"/>
        <v>0.2772484371699333</v>
      </c>
      <c r="BM126" s="359">
        <f t="shared" si="368"/>
        <v>0.20672452831037136</v>
      </c>
      <c r="BN126" s="359">
        <f t="shared" si="369"/>
        <v>0.17298801406376896</v>
      </c>
      <c r="BO126" s="359">
        <f t="shared" si="370"/>
        <v>0.14285999081401513</v>
      </c>
      <c r="BP126" s="359">
        <f t="shared" si="371"/>
        <v>0.11798101989051979</v>
      </c>
      <c r="BQ126" s="359">
        <f t="shared" si="372"/>
        <v>9.8321350186328482E-2</v>
      </c>
      <c r="BR126" s="359">
        <f t="shared" si="373"/>
        <v>8.3339396796335619E-2</v>
      </c>
      <c r="BS126" s="359">
        <f t="shared" si="374"/>
        <v>7.1714390909234815E-2</v>
      </c>
      <c r="BT126" s="203"/>
      <c r="BU126" s="203"/>
    </row>
    <row r="127" spans="1:73" ht="12.75" customHeight="1" x14ac:dyDescent="0.35">
      <c r="A127" s="200"/>
      <c r="B127" s="267"/>
      <c r="C127" s="267"/>
      <c r="D127" s="267" t="s">
        <v>131</v>
      </c>
      <c r="E127" s="267"/>
      <c r="F127" s="204"/>
      <c r="G127" s="204"/>
      <c r="H127" s="204"/>
      <c r="I127" s="359"/>
      <c r="J127" s="359"/>
      <c r="K127" s="359"/>
      <c r="L127" s="359"/>
      <c r="M127" s="359"/>
      <c r="N127" s="359"/>
      <c r="O127" s="359">
        <f t="shared" si="363"/>
        <v>0.17753259779338015</v>
      </c>
      <c r="P127" s="359">
        <f t="shared" si="363"/>
        <v>0.22955974842767302</v>
      </c>
      <c r="Q127" s="359">
        <f t="shared" si="363"/>
        <v>0.42285067873303173</v>
      </c>
      <c r="R127" s="359">
        <f t="shared" si="363"/>
        <v>0.47985834440017716</v>
      </c>
      <c r="S127" s="359">
        <f t="shared" si="363"/>
        <v>1.451022146507666</v>
      </c>
      <c r="T127" s="359">
        <f t="shared" si="363"/>
        <v>0.64568168404485538</v>
      </c>
      <c r="U127" s="359">
        <f t="shared" si="363"/>
        <v>0.41532835108920341</v>
      </c>
      <c r="V127" s="359">
        <f t="shared" si="363"/>
        <v>0.29509422674244701</v>
      </c>
      <c r="W127" s="359">
        <f t="shared" si="363"/>
        <v>-8.9661164205039112E-2</v>
      </c>
      <c r="X127" s="359">
        <f t="shared" si="363"/>
        <v>0.30759115361625833</v>
      </c>
      <c r="Y127" s="359">
        <f t="shared" si="364"/>
        <v>0.24446691382990671</v>
      </c>
      <c r="Z127" s="359">
        <f t="shared" si="364"/>
        <v>0.22265850560110878</v>
      </c>
      <c r="AA127" s="359">
        <f t="shared" si="364"/>
        <v>5.7644588661958318E-2</v>
      </c>
      <c r="AB127" s="359">
        <f t="shared" si="364"/>
        <v>0.75946242457487667</v>
      </c>
      <c r="AC127" s="359">
        <f t="shared" si="364"/>
        <v>0.28016460561176038</v>
      </c>
      <c r="AD127" s="359">
        <f t="shared" si="364"/>
        <v>0.36671277256030432</v>
      </c>
      <c r="AE127" s="359">
        <f t="shared" si="364"/>
        <v>0.27577328622930741</v>
      </c>
      <c r="AF127" s="359">
        <f t="shared" si="364"/>
        <v>0.32167335928829233</v>
      </c>
      <c r="AG127" s="359">
        <f t="shared" si="364"/>
        <v>0.27568917588162689</v>
      </c>
      <c r="AH127" s="359">
        <f t="shared" si="364"/>
        <v>0.24930443111226985</v>
      </c>
      <c r="AI127" s="359">
        <f t="shared" si="365"/>
        <v>0.24836692973118168</v>
      </c>
      <c r="AJ127" s="359">
        <f t="shared" si="365"/>
        <v>0.26433528471244849</v>
      </c>
      <c r="AK127" s="359">
        <f t="shared" si="365"/>
        <v>0.24652953218830342</v>
      </c>
      <c r="AL127" s="359">
        <f t="shared" si="365"/>
        <v>0.246664807708735</v>
      </c>
      <c r="AM127" s="359"/>
      <c r="AN127" s="359">
        <f t="shared" si="366"/>
        <v>-1</v>
      </c>
      <c r="AO127" s="359">
        <f t="shared" si="366"/>
        <v>-1</v>
      </c>
      <c r="AP127" s="359">
        <f t="shared" si="366"/>
        <v>-1</v>
      </c>
      <c r="AQ127" s="359" t="str">
        <f t="shared" si="366"/>
        <v>-</v>
      </c>
      <c r="AR127" s="359" t="str">
        <f t="shared" si="366"/>
        <v>-</v>
      </c>
      <c r="AS127" s="359" t="str">
        <f t="shared" si="366"/>
        <v>-</v>
      </c>
      <c r="AT127" s="359" t="str">
        <f t="shared" si="366"/>
        <v>-</v>
      </c>
      <c r="AU127" s="359" t="str">
        <f t="shared" si="366"/>
        <v>-</v>
      </c>
      <c r="AV127" s="359" t="str">
        <f t="shared" si="366"/>
        <v>-</v>
      </c>
      <c r="AW127" s="359" t="str">
        <f t="shared" si="366"/>
        <v>-</v>
      </c>
      <c r="AX127" s="359" t="str">
        <f t="shared" si="366"/>
        <v>-</v>
      </c>
      <c r="AY127" s="359" t="str">
        <f t="shared" si="366"/>
        <v>-</v>
      </c>
      <c r="AZ127" s="359" t="str">
        <f t="shared" si="366"/>
        <v>-</v>
      </c>
      <c r="BA127" s="359" t="str">
        <f t="shared" si="366"/>
        <v>-</v>
      </c>
      <c r="BB127" s="359" t="str">
        <f t="shared" si="366"/>
        <v>-</v>
      </c>
      <c r="BC127" s="359" t="str">
        <f t="shared" si="366"/>
        <v>-</v>
      </c>
      <c r="BD127" s="359"/>
      <c r="BE127" s="359"/>
      <c r="BF127" s="359">
        <f t="shared" si="367"/>
        <v>0.23730780388743833</v>
      </c>
      <c r="BG127" s="359">
        <f t="shared" si="367"/>
        <v>0.33376318874560384</v>
      </c>
      <c r="BH127" s="359">
        <f t="shared" si="367"/>
        <v>0.64520523863936008</v>
      </c>
      <c r="BI127" s="359">
        <f t="shared" si="367"/>
        <v>0.15079471083210905</v>
      </c>
      <c r="BJ127" s="359">
        <f t="shared" si="367"/>
        <v>0.36900583703475864</v>
      </c>
      <c r="BK127" s="359">
        <f t="shared" si="367"/>
        <v>0.28423705999705673</v>
      </c>
      <c r="BL127" s="359">
        <f t="shared" si="367"/>
        <v>0.25288445369589119</v>
      </c>
      <c r="BM127" s="359">
        <f t="shared" si="368"/>
        <v>0.20672452831037136</v>
      </c>
      <c r="BN127" s="359">
        <f t="shared" si="369"/>
        <v>0.17298801406376918</v>
      </c>
      <c r="BO127" s="359">
        <f t="shared" si="370"/>
        <v>0.14285999081401513</v>
      </c>
      <c r="BP127" s="359">
        <f t="shared" si="371"/>
        <v>0.11798101989051957</v>
      </c>
      <c r="BQ127" s="359">
        <f t="shared" si="372"/>
        <v>9.8321350186328704E-2</v>
      </c>
      <c r="BR127" s="359">
        <f t="shared" si="373"/>
        <v>8.3339396796335397E-2</v>
      </c>
      <c r="BS127" s="359">
        <f t="shared" si="374"/>
        <v>7.1714390909234815E-2</v>
      </c>
      <c r="BT127" s="203"/>
      <c r="BU127" s="203"/>
    </row>
    <row r="128" spans="1:73" ht="12.75" customHeight="1" x14ac:dyDescent="0.35">
      <c r="A128" s="200"/>
      <c r="B128" s="267"/>
      <c r="C128" s="267" t="s">
        <v>176</v>
      </c>
      <c r="D128" s="267"/>
      <c r="E128" s="267"/>
      <c r="F128" s="204"/>
      <c r="G128" s="204"/>
      <c r="H128" s="204"/>
      <c r="I128" s="359"/>
      <c r="J128" s="359"/>
      <c r="K128" s="359"/>
      <c r="L128" s="359"/>
      <c r="M128" s="359"/>
      <c r="N128" s="359"/>
      <c r="O128" s="359">
        <f t="shared" si="363"/>
        <v>0.58752997601918455</v>
      </c>
      <c r="P128" s="359">
        <f t="shared" si="363"/>
        <v>0.34772552043176552</v>
      </c>
      <c r="Q128" s="359">
        <f t="shared" si="363"/>
        <v>1.0229976209357652</v>
      </c>
      <c r="R128" s="359">
        <f t="shared" si="363"/>
        <v>1.2185833968012094E-2</v>
      </c>
      <c r="S128" s="359">
        <f t="shared" si="363"/>
        <v>5.9415911379657516E-2</v>
      </c>
      <c r="T128" s="359">
        <f t="shared" si="363"/>
        <v>0.49370709382151023</v>
      </c>
      <c r="U128" s="359">
        <f t="shared" si="363"/>
        <v>0.10113680909447265</v>
      </c>
      <c r="V128" s="359">
        <f t="shared" si="363"/>
        <v>1.4100827689992474</v>
      </c>
      <c r="W128" s="359">
        <f t="shared" si="363"/>
        <v>0.45722433460076051</v>
      </c>
      <c r="X128" s="359">
        <f t="shared" si="363"/>
        <v>0.37188816545384906</v>
      </c>
      <c r="Y128" s="359">
        <f t="shared" si="364"/>
        <v>0.16482734069063731</v>
      </c>
      <c r="Z128" s="359">
        <f t="shared" si="364"/>
        <v>0.26256634405245083</v>
      </c>
      <c r="AA128" s="359">
        <f t="shared" si="364"/>
        <v>-3.7181996086105729E-2</v>
      </c>
      <c r="AB128" s="359">
        <f t="shared" si="364"/>
        <v>-0.19374651032942491</v>
      </c>
      <c r="AC128" s="359">
        <f t="shared" si="364"/>
        <v>0</v>
      </c>
      <c r="AD128" s="359">
        <f t="shared" si="364"/>
        <v>0</v>
      </c>
      <c r="AE128" s="359">
        <f t="shared" si="364"/>
        <v>0</v>
      </c>
      <c r="AF128" s="359">
        <f t="shared" si="364"/>
        <v>0</v>
      </c>
      <c r="AG128" s="359">
        <f t="shared" si="364"/>
        <v>0</v>
      </c>
      <c r="AH128" s="359">
        <f t="shared" si="364"/>
        <v>0</v>
      </c>
      <c r="AI128" s="359">
        <f t="shared" si="365"/>
        <v>0</v>
      </c>
      <c r="AJ128" s="359">
        <f t="shared" si="365"/>
        <v>0</v>
      </c>
      <c r="AK128" s="359">
        <f t="shared" si="365"/>
        <v>0</v>
      </c>
      <c r="AL128" s="359">
        <f t="shared" si="365"/>
        <v>2.2204460492503131E-16</v>
      </c>
      <c r="AM128" s="359"/>
      <c r="AN128" s="359">
        <f t="shared" si="366"/>
        <v>-1</v>
      </c>
      <c r="AO128" s="359">
        <f t="shared" si="366"/>
        <v>-1</v>
      </c>
      <c r="AP128" s="359">
        <f t="shared" si="366"/>
        <v>-1</v>
      </c>
      <c r="AQ128" s="359" t="str">
        <f t="shared" si="366"/>
        <v>-</v>
      </c>
      <c r="AR128" s="359" t="str">
        <f t="shared" si="366"/>
        <v>-</v>
      </c>
      <c r="AS128" s="359" t="str">
        <f t="shared" si="366"/>
        <v>-</v>
      </c>
      <c r="AT128" s="359" t="str">
        <f t="shared" si="366"/>
        <v>-</v>
      </c>
      <c r="AU128" s="359" t="str">
        <f t="shared" si="366"/>
        <v>-</v>
      </c>
      <c r="AV128" s="359" t="str">
        <f t="shared" si="366"/>
        <v>-</v>
      </c>
      <c r="AW128" s="359" t="str">
        <f t="shared" si="366"/>
        <v>-</v>
      </c>
      <c r="AX128" s="359" t="str">
        <f t="shared" si="366"/>
        <v>-</v>
      </c>
      <c r="AY128" s="359" t="str">
        <f t="shared" si="366"/>
        <v>-</v>
      </c>
      <c r="AZ128" s="359" t="str">
        <f t="shared" si="366"/>
        <v>-</v>
      </c>
      <c r="BA128" s="359" t="str">
        <f t="shared" si="366"/>
        <v>-</v>
      </c>
      <c r="BB128" s="359" t="str">
        <f t="shared" si="366"/>
        <v>-</v>
      </c>
      <c r="BC128" s="359" t="str">
        <f t="shared" si="366"/>
        <v>-</v>
      </c>
      <c r="BD128" s="359"/>
      <c r="BE128" s="359"/>
      <c r="BF128" s="359">
        <f t="shared" si="367"/>
        <v>0.51269935026580038</v>
      </c>
      <c r="BG128" s="359">
        <f t="shared" si="367"/>
        <v>0.48652869972666934</v>
      </c>
      <c r="BH128" s="359">
        <f t="shared" si="367"/>
        <v>0.40885211452587344</v>
      </c>
      <c r="BI128" s="359">
        <f t="shared" si="367"/>
        <v>0.30176190920108148</v>
      </c>
      <c r="BJ128" s="359">
        <f t="shared" si="367"/>
        <v>-5.7863076482383313E-2</v>
      </c>
      <c r="BK128" s="359">
        <f t="shared" si="367"/>
        <v>0</v>
      </c>
      <c r="BL128" s="359">
        <f t="shared" si="367"/>
        <v>0</v>
      </c>
      <c r="BM128" s="359">
        <f t="shared" si="368"/>
        <v>0</v>
      </c>
      <c r="BN128" s="359">
        <f t="shared" si="369"/>
        <v>0</v>
      </c>
      <c r="BO128" s="359">
        <f t="shared" si="370"/>
        <v>0</v>
      </c>
      <c r="BP128" s="359">
        <f t="shared" si="371"/>
        <v>0</v>
      </c>
      <c r="BQ128" s="359">
        <f t="shared" si="372"/>
        <v>0</v>
      </c>
      <c r="BR128" s="359">
        <f t="shared" si="373"/>
        <v>0</v>
      </c>
      <c r="BS128" s="359">
        <f t="shared" si="374"/>
        <v>0</v>
      </c>
      <c r="BT128" s="203"/>
      <c r="BU128" s="203"/>
    </row>
    <row r="129" spans="1:73" ht="12.75" customHeight="1" x14ac:dyDescent="0.35">
      <c r="A129" s="200"/>
      <c r="B129" s="264" t="s">
        <v>195</v>
      </c>
      <c r="C129" s="264"/>
      <c r="D129" s="264"/>
      <c r="E129" s="264"/>
      <c r="F129" s="204"/>
      <c r="G129" s="279"/>
      <c r="H129" s="279"/>
      <c r="I129" s="269"/>
      <c r="J129" s="269"/>
      <c r="K129" s="269"/>
      <c r="L129" s="269"/>
      <c r="M129" s="269"/>
      <c r="N129" s="269"/>
      <c r="O129" s="269">
        <f t="shared" ref="O129:AL129" si="375">IF(ISERR(O24/K24-1),"-",O24/K12-1)</f>
        <v>-0.45533992660322198</v>
      </c>
      <c r="P129" s="269">
        <f t="shared" si="375"/>
        <v>-0.51638866207861889</v>
      </c>
      <c r="Q129" s="269">
        <f t="shared" si="375"/>
        <v>-0.51179387019230771</v>
      </c>
      <c r="R129" s="269">
        <f t="shared" si="375"/>
        <v>-0.76098395500142568</v>
      </c>
      <c r="S129" s="269">
        <f t="shared" si="375"/>
        <v>-0.84018810776343056</v>
      </c>
      <c r="T129" s="269">
        <f t="shared" si="375"/>
        <v>-0.75507057073400818</v>
      </c>
      <c r="U129" s="269">
        <f t="shared" si="375"/>
        <v>-0.67724141253553016</v>
      </c>
      <c r="V129" s="269">
        <f t="shared" si="375"/>
        <v>-0.858473809985145</v>
      </c>
      <c r="W129" s="269">
        <f t="shared" si="375"/>
        <v>-0.69877656945130995</v>
      </c>
      <c r="X129" s="269">
        <f t="shared" si="375"/>
        <v>-0.76083994926480947</v>
      </c>
      <c r="Y129" s="269">
        <f t="shared" si="375"/>
        <v>-0.66268183290983818</v>
      </c>
      <c r="Z129" s="269">
        <f t="shared" si="375"/>
        <v>-0.92373098889815819</v>
      </c>
      <c r="AA129" s="269">
        <f t="shared" si="375"/>
        <v>-0.69801782047266014</v>
      </c>
      <c r="AB129" s="269">
        <f t="shared" si="375"/>
        <v>-0.88544493643765176</v>
      </c>
      <c r="AC129" s="269">
        <f t="shared" si="375"/>
        <v>-0.71818592658310221</v>
      </c>
      <c r="AD129" s="269">
        <f t="shared" si="375"/>
        <v>-0.88801247277671747</v>
      </c>
      <c r="AE129" s="269">
        <f t="shared" si="375"/>
        <v>-0.74329492652471441</v>
      </c>
      <c r="AF129" s="269">
        <f t="shared" si="375"/>
        <v>-0.91734536328148741</v>
      </c>
      <c r="AG129" s="269">
        <f t="shared" si="375"/>
        <v>-0.74938308129253506</v>
      </c>
      <c r="AH129" s="269">
        <f t="shared" si="375"/>
        <v>-0.91451530692183924</v>
      </c>
      <c r="AI129" s="269">
        <f t="shared" si="375"/>
        <v>-0.76594219257536689</v>
      </c>
      <c r="AJ129" s="269">
        <f t="shared" si="375"/>
        <v>-0.94178077922016334</v>
      </c>
      <c r="AK129" s="269">
        <f t="shared" si="375"/>
        <v>-0.77381459890219928</v>
      </c>
      <c r="AL129" s="269">
        <f t="shared" si="375"/>
        <v>-0.9332069065466102</v>
      </c>
      <c r="AM129" s="269"/>
      <c r="AN129" s="269">
        <f t="shared" ref="AN129:BC129" si="376">IF(ISERR(AN24/AJ24-1),"-",AN24/AJ12-1)</f>
        <v>-1</v>
      </c>
      <c r="AO129" s="269">
        <f t="shared" si="376"/>
        <v>-1</v>
      </c>
      <c r="AP129" s="269">
        <f t="shared" si="376"/>
        <v>-1</v>
      </c>
      <c r="AQ129" s="269" t="str">
        <f t="shared" si="376"/>
        <v>-</v>
      </c>
      <c r="AR129" s="269" t="str">
        <f t="shared" si="376"/>
        <v>-</v>
      </c>
      <c r="AS129" s="269" t="str">
        <f t="shared" si="376"/>
        <v>-</v>
      </c>
      <c r="AT129" s="269" t="str">
        <f t="shared" si="376"/>
        <v>-</v>
      </c>
      <c r="AU129" s="269" t="str">
        <f t="shared" si="376"/>
        <v>-</v>
      </c>
      <c r="AV129" s="269" t="str">
        <f t="shared" si="376"/>
        <v>-</v>
      </c>
      <c r="AW129" s="269" t="str">
        <f t="shared" si="376"/>
        <v>-</v>
      </c>
      <c r="AX129" s="269" t="str">
        <f t="shared" si="376"/>
        <v>-</v>
      </c>
      <c r="AY129" s="269" t="str">
        <f t="shared" si="376"/>
        <v>-</v>
      </c>
      <c r="AZ129" s="269" t="str">
        <f t="shared" si="376"/>
        <v>-</v>
      </c>
      <c r="BA129" s="269" t="str">
        <f t="shared" si="376"/>
        <v>-</v>
      </c>
      <c r="BB129" s="269" t="str">
        <f t="shared" si="376"/>
        <v>-</v>
      </c>
      <c r="BC129" s="269" t="str">
        <f t="shared" si="376"/>
        <v>-</v>
      </c>
      <c r="BD129" s="269"/>
      <c r="BE129" s="269"/>
      <c r="BF129" s="269">
        <f t="shared" ref="BF129:BK129" si="377">IF(ISERR(BF24/BE24-1),"-",BF24/BE12-1)</f>
        <v>-0.52488061457540314</v>
      </c>
      <c r="BG129" s="269">
        <f t="shared" si="377"/>
        <v>-0.56206049041845418</v>
      </c>
      <c r="BH129" s="269">
        <f t="shared" si="377"/>
        <v>-0.77190669128047751</v>
      </c>
      <c r="BI129" s="269">
        <f t="shared" si="377"/>
        <v>-0.75737971149865724</v>
      </c>
      <c r="BJ129" s="269">
        <f t="shared" si="377"/>
        <v>-0.79078082437969566</v>
      </c>
      <c r="BK129" s="269">
        <f t="shared" si="377"/>
        <v>-0.82519323688712143</v>
      </c>
      <c r="BL129" s="269">
        <f>IF(ISERR(BL24/BK24-1),"-",BL24/BK24-1)</f>
        <v>0.10032553326675719</v>
      </c>
      <c r="BM129" s="269">
        <f t="shared" si="368"/>
        <v>0.19846669686034968</v>
      </c>
      <c r="BN129" s="269">
        <f t="shared" si="369"/>
        <v>0.15882542740892669</v>
      </c>
      <c r="BO129" s="269">
        <f t="shared" si="370"/>
        <v>0.12470743502984161</v>
      </c>
      <c r="BP129" s="269">
        <f t="shared" si="371"/>
        <v>9.7059328602371542E-2</v>
      </c>
      <c r="BQ129" s="269">
        <f t="shared" si="372"/>
        <v>7.5364713005125594E-2</v>
      </c>
      <c r="BR129" s="269">
        <f t="shared" si="373"/>
        <v>5.8779803836493283E-2</v>
      </c>
      <c r="BS129" s="269">
        <f t="shared" si="374"/>
        <v>4.5783499313173159E-2</v>
      </c>
      <c r="BT129" s="203"/>
      <c r="BU129" s="203"/>
    </row>
    <row r="130" spans="1:73" ht="12.75" customHeight="1" x14ac:dyDescent="0.35">
      <c r="A130" s="200"/>
      <c r="B130" s="264"/>
      <c r="C130" s="264"/>
      <c r="D130" s="264"/>
      <c r="E130" s="264"/>
      <c r="F130" s="204"/>
      <c r="G130" s="204"/>
      <c r="H130" s="204"/>
      <c r="I130" s="359"/>
      <c r="J130" s="359"/>
      <c r="K130" s="359"/>
      <c r="L130" s="359"/>
      <c r="M130" s="359"/>
      <c r="N130" s="359"/>
      <c r="O130" s="359"/>
      <c r="P130" s="359"/>
      <c r="Q130" s="359"/>
      <c r="R130" s="359"/>
      <c r="S130" s="359"/>
      <c r="T130" s="359"/>
      <c r="U130" s="359"/>
      <c r="V130" s="359"/>
      <c r="W130" s="359"/>
      <c r="X130" s="359"/>
      <c r="Y130" s="359"/>
      <c r="Z130" s="359"/>
      <c r="AA130" s="359"/>
      <c r="AB130" s="359"/>
      <c r="AC130" s="359"/>
      <c r="AD130" s="359"/>
      <c r="AE130" s="359"/>
      <c r="AF130" s="359"/>
      <c r="AG130" s="359"/>
      <c r="AH130" s="359"/>
      <c r="AI130" s="359"/>
      <c r="AJ130" s="359"/>
      <c r="AK130" s="359"/>
      <c r="AL130" s="359"/>
      <c r="AM130" s="359"/>
      <c r="AN130" s="359"/>
      <c r="AO130" s="359"/>
      <c r="AP130" s="359"/>
      <c r="AQ130" s="359"/>
      <c r="AR130" s="359"/>
      <c r="AS130" s="359"/>
      <c r="AT130" s="359"/>
      <c r="AU130" s="359"/>
      <c r="AV130" s="359"/>
      <c r="AW130" s="359"/>
      <c r="AX130" s="359"/>
      <c r="AY130" s="359"/>
      <c r="AZ130" s="359"/>
      <c r="BA130" s="359"/>
      <c r="BB130" s="359"/>
      <c r="BC130" s="359"/>
      <c r="BD130" s="359"/>
      <c r="BE130" s="359"/>
      <c r="BF130" s="359"/>
      <c r="BG130" s="359"/>
      <c r="BH130" s="359"/>
      <c r="BI130" s="359"/>
      <c r="BJ130" s="359"/>
      <c r="BK130" s="359"/>
      <c r="BL130" s="359"/>
      <c r="BM130" s="355"/>
      <c r="BN130" s="355"/>
      <c r="BO130" s="355"/>
      <c r="BP130" s="355"/>
      <c r="BQ130" s="355"/>
      <c r="BR130" s="355"/>
      <c r="BS130" s="355"/>
      <c r="BT130" s="203"/>
      <c r="BU130" s="203"/>
    </row>
    <row r="131" spans="1:73" ht="12.75" customHeight="1" x14ac:dyDescent="0.35">
      <c r="A131" s="200"/>
      <c r="B131" s="267"/>
      <c r="C131" s="232" t="s">
        <v>178</v>
      </c>
      <c r="D131" s="267"/>
      <c r="E131" s="267"/>
      <c r="F131" s="204"/>
      <c r="G131" s="204"/>
      <c r="H131" s="204"/>
      <c r="I131" s="359"/>
      <c r="J131" s="359"/>
      <c r="K131" s="359"/>
      <c r="L131" s="359"/>
      <c r="M131" s="359"/>
      <c r="N131" s="359"/>
      <c r="O131" s="359" t="str">
        <f t="shared" ref="O131:X134" si="378">IF(ISERR(O31/K31-1),"-",O31/K31-1)</f>
        <v>-</v>
      </c>
      <c r="P131" s="359" t="str">
        <f t="shared" si="378"/>
        <v>-</v>
      </c>
      <c r="Q131" s="359" t="str">
        <f t="shared" si="378"/>
        <v>-</v>
      </c>
      <c r="R131" s="359" t="str">
        <f t="shared" si="378"/>
        <v>-</v>
      </c>
      <c r="S131" s="359" t="str">
        <f t="shared" si="378"/>
        <v>-</v>
      </c>
      <c r="T131" s="359" t="str">
        <f t="shared" si="378"/>
        <v>-</v>
      </c>
      <c r="U131" s="359" t="str">
        <f t="shared" si="378"/>
        <v>-</v>
      </c>
      <c r="V131" s="359" t="str">
        <f t="shared" si="378"/>
        <v>-</v>
      </c>
      <c r="W131" s="359" t="str">
        <f t="shared" si="378"/>
        <v>-</v>
      </c>
      <c r="X131" s="359" t="str">
        <f t="shared" si="378"/>
        <v>-</v>
      </c>
      <c r="Y131" s="359" t="str">
        <f t="shared" ref="Y131:AH134" si="379">IF(ISERR(Y31/U31-1),"-",Y31/U31-1)</f>
        <v>-</v>
      </c>
      <c r="Z131" s="359" t="str">
        <f t="shared" si="379"/>
        <v>-</v>
      </c>
      <c r="AA131" s="359" t="str">
        <f t="shared" si="379"/>
        <v>-</v>
      </c>
      <c r="AB131" s="359" t="str">
        <f t="shared" si="379"/>
        <v>-</v>
      </c>
      <c r="AC131" s="359" t="str">
        <f t="shared" si="379"/>
        <v>-</v>
      </c>
      <c r="AD131" s="359" t="str">
        <f t="shared" si="379"/>
        <v>-</v>
      </c>
      <c r="AE131" s="359" t="str">
        <f t="shared" si="379"/>
        <v>-</v>
      </c>
      <c r="AF131" s="359" t="str">
        <f t="shared" si="379"/>
        <v>-</v>
      </c>
      <c r="AG131" s="276" t="str">
        <f t="shared" si="379"/>
        <v>-</v>
      </c>
      <c r="AH131" s="276" t="str">
        <f t="shared" si="379"/>
        <v>-</v>
      </c>
      <c r="AI131" s="276" t="str">
        <f t="shared" ref="AI131:AL134" si="380">IF(ISERR(AI31/AE31-1),"-",AI31/AE31-1)</f>
        <v>-</v>
      </c>
      <c r="AJ131" s="276" t="str">
        <f t="shared" si="380"/>
        <v>-</v>
      </c>
      <c r="AK131" s="276" t="str">
        <f t="shared" si="380"/>
        <v>-</v>
      </c>
      <c r="AL131" s="276" t="str">
        <f t="shared" si="380"/>
        <v>-</v>
      </c>
      <c r="AM131" s="276"/>
      <c r="AN131" s="359" t="str">
        <f t="shared" ref="AN131:BC134" si="381">IF(ISERR(AN31/AJ31-1),"-",AN31/AJ31-1)</f>
        <v>-</v>
      </c>
      <c r="AO131" s="359" t="str">
        <f t="shared" si="381"/>
        <v>-</v>
      </c>
      <c r="AP131" s="359" t="str">
        <f t="shared" si="381"/>
        <v>-</v>
      </c>
      <c r="AQ131" s="359" t="str">
        <f t="shared" si="381"/>
        <v>-</v>
      </c>
      <c r="AR131" s="359" t="str">
        <f t="shared" si="381"/>
        <v>-</v>
      </c>
      <c r="AS131" s="359" t="str">
        <f t="shared" si="381"/>
        <v>-</v>
      </c>
      <c r="AT131" s="359" t="str">
        <f t="shared" si="381"/>
        <v>-</v>
      </c>
      <c r="AU131" s="359" t="str">
        <f t="shared" si="381"/>
        <v>-</v>
      </c>
      <c r="AV131" s="359" t="str">
        <f t="shared" si="381"/>
        <v>-</v>
      </c>
      <c r="AW131" s="359" t="str">
        <f t="shared" si="381"/>
        <v>-</v>
      </c>
      <c r="AX131" s="359" t="str">
        <f t="shared" si="381"/>
        <v>-</v>
      </c>
      <c r="AY131" s="359" t="str">
        <f t="shared" si="381"/>
        <v>-</v>
      </c>
      <c r="AZ131" s="359" t="str">
        <f t="shared" si="381"/>
        <v>-</v>
      </c>
      <c r="BA131" s="359" t="str">
        <f t="shared" si="381"/>
        <v>-</v>
      </c>
      <c r="BB131" s="359" t="str">
        <f t="shared" si="381"/>
        <v>-</v>
      </c>
      <c r="BC131" s="359" t="str">
        <f t="shared" si="381"/>
        <v>-</v>
      </c>
      <c r="BD131" s="359"/>
      <c r="BE131" s="359"/>
      <c r="BF131" s="276" t="str">
        <f t="shared" ref="BF131:BL134" si="382">IF(ISERR(BF31/BE31-1),"-",BF31/BE31-1)</f>
        <v>-</v>
      </c>
      <c r="BG131" s="276" t="str">
        <f t="shared" si="382"/>
        <v>-</v>
      </c>
      <c r="BH131" s="276" t="str">
        <f t="shared" si="382"/>
        <v>-</v>
      </c>
      <c r="BI131" s="276" t="str">
        <f t="shared" si="382"/>
        <v>-</v>
      </c>
      <c r="BJ131" s="276" t="str">
        <f t="shared" si="382"/>
        <v>-</v>
      </c>
      <c r="BK131" s="276" t="str">
        <f t="shared" si="382"/>
        <v>-</v>
      </c>
      <c r="BL131" s="359" t="str">
        <f t="shared" si="382"/>
        <v>-</v>
      </c>
      <c r="BM131" s="359" t="str">
        <f t="shared" ref="BM131:BM135" si="383">IF(ISERR(BM31/BL31-1),"-",BM31/BL31-1)</f>
        <v>-</v>
      </c>
      <c r="BN131" s="359" t="str">
        <f t="shared" ref="BN131:BN135" si="384">IF(ISERR(BN31/BM31-1),"-",BN31/BM31-1)</f>
        <v>-</v>
      </c>
      <c r="BO131" s="359" t="str">
        <f t="shared" ref="BO131:BO135" si="385">IF(ISERR(BO31/BN31-1),"-",BO31/BN31-1)</f>
        <v>-</v>
      </c>
      <c r="BP131" s="359" t="str">
        <f t="shared" ref="BP131:BP135" si="386">IF(ISERR(BP31/BO31-1),"-",BP31/BO31-1)</f>
        <v>-</v>
      </c>
      <c r="BQ131" s="359" t="str">
        <f t="shared" ref="BQ131:BQ135" si="387">IF(ISERR(BQ31/BP31-1),"-",BQ31/BP31-1)</f>
        <v>-</v>
      </c>
      <c r="BR131" s="359" t="str">
        <f t="shared" ref="BR131:BR135" si="388">IF(ISERR(BR31/BQ31-1),"-",BR31/BQ31-1)</f>
        <v>-</v>
      </c>
      <c r="BS131" s="359" t="str">
        <f t="shared" ref="BS131:BS135" si="389">IF(ISERR(BS31/BR31-1),"-",BS31/BR31-1)</f>
        <v>-</v>
      </c>
      <c r="BT131" s="203"/>
      <c r="BU131" s="203"/>
    </row>
    <row r="132" spans="1:73" ht="12.75" customHeight="1" x14ac:dyDescent="0.35">
      <c r="A132" s="200"/>
      <c r="B132" s="267"/>
      <c r="C132" s="232" t="s">
        <v>179</v>
      </c>
      <c r="D132" s="267"/>
      <c r="E132" s="267"/>
      <c r="F132" s="204"/>
      <c r="G132" s="204"/>
      <c r="H132" s="204"/>
      <c r="I132" s="359"/>
      <c r="J132" s="359"/>
      <c r="K132" s="359"/>
      <c r="L132" s="359"/>
      <c r="M132" s="359"/>
      <c r="N132" s="359"/>
      <c r="O132" s="359" t="str">
        <f t="shared" si="378"/>
        <v>-</v>
      </c>
      <c r="P132" s="359" t="str">
        <f t="shared" si="378"/>
        <v>-</v>
      </c>
      <c r="Q132" s="359" t="str">
        <f t="shared" si="378"/>
        <v>-</v>
      </c>
      <c r="R132" s="359" t="str">
        <f t="shared" si="378"/>
        <v>-</v>
      </c>
      <c r="S132" s="359" t="str">
        <f t="shared" si="378"/>
        <v>-</v>
      </c>
      <c r="T132" s="359" t="str">
        <f t="shared" si="378"/>
        <v>-</v>
      </c>
      <c r="U132" s="359" t="str">
        <f t="shared" si="378"/>
        <v>-</v>
      </c>
      <c r="V132" s="359" t="str">
        <f t="shared" si="378"/>
        <v>-</v>
      </c>
      <c r="W132" s="359" t="str">
        <f t="shared" si="378"/>
        <v>-</v>
      </c>
      <c r="X132" s="359" t="str">
        <f t="shared" si="378"/>
        <v>-</v>
      </c>
      <c r="Y132" s="359" t="str">
        <f t="shared" si="379"/>
        <v>-</v>
      </c>
      <c r="Z132" s="359" t="str">
        <f t="shared" si="379"/>
        <v>-</v>
      </c>
      <c r="AA132" s="359" t="str">
        <f t="shared" si="379"/>
        <v>-</v>
      </c>
      <c r="AB132" s="359" t="str">
        <f t="shared" si="379"/>
        <v>-</v>
      </c>
      <c r="AC132" s="359" t="str">
        <f t="shared" si="379"/>
        <v>-</v>
      </c>
      <c r="AD132" s="359" t="str">
        <f t="shared" si="379"/>
        <v>-</v>
      </c>
      <c r="AE132" s="359" t="str">
        <f t="shared" si="379"/>
        <v>-</v>
      </c>
      <c r="AF132" s="359" t="str">
        <f t="shared" si="379"/>
        <v>-</v>
      </c>
      <c r="AG132" s="276" t="str">
        <f t="shared" si="379"/>
        <v>-</v>
      </c>
      <c r="AH132" s="276" t="str">
        <f t="shared" si="379"/>
        <v>-</v>
      </c>
      <c r="AI132" s="276" t="str">
        <f t="shared" si="380"/>
        <v>-</v>
      </c>
      <c r="AJ132" s="276" t="str">
        <f t="shared" si="380"/>
        <v>-</v>
      </c>
      <c r="AK132" s="276" t="str">
        <f t="shared" si="380"/>
        <v>-</v>
      </c>
      <c r="AL132" s="276" t="str">
        <f t="shared" si="380"/>
        <v>-</v>
      </c>
      <c r="AM132" s="276"/>
      <c r="AN132" s="359" t="str">
        <f t="shared" si="381"/>
        <v>-</v>
      </c>
      <c r="AO132" s="359" t="str">
        <f t="shared" si="381"/>
        <v>-</v>
      </c>
      <c r="AP132" s="359" t="str">
        <f t="shared" si="381"/>
        <v>-</v>
      </c>
      <c r="AQ132" s="359" t="str">
        <f t="shared" si="381"/>
        <v>-</v>
      </c>
      <c r="AR132" s="359" t="str">
        <f t="shared" si="381"/>
        <v>-</v>
      </c>
      <c r="AS132" s="359" t="str">
        <f t="shared" si="381"/>
        <v>-</v>
      </c>
      <c r="AT132" s="359" t="str">
        <f t="shared" si="381"/>
        <v>-</v>
      </c>
      <c r="AU132" s="359" t="str">
        <f t="shared" si="381"/>
        <v>-</v>
      </c>
      <c r="AV132" s="359" t="str">
        <f t="shared" si="381"/>
        <v>-</v>
      </c>
      <c r="AW132" s="359" t="str">
        <f t="shared" si="381"/>
        <v>-</v>
      </c>
      <c r="AX132" s="359" t="str">
        <f t="shared" si="381"/>
        <v>-</v>
      </c>
      <c r="AY132" s="359" t="str">
        <f t="shared" si="381"/>
        <v>-</v>
      </c>
      <c r="AZ132" s="359" t="str">
        <f t="shared" si="381"/>
        <v>-</v>
      </c>
      <c r="BA132" s="359" t="str">
        <f t="shared" si="381"/>
        <v>-</v>
      </c>
      <c r="BB132" s="359" t="str">
        <f t="shared" si="381"/>
        <v>-</v>
      </c>
      <c r="BC132" s="359" t="str">
        <f t="shared" si="381"/>
        <v>-</v>
      </c>
      <c r="BD132" s="359"/>
      <c r="BE132" s="359"/>
      <c r="BF132" s="276" t="str">
        <f t="shared" si="382"/>
        <v>-</v>
      </c>
      <c r="BG132" s="276" t="str">
        <f t="shared" si="382"/>
        <v>-</v>
      </c>
      <c r="BH132" s="276" t="str">
        <f t="shared" si="382"/>
        <v>-</v>
      </c>
      <c r="BI132" s="276" t="str">
        <f t="shared" si="382"/>
        <v>-</v>
      </c>
      <c r="BJ132" s="276" t="str">
        <f t="shared" si="382"/>
        <v>-</v>
      </c>
      <c r="BK132" s="276" t="str">
        <f t="shared" si="382"/>
        <v>-</v>
      </c>
      <c r="BL132" s="359" t="str">
        <f t="shared" si="382"/>
        <v>-</v>
      </c>
      <c r="BM132" s="359" t="str">
        <f t="shared" si="383"/>
        <v>-</v>
      </c>
      <c r="BN132" s="359" t="str">
        <f t="shared" si="384"/>
        <v>-</v>
      </c>
      <c r="BO132" s="359" t="str">
        <f t="shared" si="385"/>
        <v>-</v>
      </c>
      <c r="BP132" s="359" t="str">
        <f t="shared" si="386"/>
        <v>-</v>
      </c>
      <c r="BQ132" s="359" t="str">
        <f t="shared" si="387"/>
        <v>-</v>
      </c>
      <c r="BR132" s="359" t="str">
        <f t="shared" si="388"/>
        <v>-</v>
      </c>
      <c r="BS132" s="359" t="str">
        <f t="shared" si="389"/>
        <v>-</v>
      </c>
      <c r="BT132" s="203"/>
      <c r="BU132" s="203"/>
    </row>
    <row r="133" spans="1:73" ht="12.75" customHeight="1" x14ac:dyDescent="0.35">
      <c r="A133" s="200"/>
      <c r="B133" s="267"/>
      <c r="C133" s="232" t="s">
        <v>196</v>
      </c>
      <c r="D133" s="267"/>
      <c r="E133" s="267"/>
      <c r="F133" s="204"/>
      <c r="G133" s="204"/>
      <c r="H133" s="204"/>
      <c r="I133" s="359"/>
      <c r="J133" s="359"/>
      <c r="K133" s="359"/>
      <c r="L133" s="359"/>
      <c r="M133" s="359"/>
      <c r="N133" s="359"/>
      <c r="O133" s="359" t="str">
        <f t="shared" si="378"/>
        <v>-</v>
      </c>
      <c r="P133" s="359" t="str">
        <f t="shared" si="378"/>
        <v>-</v>
      </c>
      <c r="Q133" s="359" t="str">
        <f t="shared" si="378"/>
        <v>-</v>
      </c>
      <c r="R133" s="359" t="str">
        <f t="shared" si="378"/>
        <v>-</v>
      </c>
      <c r="S133" s="359" t="str">
        <f t="shared" si="378"/>
        <v>-</v>
      </c>
      <c r="T133" s="359" t="str">
        <f t="shared" si="378"/>
        <v>-</v>
      </c>
      <c r="U133" s="359" t="str">
        <f t="shared" si="378"/>
        <v>-</v>
      </c>
      <c r="V133" s="359" t="str">
        <f t="shared" si="378"/>
        <v>-</v>
      </c>
      <c r="W133" s="359" t="str">
        <f t="shared" si="378"/>
        <v>-</v>
      </c>
      <c r="X133" s="359" t="str">
        <f t="shared" si="378"/>
        <v>-</v>
      </c>
      <c r="Y133" s="359" t="str">
        <f t="shared" si="379"/>
        <v>-</v>
      </c>
      <c r="Z133" s="359" t="str">
        <f t="shared" si="379"/>
        <v>-</v>
      </c>
      <c r="AA133" s="359" t="str">
        <f t="shared" si="379"/>
        <v>-</v>
      </c>
      <c r="AB133" s="359" t="str">
        <f t="shared" si="379"/>
        <v>-</v>
      </c>
      <c r="AC133" s="359" t="str">
        <f t="shared" si="379"/>
        <v>-</v>
      </c>
      <c r="AD133" s="359" t="str">
        <f t="shared" si="379"/>
        <v>-</v>
      </c>
      <c r="AE133" s="359" t="str">
        <f t="shared" si="379"/>
        <v>-</v>
      </c>
      <c r="AF133" s="359" t="str">
        <f t="shared" si="379"/>
        <v>-</v>
      </c>
      <c r="AG133" s="276" t="str">
        <f t="shared" si="379"/>
        <v>-</v>
      </c>
      <c r="AH133" s="276" t="str">
        <f t="shared" si="379"/>
        <v>-</v>
      </c>
      <c r="AI133" s="276" t="str">
        <f t="shared" si="380"/>
        <v>-</v>
      </c>
      <c r="AJ133" s="276" t="str">
        <f t="shared" si="380"/>
        <v>-</v>
      </c>
      <c r="AK133" s="276" t="str">
        <f t="shared" si="380"/>
        <v>-</v>
      </c>
      <c r="AL133" s="276" t="str">
        <f t="shared" si="380"/>
        <v>-</v>
      </c>
      <c r="AM133" s="276"/>
      <c r="AN133" s="359" t="str">
        <f t="shared" si="381"/>
        <v>-</v>
      </c>
      <c r="AO133" s="359" t="str">
        <f t="shared" si="381"/>
        <v>-</v>
      </c>
      <c r="AP133" s="359" t="str">
        <f t="shared" si="381"/>
        <v>-</v>
      </c>
      <c r="AQ133" s="359" t="str">
        <f t="shared" si="381"/>
        <v>-</v>
      </c>
      <c r="AR133" s="359" t="str">
        <f t="shared" si="381"/>
        <v>-</v>
      </c>
      <c r="AS133" s="359" t="str">
        <f t="shared" si="381"/>
        <v>-</v>
      </c>
      <c r="AT133" s="359" t="str">
        <f t="shared" si="381"/>
        <v>-</v>
      </c>
      <c r="AU133" s="359" t="str">
        <f t="shared" si="381"/>
        <v>-</v>
      </c>
      <c r="AV133" s="359" t="str">
        <f t="shared" si="381"/>
        <v>-</v>
      </c>
      <c r="AW133" s="359" t="str">
        <f t="shared" si="381"/>
        <v>-</v>
      </c>
      <c r="AX133" s="359" t="str">
        <f t="shared" si="381"/>
        <v>-</v>
      </c>
      <c r="AY133" s="359" t="str">
        <f t="shared" si="381"/>
        <v>-</v>
      </c>
      <c r="AZ133" s="359" t="str">
        <f t="shared" si="381"/>
        <v>-</v>
      </c>
      <c r="BA133" s="359" t="str">
        <f t="shared" si="381"/>
        <v>-</v>
      </c>
      <c r="BB133" s="359" t="str">
        <f t="shared" si="381"/>
        <v>-</v>
      </c>
      <c r="BC133" s="359" t="str">
        <f t="shared" si="381"/>
        <v>-</v>
      </c>
      <c r="BD133" s="359"/>
      <c r="BE133" s="359"/>
      <c r="BF133" s="276" t="str">
        <f t="shared" si="382"/>
        <v>-</v>
      </c>
      <c r="BG133" s="276" t="str">
        <f t="shared" si="382"/>
        <v>-</v>
      </c>
      <c r="BH133" s="276" t="str">
        <f t="shared" si="382"/>
        <v>-</v>
      </c>
      <c r="BI133" s="276" t="str">
        <f t="shared" si="382"/>
        <v>-</v>
      </c>
      <c r="BJ133" s="276" t="str">
        <f t="shared" si="382"/>
        <v>-</v>
      </c>
      <c r="BK133" s="276" t="str">
        <f t="shared" si="382"/>
        <v>-</v>
      </c>
      <c r="BL133" s="359" t="str">
        <f t="shared" si="382"/>
        <v>-</v>
      </c>
      <c r="BM133" s="359" t="str">
        <f t="shared" si="383"/>
        <v>-</v>
      </c>
      <c r="BN133" s="359" t="str">
        <f t="shared" si="384"/>
        <v>-</v>
      </c>
      <c r="BO133" s="359" t="str">
        <f t="shared" si="385"/>
        <v>-</v>
      </c>
      <c r="BP133" s="359" t="str">
        <f t="shared" si="386"/>
        <v>-</v>
      </c>
      <c r="BQ133" s="359" t="str">
        <f t="shared" si="387"/>
        <v>-</v>
      </c>
      <c r="BR133" s="359" t="str">
        <f t="shared" si="388"/>
        <v>-</v>
      </c>
      <c r="BS133" s="359" t="str">
        <f t="shared" si="389"/>
        <v>-</v>
      </c>
      <c r="BT133" s="203"/>
      <c r="BU133" s="203"/>
    </row>
    <row r="134" spans="1:73" ht="12.75" customHeight="1" x14ac:dyDescent="0.35">
      <c r="A134" s="200"/>
      <c r="B134" s="267"/>
      <c r="C134" s="232" t="s">
        <v>197</v>
      </c>
      <c r="D134" s="267"/>
      <c r="E134" s="267"/>
      <c r="F134" s="204"/>
      <c r="G134" s="204"/>
      <c r="H134" s="204"/>
      <c r="I134" s="359"/>
      <c r="J134" s="359"/>
      <c r="K134" s="359"/>
      <c r="L134" s="359"/>
      <c r="M134" s="359"/>
      <c r="N134" s="359"/>
      <c r="O134" s="359">
        <f t="shared" si="378"/>
        <v>0.35612082670906209</v>
      </c>
      <c r="P134" s="359">
        <f t="shared" si="378"/>
        <v>6.1486268174474956</v>
      </c>
      <c r="Q134" s="359">
        <f t="shared" si="378"/>
        <v>6.125039669946049</v>
      </c>
      <c r="R134" s="359">
        <f t="shared" si="378"/>
        <v>-0.73816685135349058</v>
      </c>
      <c r="S134" s="359">
        <f t="shared" si="378"/>
        <v>1.3251270027354436</v>
      </c>
      <c r="T134" s="359">
        <f t="shared" si="378"/>
        <v>-0.14960451977401135</v>
      </c>
      <c r="U134" s="359">
        <f t="shared" si="378"/>
        <v>-0.52728163556189034</v>
      </c>
      <c r="V134" s="359">
        <f t="shared" si="378"/>
        <v>10.373035066505441</v>
      </c>
      <c r="W134" s="359">
        <f t="shared" si="378"/>
        <v>-0.84168067226890753</v>
      </c>
      <c r="X134" s="359">
        <f t="shared" si="378"/>
        <v>16.315705554079191</v>
      </c>
      <c r="Y134" s="359">
        <f t="shared" si="379"/>
        <v>0.58428342598699712</v>
      </c>
      <c r="Z134" s="359">
        <f t="shared" si="379"/>
        <v>-1.4093349635851364</v>
      </c>
      <c r="AA134" s="359">
        <f t="shared" si="379"/>
        <v>22.892781316348195</v>
      </c>
      <c r="AB134" s="359">
        <f t="shared" si="379"/>
        <v>-0.83798093893399228</v>
      </c>
      <c r="AC134" s="359">
        <f t="shared" si="379"/>
        <v>0</v>
      </c>
      <c r="AD134" s="359">
        <f t="shared" si="379"/>
        <v>0</v>
      </c>
      <c r="AE134" s="359">
        <f t="shared" si="379"/>
        <v>0</v>
      </c>
      <c r="AF134" s="359">
        <f t="shared" si="379"/>
        <v>0</v>
      </c>
      <c r="AG134" s="276">
        <f t="shared" si="379"/>
        <v>0</v>
      </c>
      <c r="AH134" s="276">
        <f t="shared" si="379"/>
        <v>0</v>
      </c>
      <c r="AI134" s="276">
        <f t="shared" si="380"/>
        <v>0</v>
      </c>
      <c r="AJ134" s="276">
        <f t="shared" si="380"/>
        <v>0</v>
      </c>
      <c r="AK134" s="276">
        <f t="shared" si="380"/>
        <v>0</v>
      </c>
      <c r="AL134" s="276">
        <f t="shared" si="380"/>
        <v>0</v>
      </c>
      <c r="AM134" s="276"/>
      <c r="AN134" s="359">
        <f t="shared" si="381"/>
        <v>-1</v>
      </c>
      <c r="AO134" s="359">
        <f t="shared" si="381"/>
        <v>-1</v>
      </c>
      <c r="AP134" s="359">
        <f t="shared" si="381"/>
        <v>-1</v>
      </c>
      <c r="AQ134" s="359" t="str">
        <f t="shared" si="381"/>
        <v>-</v>
      </c>
      <c r="AR134" s="359" t="str">
        <f t="shared" si="381"/>
        <v>-</v>
      </c>
      <c r="AS134" s="359" t="str">
        <f t="shared" si="381"/>
        <v>-</v>
      </c>
      <c r="AT134" s="359" t="str">
        <f t="shared" si="381"/>
        <v>-</v>
      </c>
      <c r="AU134" s="359" t="str">
        <f t="shared" si="381"/>
        <v>-</v>
      </c>
      <c r="AV134" s="359" t="str">
        <f t="shared" si="381"/>
        <v>-</v>
      </c>
      <c r="AW134" s="359" t="str">
        <f t="shared" si="381"/>
        <v>-</v>
      </c>
      <c r="AX134" s="359" t="str">
        <f t="shared" si="381"/>
        <v>-</v>
      </c>
      <c r="AY134" s="359" t="str">
        <f t="shared" si="381"/>
        <v>-</v>
      </c>
      <c r="AZ134" s="359" t="str">
        <f t="shared" si="381"/>
        <v>-</v>
      </c>
      <c r="BA134" s="359" t="str">
        <f t="shared" si="381"/>
        <v>-</v>
      </c>
      <c r="BB134" s="359" t="str">
        <f t="shared" si="381"/>
        <v>-</v>
      </c>
      <c r="BC134" s="359" t="str">
        <f t="shared" si="381"/>
        <v>-</v>
      </c>
      <c r="BD134" s="359"/>
      <c r="BE134" s="359"/>
      <c r="BF134" s="276">
        <f t="shared" si="382"/>
        <v>-0.77134018256120385</v>
      </c>
      <c r="BG134" s="276">
        <f t="shared" si="382"/>
        <v>1.5963754802071155</v>
      </c>
      <c r="BH134" s="276">
        <f t="shared" si="382"/>
        <v>0.25886969667728144</v>
      </c>
      <c r="BI134" s="276">
        <f t="shared" si="382"/>
        <v>0.9218386692899303</v>
      </c>
      <c r="BJ134" s="276">
        <f t="shared" si="382"/>
        <v>-1.5607658046932129</v>
      </c>
      <c r="BK134" s="276">
        <f t="shared" si="382"/>
        <v>0</v>
      </c>
      <c r="BL134" s="359">
        <f t="shared" si="382"/>
        <v>0</v>
      </c>
      <c r="BM134" s="359">
        <f t="shared" si="383"/>
        <v>-1.113850822703788E-2</v>
      </c>
      <c r="BN134" s="359">
        <f t="shared" si="384"/>
        <v>-1.2390369279901781E-2</v>
      </c>
      <c r="BO134" s="359">
        <f t="shared" si="385"/>
        <v>-1.3800398238273837E-2</v>
      </c>
      <c r="BP134" s="359">
        <f t="shared" si="386"/>
        <v>-1.5392865739332406E-2</v>
      </c>
      <c r="BQ134" s="359">
        <f t="shared" si="387"/>
        <v>-1.7196861290244225E-2</v>
      </c>
      <c r="BR134" s="359">
        <f t="shared" si="388"/>
        <v>-1.9247544776976211E-2</v>
      </c>
      <c r="BS134" s="359">
        <f t="shared" si="389"/>
        <v>-2.1587811625573994E-2</v>
      </c>
      <c r="BT134" s="203"/>
      <c r="BU134" s="203"/>
    </row>
    <row r="135" spans="1:73" ht="12.75" customHeight="1" x14ac:dyDescent="0.35">
      <c r="A135" s="200"/>
      <c r="B135" s="264" t="s">
        <v>198</v>
      </c>
      <c r="C135" s="264"/>
      <c r="D135" s="264"/>
      <c r="E135" s="264"/>
      <c r="F135" s="204"/>
      <c r="G135" s="204"/>
      <c r="H135" s="204"/>
      <c r="I135" s="269"/>
      <c r="J135" s="269"/>
      <c r="K135" s="269"/>
      <c r="L135" s="269"/>
      <c r="M135" s="269"/>
      <c r="N135" s="269"/>
      <c r="O135" s="269">
        <f t="shared" ref="O135:X135" si="390">IF(ISERR(O35/K35-1),"-",O35/K35-1)</f>
        <v>0.87571255022895067</v>
      </c>
      <c r="P135" s="269">
        <f t="shared" si="390"/>
        <v>1.173944536423841</v>
      </c>
      <c r="Q135" s="269">
        <f t="shared" si="390"/>
        <v>1.0343061095947932</v>
      </c>
      <c r="R135" s="269">
        <f t="shared" si="390"/>
        <v>-0.31383683513155403</v>
      </c>
      <c r="S135" s="269">
        <f t="shared" si="390"/>
        <v>-0.30400557991231569</v>
      </c>
      <c r="T135" s="269">
        <f t="shared" si="390"/>
        <v>-0.17825693750297489</v>
      </c>
      <c r="U135" s="269">
        <f t="shared" si="390"/>
        <v>-0.22779532272380132</v>
      </c>
      <c r="V135" s="269">
        <f t="shared" si="390"/>
        <v>1.5357241379310347</v>
      </c>
      <c r="W135" s="269">
        <f t="shared" si="390"/>
        <v>0.81224051539012176</v>
      </c>
      <c r="X135" s="269">
        <f t="shared" si="390"/>
        <v>3.9538345690454122</v>
      </c>
      <c r="Y135" s="269">
        <f t="shared" ref="Y135:AH135" si="391">IF(ISERR(Y35/U35-1),"-",Y35/U35-1)</f>
        <v>0.50688300232551931</v>
      </c>
      <c r="Z135" s="269">
        <f t="shared" si="391"/>
        <v>-1.0206338845372789</v>
      </c>
      <c r="AA135" s="269">
        <f t="shared" si="391"/>
        <v>1.2598254137536045</v>
      </c>
      <c r="AB135" s="269">
        <f t="shared" si="391"/>
        <v>-0.71714041836698894</v>
      </c>
      <c r="AC135" s="269">
        <f t="shared" si="391"/>
        <v>0.10537788763612022</v>
      </c>
      <c r="AD135" s="269">
        <f t="shared" si="391"/>
        <v>-9.9661549859443319</v>
      </c>
      <c r="AE135" s="269">
        <f t="shared" si="391"/>
        <v>8.3263332026474179E-2</v>
      </c>
      <c r="AF135" s="269">
        <f t="shared" si="391"/>
        <v>-3.3799953911130665E-2</v>
      </c>
      <c r="AG135" s="280">
        <f t="shared" si="391"/>
        <v>9.286158718922688E-2</v>
      </c>
      <c r="AH135" s="280">
        <f t="shared" si="391"/>
        <v>8.265288653010372E-2</v>
      </c>
      <c r="AI135" s="280">
        <f t="shared" ref="AI135:AL135" si="392">IF(ISERR(AI35/AE35-1),"-",AI35/AE35-1)</f>
        <v>9.661126537248732E-2</v>
      </c>
      <c r="AJ135" s="280">
        <f t="shared" si="392"/>
        <v>-4.292000658974815E-2</v>
      </c>
      <c r="AK135" s="280">
        <f t="shared" si="392"/>
        <v>0.10538067465528034</v>
      </c>
      <c r="AL135" s="280">
        <f t="shared" si="392"/>
        <v>-8.0263778054701751E-2</v>
      </c>
      <c r="AM135" s="280"/>
      <c r="AN135" s="269">
        <f t="shared" ref="AN135:BC135" si="393">IF(ISERR(AN35/AJ35-1),"-",AN35/AJ35-1)</f>
        <v>-1</v>
      </c>
      <c r="AO135" s="269">
        <f t="shared" si="393"/>
        <v>-1</v>
      </c>
      <c r="AP135" s="269">
        <f t="shared" si="393"/>
        <v>-1</v>
      </c>
      <c r="AQ135" s="269" t="str">
        <f t="shared" si="393"/>
        <v>-</v>
      </c>
      <c r="AR135" s="269" t="str">
        <f t="shared" si="393"/>
        <v>-</v>
      </c>
      <c r="AS135" s="269" t="str">
        <f t="shared" si="393"/>
        <v>-</v>
      </c>
      <c r="AT135" s="269" t="str">
        <f t="shared" si="393"/>
        <v>-</v>
      </c>
      <c r="AU135" s="269" t="str">
        <f t="shared" si="393"/>
        <v>-</v>
      </c>
      <c r="AV135" s="269" t="str">
        <f t="shared" si="393"/>
        <v>-</v>
      </c>
      <c r="AW135" s="269" t="str">
        <f t="shared" si="393"/>
        <v>-</v>
      </c>
      <c r="AX135" s="269" t="str">
        <f t="shared" si="393"/>
        <v>-</v>
      </c>
      <c r="AY135" s="269" t="str">
        <f t="shared" si="393"/>
        <v>-</v>
      </c>
      <c r="AZ135" s="269" t="str">
        <f t="shared" si="393"/>
        <v>-</v>
      </c>
      <c r="BA135" s="269" t="str">
        <f t="shared" si="393"/>
        <v>-</v>
      </c>
      <c r="BB135" s="269" t="str">
        <f t="shared" si="393"/>
        <v>-</v>
      </c>
      <c r="BC135" s="269" t="str">
        <f t="shared" si="393"/>
        <v>-</v>
      </c>
      <c r="BD135" s="269"/>
      <c r="BE135" s="269"/>
      <c r="BF135" s="280">
        <f t="shared" ref="BF135:BL135" si="394">IF(ISERR(BF35/BE35-1),"-",BF35/BE35-1)</f>
        <v>-0.26315854077674672</v>
      </c>
      <c r="BG135" s="280">
        <f t="shared" si="394"/>
        <v>0.67257492212097492</v>
      </c>
      <c r="BH135" s="280">
        <f t="shared" si="394"/>
        <v>-4.165214186827082E-2</v>
      </c>
      <c r="BI135" s="280">
        <f t="shared" si="394"/>
        <v>0.73189844212801769</v>
      </c>
      <c r="BJ135" s="280">
        <f t="shared" si="394"/>
        <v>-0.10696801449427851</v>
      </c>
      <c r="BK135" s="280">
        <f t="shared" si="394"/>
        <v>6.8232479949850378E-2</v>
      </c>
      <c r="BL135" s="269">
        <f t="shared" si="394"/>
        <v>7.3707719707638564E-2</v>
      </c>
      <c r="BM135" s="269">
        <f t="shared" si="383"/>
        <v>0.14667300251281445</v>
      </c>
      <c r="BN135" s="269">
        <f t="shared" si="384"/>
        <v>0.12234041193655876</v>
      </c>
      <c r="BO135" s="269">
        <f t="shared" si="385"/>
        <v>9.8735413465644628E-2</v>
      </c>
      <c r="BP135" s="269">
        <f t="shared" si="386"/>
        <v>7.8132796136239246E-2</v>
      </c>
      <c r="BQ135" s="269">
        <f t="shared" si="387"/>
        <v>6.1137344736570398E-2</v>
      </c>
      <c r="BR135" s="269">
        <f t="shared" si="388"/>
        <v>4.7671810100238465E-2</v>
      </c>
      <c r="BS135" s="269">
        <f t="shared" si="389"/>
        <v>3.6805120601981045E-2</v>
      </c>
      <c r="BT135" s="203"/>
      <c r="BU135" s="203"/>
    </row>
    <row r="136" spans="1:73" ht="12.75" customHeight="1" x14ac:dyDescent="0.35">
      <c r="A136" s="200"/>
      <c r="B136" s="267"/>
      <c r="C136" s="267"/>
      <c r="D136" s="267"/>
      <c r="E136" s="267"/>
      <c r="F136" s="204"/>
      <c r="G136" s="204"/>
      <c r="H136" s="204"/>
      <c r="I136" s="359"/>
      <c r="J136" s="359"/>
      <c r="K136" s="359"/>
      <c r="L136" s="359"/>
      <c r="M136" s="359"/>
      <c r="N136" s="359"/>
      <c r="O136" s="359"/>
      <c r="P136" s="359"/>
      <c r="Q136" s="359"/>
      <c r="R136" s="359"/>
      <c r="S136" s="359"/>
      <c r="T136" s="359"/>
      <c r="U136" s="359"/>
      <c r="V136" s="359"/>
      <c r="W136" s="359"/>
      <c r="X136" s="359"/>
      <c r="Y136" s="359"/>
      <c r="Z136" s="359"/>
      <c r="AA136" s="359"/>
      <c r="AB136" s="359"/>
      <c r="AC136" s="359"/>
      <c r="AD136" s="359"/>
      <c r="AE136" s="359"/>
      <c r="AF136" s="359"/>
      <c r="AG136" s="359"/>
      <c r="AH136" s="359"/>
      <c r="AI136" s="359"/>
      <c r="AJ136" s="359"/>
      <c r="AK136" s="359"/>
      <c r="AL136" s="359"/>
      <c r="AM136" s="359"/>
      <c r="AN136" s="359"/>
      <c r="AO136" s="359"/>
      <c r="AP136" s="359"/>
      <c r="AQ136" s="359"/>
      <c r="AR136" s="359"/>
      <c r="AS136" s="359"/>
      <c r="AT136" s="359"/>
      <c r="AU136" s="359"/>
      <c r="AV136" s="359"/>
      <c r="AW136" s="359"/>
      <c r="AX136" s="359"/>
      <c r="AY136" s="359"/>
      <c r="AZ136" s="359"/>
      <c r="BA136" s="359"/>
      <c r="BB136" s="359"/>
      <c r="BC136" s="359"/>
      <c r="BD136" s="359"/>
      <c r="BE136" s="359"/>
      <c r="BF136" s="359"/>
      <c r="BG136" s="359"/>
      <c r="BH136" s="359"/>
      <c r="BI136" s="359"/>
      <c r="BJ136" s="359"/>
      <c r="BK136" s="359"/>
      <c r="BL136" s="359"/>
      <c r="BM136" s="355"/>
      <c r="BN136" s="355"/>
      <c r="BO136" s="355"/>
      <c r="BP136" s="355"/>
      <c r="BQ136" s="355"/>
      <c r="BR136" s="355"/>
      <c r="BS136" s="355"/>
      <c r="BT136" s="203"/>
      <c r="BU136" s="203"/>
    </row>
    <row r="137" spans="1:73" ht="12.75" customHeight="1" x14ac:dyDescent="0.35">
      <c r="A137" s="200"/>
      <c r="B137" s="264" t="s">
        <v>146</v>
      </c>
      <c r="C137" s="201"/>
      <c r="D137" s="267"/>
      <c r="E137" s="267"/>
      <c r="F137" s="204"/>
      <c r="G137" s="204"/>
      <c r="H137" s="204"/>
      <c r="I137" s="269"/>
      <c r="J137" s="269"/>
      <c r="K137" s="269"/>
      <c r="L137" s="269"/>
      <c r="M137" s="269"/>
      <c r="N137" s="269"/>
      <c r="O137" s="269">
        <f t="shared" ref="O137:X141" si="395">IF(ISERR(O37/K37-1),"-",O37/K37-1)</f>
        <v>1.225251076040172</v>
      </c>
      <c r="P137" s="269">
        <f t="shared" si="395"/>
        <v>0.3447082096933729</v>
      </c>
      <c r="Q137" s="269">
        <f t="shared" si="395"/>
        <v>0.30391389432485316</v>
      </c>
      <c r="R137" s="269">
        <f t="shared" si="395"/>
        <v>-8.5438172633428455E-2</v>
      </c>
      <c r="S137" s="269">
        <f t="shared" si="395"/>
        <v>0.21749408983451546</v>
      </c>
      <c r="T137" s="269">
        <f t="shared" si="395"/>
        <v>-0.89812431040823837</v>
      </c>
      <c r="U137" s="269">
        <f t="shared" si="395"/>
        <v>-0.16163890139576764</v>
      </c>
      <c r="V137" s="269">
        <f t="shared" si="395"/>
        <v>0.20677233429394803</v>
      </c>
      <c r="W137" s="269">
        <f t="shared" si="395"/>
        <v>0.18481906443071483</v>
      </c>
      <c r="X137" s="269">
        <f t="shared" si="395"/>
        <v>9.1624548736462099</v>
      </c>
      <c r="Y137" s="269">
        <f t="shared" ref="Y137:AH141" si="396">IF(ISERR(Y37/U37-1),"-",Y37/U37-1)</f>
        <v>0.50501253132832091</v>
      </c>
      <c r="Z137" s="269">
        <f t="shared" si="396"/>
        <v>-0.47701492537313428</v>
      </c>
      <c r="AA137" s="269">
        <f t="shared" si="396"/>
        <v>0.65733015494636482</v>
      </c>
      <c r="AB137" s="269">
        <f t="shared" si="396"/>
        <v>-0.32113676731793961</v>
      </c>
      <c r="AC137" s="269">
        <f t="shared" si="396"/>
        <v>0.11183370472698884</v>
      </c>
      <c r="AD137" s="269">
        <f t="shared" si="396"/>
        <v>-0.70880466969164813</v>
      </c>
      <c r="AE137" s="269">
        <f t="shared" si="396"/>
        <v>-0.16429798069176593</v>
      </c>
      <c r="AF137" s="269">
        <f t="shared" si="396"/>
        <v>0.83464248939841745</v>
      </c>
      <c r="AG137" s="269">
        <f t="shared" si="396"/>
        <v>9.2861587189227102E-2</v>
      </c>
      <c r="AH137" s="269">
        <f t="shared" si="396"/>
        <v>8.265288653010372E-2</v>
      </c>
      <c r="AI137" s="269">
        <f t="shared" ref="AI137:AL141" si="397">IF(ISERR(AI37/AE37-1),"-",AI37/AE37-1)</f>
        <v>9.661126537248732E-2</v>
      </c>
      <c r="AJ137" s="269">
        <f t="shared" si="397"/>
        <v>-4.2920006589748039E-2</v>
      </c>
      <c r="AK137" s="269">
        <f t="shared" si="397"/>
        <v>0.10538067465528034</v>
      </c>
      <c r="AL137" s="269">
        <f t="shared" si="397"/>
        <v>-8.0263778054701751E-2</v>
      </c>
      <c r="AM137" s="269"/>
      <c r="AN137" s="269">
        <f t="shared" ref="AN137:BC141" si="398">IF(ISERR(AN37/AJ37-1),"-",AN37/AJ37-1)</f>
        <v>-1</v>
      </c>
      <c r="AO137" s="269">
        <f t="shared" si="398"/>
        <v>-1</v>
      </c>
      <c r="AP137" s="269">
        <f t="shared" si="398"/>
        <v>-1</v>
      </c>
      <c r="AQ137" s="269" t="str">
        <f t="shared" si="398"/>
        <v>-</v>
      </c>
      <c r="AR137" s="269" t="str">
        <f t="shared" si="398"/>
        <v>-</v>
      </c>
      <c r="AS137" s="269" t="str">
        <f t="shared" si="398"/>
        <v>-</v>
      </c>
      <c r="AT137" s="269" t="str">
        <f t="shared" si="398"/>
        <v>-</v>
      </c>
      <c r="AU137" s="269" t="str">
        <f t="shared" si="398"/>
        <v>-</v>
      </c>
      <c r="AV137" s="269" t="str">
        <f t="shared" si="398"/>
        <v>-</v>
      </c>
      <c r="AW137" s="269" t="str">
        <f t="shared" si="398"/>
        <v>-</v>
      </c>
      <c r="AX137" s="269" t="str">
        <f t="shared" si="398"/>
        <v>-</v>
      </c>
      <c r="AY137" s="269" t="str">
        <f t="shared" si="398"/>
        <v>-</v>
      </c>
      <c r="AZ137" s="269" t="str">
        <f t="shared" si="398"/>
        <v>-</v>
      </c>
      <c r="BA137" s="269" t="str">
        <f t="shared" si="398"/>
        <v>-</v>
      </c>
      <c r="BB137" s="269" t="str">
        <f t="shared" si="398"/>
        <v>-</v>
      </c>
      <c r="BC137" s="269" t="str">
        <f t="shared" si="398"/>
        <v>-</v>
      </c>
      <c r="BD137" s="269"/>
      <c r="BE137" s="269"/>
      <c r="BF137" s="269">
        <f t="shared" ref="BF137:BL141" si="399">IF(ISERR(BF37/BE37-1),"-",BF37/BE37-1)</f>
        <v>0.6304888152444077</v>
      </c>
      <c r="BG137" s="269">
        <f t="shared" si="399"/>
        <v>0.32106562137049943</v>
      </c>
      <c r="BH137" s="269">
        <f t="shared" si="399"/>
        <v>-9.0444529919226357E-2</v>
      </c>
      <c r="BI137" s="269">
        <f t="shared" si="399"/>
        <v>0.24219174771944663</v>
      </c>
      <c r="BJ137" s="269">
        <f t="shared" si="399"/>
        <v>0.12573909559819807</v>
      </c>
      <c r="BK137" s="269">
        <f t="shared" si="399"/>
        <v>3.018028868454059E-2</v>
      </c>
      <c r="BL137" s="269">
        <f t="shared" si="399"/>
        <v>7.3707719707638564E-2</v>
      </c>
      <c r="BM137" s="269">
        <f t="shared" ref="BM137:BM141" si="400">IF(ISERR(BM37/BL37-1),"-",BM37/BL37-1)</f>
        <v>0.14667300251281423</v>
      </c>
      <c r="BN137" s="269">
        <f t="shared" ref="BN137:BN141" si="401">IF(ISERR(BN37/BM37-1),"-",BN37/BM37-1)</f>
        <v>0.12234041193655876</v>
      </c>
      <c r="BO137" s="269">
        <f t="shared" ref="BO137:BO141" si="402">IF(ISERR(BO37/BN37-1),"-",BO37/BN37-1)</f>
        <v>9.8735413465644628E-2</v>
      </c>
      <c r="BP137" s="269">
        <f t="shared" ref="BP137:BP141" si="403">IF(ISERR(BP37/BO37-1),"-",BP37/BO37-1)</f>
        <v>7.8132796136239246E-2</v>
      </c>
      <c r="BQ137" s="269">
        <f t="shared" ref="BQ137:BQ141" si="404">IF(ISERR(BQ37/BP37-1),"-",BQ37/BP37-1)</f>
        <v>6.1137344736570398E-2</v>
      </c>
      <c r="BR137" s="269">
        <f t="shared" ref="BR137:BR141" si="405">IF(ISERR(BR37/BQ37-1),"-",BR37/BQ37-1)</f>
        <v>4.7671810100238465E-2</v>
      </c>
      <c r="BS137" s="269">
        <f t="shared" ref="BS137:BS141" si="406">IF(ISERR(BS37/BR37-1),"-",BS37/BR37-1)</f>
        <v>3.6805120601980823E-2</v>
      </c>
      <c r="BT137" s="203"/>
      <c r="BU137" s="203"/>
    </row>
    <row r="138" spans="1:73" ht="12.75" customHeight="1" x14ac:dyDescent="0.35">
      <c r="A138" s="200"/>
      <c r="B138" s="267"/>
      <c r="C138" s="232" t="s">
        <v>148</v>
      </c>
      <c r="D138" s="267"/>
      <c r="E138" s="267"/>
      <c r="F138" s="204"/>
      <c r="G138" s="204"/>
      <c r="H138" s="204"/>
      <c r="I138" s="359"/>
      <c r="J138" s="359"/>
      <c r="K138" s="359"/>
      <c r="L138" s="359"/>
      <c r="M138" s="359"/>
      <c r="N138" s="359"/>
      <c r="O138" s="359">
        <f t="shared" si="395"/>
        <v>0.59803921568627461</v>
      </c>
      <c r="P138" s="359">
        <f t="shared" si="395"/>
        <v>-0.52554744525547448</v>
      </c>
      <c r="Q138" s="359">
        <f t="shared" si="395"/>
        <v>6.1604584527220618E-2</v>
      </c>
      <c r="R138" s="359">
        <f t="shared" si="395"/>
        <v>0.29308176100628924</v>
      </c>
      <c r="S138" s="359">
        <f t="shared" si="395"/>
        <v>0.64110429447852768</v>
      </c>
      <c r="T138" s="359">
        <f t="shared" si="395"/>
        <v>6.2769230769230768</v>
      </c>
      <c r="U138" s="359">
        <f t="shared" si="395"/>
        <v>1.9095816464237516</v>
      </c>
      <c r="V138" s="359">
        <f t="shared" si="395"/>
        <v>1.4649805447470818</v>
      </c>
      <c r="W138" s="359">
        <f t="shared" si="395"/>
        <v>1.1738317757009344</v>
      </c>
      <c r="X138" s="359">
        <f t="shared" si="395"/>
        <v>-2.5898520084566612E-2</v>
      </c>
      <c r="Y138" s="359">
        <f t="shared" si="396"/>
        <v>-5.2875695732838568E-2</v>
      </c>
      <c r="Z138" s="359">
        <f t="shared" si="396"/>
        <v>0.1333859510655091</v>
      </c>
      <c r="AA138" s="359">
        <f t="shared" si="396"/>
        <v>-0.52880481513327604</v>
      </c>
      <c r="AB138" s="359">
        <f t="shared" si="396"/>
        <v>0.27618014107433542</v>
      </c>
      <c r="AC138" s="359">
        <f t="shared" si="396"/>
        <v>0</v>
      </c>
      <c r="AD138" s="359">
        <f t="shared" si="396"/>
        <v>0</v>
      </c>
      <c r="AE138" s="359">
        <f t="shared" si="396"/>
        <v>-2</v>
      </c>
      <c r="AF138" s="359">
        <f t="shared" si="396"/>
        <v>0</v>
      </c>
      <c r="AG138" s="359">
        <f t="shared" si="396"/>
        <v>0</v>
      </c>
      <c r="AH138" s="359">
        <f t="shared" si="396"/>
        <v>0</v>
      </c>
      <c r="AI138" s="359">
        <f t="shared" si="397"/>
        <v>0</v>
      </c>
      <c r="AJ138" s="359">
        <f t="shared" si="397"/>
        <v>0</v>
      </c>
      <c r="AK138" s="359">
        <f t="shared" si="397"/>
        <v>0</v>
      </c>
      <c r="AL138" s="359">
        <f t="shared" si="397"/>
        <v>0</v>
      </c>
      <c r="AM138" s="359"/>
      <c r="AN138" s="359">
        <f t="shared" si="398"/>
        <v>-1</v>
      </c>
      <c r="AO138" s="359">
        <f t="shared" si="398"/>
        <v>-1</v>
      </c>
      <c r="AP138" s="359">
        <f t="shared" si="398"/>
        <v>-1</v>
      </c>
      <c r="AQ138" s="359" t="str">
        <f t="shared" si="398"/>
        <v>-</v>
      </c>
      <c r="AR138" s="359" t="str">
        <f t="shared" si="398"/>
        <v>-</v>
      </c>
      <c r="AS138" s="359" t="str">
        <f t="shared" si="398"/>
        <v>-</v>
      </c>
      <c r="AT138" s="359" t="str">
        <f t="shared" si="398"/>
        <v>-</v>
      </c>
      <c r="AU138" s="359" t="str">
        <f t="shared" si="398"/>
        <v>-</v>
      </c>
      <c r="AV138" s="359" t="str">
        <f t="shared" si="398"/>
        <v>-</v>
      </c>
      <c r="AW138" s="359" t="str">
        <f t="shared" si="398"/>
        <v>-</v>
      </c>
      <c r="AX138" s="359" t="str">
        <f t="shared" si="398"/>
        <v>-</v>
      </c>
      <c r="AY138" s="359" t="str">
        <f t="shared" si="398"/>
        <v>-</v>
      </c>
      <c r="AZ138" s="359" t="str">
        <f t="shared" si="398"/>
        <v>-</v>
      </c>
      <c r="BA138" s="359" t="str">
        <f t="shared" si="398"/>
        <v>-</v>
      </c>
      <c r="BB138" s="359" t="str">
        <f t="shared" si="398"/>
        <v>-</v>
      </c>
      <c r="BC138" s="359" t="str">
        <f t="shared" si="398"/>
        <v>-</v>
      </c>
      <c r="BD138" s="359"/>
      <c r="BE138" s="359"/>
      <c r="BF138" s="359">
        <f t="shared" si="399"/>
        <v>13.321637426900585</v>
      </c>
      <c r="BG138" s="359">
        <f t="shared" si="399"/>
        <v>9.4732543895467591E-2</v>
      </c>
      <c r="BH138" s="359">
        <f t="shared" si="399"/>
        <v>1.8541588959343529</v>
      </c>
      <c r="BI138" s="359">
        <f t="shared" si="399"/>
        <v>0.18700993204391003</v>
      </c>
      <c r="BJ138" s="359">
        <f t="shared" si="399"/>
        <v>-7.9379059782010319E-2</v>
      </c>
      <c r="BK138" s="359">
        <f t="shared" si="399"/>
        <v>-0.26213824443912936</v>
      </c>
      <c r="BL138" s="359">
        <f t="shared" si="399"/>
        <v>0</v>
      </c>
      <c r="BM138" s="359">
        <f t="shared" si="400"/>
        <v>0</v>
      </c>
      <c r="BN138" s="359">
        <f t="shared" si="401"/>
        <v>0</v>
      </c>
      <c r="BO138" s="359">
        <f t="shared" si="402"/>
        <v>0</v>
      </c>
      <c r="BP138" s="359">
        <f t="shared" si="403"/>
        <v>0</v>
      </c>
      <c r="BQ138" s="359">
        <f t="shared" si="404"/>
        <v>0</v>
      </c>
      <c r="BR138" s="359">
        <f t="shared" si="405"/>
        <v>0</v>
      </c>
      <c r="BS138" s="359">
        <f t="shared" si="406"/>
        <v>0</v>
      </c>
      <c r="BT138" s="203"/>
      <c r="BU138" s="203"/>
    </row>
    <row r="139" spans="1:73" ht="12.75" customHeight="1" x14ac:dyDescent="0.35">
      <c r="A139" s="200"/>
      <c r="B139" s="267"/>
      <c r="C139" s="232" t="s">
        <v>150</v>
      </c>
      <c r="D139" s="267"/>
      <c r="E139" s="267"/>
      <c r="F139" s="204"/>
      <c r="G139" s="204"/>
      <c r="H139" s="204"/>
      <c r="I139" s="359"/>
      <c r="J139" s="359"/>
      <c r="K139" s="359"/>
      <c r="L139" s="359"/>
      <c r="M139" s="359"/>
      <c r="N139" s="359"/>
      <c r="O139" s="359" t="str">
        <f t="shared" si="395"/>
        <v>-</v>
      </c>
      <c r="P139" s="359" t="str">
        <f t="shared" si="395"/>
        <v>-</v>
      </c>
      <c r="Q139" s="359" t="str">
        <f t="shared" si="395"/>
        <v>-</v>
      </c>
      <c r="R139" s="359" t="str">
        <f t="shared" si="395"/>
        <v>-</v>
      </c>
      <c r="S139" s="359" t="str">
        <f t="shared" si="395"/>
        <v>-</v>
      </c>
      <c r="T139" s="359" t="str">
        <f t="shared" si="395"/>
        <v>-</v>
      </c>
      <c r="U139" s="359" t="str">
        <f t="shared" si="395"/>
        <v>-</v>
      </c>
      <c r="V139" s="359" t="str">
        <f t="shared" si="395"/>
        <v>-</v>
      </c>
      <c r="W139" s="359" t="str">
        <f t="shared" si="395"/>
        <v>-</v>
      </c>
      <c r="X139" s="359" t="str">
        <f t="shared" si="395"/>
        <v>-</v>
      </c>
      <c r="Y139" s="359" t="str">
        <f t="shared" si="396"/>
        <v>-</v>
      </c>
      <c r="Z139" s="359" t="str">
        <f t="shared" si="396"/>
        <v>-</v>
      </c>
      <c r="AA139" s="359" t="str">
        <f t="shared" si="396"/>
        <v>-</v>
      </c>
      <c r="AB139" s="359" t="str">
        <f t="shared" si="396"/>
        <v>-</v>
      </c>
      <c r="AC139" s="359" t="str">
        <f t="shared" si="396"/>
        <v>-</v>
      </c>
      <c r="AD139" s="359" t="str">
        <f t="shared" si="396"/>
        <v>-</v>
      </c>
      <c r="AE139" s="359" t="str">
        <f t="shared" si="396"/>
        <v>-</v>
      </c>
      <c r="AF139" s="359" t="str">
        <f t="shared" si="396"/>
        <v>-</v>
      </c>
      <c r="AG139" s="359" t="str">
        <f t="shared" si="396"/>
        <v>-</v>
      </c>
      <c r="AH139" s="359" t="str">
        <f t="shared" si="396"/>
        <v>-</v>
      </c>
      <c r="AI139" s="359" t="str">
        <f t="shared" si="397"/>
        <v>-</v>
      </c>
      <c r="AJ139" s="359" t="str">
        <f t="shared" si="397"/>
        <v>-</v>
      </c>
      <c r="AK139" s="359" t="str">
        <f t="shared" si="397"/>
        <v>-</v>
      </c>
      <c r="AL139" s="359" t="str">
        <f t="shared" si="397"/>
        <v>-</v>
      </c>
      <c r="AM139" s="359"/>
      <c r="AN139" s="359" t="str">
        <f t="shared" si="398"/>
        <v>-</v>
      </c>
      <c r="AO139" s="359" t="str">
        <f t="shared" si="398"/>
        <v>-</v>
      </c>
      <c r="AP139" s="359" t="str">
        <f t="shared" si="398"/>
        <v>-</v>
      </c>
      <c r="AQ139" s="359" t="str">
        <f t="shared" si="398"/>
        <v>-</v>
      </c>
      <c r="AR139" s="359" t="str">
        <f t="shared" si="398"/>
        <v>-</v>
      </c>
      <c r="AS139" s="359" t="str">
        <f t="shared" si="398"/>
        <v>-</v>
      </c>
      <c r="AT139" s="359" t="str">
        <f t="shared" si="398"/>
        <v>-</v>
      </c>
      <c r="AU139" s="359" t="str">
        <f t="shared" si="398"/>
        <v>-</v>
      </c>
      <c r="AV139" s="359" t="str">
        <f t="shared" si="398"/>
        <v>-</v>
      </c>
      <c r="AW139" s="359" t="str">
        <f t="shared" si="398"/>
        <v>-</v>
      </c>
      <c r="AX139" s="359" t="str">
        <f t="shared" si="398"/>
        <v>-</v>
      </c>
      <c r="AY139" s="359" t="str">
        <f t="shared" si="398"/>
        <v>-</v>
      </c>
      <c r="AZ139" s="359" t="str">
        <f t="shared" si="398"/>
        <v>-</v>
      </c>
      <c r="BA139" s="359" t="str">
        <f t="shared" si="398"/>
        <v>-</v>
      </c>
      <c r="BB139" s="359" t="str">
        <f t="shared" si="398"/>
        <v>-</v>
      </c>
      <c r="BC139" s="359" t="str">
        <f t="shared" si="398"/>
        <v>-</v>
      </c>
      <c r="BD139" s="359"/>
      <c r="BE139" s="359"/>
      <c r="BF139" s="359" t="str">
        <f t="shared" si="399"/>
        <v>-</v>
      </c>
      <c r="BG139" s="359" t="str">
        <f t="shared" si="399"/>
        <v>-</v>
      </c>
      <c r="BH139" s="359" t="str">
        <f t="shared" si="399"/>
        <v>-</v>
      </c>
      <c r="BI139" s="359" t="str">
        <f t="shared" si="399"/>
        <v>-</v>
      </c>
      <c r="BJ139" s="359" t="str">
        <f t="shared" si="399"/>
        <v>-</v>
      </c>
      <c r="BK139" s="359" t="str">
        <f t="shared" si="399"/>
        <v>-</v>
      </c>
      <c r="BL139" s="359" t="str">
        <f t="shared" si="399"/>
        <v>-</v>
      </c>
      <c r="BM139" s="359" t="str">
        <f t="shared" si="400"/>
        <v>-</v>
      </c>
      <c r="BN139" s="359" t="str">
        <f t="shared" si="401"/>
        <v>-</v>
      </c>
      <c r="BO139" s="359" t="str">
        <f t="shared" si="402"/>
        <v>-</v>
      </c>
      <c r="BP139" s="359" t="str">
        <f t="shared" si="403"/>
        <v>-</v>
      </c>
      <c r="BQ139" s="359" t="str">
        <f t="shared" si="404"/>
        <v>-</v>
      </c>
      <c r="BR139" s="359" t="str">
        <f t="shared" si="405"/>
        <v>-</v>
      </c>
      <c r="BS139" s="359" t="str">
        <f t="shared" si="406"/>
        <v>-</v>
      </c>
      <c r="BT139" s="203"/>
      <c r="BU139" s="203"/>
    </row>
    <row r="140" spans="1:73" ht="12.75" customHeight="1" x14ac:dyDescent="0.35">
      <c r="A140" s="200"/>
      <c r="B140" s="267"/>
      <c r="C140" s="232" t="s">
        <v>199</v>
      </c>
      <c r="D140" s="267"/>
      <c r="E140" s="267"/>
      <c r="F140" s="204"/>
      <c r="G140" s="204"/>
      <c r="H140" s="204"/>
      <c r="I140" s="359"/>
      <c r="J140" s="359"/>
      <c r="K140" s="359"/>
      <c r="L140" s="359"/>
      <c r="M140" s="359"/>
      <c r="N140" s="359"/>
      <c r="O140" s="359">
        <f t="shared" si="395"/>
        <v>-5.4495912806539537E-2</v>
      </c>
      <c r="P140" s="359">
        <f t="shared" si="395"/>
        <v>0.55555555555555558</v>
      </c>
      <c r="Q140" s="359">
        <f t="shared" si="395"/>
        <v>10.919896640826874</v>
      </c>
      <c r="R140" s="359">
        <f t="shared" si="395"/>
        <v>-0.95152354570637121</v>
      </c>
      <c r="S140" s="359">
        <f t="shared" si="395"/>
        <v>-0.52809798270893371</v>
      </c>
      <c r="T140" s="359">
        <f t="shared" si="395"/>
        <v>-2.4217687074829932</v>
      </c>
      <c r="U140" s="359">
        <f t="shared" si="395"/>
        <v>-0.95333839150227617</v>
      </c>
      <c r="V140" s="359">
        <f t="shared" si="395"/>
        <v>-12.828571428571429</v>
      </c>
      <c r="W140" s="359">
        <f t="shared" si="395"/>
        <v>-1.7893129770992366</v>
      </c>
      <c r="X140" s="359">
        <f t="shared" si="395"/>
        <v>-10.537480063795853</v>
      </c>
      <c r="Y140" s="359">
        <f t="shared" si="396"/>
        <v>-3.5145180023228804</v>
      </c>
      <c r="Z140" s="359">
        <f t="shared" si="396"/>
        <v>3.2814009661835746</v>
      </c>
      <c r="AA140" s="359">
        <f t="shared" si="396"/>
        <v>-0.32495164410058031</v>
      </c>
      <c r="AB140" s="359">
        <f t="shared" si="396"/>
        <v>-1.3548494983277592</v>
      </c>
      <c r="AC140" s="359">
        <f t="shared" si="396"/>
        <v>0</v>
      </c>
      <c r="AD140" s="359">
        <f t="shared" si="396"/>
        <v>0</v>
      </c>
      <c r="AE140" s="359">
        <f t="shared" si="396"/>
        <v>0</v>
      </c>
      <c r="AF140" s="359">
        <f t="shared" si="396"/>
        <v>0</v>
      </c>
      <c r="AG140" s="359">
        <f t="shared" si="396"/>
        <v>0</v>
      </c>
      <c r="AH140" s="359">
        <f t="shared" si="396"/>
        <v>0</v>
      </c>
      <c r="AI140" s="359">
        <f t="shared" si="397"/>
        <v>0</v>
      </c>
      <c r="AJ140" s="359">
        <f t="shared" si="397"/>
        <v>0</v>
      </c>
      <c r="AK140" s="359">
        <f t="shared" si="397"/>
        <v>0</v>
      </c>
      <c r="AL140" s="359">
        <f t="shared" si="397"/>
        <v>0</v>
      </c>
      <c r="AM140" s="359"/>
      <c r="AN140" s="359">
        <f t="shared" si="398"/>
        <v>-1</v>
      </c>
      <c r="AO140" s="359">
        <f t="shared" si="398"/>
        <v>-1</v>
      </c>
      <c r="AP140" s="359">
        <f t="shared" si="398"/>
        <v>-1</v>
      </c>
      <c r="AQ140" s="359" t="str">
        <f t="shared" si="398"/>
        <v>-</v>
      </c>
      <c r="AR140" s="359" t="str">
        <f t="shared" si="398"/>
        <v>-</v>
      </c>
      <c r="AS140" s="359" t="str">
        <f t="shared" si="398"/>
        <v>-</v>
      </c>
      <c r="AT140" s="359" t="str">
        <f t="shared" si="398"/>
        <v>-</v>
      </c>
      <c r="AU140" s="359" t="str">
        <f t="shared" si="398"/>
        <v>-</v>
      </c>
      <c r="AV140" s="359" t="str">
        <f t="shared" si="398"/>
        <v>-</v>
      </c>
      <c r="AW140" s="359" t="str">
        <f t="shared" si="398"/>
        <v>-</v>
      </c>
      <c r="AX140" s="359" t="str">
        <f t="shared" si="398"/>
        <v>-</v>
      </c>
      <c r="AY140" s="359" t="str">
        <f t="shared" si="398"/>
        <v>-</v>
      </c>
      <c r="AZ140" s="359" t="str">
        <f t="shared" si="398"/>
        <v>-</v>
      </c>
      <c r="BA140" s="359" t="str">
        <f t="shared" si="398"/>
        <v>-</v>
      </c>
      <c r="BB140" s="359" t="str">
        <f t="shared" si="398"/>
        <v>-</v>
      </c>
      <c r="BC140" s="359" t="str">
        <f t="shared" si="398"/>
        <v>-</v>
      </c>
      <c r="BD140" s="359"/>
      <c r="BE140" s="359"/>
      <c r="BF140" s="359">
        <f t="shared" si="399"/>
        <v>1.9057803468208094</v>
      </c>
      <c r="BG140" s="359">
        <f t="shared" si="399"/>
        <v>3.1360652476626214</v>
      </c>
      <c r="BH140" s="359">
        <f t="shared" si="399"/>
        <v>-1.0272220084647941</v>
      </c>
      <c r="BI140" s="359">
        <f t="shared" si="399"/>
        <v>-11.128975265017667</v>
      </c>
      <c r="BJ140" s="359">
        <f t="shared" si="399"/>
        <v>-2.7971393685679402</v>
      </c>
      <c r="BK140" s="359">
        <f t="shared" si="399"/>
        <v>0</v>
      </c>
      <c r="BL140" s="359">
        <f t="shared" si="399"/>
        <v>0</v>
      </c>
      <c r="BM140" s="359">
        <f t="shared" si="400"/>
        <v>0</v>
      </c>
      <c r="BN140" s="359">
        <f t="shared" si="401"/>
        <v>0</v>
      </c>
      <c r="BO140" s="359">
        <f t="shared" si="402"/>
        <v>0</v>
      </c>
      <c r="BP140" s="359">
        <f t="shared" si="403"/>
        <v>0</v>
      </c>
      <c r="BQ140" s="359">
        <f t="shared" si="404"/>
        <v>0</v>
      </c>
      <c r="BR140" s="359">
        <f t="shared" si="405"/>
        <v>0</v>
      </c>
      <c r="BS140" s="359">
        <f t="shared" si="406"/>
        <v>0</v>
      </c>
      <c r="BT140" s="203"/>
      <c r="BU140" s="203"/>
    </row>
    <row r="141" spans="1:73" ht="12.75" customHeight="1" x14ac:dyDescent="0.35">
      <c r="A141" s="200"/>
      <c r="B141" s="264" t="s">
        <v>23</v>
      </c>
      <c r="C141" s="264"/>
      <c r="D141" s="264"/>
      <c r="E141" s="264"/>
      <c r="F141" s="204"/>
      <c r="G141" s="204"/>
      <c r="H141" s="204"/>
      <c r="I141" s="269"/>
      <c r="J141" s="269"/>
      <c r="K141" s="269"/>
      <c r="L141" s="269"/>
      <c r="M141" s="269"/>
      <c r="N141" s="269"/>
      <c r="O141" s="269">
        <f t="shared" si="395"/>
        <v>0.94476821192052984</v>
      </c>
      <c r="P141" s="269">
        <f t="shared" si="395"/>
        <v>1.317722681359045</v>
      </c>
      <c r="Q141" s="269">
        <f t="shared" si="395"/>
        <v>0.34824978997479694</v>
      </c>
      <c r="R141" s="269">
        <f t="shared" si="395"/>
        <v>-0.27970320278012584</v>
      </c>
      <c r="S141" s="269">
        <f t="shared" si="395"/>
        <v>-0.4061159163658653</v>
      </c>
      <c r="T141" s="269">
        <f t="shared" si="395"/>
        <v>0.13951777224360429</v>
      </c>
      <c r="U141" s="269">
        <f t="shared" si="395"/>
        <v>0.3758152286794334</v>
      </c>
      <c r="V141" s="269">
        <f t="shared" si="395"/>
        <v>2.3789281523014734</v>
      </c>
      <c r="W141" s="269">
        <f t="shared" si="395"/>
        <v>1.4596330275229357</v>
      </c>
      <c r="X141" s="269">
        <f t="shared" si="395"/>
        <v>2.605572939949337</v>
      </c>
      <c r="Y141" s="269">
        <f t="shared" si="396"/>
        <v>0.57530193236714977</v>
      </c>
      <c r="Z141" s="269">
        <f t="shared" si="396"/>
        <v>-0.87573804654034659</v>
      </c>
      <c r="AA141" s="269">
        <f t="shared" si="396"/>
        <v>1.2161973144349125</v>
      </c>
      <c r="AB141" s="269">
        <f t="shared" si="396"/>
        <v>-0.60220964031353752</v>
      </c>
      <c r="AC141" s="269">
        <f t="shared" si="396"/>
        <v>9.5840592669890201E-2</v>
      </c>
      <c r="AD141" s="269">
        <f t="shared" si="396"/>
        <v>2.3395903288670734</v>
      </c>
      <c r="AE141" s="269">
        <f t="shared" si="396"/>
        <v>9.255280519036968E-2</v>
      </c>
      <c r="AF141" s="269">
        <f t="shared" si="396"/>
        <v>-8.3552309263905555E-2</v>
      </c>
      <c r="AG141" s="269">
        <f t="shared" si="396"/>
        <v>8.6028655220143468E-2</v>
      </c>
      <c r="AH141" s="269">
        <f t="shared" si="396"/>
        <v>3.3330850268501466E-2</v>
      </c>
      <c r="AI141" s="269">
        <f t="shared" si="397"/>
        <v>9.8000932263372809E-2</v>
      </c>
      <c r="AJ141" s="269">
        <f t="shared" si="397"/>
        <v>-3.2222176087843724E-2</v>
      </c>
      <c r="AK141" s="269">
        <f t="shared" si="397"/>
        <v>9.824079840372546E-2</v>
      </c>
      <c r="AL141" s="269">
        <f t="shared" si="397"/>
        <v>-3.3912343947917978E-2</v>
      </c>
      <c r="AM141" s="269"/>
      <c r="AN141" s="269">
        <f t="shared" si="398"/>
        <v>-1</v>
      </c>
      <c r="AO141" s="269">
        <f t="shared" si="398"/>
        <v>-1</v>
      </c>
      <c r="AP141" s="269">
        <f t="shared" si="398"/>
        <v>-1</v>
      </c>
      <c r="AQ141" s="269" t="str">
        <f t="shared" si="398"/>
        <v>-</v>
      </c>
      <c r="AR141" s="269" t="str">
        <f t="shared" si="398"/>
        <v>-</v>
      </c>
      <c r="AS141" s="269" t="str">
        <f t="shared" si="398"/>
        <v>-</v>
      </c>
      <c r="AT141" s="269" t="str">
        <f t="shared" si="398"/>
        <v>-</v>
      </c>
      <c r="AU141" s="269" t="str">
        <f t="shared" si="398"/>
        <v>-</v>
      </c>
      <c r="AV141" s="269" t="str">
        <f t="shared" si="398"/>
        <v>-</v>
      </c>
      <c r="AW141" s="269" t="str">
        <f t="shared" si="398"/>
        <v>-</v>
      </c>
      <c r="AX141" s="269" t="str">
        <f t="shared" si="398"/>
        <v>-</v>
      </c>
      <c r="AY141" s="269" t="str">
        <f t="shared" si="398"/>
        <v>-</v>
      </c>
      <c r="AZ141" s="269" t="str">
        <f t="shared" si="398"/>
        <v>-</v>
      </c>
      <c r="BA141" s="269" t="str">
        <f t="shared" si="398"/>
        <v>-</v>
      </c>
      <c r="BB141" s="269" t="str">
        <f t="shared" si="398"/>
        <v>-</v>
      </c>
      <c r="BC141" s="269" t="str">
        <f t="shared" si="398"/>
        <v>-</v>
      </c>
      <c r="BD141" s="269"/>
      <c r="BE141" s="269"/>
      <c r="BF141" s="269">
        <f t="shared" si="399"/>
        <v>-0.38881891967534288</v>
      </c>
      <c r="BG141" s="269">
        <f t="shared" si="399"/>
        <v>0.46749856897538633</v>
      </c>
      <c r="BH141" s="269">
        <f t="shared" si="399"/>
        <v>0.37122618694709253</v>
      </c>
      <c r="BI141" s="269">
        <f t="shared" si="399"/>
        <v>0.70030494049109082</v>
      </c>
      <c r="BJ141" s="269">
        <f t="shared" si="399"/>
        <v>-3.4103123534220514E-2</v>
      </c>
      <c r="BK141" s="269">
        <f t="shared" si="399"/>
        <v>5.032473272078164E-2</v>
      </c>
      <c r="BL141" s="269">
        <f t="shared" si="399"/>
        <v>6.5698599631784038E-2</v>
      </c>
      <c r="BM141" s="269">
        <f t="shared" si="400"/>
        <v>0.13171796122063761</v>
      </c>
      <c r="BN141" s="269">
        <f t="shared" si="401"/>
        <v>0.11131818968085239</v>
      </c>
      <c r="BO141" s="269">
        <f t="shared" si="402"/>
        <v>9.0730921889358829E-2</v>
      </c>
      <c r="BP141" s="269">
        <f t="shared" si="403"/>
        <v>7.2325465620181939E-2</v>
      </c>
      <c r="BQ141" s="269">
        <f t="shared" si="404"/>
        <v>5.6899713800025342E-2</v>
      </c>
      <c r="BR141" s="269">
        <f t="shared" si="405"/>
        <v>4.4545410980982192E-2</v>
      </c>
      <c r="BS141" s="269">
        <f t="shared" si="406"/>
        <v>3.449431348195553E-2</v>
      </c>
      <c r="BT141" s="203"/>
      <c r="BU141" s="203"/>
    </row>
    <row r="142" spans="1:73" ht="12.75" customHeight="1" x14ac:dyDescent="0.35">
      <c r="A142" s="200"/>
      <c r="B142" s="267"/>
      <c r="C142" s="267"/>
      <c r="D142" s="267"/>
      <c r="E142" s="267"/>
      <c r="F142" s="204"/>
      <c r="G142" s="204"/>
      <c r="H142" s="204"/>
      <c r="I142" s="359"/>
      <c r="J142" s="359"/>
      <c r="K142" s="359"/>
      <c r="L142" s="359"/>
      <c r="M142" s="359"/>
      <c r="N142" s="359"/>
      <c r="O142" s="359"/>
      <c r="P142" s="359"/>
      <c r="Q142" s="359"/>
      <c r="R142" s="359"/>
      <c r="S142" s="359"/>
      <c r="T142" s="359"/>
      <c r="U142" s="359"/>
      <c r="V142" s="359"/>
      <c r="W142" s="359"/>
      <c r="X142" s="359"/>
      <c r="Y142" s="359"/>
      <c r="Z142" s="359"/>
      <c r="AA142" s="359"/>
      <c r="AB142" s="359"/>
      <c r="AC142" s="359"/>
      <c r="AD142" s="359"/>
      <c r="AE142" s="359"/>
      <c r="AF142" s="359"/>
      <c r="AG142" s="359"/>
      <c r="AH142" s="359"/>
      <c r="AI142" s="359"/>
      <c r="AJ142" s="359"/>
      <c r="AK142" s="359"/>
      <c r="AL142" s="359"/>
      <c r="AM142" s="359"/>
      <c r="AN142" s="359"/>
      <c r="AO142" s="359"/>
      <c r="AP142" s="359"/>
      <c r="AQ142" s="359"/>
      <c r="AR142" s="359"/>
      <c r="AS142" s="359"/>
      <c r="AT142" s="359"/>
      <c r="AU142" s="359"/>
      <c r="AV142" s="359"/>
      <c r="AW142" s="359"/>
      <c r="AX142" s="359"/>
      <c r="AY142" s="359"/>
      <c r="AZ142" s="359"/>
      <c r="BA142" s="359"/>
      <c r="BB142" s="359"/>
      <c r="BC142" s="359"/>
      <c r="BD142" s="359"/>
      <c r="BE142" s="359"/>
      <c r="BF142" s="359"/>
      <c r="BG142" s="359"/>
      <c r="BH142" s="359"/>
      <c r="BI142" s="359"/>
      <c r="BJ142" s="359"/>
      <c r="BK142" s="359"/>
      <c r="BL142" s="359"/>
      <c r="BM142" s="355"/>
      <c r="BN142" s="355"/>
      <c r="BO142" s="355"/>
      <c r="BP142" s="355"/>
      <c r="BQ142" s="355"/>
      <c r="BR142" s="355"/>
      <c r="BS142" s="355"/>
      <c r="BT142" s="203"/>
      <c r="BU142" s="203"/>
    </row>
    <row r="143" spans="1:73" ht="12.75" customHeight="1" x14ac:dyDescent="0.35">
      <c r="A143" s="200"/>
      <c r="B143" s="267" t="s">
        <v>192</v>
      </c>
      <c r="C143" s="267"/>
      <c r="D143" s="267"/>
      <c r="E143" s="267"/>
      <c r="F143" s="204"/>
      <c r="G143" s="204"/>
      <c r="H143" s="204"/>
      <c r="I143" s="359"/>
      <c r="J143" s="359"/>
      <c r="K143" s="359"/>
      <c r="L143" s="359"/>
      <c r="M143" s="359"/>
      <c r="N143" s="359"/>
      <c r="O143" s="359">
        <f t="shared" ref="O143:AL143" si="407">IF(ISERR(O53/K53-1),"-",O53/K53-1)</f>
        <v>0.8912354652298351</v>
      </c>
      <c r="P143" s="359">
        <f t="shared" si="407"/>
        <v>1.2505159891879756</v>
      </c>
      <c r="Q143" s="359">
        <f t="shared" si="407"/>
        <v>0.31028577555235448</v>
      </c>
      <c r="R143" s="359">
        <f t="shared" si="407"/>
        <v>-0.2929274017915845</v>
      </c>
      <c r="S143" s="359">
        <f t="shared" si="407"/>
        <v>-0.41485965723300866</v>
      </c>
      <c r="T143" s="359">
        <f t="shared" si="407"/>
        <v>0.12540609704554107</v>
      </c>
      <c r="U143" s="359">
        <f t="shared" si="407"/>
        <v>0.36566752318839724</v>
      </c>
      <c r="V143" s="359">
        <f t="shared" si="407"/>
        <v>2.3540349243473333</v>
      </c>
      <c r="W143" s="359">
        <f t="shared" si="407"/>
        <v>1.4434970383880055</v>
      </c>
      <c r="X143" s="359">
        <f t="shared" si="407"/>
        <v>2.5833847987804179</v>
      </c>
      <c r="Y143" s="359">
        <f t="shared" si="407"/>
        <v>0.54178486997635922</v>
      </c>
      <c r="Z143" s="359">
        <f t="shared" si="407"/>
        <v>-0.88054242723812848</v>
      </c>
      <c r="AA143" s="359">
        <f t="shared" si="407"/>
        <v>1.1341683661847384</v>
      </c>
      <c r="AB143" s="359">
        <f t="shared" si="407"/>
        <v>-0.6167695224626204</v>
      </c>
      <c r="AC143" s="359">
        <f t="shared" si="407"/>
        <v>6.8724356327549918E-2</v>
      </c>
      <c r="AD143" s="359">
        <f t="shared" si="407"/>
        <v>2.3197200830767466</v>
      </c>
      <c r="AE143" s="359">
        <f t="shared" si="407"/>
        <v>9.2197365089959238E-2</v>
      </c>
      <c r="AF143" s="359">
        <f t="shared" si="407"/>
        <v>-8.3552309263905555E-2</v>
      </c>
      <c r="AG143" s="359">
        <f t="shared" si="407"/>
        <v>8.6028655220143468E-2</v>
      </c>
      <c r="AH143" s="359">
        <f t="shared" si="407"/>
        <v>3.3330850268501466E-2</v>
      </c>
      <c r="AI143" s="359">
        <f t="shared" si="407"/>
        <v>9.8000932263373031E-2</v>
      </c>
      <c r="AJ143" s="359">
        <f t="shared" si="407"/>
        <v>-3.2222176087843613E-2</v>
      </c>
      <c r="AK143" s="359">
        <f t="shared" si="407"/>
        <v>9.8240798403725238E-2</v>
      </c>
      <c r="AL143" s="359">
        <f t="shared" si="407"/>
        <v>-3.3912343947917978E-2</v>
      </c>
      <c r="AM143" s="359"/>
      <c r="AN143" s="359" t="str">
        <f t="shared" ref="AN143:BC143" si="408">IF(ISERR(AN53/AJ53-1),"-",AN53/AJ53-1)</f>
        <v>-</v>
      </c>
      <c r="AO143" s="359" t="str">
        <f t="shared" si="408"/>
        <v>-</v>
      </c>
      <c r="AP143" s="359" t="str">
        <f t="shared" si="408"/>
        <v>-</v>
      </c>
      <c r="AQ143" s="359" t="str">
        <f t="shared" si="408"/>
        <v>-</v>
      </c>
      <c r="AR143" s="359" t="str">
        <f t="shared" si="408"/>
        <v>-</v>
      </c>
      <c r="AS143" s="359" t="str">
        <f t="shared" si="408"/>
        <v>-</v>
      </c>
      <c r="AT143" s="359" t="str">
        <f t="shared" si="408"/>
        <v>-</v>
      </c>
      <c r="AU143" s="359" t="str">
        <f t="shared" si="408"/>
        <v>-</v>
      </c>
      <c r="AV143" s="359" t="str">
        <f t="shared" si="408"/>
        <v>-</v>
      </c>
      <c r="AW143" s="359" t="str">
        <f t="shared" si="408"/>
        <v>-</v>
      </c>
      <c r="AX143" s="359" t="str">
        <f t="shared" si="408"/>
        <v>-</v>
      </c>
      <c r="AY143" s="359" t="str">
        <f t="shared" si="408"/>
        <v>-</v>
      </c>
      <c r="AZ143" s="359" t="str">
        <f t="shared" si="408"/>
        <v>-</v>
      </c>
      <c r="BA143" s="359" t="str">
        <f t="shared" si="408"/>
        <v>-</v>
      </c>
      <c r="BB143" s="359" t="str">
        <f t="shared" si="408"/>
        <v>-</v>
      </c>
      <c r="BC143" s="359" t="str">
        <f t="shared" si="408"/>
        <v>-</v>
      </c>
      <c r="BD143" s="359"/>
      <c r="BE143" s="359"/>
      <c r="BF143" s="359">
        <f t="shared" ref="BF143:BL143" si="409">IF(ISERR(BF53/BE53-1),"-",BF53/BE53-1)</f>
        <v>-0.39739948036983264</v>
      </c>
      <c r="BG143" s="359">
        <f t="shared" si="409"/>
        <v>0.43300976594423757</v>
      </c>
      <c r="BH143" s="359">
        <f t="shared" si="409"/>
        <v>0.35687614545578561</v>
      </c>
      <c r="BI143" s="359">
        <f t="shared" si="409"/>
        <v>0.66988456279673181</v>
      </c>
      <c r="BJ143" s="359">
        <f t="shared" si="409"/>
        <v>-3.4103123534220403E-2</v>
      </c>
      <c r="BK143" s="359">
        <f t="shared" si="409"/>
        <v>5.0324732720781418E-2</v>
      </c>
      <c r="BL143" s="359">
        <f t="shared" si="409"/>
        <v>6.5698599631784038E-2</v>
      </c>
      <c r="BM143" s="359">
        <f t="shared" ref="BM143" si="410">IF(ISERR(BM53/BL53-1),"-",BM53/BL53-1)</f>
        <v>0.13171796122063761</v>
      </c>
      <c r="BN143" s="359">
        <f t="shared" ref="BN143" si="411">IF(ISERR(BN53/BM53-1),"-",BN53/BM53-1)</f>
        <v>0.11131818968085216</v>
      </c>
      <c r="BO143" s="359">
        <f t="shared" ref="BO143" si="412">IF(ISERR(BO53/BN53-1),"-",BO53/BN53-1)</f>
        <v>9.0730921889358829E-2</v>
      </c>
      <c r="BP143" s="359">
        <f t="shared" ref="BP143" si="413">IF(ISERR(BP53/BO53-1),"-",BP53/BO53-1)</f>
        <v>7.2325465620181939E-2</v>
      </c>
      <c r="BQ143" s="359">
        <f t="shared" ref="BQ143" si="414">IF(ISERR(BQ53/BP53-1),"-",BQ53/BP53-1)</f>
        <v>5.6899713800025564E-2</v>
      </c>
      <c r="BR143" s="359">
        <f t="shared" ref="BR143" si="415">IF(ISERR(BR53/BQ53-1),"-",BR53/BQ53-1)</f>
        <v>4.4545410980982192E-2</v>
      </c>
      <c r="BS143" s="359">
        <f t="shared" ref="BS143" si="416">IF(ISERR(BS53/BR53-1),"-",BS53/BR53-1)</f>
        <v>3.4494313481955308E-2</v>
      </c>
      <c r="BT143" s="203"/>
      <c r="BU143" s="203"/>
    </row>
    <row r="144" spans="1:73" ht="12.75" customHeight="1" x14ac:dyDescent="0.35">
      <c r="A144" s="200"/>
      <c r="B144" s="267" t="s">
        <v>193</v>
      </c>
      <c r="C144" s="267"/>
      <c r="D144" s="267"/>
      <c r="E144" s="267"/>
      <c r="F144" s="204"/>
      <c r="G144" s="204"/>
      <c r="H144" s="204"/>
      <c r="I144" s="359"/>
      <c r="J144" s="359"/>
      <c r="K144" s="359"/>
      <c r="L144" s="359"/>
      <c r="M144" s="359"/>
      <c r="N144" s="359"/>
      <c r="O144" s="359">
        <f t="shared" ref="O144:AL144" si="417">IF(ISERR(O56/K56-1),"-",O56/K56-1)</f>
        <v>0.92157166918504063</v>
      </c>
      <c r="P144" s="359">
        <f t="shared" si="417"/>
        <v>1.2812721136813616</v>
      </c>
      <c r="Q144" s="359">
        <f t="shared" si="417"/>
        <v>0.32556413385284988</v>
      </c>
      <c r="R144" s="359">
        <f t="shared" si="417"/>
        <v>-0.29015424451145655</v>
      </c>
      <c r="S144" s="359">
        <f t="shared" si="417"/>
        <v>-0.41244585711263182</v>
      </c>
      <c r="T144" s="359">
        <f t="shared" si="417"/>
        <v>0.13041203662065293</v>
      </c>
      <c r="U144" s="359">
        <f t="shared" si="417"/>
        <v>0.37634155432162153</v>
      </c>
      <c r="V144" s="359">
        <f t="shared" si="417"/>
        <v>2.3712048879533554</v>
      </c>
      <c r="W144" s="359">
        <f t="shared" si="417"/>
        <v>1.4518306611685139</v>
      </c>
      <c r="X144" s="359">
        <f t="shared" si="417"/>
        <v>2.5946303817097336</v>
      </c>
      <c r="Y144" s="359">
        <f t="shared" si="417"/>
        <v>0.53995484338359367</v>
      </c>
      <c r="Z144" s="359">
        <f t="shared" si="417"/>
        <v>-0.88249162231778744</v>
      </c>
      <c r="AA144" s="359">
        <f t="shared" si="417"/>
        <v>1.1310413670847268</v>
      </c>
      <c r="AB144" s="359">
        <f t="shared" si="417"/>
        <v>-0.61785122869525488</v>
      </c>
      <c r="AC144" s="359">
        <f t="shared" si="417"/>
        <v>6.7927067933528651E-2</v>
      </c>
      <c r="AD144" s="359">
        <f t="shared" si="417"/>
        <v>2.3785057030245809</v>
      </c>
      <c r="AE144" s="359">
        <f t="shared" si="417"/>
        <v>9.1268716167834052E-2</v>
      </c>
      <c r="AF144" s="359">
        <f t="shared" si="417"/>
        <v>-8.3552309263905555E-2</v>
      </c>
      <c r="AG144" s="359">
        <f t="shared" si="417"/>
        <v>8.6028655220143246E-2</v>
      </c>
      <c r="AH144" s="359">
        <f t="shared" si="417"/>
        <v>3.3330850268501688E-2</v>
      </c>
      <c r="AI144" s="359">
        <f t="shared" si="417"/>
        <v>9.8000932263372809E-2</v>
      </c>
      <c r="AJ144" s="359">
        <f t="shared" si="417"/>
        <v>-3.2222176087843613E-2</v>
      </c>
      <c r="AK144" s="359">
        <f t="shared" si="417"/>
        <v>9.824079840372546E-2</v>
      </c>
      <c r="AL144" s="359">
        <f t="shared" si="417"/>
        <v>-3.3912343947917978E-2</v>
      </c>
      <c r="AM144" s="359"/>
      <c r="AN144" s="359" t="str">
        <f t="shared" ref="AN144:BC144" si="418">IF(ISERR(AN56/AJ56-1),"-",AN56/AJ56-1)</f>
        <v>-</v>
      </c>
      <c r="AO144" s="359" t="str">
        <f t="shared" si="418"/>
        <v>-</v>
      </c>
      <c r="AP144" s="359" t="str">
        <f t="shared" si="418"/>
        <v>-</v>
      </c>
      <c r="AQ144" s="359" t="str">
        <f t="shared" si="418"/>
        <v>-</v>
      </c>
      <c r="AR144" s="359" t="str">
        <f t="shared" si="418"/>
        <v>-</v>
      </c>
      <c r="AS144" s="359" t="str">
        <f t="shared" si="418"/>
        <v>-</v>
      </c>
      <c r="AT144" s="359" t="str">
        <f t="shared" si="418"/>
        <v>-</v>
      </c>
      <c r="AU144" s="359" t="str">
        <f t="shared" si="418"/>
        <v>-</v>
      </c>
      <c r="AV144" s="359" t="str">
        <f t="shared" si="418"/>
        <v>-</v>
      </c>
      <c r="AW144" s="359" t="str">
        <f t="shared" si="418"/>
        <v>-</v>
      </c>
      <c r="AX144" s="359" t="str">
        <f t="shared" si="418"/>
        <v>-</v>
      </c>
      <c r="AY144" s="359" t="str">
        <f t="shared" si="418"/>
        <v>-</v>
      </c>
      <c r="AZ144" s="359" t="str">
        <f t="shared" si="418"/>
        <v>-</v>
      </c>
      <c r="BA144" s="359" t="str">
        <f t="shared" si="418"/>
        <v>-</v>
      </c>
      <c r="BB144" s="359" t="str">
        <f t="shared" si="418"/>
        <v>-</v>
      </c>
      <c r="BC144" s="359" t="str">
        <f t="shared" si="418"/>
        <v>-</v>
      </c>
      <c r="BD144" s="359"/>
      <c r="BE144" s="359"/>
      <c r="BF144" s="359">
        <f t="shared" ref="BF144:BL144" si="419">IF(ISERR(BF56/BE56-1),"-",BF56/BE56-1)</f>
        <v>-0.39143181974668806</v>
      </c>
      <c r="BG144" s="359">
        <f t="shared" si="419"/>
        <v>0.44669494941519883</v>
      </c>
      <c r="BH144" s="359">
        <f t="shared" si="419"/>
        <v>0.36443017458326765</v>
      </c>
      <c r="BI144" s="359">
        <f t="shared" si="419"/>
        <v>0.6716266337736625</v>
      </c>
      <c r="BJ144" s="359">
        <f t="shared" si="419"/>
        <v>-3.4103123534220403E-2</v>
      </c>
      <c r="BK144" s="359">
        <f t="shared" si="419"/>
        <v>5.032473272078164E-2</v>
      </c>
      <c r="BL144" s="359">
        <f t="shared" si="419"/>
        <v>6.5698599631784038E-2</v>
      </c>
      <c r="BM144" s="359">
        <f t="shared" ref="BM144" si="420">IF(ISERR(BM56/BL56-1),"-",BM56/BL56-1)</f>
        <v>0.13171796122063761</v>
      </c>
      <c r="BN144" s="359">
        <f t="shared" ref="BN144" si="421">IF(ISERR(BN56/BM56-1),"-",BN56/BM56-1)</f>
        <v>0.11131818968085216</v>
      </c>
      <c r="BO144" s="359">
        <f t="shared" ref="BO144" si="422">IF(ISERR(BO56/BN56-1),"-",BO56/BN56-1)</f>
        <v>9.0730921889358829E-2</v>
      </c>
      <c r="BP144" s="359">
        <f t="shared" ref="BP144" si="423">IF(ISERR(BP56/BO56-1),"-",BP56/BO56-1)</f>
        <v>7.2325465620181939E-2</v>
      </c>
      <c r="BQ144" s="359">
        <f t="shared" ref="BQ144" si="424">IF(ISERR(BQ56/BP56-1),"-",BQ56/BP56-1)</f>
        <v>5.6899713800025342E-2</v>
      </c>
      <c r="BR144" s="359">
        <f t="shared" ref="BR144" si="425">IF(ISERR(BR56/BQ56-1),"-",BR56/BQ56-1)</f>
        <v>4.4545410980982192E-2</v>
      </c>
      <c r="BS144" s="359">
        <f t="shared" ref="BS144" si="426">IF(ISERR(BS56/BR56-1),"-",BS56/BR56-1)</f>
        <v>3.449431348195553E-2</v>
      </c>
      <c r="BT144" s="203"/>
      <c r="BU144" s="203"/>
    </row>
    <row r="145" spans="1:71" ht="13.9" x14ac:dyDescent="0.35">
      <c r="A145" s="200"/>
      <c r="B145" s="267"/>
      <c r="C145" s="267"/>
      <c r="D145" s="267"/>
      <c r="E145" s="267"/>
      <c r="F145" s="141"/>
      <c r="G145" s="141"/>
      <c r="H145" s="141"/>
      <c r="I145" s="141"/>
      <c r="J145" s="141"/>
      <c r="K145" s="141"/>
      <c r="L145" s="281"/>
      <c r="M145" s="281"/>
      <c r="N145" s="281"/>
      <c r="O145" s="281"/>
      <c r="P145" s="281"/>
      <c r="Q145" s="281"/>
      <c r="R145" s="281"/>
      <c r="S145" s="281"/>
      <c r="T145" s="281"/>
      <c r="U145" s="281"/>
      <c r="V145" s="281"/>
      <c r="W145" s="281"/>
      <c r="X145" s="281"/>
      <c r="Y145" s="281"/>
      <c r="Z145" s="281"/>
      <c r="AA145" s="281"/>
      <c r="AB145" s="281"/>
      <c r="AC145" s="281"/>
      <c r="AD145" s="281"/>
      <c r="AE145" s="281"/>
      <c r="AF145" s="281"/>
      <c r="AG145" s="281"/>
      <c r="AH145" s="281"/>
      <c r="AI145" s="281"/>
      <c r="AJ145" s="281"/>
      <c r="AK145" s="281"/>
      <c r="AL145" s="281"/>
      <c r="AM145" s="281"/>
      <c r="AN145" s="281"/>
      <c r="AO145" s="281"/>
      <c r="AP145" s="281"/>
      <c r="AQ145" s="281"/>
      <c r="AR145" s="281"/>
      <c r="AS145" s="281"/>
      <c r="AT145" s="281"/>
      <c r="AU145" s="281"/>
      <c r="AV145" s="281"/>
      <c r="AW145" s="281"/>
      <c r="AX145" s="281"/>
      <c r="AY145" s="281"/>
      <c r="AZ145" s="281"/>
      <c r="BA145" s="281"/>
      <c r="BB145" s="281"/>
      <c r="BC145" s="141"/>
      <c r="BD145" s="141"/>
      <c r="BE145" s="141"/>
      <c r="BF145" s="141"/>
      <c r="BG145" s="141"/>
      <c r="BH145" s="141"/>
      <c r="BI145" s="141"/>
      <c r="BJ145" s="141"/>
      <c r="BK145" s="141"/>
      <c r="BL145" s="141"/>
      <c r="BM145" s="143"/>
      <c r="BN145" s="143"/>
      <c r="BO145" s="143"/>
      <c r="BP145" s="143"/>
      <c r="BQ145" s="143"/>
      <c r="BR145" s="143"/>
      <c r="BS145" s="143"/>
    </row>
    <row r="146" spans="1:71" ht="13.9" x14ac:dyDescent="0.35">
      <c r="A146" s="200"/>
      <c r="B146" s="267"/>
      <c r="C146" s="267"/>
      <c r="D146" s="267"/>
      <c r="E146" s="267"/>
      <c r="F146" s="141"/>
      <c r="G146" s="141"/>
      <c r="H146" s="141"/>
      <c r="I146" s="141"/>
      <c r="J146" s="141"/>
      <c r="K146" s="141"/>
      <c r="L146" s="281"/>
      <c r="M146" s="281"/>
      <c r="N146" s="281"/>
      <c r="O146" s="281"/>
      <c r="P146" s="281"/>
      <c r="Q146" s="281"/>
      <c r="R146" s="281"/>
      <c r="S146" s="281"/>
      <c r="T146" s="281"/>
      <c r="U146" s="281"/>
      <c r="V146" s="281"/>
      <c r="W146" s="281"/>
      <c r="X146" s="281"/>
      <c r="Y146" s="281"/>
      <c r="Z146" s="281"/>
      <c r="AA146" s="281"/>
      <c r="AB146" s="281"/>
      <c r="AC146" s="281"/>
      <c r="AD146" s="281"/>
      <c r="AE146" s="281"/>
      <c r="AF146" s="281"/>
      <c r="AG146" s="281"/>
      <c r="AH146" s="281"/>
      <c r="AI146" s="281"/>
      <c r="AJ146" s="281"/>
      <c r="AK146" s="281"/>
      <c r="AL146" s="281"/>
      <c r="AM146" s="281"/>
      <c r="AN146" s="281"/>
      <c r="AO146" s="281"/>
      <c r="AP146" s="281"/>
      <c r="AQ146" s="281"/>
      <c r="AR146" s="281"/>
      <c r="AS146" s="281"/>
      <c r="AT146" s="281"/>
      <c r="AU146" s="281"/>
      <c r="AV146" s="281"/>
      <c r="AW146" s="281"/>
      <c r="AX146" s="281"/>
      <c r="AY146" s="281"/>
      <c r="AZ146" s="281"/>
      <c r="BA146" s="281"/>
      <c r="BB146" s="281"/>
      <c r="BC146" s="141"/>
      <c r="BD146" s="141"/>
      <c r="BE146" s="141"/>
      <c r="BF146" s="141"/>
      <c r="BG146" s="141"/>
      <c r="BH146" s="141"/>
      <c r="BI146" s="141"/>
      <c r="BJ146" s="141"/>
      <c r="BK146" s="141"/>
      <c r="BL146" s="141"/>
      <c r="BM146" s="143"/>
      <c r="BN146" s="143"/>
      <c r="BO146" s="143"/>
      <c r="BP146" s="143"/>
      <c r="BQ146" s="143"/>
      <c r="BR146" s="143"/>
      <c r="BS146" s="143"/>
    </row>
    <row r="147" spans="1:71" ht="13.9" x14ac:dyDescent="0.35">
      <c r="A147" s="200"/>
      <c r="B147" s="267"/>
      <c r="C147" s="267"/>
      <c r="D147" s="267"/>
      <c r="E147" s="267"/>
      <c r="F147" s="141"/>
      <c r="G147" s="141"/>
      <c r="H147" s="141"/>
      <c r="I147" s="141"/>
      <c r="J147" s="141"/>
      <c r="K147" s="141"/>
      <c r="L147" s="281"/>
      <c r="M147" s="281"/>
      <c r="N147" s="281"/>
      <c r="O147" s="281"/>
      <c r="P147" s="281"/>
      <c r="Q147" s="281"/>
      <c r="R147" s="281"/>
      <c r="S147" s="281"/>
      <c r="T147" s="281"/>
      <c r="U147" s="281"/>
      <c r="V147" s="281"/>
      <c r="W147" s="281"/>
      <c r="X147" s="281"/>
      <c r="Y147" s="281"/>
      <c r="Z147" s="281"/>
      <c r="AA147" s="281"/>
      <c r="AB147" s="281"/>
      <c r="AC147" s="281"/>
      <c r="AD147" s="281"/>
      <c r="AE147" s="281"/>
      <c r="AF147" s="281"/>
      <c r="AG147" s="281"/>
      <c r="AH147" s="281"/>
      <c r="AI147" s="281"/>
      <c r="AJ147" s="281"/>
      <c r="AK147" s="281"/>
      <c r="AL147" s="281"/>
      <c r="AM147" s="281"/>
      <c r="AN147" s="281"/>
      <c r="AO147" s="281"/>
      <c r="AP147" s="281"/>
      <c r="AQ147" s="281"/>
      <c r="AR147" s="281"/>
      <c r="AS147" s="281"/>
      <c r="AT147" s="281"/>
      <c r="AU147" s="281"/>
      <c r="AV147" s="281"/>
      <c r="AW147" s="281"/>
      <c r="AX147" s="281"/>
      <c r="AY147" s="281"/>
      <c r="AZ147" s="281"/>
      <c r="BA147" s="281"/>
      <c r="BB147" s="281"/>
      <c r="BC147" s="141"/>
      <c r="BD147" s="141"/>
      <c r="BE147" s="141"/>
      <c r="BF147" s="141"/>
      <c r="BG147" s="141"/>
      <c r="BH147" s="141"/>
      <c r="BI147" s="141"/>
      <c r="BJ147" s="141"/>
      <c r="BK147" s="141"/>
      <c r="BL147" s="141"/>
      <c r="BM147" s="143"/>
      <c r="BN147" s="143"/>
      <c r="BO147" s="143"/>
      <c r="BP147" s="143"/>
      <c r="BQ147" s="143"/>
      <c r="BR147" s="143"/>
      <c r="BS147" s="143"/>
    </row>
    <row r="148" spans="1:71" ht="13.9" x14ac:dyDescent="0.35">
      <c r="A148" s="200"/>
      <c r="B148" s="264"/>
      <c r="C148" s="264"/>
      <c r="D148" s="264"/>
      <c r="E148" s="264"/>
      <c r="F148" s="141"/>
      <c r="G148" s="141"/>
      <c r="H148" s="141"/>
      <c r="I148" s="141"/>
      <c r="J148" s="141"/>
      <c r="K148" s="141"/>
      <c r="L148" s="281"/>
      <c r="M148" s="281"/>
      <c r="N148" s="281"/>
      <c r="O148" s="281"/>
      <c r="P148" s="281"/>
      <c r="Q148" s="281"/>
      <c r="R148" s="281"/>
      <c r="S148" s="281"/>
      <c r="T148" s="281"/>
      <c r="U148" s="281"/>
      <c r="V148" s="281"/>
      <c r="W148" s="281"/>
      <c r="X148" s="281"/>
      <c r="Y148" s="281"/>
      <c r="Z148" s="281"/>
      <c r="AA148" s="281"/>
      <c r="AB148" s="281"/>
      <c r="AC148" s="281"/>
      <c r="AD148" s="281"/>
      <c r="AE148" s="281"/>
      <c r="AF148" s="281"/>
      <c r="AG148" s="281"/>
      <c r="AH148" s="281"/>
      <c r="AI148" s="281"/>
      <c r="AJ148" s="281"/>
      <c r="AK148" s="281"/>
      <c r="AL148" s="281"/>
      <c r="AM148" s="281"/>
      <c r="AN148" s="281"/>
      <c r="AO148" s="281"/>
      <c r="AP148" s="281"/>
      <c r="AQ148" s="281"/>
      <c r="AR148" s="281"/>
      <c r="AS148" s="281"/>
      <c r="AT148" s="281"/>
      <c r="AU148" s="281"/>
      <c r="AV148" s="281"/>
      <c r="AW148" s="281"/>
      <c r="AX148" s="281"/>
      <c r="AY148" s="281"/>
      <c r="AZ148" s="281"/>
      <c r="BA148" s="281"/>
      <c r="BB148" s="281"/>
      <c r="BC148" s="141"/>
      <c r="BD148" s="141"/>
      <c r="BE148" s="141"/>
      <c r="BF148" s="141"/>
      <c r="BG148" s="141"/>
      <c r="BH148" s="141"/>
      <c r="BI148" s="141"/>
      <c r="BJ148" s="141"/>
      <c r="BK148" s="141"/>
      <c r="BL148" s="141"/>
      <c r="BM148" s="143"/>
      <c r="BN148" s="143"/>
      <c r="BO148" s="143"/>
      <c r="BP148" s="143"/>
      <c r="BQ148" s="143"/>
      <c r="BR148" s="143"/>
      <c r="BS148" s="143"/>
    </row>
    <row r="198" spans="40:55" x14ac:dyDescent="0.3">
      <c r="AN198" s="443">
        <f>[32]PnL!AP183</f>
        <v>0</v>
      </c>
      <c r="AO198" s="443">
        <f>[32]PnL!AQ183</f>
        <v>0</v>
      </c>
      <c r="AP198" s="443">
        <f>[32]PnL!AR183</f>
        <v>0</v>
      </c>
      <c r="AQ198" s="443">
        <f>[32]PnL!AS183</f>
        <v>0</v>
      </c>
      <c r="AR198" s="443">
        <f>[32]PnL!AT183</f>
        <v>0</v>
      </c>
      <c r="AS198" s="443">
        <f>[32]PnL!AU183</f>
        <v>0</v>
      </c>
      <c r="AT198" s="443">
        <f>[32]PnL!AV183</f>
        <v>0</v>
      </c>
      <c r="AU198" s="443">
        <f>[32]PnL!AW183</f>
        <v>0</v>
      </c>
      <c r="AV198" s="443">
        <f>[32]PnL!AX183</f>
        <v>0</v>
      </c>
      <c r="AW198" s="443">
        <f>[32]PnL!AY183</f>
        <v>0</v>
      </c>
      <c r="AX198" s="443">
        <f>[32]PnL!AZ183</f>
        <v>0</v>
      </c>
      <c r="AY198" s="443">
        <f>[32]PnL!BA183</f>
        <v>0</v>
      </c>
      <c r="AZ198" s="443">
        <f>[32]PnL!BB183</f>
        <v>0</v>
      </c>
      <c r="BA198" s="443">
        <f>[32]PnL!BC183</f>
        <v>0</v>
      </c>
      <c r="BB198" s="443">
        <f>[32]PnL!BD183</f>
        <v>0</v>
      </c>
      <c r="BC198" s="443">
        <f>[32]PnL!BE183</f>
        <v>0</v>
      </c>
    </row>
    <row r="199" spans="40:55" x14ac:dyDescent="0.3">
      <c r="AN199" s="443">
        <f>[32]PnL!AP184</f>
        <v>0</v>
      </c>
      <c r="AO199" s="443">
        <f>[32]PnL!AQ184</f>
        <v>0</v>
      </c>
      <c r="AP199" s="443">
        <f>[32]PnL!AR184</f>
        <v>0</v>
      </c>
      <c r="AQ199" s="443">
        <f>[32]PnL!AS184</f>
        <v>0</v>
      </c>
      <c r="AR199" s="443">
        <f>[32]PnL!AT184</f>
        <v>0</v>
      </c>
      <c r="AS199" s="443">
        <f>[32]PnL!AU184</f>
        <v>0</v>
      </c>
      <c r="AT199" s="443">
        <f>[32]PnL!AV184</f>
        <v>0</v>
      </c>
      <c r="AU199" s="443">
        <f>[32]PnL!AW184</f>
        <v>0</v>
      </c>
      <c r="AV199" s="443">
        <f>[32]PnL!AX184</f>
        <v>0</v>
      </c>
      <c r="AW199" s="443">
        <f>[32]PnL!AY184</f>
        <v>0</v>
      </c>
      <c r="AX199" s="443">
        <f>[32]PnL!AZ184</f>
        <v>0</v>
      </c>
      <c r="AY199" s="443">
        <f>[32]PnL!BA184</f>
        <v>0</v>
      </c>
      <c r="AZ199" s="443">
        <f>[32]PnL!BB184</f>
        <v>0</v>
      </c>
      <c r="BA199" s="443">
        <f>[32]PnL!BC184</f>
        <v>0</v>
      </c>
      <c r="BB199" s="443">
        <f>[32]PnL!BD184</f>
        <v>0</v>
      </c>
      <c r="BC199" s="443">
        <f>[32]PnL!BE184</f>
        <v>0</v>
      </c>
    </row>
  </sheetData>
  <phoneticPr fontId="4" type="noConversion"/>
  <pageMargins left="0.7" right="0.7" top="0.75" bottom="0.75" header="0.3" footer="0.3"/>
  <ignoredErrors>
    <ignoredError sqref="BM21:BS21" formula="1"/>
  </ignoredErrors>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BP334"/>
  <sheetViews>
    <sheetView tabSelected="1" zoomScale="120" zoomScaleNormal="120" workbookViewId="0">
      <pane xSplit="2" ySplit="6" topLeftCell="AY188" activePane="bottomRight" state="frozen"/>
      <selection pane="topRight" activeCell="C1" sqref="C1"/>
      <selection pane="bottomLeft" activeCell="A7" sqref="A7"/>
      <selection pane="bottomRight" activeCell="BB206" sqref="BB206"/>
    </sheetView>
  </sheetViews>
  <sheetFormatPr defaultColWidth="9" defaultRowHeight="12" customHeight="1" outlineLevelRow="2" outlineLevelCol="1" x14ac:dyDescent="0.35"/>
  <cols>
    <col min="1" max="1" width="2.1328125" style="493" customWidth="1"/>
    <col min="2" max="2" width="34.3984375" style="598" customWidth="1"/>
    <col min="3" max="18" width="9" style="493" hidden="1" customWidth="1" outlineLevel="1"/>
    <col min="19" max="19" width="10" style="493" customWidth="1" collapsed="1"/>
    <col min="20" max="20" width="10" style="493" hidden="1" customWidth="1" outlineLevel="1"/>
    <col min="21" max="22" width="9.86328125" style="493" hidden="1" customWidth="1" outlineLevel="1"/>
    <col min="23" max="25" width="9" style="493" hidden="1" customWidth="1" outlineLevel="1"/>
    <col min="26" max="26" width="9.59765625" style="493" customWidth="1" collapsed="1"/>
    <col min="27" max="27" width="9.73046875" style="493" customWidth="1"/>
    <col min="28" max="30" width="9.59765625" style="493" customWidth="1"/>
    <col min="31" max="42" width="9" style="493" customWidth="1"/>
    <col min="43" max="43" width="8.3984375" style="555" customWidth="1"/>
    <col min="44" max="44" width="8.3984375" style="556" customWidth="1"/>
    <col min="45" max="45" width="8.3984375" style="514" customWidth="1"/>
    <col min="46" max="48" width="7.59765625" style="493" hidden="1" customWidth="1" outlineLevel="1"/>
    <col min="49" max="50" width="8.86328125" style="493" hidden="1" customWidth="1" outlineLevel="1"/>
    <col min="51" max="51" width="9.86328125" style="493" customWidth="1" collapsed="1"/>
    <col min="52" max="62" width="9.86328125" style="493" customWidth="1"/>
    <col min="63" max="63" width="39.3984375" style="493" customWidth="1"/>
    <col min="64" max="65" width="9.59765625" style="493" hidden="1" customWidth="1" outlineLevel="1"/>
    <col min="66" max="67" width="9" style="493" hidden="1" customWidth="1" outlineLevel="1"/>
    <col min="68" max="68" width="9.1328125" style="493" customWidth="1" collapsed="1"/>
    <col min="69" max="16384" width="9" style="493"/>
  </cols>
  <sheetData>
    <row r="1" spans="2:67" ht="12" customHeight="1" x14ac:dyDescent="0.35">
      <c r="B1" s="484"/>
      <c r="C1" s="485">
        <v>41455</v>
      </c>
      <c r="D1" s="485">
        <v>41547</v>
      </c>
      <c r="E1" s="485">
        <v>41638</v>
      </c>
      <c r="F1" s="485">
        <v>41728</v>
      </c>
      <c r="G1" s="485">
        <v>41820</v>
      </c>
      <c r="H1" s="485">
        <v>41912</v>
      </c>
      <c r="I1" s="485">
        <v>42003</v>
      </c>
      <c r="J1" s="485">
        <v>42093</v>
      </c>
      <c r="K1" s="485">
        <v>42185</v>
      </c>
      <c r="L1" s="485">
        <v>42277</v>
      </c>
      <c r="M1" s="485">
        <v>42368</v>
      </c>
      <c r="N1" s="485">
        <v>42459</v>
      </c>
      <c r="O1" s="486">
        <v>42551</v>
      </c>
      <c r="P1" s="486">
        <v>42643</v>
      </c>
      <c r="Q1" s="486">
        <v>42735</v>
      </c>
      <c r="R1" s="486">
        <v>42825</v>
      </c>
      <c r="S1" s="486">
        <v>42916</v>
      </c>
      <c r="T1" s="486">
        <v>43008</v>
      </c>
      <c r="U1" s="486">
        <v>43099</v>
      </c>
      <c r="V1" s="486">
        <v>43189</v>
      </c>
      <c r="W1" s="486">
        <f>V1+90</f>
        <v>43279</v>
      </c>
      <c r="X1" s="486">
        <f t="shared" ref="X1:AL1" si="0">W1+90</f>
        <v>43369</v>
      </c>
      <c r="Y1" s="486">
        <f t="shared" si="0"/>
        <v>43459</v>
      </c>
      <c r="Z1" s="486">
        <f t="shared" si="0"/>
        <v>43549</v>
      </c>
      <c r="AA1" s="486">
        <f t="shared" si="0"/>
        <v>43639</v>
      </c>
      <c r="AB1" s="486">
        <f t="shared" si="0"/>
        <v>43729</v>
      </c>
      <c r="AC1" s="486">
        <f t="shared" si="0"/>
        <v>43819</v>
      </c>
      <c r="AD1" s="486">
        <f t="shared" si="0"/>
        <v>43909</v>
      </c>
      <c r="AE1" s="486">
        <f t="shared" si="0"/>
        <v>43999</v>
      </c>
      <c r="AF1" s="486">
        <f t="shared" si="0"/>
        <v>44089</v>
      </c>
      <c r="AG1" s="487">
        <f t="shared" si="0"/>
        <v>44179</v>
      </c>
      <c r="AH1" s="487">
        <f t="shared" si="0"/>
        <v>44269</v>
      </c>
      <c r="AI1" s="487">
        <f t="shared" si="0"/>
        <v>44359</v>
      </c>
      <c r="AJ1" s="487">
        <f t="shared" si="0"/>
        <v>44449</v>
      </c>
      <c r="AK1" s="487">
        <f t="shared" si="0"/>
        <v>44539</v>
      </c>
      <c r="AL1" s="487">
        <f t="shared" si="0"/>
        <v>44629</v>
      </c>
      <c r="AM1" s="487">
        <f t="shared" ref="AM1" si="1">AL1+90</f>
        <v>44719</v>
      </c>
      <c r="AN1" s="487">
        <f t="shared" ref="AN1" si="2">AM1+90</f>
        <v>44809</v>
      </c>
      <c r="AO1" s="487">
        <f t="shared" ref="AO1" si="3">AN1+90</f>
        <v>44899</v>
      </c>
      <c r="AP1" s="487">
        <f t="shared" ref="AP1" si="4">AO1+90</f>
        <v>44989</v>
      </c>
      <c r="AQ1" s="2816"/>
      <c r="AR1" s="488"/>
      <c r="AS1" s="489"/>
      <c r="AT1" s="490" t="s">
        <v>402</v>
      </c>
      <c r="AU1" s="490" t="s">
        <v>403</v>
      </c>
      <c r="AV1" s="490" t="s">
        <v>404</v>
      </c>
      <c r="AW1" s="490" t="s">
        <v>405</v>
      </c>
      <c r="AX1" s="490" t="s">
        <v>406</v>
      </c>
      <c r="AY1" s="490" t="s">
        <v>407</v>
      </c>
      <c r="AZ1" s="491" t="s">
        <v>408</v>
      </c>
      <c r="BA1" s="492" t="s">
        <v>409</v>
      </c>
      <c r="BB1" s="492" t="s">
        <v>410</v>
      </c>
      <c r="BC1" s="492" t="s">
        <v>1324</v>
      </c>
      <c r="BD1" s="492" t="s">
        <v>1325</v>
      </c>
      <c r="BE1" s="492" t="s">
        <v>1326</v>
      </c>
      <c r="BF1" s="492" t="s">
        <v>1327</v>
      </c>
      <c r="BG1" s="492" t="s">
        <v>1328</v>
      </c>
      <c r="BH1" s="492" t="s">
        <v>1329</v>
      </c>
      <c r="BI1" s="492" t="s">
        <v>1330</v>
      </c>
      <c r="BJ1" s="492" t="s">
        <v>1331</v>
      </c>
      <c r="BL1" s="487">
        <v>43729</v>
      </c>
      <c r="BM1" s="487">
        <v>43819</v>
      </c>
      <c r="BN1" s="487">
        <v>43999</v>
      </c>
      <c r="BO1" s="487">
        <v>44089</v>
      </c>
    </row>
    <row r="2" spans="2:67" ht="12" customHeight="1" x14ac:dyDescent="0.35">
      <c r="B2" s="494" t="s">
        <v>411</v>
      </c>
      <c r="C2" s="495" t="s">
        <v>412</v>
      </c>
      <c r="D2" s="495" t="s">
        <v>413</v>
      </c>
      <c r="E2" s="495" t="s">
        <v>414</v>
      </c>
      <c r="F2" s="495" t="s">
        <v>415</v>
      </c>
      <c r="G2" s="495" t="s">
        <v>416</v>
      </c>
      <c r="H2" s="495" t="s">
        <v>417</v>
      </c>
      <c r="I2" s="495" t="s">
        <v>418</v>
      </c>
      <c r="J2" s="495" t="s">
        <v>419</v>
      </c>
      <c r="K2" s="495" t="s">
        <v>420</v>
      </c>
      <c r="L2" s="495" t="s">
        <v>421</v>
      </c>
      <c r="M2" s="495" t="s">
        <v>422</v>
      </c>
      <c r="N2" s="495" t="s">
        <v>423</v>
      </c>
      <c r="O2" s="496" t="s">
        <v>424</v>
      </c>
      <c r="P2" s="496" t="s">
        <v>425</v>
      </c>
      <c r="Q2" s="496" t="s">
        <v>426</v>
      </c>
      <c r="R2" s="496" t="s">
        <v>427</v>
      </c>
      <c r="S2" s="496" t="s">
        <v>428</v>
      </c>
      <c r="T2" s="496" t="s">
        <v>429</v>
      </c>
      <c r="U2" s="496" t="s">
        <v>430</v>
      </c>
      <c r="V2" s="496" t="s">
        <v>431</v>
      </c>
      <c r="W2" s="496" t="s">
        <v>432</v>
      </c>
      <c r="X2" s="496" t="s">
        <v>433</v>
      </c>
      <c r="Y2" s="496" t="s">
        <v>434</v>
      </c>
      <c r="Z2" s="496" t="s">
        <v>435</v>
      </c>
      <c r="AA2" s="496" t="s">
        <v>436</v>
      </c>
      <c r="AB2" s="496" t="s">
        <v>437</v>
      </c>
      <c r="AC2" s="496" t="s">
        <v>438</v>
      </c>
      <c r="AD2" s="496" t="s">
        <v>439</v>
      </c>
      <c r="AE2" s="496" t="s">
        <v>440</v>
      </c>
      <c r="AF2" s="496" t="s">
        <v>441</v>
      </c>
      <c r="AG2" s="497" t="s">
        <v>442</v>
      </c>
      <c r="AH2" s="497" t="s">
        <v>443</v>
      </c>
      <c r="AI2" s="497" t="s">
        <v>444</v>
      </c>
      <c r="AJ2" s="497" t="s">
        <v>445</v>
      </c>
      <c r="AK2" s="497" t="s">
        <v>446</v>
      </c>
      <c r="AL2" s="497" t="s">
        <v>447</v>
      </c>
      <c r="AM2" s="497" t="s">
        <v>1320</v>
      </c>
      <c r="AN2" s="497" t="s">
        <v>1321</v>
      </c>
      <c r="AO2" s="497" t="s">
        <v>1322</v>
      </c>
      <c r="AP2" s="497" t="s">
        <v>1323</v>
      </c>
      <c r="AQ2" s="2817"/>
      <c r="AR2" s="498" t="s">
        <v>448</v>
      </c>
      <c r="AS2" s="489"/>
      <c r="AT2" s="499" t="s">
        <v>449</v>
      </c>
      <c r="AU2" s="499" t="s">
        <v>450</v>
      </c>
      <c r="AV2" s="499" t="s">
        <v>451</v>
      </c>
      <c r="AW2" s="499" t="s">
        <v>452</v>
      </c>
      <c r="AX2" s="499" t="s">
        <v>453</v>
      </c>
      <c r="AY2" s="500" t="s">
        <v>454</v>
      </c>
      <c r="AZ2" s="501" t="s">
        <v>455</v>
      </c>
      <c r="BA2" s="502">
        <v>44286</v>
      </c>
      <c r="BB2" s="502">
        <v>44651</v>
      </c>
      <c r="BC2" s="502">
        <v>45016</v>
      </c>
      <c r="BD2" s="502">
        <v>45382</v>
      </c>
      <c r="BE2" s="502">
        <v>45747</v>
      </c>
      <c r="BF2" s="502">
        <v>46112</v>
      </c>
      <c r="BG2" s="502">
        <v>46477</v>
      </c>
      <c r="BH2" s="502">
        <v>46843</v>
      </c>
      <c r="BI2" s="502">
        <v>47208</v>
      </c>
      <c r="BJ2" s="502">
        <v>47573</v>
      </c>
      <c r="BL2" s="497" t="s">
        <v>437</v>
      </c>
      <c r="BM2" s="497" t="s">
        <v>438</v>
      </c>
      <c r="BN2" s="497" t="s">
        <v>440</v>
      </c>
      <c r="BO2" s="497" t="s">
        <v>441</v>
      </c>
    </row>
    <row r="3" spans="2:67" ht="12" customHeight="1" outlineLevel="1" x14ac:dyDescent="0.35">
      <c r="B3" s="503" t="s">
        <v>456</v>
      </c>
      <c r="C3" s="504">
        <v>6.2164000000000001</v>
      </c>
      <c r="D3" s="504">
        <v>6.2164000000000001</v>
      </c>
      <c r="E3" s="504">
        <v>6.2164000000000001</v>
      </c>
      <c r="F3" s="504">
        <v>6.2164000000000001</v>
      </c>
      <c r="G3" s="504">
        <v>6.2035999999999998</v>
      </c>
      <c r="H3" s="504">
        <v>6.1379999999999999</v>
      </c>
      <c r="I3" s="504">
        <v>6.1379999999999999</v>
      </c>
      <c r="J3" s="504">
        <v>6.1379999999999999</v>
      </c>
      <c r="K3" s="504">
        <v>6.2</v>
      </c>
      <c r="L3" s="504">
        <v>6.5</v>
      </c>
      <c r="M3" s="504">
        <v>6.6</v>
      </c>
      <c r="N3" s="504">
        <v>6.6</v>
      </c>
      <c r="O3" s="504">
        <v>6.6</v>
      </c>
      <c r="P3" s="504">
        <v>6.6684999999999999</v>
      </c>
      <c r="Q3" s="504">
        <v>6.9429999999999996</v>
      </c>
      <c r="R3" s="504">
        <v>6.8832000000000004</v>
      </c>
      <c r="S3" s="504">
        <v>6.7793000000000001</v>
      </c>
      <c r="T3" s="504">
        <v>6.6532999999999998</v>
      </c>
      <c r="U3" s="504">
        <v>6.5063000000000004</v>
      </c>
      <c r="V3" s="504">
        <v>6.5063000000000004</v>
      </c>
      <c r="W3" s="505">
        <v>6.617</v>
      </c>
      <c r="X3" s="505">
        <f>85148/12398</f>
        <v>6.8678819164381348</v>
      </c>
      <c r="Y3" s="504">
        <f>30964/4504</f>
        <v>6.874777975133215</v>
      </c>
      <c r="Z3" s="506">
        <v>6.75</v>
      </c>
      <c r="AA3" s="506">
        <v>6.88</v>
      </c>
      <c r="AB3" s="504">
        <f>119017/16651</f>
        <v>7.1477388745420694</v>
      </c>
      <c r="AC3" s="506">
        <v>7</v>
      </c>
      <c r="AD3" s="506">
        <v>7</v>
      </c>
      <c r="AE3" s="506">
        <f>AD3</f>
        <v>7</v>
      </c>
      <c r="AF3" s="506">
        <f>AE3</f>
        <v>7</v>
      </c>
      <c r="AG3" s="506">
        <v>6.5</v>
      </c>
      <c r="AH3" s="506">
        <f>AG3</f>
        <v>6.5</v>
      </c>
      <c r="AI3" s="506">
        <f t="shared" ref="AI3:AP3" si="5">AH3</f>
        <v>6.5</v>
      </c>
      <c r="AJ3" s="506">
        <f t="shared" si="5"/>
        <v>6.5</v>
      </c>
      <c r="AK3" s="506">
        <f t="shared" si="5"/>
        <v>6.5</v>
      </c>
      <c r="AL3" s="506">
        <f t="shared" si="5"/>
        <v>6.5</v>
      </c>
      <c r="AM3" s="506">
        <f t="shared" si="5"/>
        <v>6.5</v>
      </c>
      <c r="AN3" s="506">
        <f t="shared" si="5"/>
        <v>6.5</v>
      </c>
      <c r="AO3" s="506">
        <f t="shared" si="5"/>
        <v>6.5</v>
      </c>
      <c r="AP3" s="506">
        <f t="shared" si="5"/>
        <v>6.5</v>
      </c>
      <c r="AQ3" s="507"/>
      <c r="AR3" s="508"/>
      <c r="AS3" s="509"/>
      <c r="AT3" s="504">
        <v>6.2164000000000001</v>
      </c>
      <c r="AU3" s="504">
        <v>6.1543999999999999</v>
      </c>
      <c r="AV3" s="504">
        <v>6.4749999999999996</v>
      </c>
      <c r="AW3" s="504">
        <v>6.7736749999999999</v>
      </c>
      <c r="AX3" s="504">
        <v>6.6113</v>
      </c>
      <c r="AY3" s="506">
        <f>AVERAGE(W3:Z3)</f>
        <v>6.7774149728928368</v>
      </c>
      <c r="AZ3" s="506">
        <v>7</v>
      </c>
      <c r="BA3" s="506">
        <v>6.6</v>
      </c>
      <c r="BB3" s="506">
        <v>6.5</v>
      </c>
      <c r="BC3" s="506">
        <v>6.5</v>
      </c>
      <c r="BD3" s="506">
        <v>6.5</v>
      </c>
      <c r="BE3" s="506">
        <v>6.5</v>
      </c>
      <c r="BF3" s="506">
        <v>6.5</v>
      </c>
      <c r="BG3" s="506">
        <v>6.5</v>
      </c>
      <c r="BH3" s="506">
        <v>6.5</v>
      </c>
      <c r="BI3" s="506">
        <v>6.5</v>
      </c>
      <c r="BJ3" s="506">
        <v>6.5</v>
      </c>
      <c r="BL3" s="506">
        <v>6.88</v>
      </c>
      <c r="BM3" s="506">
        <v>7</v>
      </c>
      <c r="BN3" s="506">
        <v>7</v>
      </c>
      <c r="BO3" s="506">
        <v>7</v>
      </c>
    </row>
    <row r="4" spans="2:67" s="514" customFormat="1" ht="12" customHeight="1" outlineLevel="1" x14ac:dyDescent="0.35">
      <c r="B4" s="510" t="s">
        <v>457</v>
      </c>
      <c r="C4" s="511"/>
      <c r="D4" s="511"/>
      <c r="E4" s="511"/>
      <c r="F4" s="511"/>
      <c r="G4" s="511"/>
      <c r="H4" s="511"/>
      <c r="I4" s="511"/>
      <c r="J4" s="511"/>
      <c r="K4" s="511"/>
      <c r="L4" s="511"/>
      <c r="M4" s="511"/>
      <c r="N4" s="511"/>
      <c r="O4" s="511"/>
      <c r="P4" s="511"/>
      <c r="Q4" s="511"/>
      <c r="R4" s="511"/>
      <c r="S4" s="511"/>
      <c r="T4" s="511"/>
      <c r="U4" s="511"/>
      <c r="V4" s="511"/>
      <c r="W4" s="511"/>
      <c r="X4" s="512"/>
      <c r="Y4" s="512"/>
      <c r="Z4" s="512"/>
      <c r="AA4" s="512"/>
      <c r="AB4" s="512"/>
      <c r="AC4" s="512"/>
      <c r="AD4" s="512"/>
      <c r="AE4" s="512"/>
      <c r="AF4" s="512">
        <f>AF5/[33]Worksheet!$C$14-1</f>
        <v>1.4089737310916117E-3</v>
      </c>
      <c r="AG4" s="512"/>
      <c r="AH4" s="512"/>
      <c r="AI4" s="512"/>
      <c r="AJ4" s="512"/>
      <c r="AK4" s="512"/>
      <c r="AL4" s="512"/>
      <c r="AM4" s="512"/>
      <c r="AN4" s="512"/>
      <c r="AO4" s="512"/>
      <c r="AP4" s="512"/>
      <c r="AQ4" s="513"/>
      <c r="AR4" s="508"/>
      <c r="AS4" s="509"/>
      <c r="AT4" s="511"/>
      <c r="AU4" s="511"/>
      <c r="AV4" s="511"/>
      <c r="AW4" s="511"/>
      <c r="AX4" s="511"/>
      <c r="AY4" s="512"/>
      <c r="AZ4" s="512" t="e">
        <f ca="1">AZ5/AZ7-1</f>
        <v>#NAME?</v>
      </c>
      <c r="BA4" s="512" t="e">
        <f ca="1">BA5/BA7-1</f>
        <v>#NAME?</v>
      </c>
      <c r="BB4" s="2872" t="e">
        <f ca="1">BB5/BB7-1</f>
        <v>#NAME?</v>
      </c>
      <c r="BC4" s="512"/>
      <c r="BD4" s="512"/>
      <c r="BE4" s="512"/>
      <c r="BF4" s="512"/>
      <c r="BG4" s="512"/>
      <c r="BH4" s="512"/>
      <c r="BI4" s="512"/>
      <c r="BJ4" s="512"/>
      <c r="BL4" s="512"/>
      <c r="BM4" s="512"/>
      <c r="BN4" s="512"/>
      <c r="BO4" s="512"/>
    </row>
    <row r="5" spans="2:67" s="519" customFormat="1" ht="12" customHeight="1" x14ac:dyDescent="0.35">
      <c r="B5" s="515" t="s">
        <v>16</v>
      </c>
      <c r="C5" s="516">
        <f>C109</f>
        <v>10778</v>
      </c>
      <c r="D5" s="516">
        <f t="shared" ref="D5:W5" si="6">D109</f>
        <v>10950</v>
      </c>
      <c r="E5" s="516">
        <f t="shared" si="6"/>
        <v>18745</v>
      </c>
      <c r="F5" s="516">
        <f t="shared" si="6"/>
        <v>12031</v>
      </c>
      <c r="G5" s="516">
        <f t="shared" si="6"/>
        <v>15771</v>
      </c>
      <c r="H5" s="516">
        <f t="shared" si="6"/>
        <v>16829</v>
      </c>
      <c r="I5" s="516">
        <f t="shared" si="6"/>
        <v>26179</v>
      </c>
      <c r="J5" s="516">
        <f t="shared" si="6"/>
        <v>17425</v>
      </c>
      <c r="K5" s="516">
        <f t="shared" si="6"/>
        <v>20245</v>
      </c>
      <c r="L5" s="516">
        <f t="shared" si="6"/>
        <v>22171</v>
      </c>
      <c r="M5" s="516">
        <f t="shared" si="6"/>
        <v>34543</v>
      </c>
      <c r="N5" s="516">
        <f t="shared" si="6"/>
        <v>24184</v>
      </c>
      <c r="O5" s="516">
        <f t="shared" si="6"/>
        <v>32154</v>
      </c>
      <c r="P5" s="516">
        <f t="shared" si="6"/>
        <v>34292</v>
      </c>
      <c r="Q5" s="516">
        <f t="shared" si="6"/>
        <v>53248</v>
      </c>
      <c r="R5" s="516">
        <f t="shared" si="6"/>
        <v>38579</v>
      </c>
      <c r="S5" s="516">
        <f t="shared" si="6"/>
        <v>50184</v>
      </c>
      <c r="T5" s="516">
        <f t="shared" si="6"/>
        <v>55122</v>
      </c>
      <c r="U5" s="516">
        <f t="shared" si="6"/>
        <v>83028</v>
      </c>
      <c r="V5" s="516">
        <f t="shared" si="6"/>
        <v>61932</v>
      </c>
      <c r="W5" s="516">
        <f t="shared" si="6"/>
        <v>80920</v>
      </c>
      <c r="X5" s="516">
        <v>85148</v>
      </c>
      <c r="Y5" s="516">
        <v>117278</v>
      </c>
      <c r="Z5" s="516">
        <v>93498</v>
      </c>
      <c r="AA5" s="516">
        <v>114924</v>
      </c>
      <c r="AB5" s="516">
        <v>119017</v>
      </c>
      <c r="AC5" s="516">
        <v>161456</v>
      </c>
      <c r="AD5" s="516">
        <v>114314</v>
      </c>
      <c r="AE5" s="516">
        <v>153751</v>
      </c>
      <c r="AF5" s="516">
        <v>155059</v>
      </c>
      <c r="AG5" s="516">
        <f>AG118</f>
        <v>204643.81837985385</v>
      </c>
      <c r="AH5" s="516">
        <f>AH118</f>
        <v>154687.52859649368</v>
      </c>
      <c r="AI5" s="516">
        <f t="shared" ref="AI5:AP5" si="7">AI118</f>
        <v>194209.32527825967</v>
      </c>
      <c r="AJ5" s="516">
        <f t="shared" si="7"/>
        <v>202908.26675037955</v>
      </c>
      <c r="AK5" s="516">
        <f t="shared" si="7"/>
        <v>258477.13269135155</v>
      </c>
      <c r="AL5" s="516">
        <f t="shared" si="7"/>
        <v>191338.43060733221</v>
      </c>
      <c r="AM5" s="516">
        <f t="shared" si="7"/>
        <v>240044.05853741127</v>
      </c>
      <c r="AN5" s="516">
        <f t="shared" si="7"/>
        <v>254004.04080430747</v>
      </c>
      <c r="AO5" s="516">
        <f t="shared" si="7"/>
        <v>319009.28643081628</v>
      </c>
      <c r="AP5" s="516">
        <f t="shared" si="7"/>
        <v>236173.15623800093</v>
      </c>
      <c r="AQ5" s="570" t="s">
        <v>458</v>
      </c>
      <c r="AR5" s="517"/>
      <c r="AS5" s="518"/>
      <c r="AT5" s="516">
        <f>C5+D5+E5+F5</f>
        <v>52504</v>
      </c>
      <c r="AU5" s="516">
        <f>G5+H5+I5+J5</f>
        <v>76204</v>
      </c>
      <c r="AV5" s="516">
        <f>K5+L5+M5+N5</f>
        <v>101143</v>
      </c>
      <c r="AW5" s="516">
        <f>O5+P5+Q5+R5</f>
        <v>158273</v>
      </c>
      <c r="AX5" s="516">
        <f>S5+T5+U5+V5</f>
        <v>250266</v>
      </c>
      <c r="AY5" s="516">
        <f>W5+X5+Y5+Z5</f>
        <v>376844</v>
      </c>
      <c r="AZ5" s="516">
        <f>AA5+AB5+AC5+AD5</f>
        <v>509711</v>
      </c>
      <c r="BA5" s="516">
        <f>AE5+AF5+AG5+AH5</f>
        <v>668141.3469763475</v>
      </c>
      <c r="BB5" s="516">
        <f>BB109</f>
        <v>846933.15532732278</v>
      </c>
      <c r="BC5" s="516">
        <f t="shared" ref="BC5:BJ5" si="8">BC109</f>
        <v>1049230.542010536</v>
      </c>
      <c r="BD5" s="516">
        <f t="shared" si="8"/>
        <v>1266132.2308964995</v>
      </c>
      <c r="BE5" s="516">
        <f t="shared" si="8"/>
        <v>1485157.9310614143</v>
      </c>
      <c r="BF5" s="516">
        <f t="shared" si="8"/>
        <v>1697327.5794502099</v>
      </c>
      <c r="BG5" s="516">
        <f t="shared" si="8"/>
        <v>1897580.0183620527</v>
      </c>
      <c r="BH5" s="516">
        <f t="shared" si="8"/>
        <v>2084152.6478540078</v>
      </c>
      <c r="BI5" s="516">
        <f t="shared" si="8"/>
        <v>2257844.6723576463</v>
      </c>
      <c r="BJ5" s="516">
        <f t="shared" si="8"/>
        <v>2419764.627803436</v>
      </c>
      <c r="BL5" s="516">
        <v>117176.07819194801</v>
      </c>
      <c r="BM5" s="516">
        <v>164497.56212711</v>
      </c>
      <c r="BN5" s="516">
        <v>148941.31245683401</v>
      </c>
      <c r="BO5" s="516">
        <v>154550.74772750618</v>
      </c>
    </row>
    <row r="6" spans="2:67" s="522" customFormat="1" ht="12" customHeight="1" x14ac:dyDescent="0.35">
      <c r="B6" s="530" t="s">
        <v>459</v>
      </c>
      <c r="G6" s="522">
        <f t="shared" ref="G6:AH6" si="9">G5/C5-1</f>
        <v>0.46325848951568016</v>
      </c>
      <c r="H6" s="522">
        <f t="shared" si="9"/>
        <v>0.53689497716894974</v>
      </c>
      <c r="I6" s="522">
        <f t="shared" si="9"/>
        <v>0.39658575620165371</v>
      </c>
      <c r="J6" s="522">
        <f t="shared" si="9"/>
        <v>0.44834178372537603</v>
      </c>
      <c r="K6" s="522">
        <f t="shared" si="9"/>
        <v>0.28368524507006532</v>
      </c>
      <c r="L6" s="522">
        <f t="shared" si="9"/>
        <v>0.31742824885614129</v>
      </c>
      <c r="M6" s="522">
        <f t="shared" si="9"/>
        <v>0.31949272317506394</v>
      </c>
      <c r="N6" s="522">
        <f t="shared" si="9"/>
        <v>0.38789096126255385</v>
      </c>
      <c r="O6" s="522">
        <f t="shared" si="9"/>
        <v>0.58824401086688072</v>
      </c>
      <c r="P6" s="522">
        <f t="shared" si="9"/>
        <v>0.54670515538315811</v>
      </c>
      <c r="Q6" s="522">
        <f t="shared" si="9"/>
        <v>0.54149900124482531</v>
      </c>
      <c r="R6" s="522">
        <f t="shared" si="9"/>
        <v>0.59522825008269931</v>
      </c>
      <c r="S6" s="522">
        <f t="shared" si="9"/>
        <v>0.56073894383280454</v>
      </c>
      <c r="T6" s="522">
        <f t="shared" si="9"/>
        <v>0.60743030444418533</v>
      </c>
      <c r="U6" s="522">
        <f t="shared" si="9"/>
        <v>0.55926983173076916</v>
      </c>
      <c r="V6" s="522">
        <f t="shared" si="9"/>
        <v>0.60532932424375963</v>
      </c>
      <c r="W6" s="522">
        <f t="shared" si="9"/>
        <v>0.61246612466124661</v>
      </c>
      <c r="X6" s="522">
        <f t="shared" si="9"/>
        <v>0.54471898697434784</v>
      </c>
      <c r="Y6" s="522">
        <f t="shared" si="9"/>
        <v>0.41251144192320655</v>
      </c>
      <c r="Z6" s="522">
        <f t="shared" si="9"/>
        <v>0.50968804495252851</v>
      </c>
      <c r="AA6" s="2811">
        <f t="shared" si="9"/>
        <v>0.42021749876421155</v>
      </c>
      <c r="AB6" s="2811">
        <f t="shared" si="9"/>
        <v>0.39776624230751167</v>
      </c>
      <c r="AC6" s="2811">
        <f t="shared" si="9"/>
        <v>0.37669469124644017</v>
      </c>
      <c r="AD6" s="2811">
        <f t="shared" si="9"/>
        <v>0.22263577830541825</v>
      </c>
      <c r="AE6" s="2811">
        <f t="shared" si="9"/>
        <v>0.33784936131704435</v>
      </c>
      <c r="AF6" s="2811">
        <f t="shared" si="9"/>
        <v>0.3028306880529672</v>
      </c>
      <c r="AG6" s="2811">
        <f t="shared" si="9"/>
        <v>0.26748970852649556</v>
      </c>
      <c r="AH6" s="2811">
        <f t="shared" si="9"/>
        <v>0.35318096293099432</v>
      </c>
      <c r="AI6" s="2811">
        <f t="shared" ref="AI6" si="10">AI5/AE5-1</f>
        <v>0.26314186755376978</v>
      </c>
      <c r="AJ6" s="2811">
        <f t="shared" ref="AJ6" si="11">AJ5/AF5-1</f>
        <v>0.30858748444385387</v>
      </c>
      <c r="AK6" s="2811">
        <f t="shared" ref="AK6" si="12">AK5/AG5-1</f>
        <v>0.26305858998180875</v>
      </c>
      <c r="AL6" s="2811">
        <f t="shared" ref="AL6" si="13">AL5/AH5-1</f>
        <v>0.23693508030917831</v>
      </c>
      <c r="AM6" s="2811">
        <f t="shared" ref="AM6" si="14">AM5/AI5-1</f>
        <v>0.2360068611199817</v>
      </c>
      <c r="AN6" s="2811">
        <f t="shared" ref="AN6" si="15">AN5/AJ5-1</f>
        <v>0.25181711357668157</v>
      </c>
      <c r="AO6" s="2811">
        <f t="shared" ref="AO6" si="16">AO5/AK5-1</f>
        <v>0.23418765563198352</v>
      </c>
      <c r="AP6" s="2811">
        <f t="shared" ref="AP6" si="17">AP5/AL5-1</f>
        <v>0.23432159179082679</v>
      </c>
      <c r="AQ6" s="567"/>
      <c r="AR6" s="520"/>
      <c r="AS6" s="521"/>
      <c r="AU6" s="522">
        <f t="shared" ref="AU6:BB6" si="18">AU5/AT5-1</f>
        <v>0.45139417949108629</v>
      </c>
      <c r="AV6" s="522">
        <f t="shared" si="18"/>
        <v>0.32726628523437085</v>
      </c>
      <c r="AW6" s="522">
        <f t="shared" si="18"/>
        <v>0.56484383496633472</v>
      </c>
      <c r="AX6" s="522">
        <f t="shared" si="18"/>
        <v>0.58122990023566867</v>
      </c>
      <c r="AY6" s="522">
        <f t="shared" si="18"/>
        <v>0.50577385661655994</v>
      </c>
      <c r="AZ6" s="522">
        <f t="shared" si="18"/>
        <v>0.35257825519313024</v>
      </c>
      <c r="BA6" s="522">
        <f t="shared" si="18"/>
        <v>0.3108238726971706</v>
      </c>
      <c r="BB6" s="522">
        <f t="shared" si="18"/>
        <v>0.26759578517343963</v>
      </c>
      <c r="BC6" s="522">
        <f t="shared" ref="BC6" si="19">BC5/BB5-1</f>
        <v>0.23885874039850208</v>
      </c>
      <c r="BD6" s="522">
        <f t="shared" ref="BD6" si="20">BD5/BC5-1</f>
        <v>0.20672452831037158</v>
      </c>
      <c r="BE6" s="522">
        <f t="shared" ref="BE6" si="21">BE5/BD5-1</f>
        <v>0.17298801406376896</v>
      </c>
      <c r="BF6" s="522">
        <f t="shared" ref="BF6" si="22">BF5/BE5-1</f>
        <v>0.14285999081401535</v>
      </c>
      <c r="BG6" s="522">
        <f t="shared" ref="BG6" si="23">BG5/BF5-1</f>
        <v>0.11798101989051979</v>
      </c>
      <c r="BH6" s="522">
        <f t="shared" ref="BH6" si="24">BH5/BG5-1</f>
        <v>9.8321350186328482E-2</v>
      </c>
      <c r="BI6" s="522">
        <f t="shared" ref="BI6" si="25">BI5/BH5-1</f>
        <v>8.3339396796335619E-2</v>
      </c>
      <c r="BJ6" s="522">
        <f t="shared" ref="BJ6" si="26">BJ5/BI5-1</f>
        <v>7.1714390909235037E-2</v>
      </c>
      <c r="BL6" s="2811">
        <v>0.37614598336951899</v>
      </c>
      <c r="BM6" s="2811">
        <v>0.40262932627696801</v>
      </c>
      <c r="BN6" s="2811">
        <v>0.29599833330578801</v>
      </c>
      <c r="BO6" s="2811">
        <v>0.29856027061265356</v>
      </c>
    </row>
    <row r="7" spans="2:67" s="524" customFormat="1" ht="12" customHeight="1" x14ac:dyDescent="0.35">
      <c r="B7" s="523" t="s">
        <v>460</v>
      </c>
      <c r="AC7" s="525"/>
      <c r="AD7" s="526"/>
      <c r="AE7" s="526" t="e">
        <f ca="1">_xll.VisibleAlpha.UDF.VAData("BABA","1QFY-2021","Total revenue")</f>
        <v>#NAME?</v>
      </c>
      <c r="AF7" s="526" t="e">
        <f ca="1">_xll.VisibleAlpha.UDF.VAData("BABA","2QFY-2021","Total revenue")</f>
        <v>#NAME?</v>
      </c>
      <c r="AG7" s="526" t="e">
        <f ca="1">_xll.VisibleAlpha.UDF.VAData("BABA","3QFY-2021","Total revenue")</f>
        <v>#NAME?</v>
      </c>
      <c r="AH7" s="526" t="e">
        <f ca="1">_xll.VisibleAlpha.UDF.VAData("BABA","4QFY-2021","Total revenue")</f>
        <v>#NAME?</v>
      </c>
      <c r="AI7" s="526" t="e">
        <f ca="1">_xll.VisibleAlpha.UDF.VAData("BABA",AI2,"Total revenue")</f>
        <v>#NAME?</v>
      </c>
      <c r="AJ7" s="526" t="e">
        <f ca="1">_xll.VisibleAlpha.UDF.VAData("BABA",AJ2,"Total revenue")</f>
        <v>#NAME?</v>
      </c>
      <c r="AK7" s="526" t="e">
        <f ca="1">_xll.VisibleAlpha.UDF.VAData("BABA",AK2,"Total revenue")</f>
        <v>#NAME?</v>
      </c>
      <c r="AL7" s="526" t="e">
        <f ca="1">_xll.VisibleAlpha.UDF.VAData("BABA",AL2,"Total revenue")</f>
        <v>#NAME?</v>
      </c>
      <c r="AM7" s="526" t="e">
        <f ca="1">_xll.VisibleAlpha.UDF.VAData("BABA",AM2,"Total revenue")</f>
        <v>#NAME?</v>
      </c>
      <c r="AN7" s="526" t="e">
        <f ca="1">_xll.VisibleAlpha.UDF.VAData("BABA",AN2,"Total revenue")</f>
        <v>#NAME?</v>
      </c>
      <c r="AO7" s="526" t="e">
        <f ca="1">_xll.VisibleAlpha.UDF.VAData("BABA",AO2,"Total revenue")</f>
        <v>#NAME?</v>
      </c>
      <c r="AP7" s="526" t="e">
        <f ca="1">_xll.VisibleAlpha.UDF.VAData("BABA",AP2,"Total revenue")</f>
        <v>#NAME?</v>
      </c>
      <c r="AQ7" s="527"/>
      <c r="AR7" s="528"/>
      <c r="AS7" s="529"/>
      <c r="AZ7" s="526" t="e">
        <f ca="1">_xll.VisibleAlpha.UDF.VAData("BABA","FY-2020","Total revenue")</f>
        <v>#NAME?</v>
      </c>
      <c r="BA7" s="526" t="e">
        <f ca="1">_xll.VisibleAlpha.UDF.VAData("BABA","FY-2021","Total revenue")</f>
        <v>#NAME?</v>
      </c>
      <c r="BB7" s="526" t="e">
        <f ca="1">_xll.VisibleAlpha.UDF.VAData("BABA","FY-2022","Total revenue")</f>
        <v>#NAME?</v>
      </c>
      <c r="BC7" s="526" t="e">
        <f ca="1">_xll.VisibleAlpha.UDF.VAData("BABA","FY-2022","Total revenue")</f>
        <v>#NAME?</v>
      </c>
      <c r="BD7" s="526" t="e">
        <f ca="1">_xll.VisibleAlpha.UDF.VAData("BABA","FY-2022","Total revenue")</f>
        <v>#NAME?</v>
      </c>
      <c r="BE7" s="526" t="e">
        <f ca="1">_xll.VisibleAlpha.UDF.VAData("BABA","FY-2022","Total revenue")</f>
        <v>#NAME?</v>
      </c>
      <c r="BF7" s="526" t="e">
        <f ca="1">_xll.VisibleAlpha.UDF.VAData("BABA","FY-2022","Total revenue")</f>
        <v>#NAME?</v>
      </c>
      <c r="BG7" s="526" t="e">
        <f ca="1">_xll.VisibleAlpha.UDF.VAData("BABA","FY-2022","Total revenue")</f>
        <v>#NAME?</v>
      </c>
      <c r="BH7" s="526" t="e">
        <f ca="1">_xll.VisibleAlpha.UDF.VAData("BABA","FY-2022","Total revenue")</f>
        <v>#NAME?</v>
      </c>
      <c r="BI7" s="526" t="e">
        <f ca="1">_xll.VisibleAlpha.UDF.VAData("BABA","FY-2022","Total revenue")</f>
        <v>#NAME?</v>
      </c>
      <c r="BJ7" s="526" t="e">
        <f ca="1">_xll.VisibleAlpha.UDF.VAData("BABA","FY-2022","Total revenue")</f>
        <v>#NAME?</v>
      </c>
      <c r="BM7" s="524">
        <v>159100</v>
      </c>
      <c r="BN7" s="526">
        <v>147842.33797645601</v>
      </c>
      <c r="BO7" s="526">
        <v>156475.87847416301</v>
      </c>
    </row>
    <row r="8" spans="2:67" s="531" customFormat="1" ht="12" customHeight="1" thickBot="1" x14ac:dyDescent="0.4">
      <c r="B8" s="530" t="s">
        <v>459</v>
      </c>
      <c r="X8" s="532"/>
      <c r="Y8" s="532"/>
      <c r="Z8" s="532"/>
      <c r="AA8" s="532"/>
      <c r="AB8" s="532"/>
      <c r="AC8" s="532"/>
      <c r="AD8" s="532"/>
      <c r="AE8" s="533" t="e">
        <f ca="1">_xll.VisibleAlpha.UDF.VAData("BABA","1QFY-2021","Total revenue","Consensus","CD","IMPL","2020/8/12","YoY%")</f>
        <v>#NAME?</v>
      </c>
      <c r="AF8" s="533" t="e">
        <f ca="1">_xll.VisibleAlpha.UDF.VAData("BABA","2QFY-2021","Total revenue","Consensus","CD","IMPL","2020/8/12","YoY%")</f>
        <v>#NAME?</v>
      </c>
      <c r="AG8" s="533" t="e">
        <f ca="1">_xll.VisibleAlpha.UDF.VAData("BABA","3QFY-2021","Total revenue","Consensus","CD","IMPL","2020/8/12","YoY%")</f>
        <v>#NAME?</v>
      </c>
      <c r="AH8" s="533" t="e">
        <f ca="1">_xll.VisibleAlpha.UDF.VAData("BABA","4QFY-2021","Total revenue","Consensus","CD","IMPL","2020/8/12","YoY%")</f>
        <v>#NAME?</v>
      </c>
      <c r="AI8" s="533" t="e">
        <f ca="1">_xll.VisibleAlpha.UDF.VAData("BABA",AI2,"Total revenue","Consensus","CD","IMPL","2020/8/12","YoY%")</f>
        <v>#NAME?</v>
      </c>
      <c r="AJ8" s="533" t="e">
        <f ca="1">_xll.VisibleAlpha.UDF.VAData("BABA",AJ2,"Total revenue","Consensus","CD","IMPL","2020/8/12","YoY%")</f>
        <v>#NAME?</v>
      </c>
      <c r="AK8" s="533" t="e">
        <f ca="1">_xll.VisibleAlpha.UDF.VAData("BABA",AK2,"Total revenue","Consensus","CD","IMPL","2020/8/12","YoY%")</f>
        <v>#NAME?</v>
      </c>
      <c r="AL8" s="533" t="e">
        <f ca="1">_xll.VisibleAlpha.UDF.VAData("BABA",AL2,"Total revenue","Consensus","CD","IMPL","2020/8/12","YoY%")</f>
        <v>#NAME?</v>
      </c>
      <c r="AM8" s="533" t="e">
        <f ca="1">_xll.VisibleAlpha.UDF.VAData("BABA",AM2,"Total revenue","Consensus","CD","IMPL","2020/8/12","YoY%")</f>
        <v>#NAME?</v>
      </c>
      <c r="AN8" s="533" t="e">
        <f ca="1">_xll.VisibleAlpha.UDF.VAData("BABA",AN2,"Total revenue","Consensus","CD","IMPL","2020/8/12","YoY%")</f>
        <v>#NAME?</v>
      </c>
      <c r="AO8" s="533" t="e">
        <f ca="1">_xll.VisibleAlpha.UDF.VAData("BABA",AO2,"Total revenue","Consensus","CD","IMPL","2020/8/12","YoY%")</f>
        <v>#NAME?</v>
      </c>
      <c r="AP8" s="533" t="e">
        <f ca="1">_xll.VisibleAlpha.UDF.VAData("BABA",AP2,"Total revenue","Consensus","CD","IMPL","2020/8/12","YoY%")</f>
        <v>#NAME?</v>
      </c>
      <c r="AQ8" s="534"/>
      <c r="AR8" s="535"/>
      <c r="AS8" s="536"/>
      <c r="AY8" s="532"/>
      <c r="AZ8" s="533" t="e">
        <f ca="1">_xll.VisibleAlpha.UDF.VAData("BABA","FY-2020","Total revenue","Consensus","CD","IMPL","2020/8/12","YoY%")</f>
        <v>#NAME?</v>
      </c>
      <c r="BA8" s="533" t="e">
        <f ca="1">_xll.VisibleAlpha.UDF.VAData("BABA","FY-2021","Total revenue","Consensus","CD","IMPL","2020/8/12","YoY%")</f>
        <v>#NAME?</v>
      </c>
      <c r="BB8" s="533" t="e">
        <f ca="1">_xll.VisibleAlpha.UDF.VAData("BABA","FY-2022","Total revenue","Consensus","CD","IMPL","2020/8/12","YoY%")</f>
        <v>#NAME?</v>
      </c>
      <c r="BC8" s="533" t="e">
        <f ca="1">_xll.VisibleAlpha.UDF.VAData("BABA","FY-2022","Total revenue","Consensus","CD","IMPL","2020/8/12","YoY%")</f>
        <v>#NAME?</v>
      </c>
      <c r="BD8" s="533" t="e">
        <f ca="1">_xll.VisibleAlpha.UDF.VAData("BABA","FY-2022","Total revenue","Consensus","CD","IMPL","2020/8/12","YoY%")</f>
        <v>#NAME?</v>
      </c>
      <c r="BE8" s="533" t="e">
        <f ca="1">_xll.VisibleAlpha.UDF.VAData("BABA","FY-2022","Total revenue","Consensus","CD","IMPL","2020/8/12","YoY%")</f>
        <v>#NAME?</v>
      </c>
      <c r="BF8" s="533" t="e">
        <f ca="1">_xll.VisibleAlpha.UDF.VAData("BABA","FY-2022","Total revenue","Consensus","CD","IMPL","2020/8/12","YoY%")</f>
        <v>#NAME?</v>
      </c>
      <c r="BG8" s="533" t="e">
        <f ca="1">_xll.VisibleAlpha.UDF.VAData("BABA","FY-2022","Total revenue","Consensus","CD","IMPL","2020/8/12","YoY%")</f>
        <v>#NAME?</v>
      </c>
      <c r="BH8" s="533" t="e">
        <f ca="1">_xll.VisibleAlpha.UDF.VAData("BABA","FY-2022","Total revenue","Consensus","CD","IMPL","2020/8/12","YoY%")</f>
        <v>#NAME?</v>
      </c>
      <c r="BI8" s="533" t="e">
        <f ca="1">_xll.VisibleAlpha.UDF.VAData("BABA","FY-2022","Total revenue","Consensus","CD","IMPL","2020/8/12","YoY%")</f>
        <v>#NAME?</v>
      </c>
      <c r="BJ8" s="533" t="e">
        <f ca="1">_xll.VisibleAlpha.UDF.VAData("BABA","FY-2022","Total revenue","Consensus","CD","IMPL","2020/8/12","YoY%")</f>
        <v>#NAME?</v>
      </c>
      <c r="BL8" s="532"/>
      <c r="BM8" s="532"/>
      <c r="BN8" s="533">
        <v>0.28643571383223798</v>
      </c>
      <c r="BO8" s="533">
        <v>0.29371812293123201</v>
      </c>
    </row>
    <row r="9" spans="2:67" s="538" customFormat="1" ht="12" customHeight="1" x14ac:dyDescent="0.35">
      <c r="B9" s="537" t="s">
        <v>461</v>
      </c>
      <c r="AQ9" s="539"/>
      <c r="AR9" s="540"/>
      <c r="AS9" s="541"/>
      <c r="AY9" s="542" t="s">
        <v>462</v>
      </c>
    </row>
    <row r="10" spans="2:67" s="543" customFormat="1" ht="12" customHeight="1" thickBot="1" x14ac:dyDescent="0.4">
      <c r="B10" s="530" t="s">
        <v>459</v>
      </c>
      <c r="AQ10" s="544"/>
      <c r="AR10" s="545"/>
      <c r="AS10" s="546"/>
      <c r="AY10" s="547" t="s">
        <v>463</v>
      </c>
      <c r="AZ10" s="532">
        <v>0.33</v>
      </c>
    </row>
    <row r="11" spans="2:67" ht="12" customHeight="1" thickBot="1" x14ac:dyDescent="0.4">
      <c r="B11" s="548"/>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50"/>
      <c r="AR11" s="551"/>
      <c r="AS11" s="552"/>
      <c r="AT11" s="549"/>
      <c r="AU11" s="549"/>
      <c r="AV11" s="549"/>
      <c r="AW11" s="549"/>
      <c r="AX11" s="549"/>
      <c r="AY11" s="549"/>
      <c r="AZ11" s="549"/>
      <c r="BA11" s="549"/>
      <c r="BB11" s="549"/>
      <c r="BC11" s="648"/>
      <c r="BD11" s="648"/>
      <c r="BE11" s="648"/>
      <c r="BF11" s="648"/>
      <c r="BG11" s="648"/>
      <c r="BH11" s="648"/>
      <c r="BI11" s="648"/>
      <c r="BJ11" s="648"/>
      <c r="BL11" s="549"/>
      <c r="BM11" s="549"/>
      <c r="BN11" s="549"/>
      <c r="BO11" s="549"/>
    </row>
    <row r="12" spans="2:67" ht="12" customHeight="1" x14ac:dyDescent="0.35">
      <c r="B12" s="537"/>
      <c r="U12" s="553"/>
      <c r="V12" s="553"/>
      <c r="W12" s="554"/>
      <c r="X12" s="554"/>
    </row>
    <row r="13" spans="2:67" s="538" customFormat="1" ht="12" customHeight="1" x14ac:dyDescent="0.35">
      <c r="B13" s="557" t="s">
        <v>464</v>
      </c>
      <c r="C13" s="519">
        <v>6787</v>
      </c>
      <c r="D13" s="519">
        <v>6501.04</v>
      </c>
      <c r="E13" s="519">
        <v>11304.3</v>
      </c>
      <c r="F13" s="519">
        <v>5136.66</v>
      </c>
      <c r="G13" s="519">
        <v>8613</v>
      </c>
      <c r="H13" s="519">
        <v>8491.3849999999984</v>
      </c>
      <c r="I13" s="519">
        <v>13381.975</v>
      </c>
      <c r="J13" s="519">
        <v>8044.6400000000012</v>
      </c>
      <c r="K13" s="519">
        <v>10656.525547445257</v>
      </c>
      <c r="L13" s="519">
        <v>11680.450452554742</v>
      </c>
      <c r="M13" s="519">
        <v>19669.09</v>
      </c>
      <c r="N13" s="519">
        <v>12197.934000000001</v>
      </c>
      <c r="O13" s="519">
        <v>15882</v>
      </c>
      <c r="P13" s="519">
        <v>16645</v>
      </c>
      <c r="Q13" s="519">
        <v>27908.567999999999</v>
      </c>
      <c r="R13" s="519">
        <v>17094.432000000001</v>
      </c>
      <c r="S13" s="519">
        <v>26220</v>
      </c>
      <c r="T13" s="519">
        <v>26272</v>
      </c>
      <c r="U13" s="519">
        <v>38800</v>
      </c>
      <c r="V13" s="519">
        <v>22993</v>
      </c>
      <c r="W13" s="519">
        <v>33053</v>
      </c>
      <c r="X13" s="519">
        <v>32920</v>
      </c>
      <c r="Y13" s="519">
        <v>49592</v>
      </c>
      <c r="Z13" s="519">
        <v>30119</v>
      </c>
      <c r="AA13" s="519">
        <v>41954</v>
      </c>
      <c r="AB13" s="519">
        <v>41301</v>
      </c>
      <c r="AC13" s="519">
        <v>61235</v>
      </c>
      <c r="AD13" s="519">
        <v>30906</v>
      </c>
      <c r="AE13" s="519">
        <v>51434</v>
      </c>
      <c r="AF13" s="519">
        <f>69338-AF20</f>
        <v>50133.5</v>
      </c>
      <c r="AG13" s="519">
        <f>AC13*(1+AG15)</f>
        <v>70420.25</v>
      </c>
      <c r="AH13" s="519">
        <f>AD13*(1+AH15)</f>
        <v>41723.100000000006</v>
      </c>
      <c r="AI13" s="519">
        <f t="shared" ref="AI13:AP13" si="27">AE13*(1+AI15)</f>
        <v>59149.1</v>
      </c>
      <c r="AJ13" s="519">
        <f t="shared" si="27"/>
        <v>57653.524999999994</v>
      </c>
      <c r="AK13" s="519">
        <f t="shared" si="27"/>
        <v>80983.287499999991</v>
      </c>
      <c r="AL13" s="519">
        <f t="shared" si="27"/>
        <v>45895.410000000011</v>
      </c>
      <c r="AM13" s="519">
        <f t="shared" si="27"/>
        <v>65064.01</v>
      </c>
      <c r="AN13" s="519">
        <f t="shared" si="27"/>
        <v>63418.877500000002</v>
      </c>
      <c r="AO13" s="519">
        <f t="shared" si="27"/>
        <v>89081.616249999992</v>
      </c>
      <c r="AP13" s="519">
        <f t="shared" si="27"/>
        <v>48190.180500000017</v>
      </c>
      <c r="AQ13" s="539" t="s">
        <v>458</v>
      </c>
      <c r="AR13" s="558" t="s">
        <v>465</v>
      </c>
      <c r="AS13" s="559"/>
      <c r="AT13" s="519">
        <f>C13+D13+E13+F13</f>
        <v>29729</v>
      </c>
      <c r="AU13" s="519">
        <f>G13+H13+I13+J13</f>
        <v>38531</v>
      </c>
      <c r="AV13" s="519">
        <f>K13+L13+M13+N13</f>
        <v>54204</v>
      </c>
      <c r="AW13" s="519">
        <f>O13+P13+Q13+R13</f>
        <v>77530</v>
      </c>
      <c r="AX13" s="519">
        <f>S13+T13+U13+V13</f>
        <v>114285</v>
      </c>
      <c r="AY13" s="560">
        <f>W13+X13+Y13+Z13</f>
        <v>145684</v>
      </c>
      <c r="AZ13" s="560">
        <f>AA13+AB13+AC13+AD13</f>
        <v>175396</v>
      </c>
      <c r="BA13" s="519">
        <f>SUM(AE13:AH13)</f>
        <v>213710.85</v>
      </c>
      <c r="BB13" s="519">
        <f>SUM(AI13:AL13)</f>
        <v>243681.32249999998</v>
      </c>
      <c r="BC13" s="519">
        <f>SUM(AM13:AP13)</f>
        <v>265754.68425000005</v>
      </c>
      <c r="BD13" s="519">
        <f t="shared" ref="BD13:BJ13" si="28">BC13*(1+BD15)</f>
        <v>287420.23210497183</v>
      </c>
      <c r="BE13" s="519">
        <f t="shared" si="28"/>
        <v>308508.87304335495</v>
      </c>
      <c r="BF13" s="519">
        <f t="shared" si="28"/>
        <v>328881.23695817625</v>
      </c>
      <c r="BG13" s="519">
        <f t="shared" si="28"/>
        <v>348427.12346761959</v>
      </c>
      <c r="BH13" s="519">
        <f t="shared" si="28"/>
        <v>367063.89754323638</v>
      </c>
      <c r="BI13" s="519">
        <f t="shared" si="28"/>
        <v>384734.15861697838</v>
      </c>
      <c r="BJ13" s="519">
        <f t="shared" si="28"/>
        <v>401402.96686814382</v>
      </c>
      <c r="BL13" s="519">
        <v>41512.120000000003</v>
      </c>
      <c r="BM13" s="519">
        <v>62485.919999999998</v>
      </c>
      <c r="BN13" s="519">
        <v>48247.1</v>
      </c>
      <c r="BO13" s="519">
        <v>47909.159999999996</v>
      </c>
    </row>
    <row r="14" spans="2:67" ht="12" customHeight="1" x14ac:dyDescent="0.35">
      <c r="B14" s="530" t="s">
        <v>466</v>
      </c>
      <c r="C14" s="524"/>
      <c r="D14" s="524"/>
      <c r="E14" s="524"/>
      <c r="F14" s="524"/>
      <c r="G14" s="524"/>
      <c r="H14" s="524"/>
      <c r="I14" s="524"/>
      <c r="J14" s="524"/>
      <c r="K14" s="524"/>
      <c r="L14" s="524"/>
      <c r="M14" s="554">
        <f t="shared" ref="M14:AH14" si="29">M13/L13-1</f>
        <v>0.68393248872503776</v>
      </c>
      <c r="N14" s="554">
        <f t="shared" si="29"/>
        <v>-0.37984248381597718</v>
      </c>
      <c r="O14" s="554">
        <f t="shared" si="29"/>
        <v>0.30202376894316685</v>
      </c>
      <c r="P14" s="554">
        <f t="shared" si="29"/>
        <v>4.8041808336481528E-2</v>
      </c>
      <c r="Q14" s="554">
        <f t="shared" si="29"/>
        <v>0.67669378191649132</v>
      </c>
      <c r="R14" s="554">
        <f t="shared" si="29"/>
        <v>-0.38748444563690976</v>
      </c>
      <c r="S14" s="554">
        <f t="shared" si="29"/>
        <v>0.5338327708109869</v>
      </c>
      <c r="T14" s="554">
        <f t="shared" si="29"/>
        <v>1.9832189168573766E-3</v>
      </c>
      <c r="U14" s="554">
        <f t="shared" si="29"/>
        <v>0.47685749086479912</v>
      </c>
      <c r="V14" s="533">
        <f t="shared" si="29"/>
        <v>-0.4073969072164948</v>
      </c>
      <c r="W14" s="533">
        <f t="shared" si="29"/>
        <v>0.43752446396729439</v>
      </c>
      <c r="X14" s="533">
        <f t="shared" si="29"/>
        <v>-4.0238404985931675E-3</v>
      </c>
      <c r="Y14" s="533">
        <f t="shared" si="29"/>
        <v>0.50643985419198057</v>
      </c>
      <c r="Z14" s="533">
        <f t="shared" si="29"/>
        <v>-0.39266413937731892</v>
      </c>
      <c r="AA14" s="533">
        <f t="shared" si="29"/>
        <v>0.39294133271356957</v>
      </c>
      <c r="AB14" s="533">
        <f t="shared" si="29"/>
        <v>-1.556466606283069E-2</v>
      </c>
      <c r="AC14" s="533">
        <f t="shared" si="29"/>
        <v>0.4826517517735649</v>
      </c>
      <c r="AD14" s="533">
        <f t="shared" si="29"/>
        <v>-0.49528864211643664</v>
      </c>
      <c r="AE14" s="533">
        <f t="shared" si="29"/>
        <v>0.6642075972303112</v>
      </c>
      <c r="AF14" s="533">
        <f t="shared" si="29"/>
        <v>-2.5284831045611855E-2</v>
      </c>
      <c r="AG14" s="533">
        <f t="shared" si="29"/>
        <v>0.40465457229198032</v>
      </c>
      <c r="AH14" s="533">
        <f t="shared" si="29"/>
        <v>-0.40751275378886032</v>
      </c>
      <c r="AI14" s="652">
        <f t="shared" ref="AI14" si="30">AI13/AH13-1</f>
        <v>0.41765832356656118</v>
      </c>
      <c r="AJ14" s="652">
        <f t="shared" ref="AJ14" si="31">AJ13/AI13-1</f>
        <v>-2.5284831045611966E-2</v>
      </c>
      <c r="AK14" s="652">
        <f t="shared" ref="AK14" si="32">AK13/AJ13-1</f>
        <v>0.40465457229198032</v>
      </c>
      <c r="AL14" s="652">
        <f t="shared" ref="AL14" si="33">AL13/AK13-1</f>
        <v>-0.4332730688415185</v>
      </c>
      <c r="AM14" s="652">
        <f t="shared" ref="AM14" si="34">AM13/AL13-1</f>
        <v>0.41765832356656118</v>
      </c>
      <c r="AN14" s="652">
        <f t="shared" ref="AN14" si="35">AN13/AM13-1</f>
        <v>-2.5284831045611855E-2</v>
      </c>
      <c r="AO14" s="652">
        <f t="shared" ref="AO14" si="36">AO13/AN13-1</f>
        <v>0.40465457229198032</v>
      </c>
      <c r="AP14" s="652">
        <f t="shared" ref="AP14" si="37">AP13/AO13-1</f>
        <v>-0.45903338389417669</v>
      </c>
      <c r="AQ14" s="527"/>
      <c r="AR14" s="508"/>
      <c r="AS14" s="509"/>
      <c r="AT14" s="524"/>
      <c r="AU14" s="524"/>
      <c r="AV14" s="561"/>
      <c r="AW14" s="561"/>
      <c r="AX14" s="561"/>
      <c r="AY14" s="561"/>
      <c r="AZ14" s="524"/>
      <c r="BA14" s="562"/>
      <c r="BB14" s="562"/>
      <c r="BC14" s="562"/>
      <c r="BD14" s="562"/>
      <c r="BE14" s="562"/>
      <c r="BF14" s="562"/>
      <c r="BG14" s="562"/>
      <c r="BH14" s="562"/>
      <c r="BI14" s="562"/>
      <c r="BJ14" s="562"/>
      <c r="BL14" s="533">
        <v>-1.0532487963007001E-2</v>
      </c>
      <c r="BM14" s="533">
        <v>0.512939638265417</v>
      </c>
      <c r="BN14" s="533">
        <v>0.56109169740503495</v>
      </c>
      <c r="BO14" s="533">
        <v>-6.8531321693821257E-2</v>
      </c>
    </row>
    <row r="15" spans="2:67" s="646" customFormat="1" ht="12" customHeight="1" x14ac:dyDescent="0.35">
      <c r="B15" s="672" t="s">
        <v>459</v>
      </c>
      <c r="G15" s="646">
        <f>G13/C13-1</f>
        <v>0.26904376012965958</v>
      </c>
      <c r="H15" s="646">
        <f>H13/D13-1</f>
        <v>0.30615793780687373</v>
      </c>
      <c r="I15" s="646">
        <f>I13/E13-1</f>
        <v>0.18379510451774994</v>
      </c>
      <c r="J15" s="646">
        <f t="shared" ref="J15" si="38">J13/F13-1</f>
        <v>0.56612273344936237</v>
      </c>
      <c r="K15" s="646">
        <f>K13/G13-1</f>
        <v>0.2372605999588131</v>
      </c>
      <c r="L15" s="646">
        <f t="shared" ref="L15:W15" si="39">L13/H13-1</f>
        <v>0.37556481687672205</v>
      </c>
      <c r="M15" s="646">
        <f t="shared" si="39"/>
        <v>0.46981966413776743</v>
      </c>
      <c r="N15" s="646">
        <f t="shared" si="39"/>
        <v>0.51628090256369452</v>
      </c>
      <c r="O15" s="646">
        <f t="shared" si="39"/>
        <v>0.49035442455327027</v>
      </c>
      <c r="P15" s="646">
        <f t="shared" si="39"/>
        <v>0.42503065850165167</v>
      </c>
      <c r="Q15" s="646">
        <f t="shared" si="39"/>
        <v>0.41890489087192129</v>
      </c>
      <c r="R15" s="646">
        <f t="shared" si="39"/>
        <v>0.40142027330201979</v>
      </c>
      <c r="S15" s="646">
        <f t="shared" si="39"/>
        <v>0.65092557612391388</v>
      </c>
      <c r="T15" s="646">
        <f t="shared" si="39"/>
        <v>0.578371883448483</v>
      </c>
      <c r="U15" s="646">
        <f t="shared" si="39"/>
        <v>0.3902540610467724</v>
      </c>
      <c r="V15" s="646">
        <f t="shared" si="39"/>
        <v>0.34505785275579792</v>
      </c>
      <c r="W15" s="646">
        <f t="shared" si="39"/>
        <v>0.26060259344012215</v>
      </c>
      <c r="X15" s="2779">
        <f>X13/T13-1</f>
        <v>0.25304506699147389</v>
      </c>
      <c r="Y15" s="2812">
        <f t="shared" ref="Y15:AF15" si="40">Y13/U13-1</f>
        <v>0.27814432989690729</v>
      </c>
      <c r="Z15" s="2779">
        <f t="shared" si="40"/>
        <v>0.30992041055973552</v>
      </c>
      <c r="AA15" s="2780">
        <f t="shared" si="40"/>
        <v>0.26929476900735172</v>
      </c>
      <c r="AB15" s="2779">
        <f>AB13/X13-1</f>
        <v>0.25458687727825025</v>
      </c>
      <c r="AC15" s="2779">
        <f t="shared" si="40"/>
        <v>0.23477577028552998</v>
      </c>
      <c r="AD15" s="2779">
        <f t="shared" si="40"/>
        <v>2.6129685580530637E-2</v>
      </c>
      <c r="AE15" s="2779">
        <f t="shared" si="40"/>
        <v>0.22596176765028364</v>
      </c>
      <c r="AF15" s="2779">
        <f t="shared" si="40"/>
        <v>0.21385680734122658</v>
      </c>
      <c r="AG15" s="2813">
        <v>0.15</v>
      </c>
      <c r="AH15" s="2813">
        <v>0.35</v>
      </c>
      <c r="AI15" s="2813">
        <v>0.15</v>
      </c>
      <c r="AJ15" s="2813">
        <v>0.15</v>
      </c>
      <c r="AK15" s="2813">
        <v>0.15</v>
      </c>
      <c r="AL15" s="2813">
        <v>0.1</v>
      </c>
      <c r="AM15" s="2813">
        <v>0.1</v>
      </c>
      <c r="AN15" s="2813">
        <v>0.1</v>
      </c>
      <c r="AO15" s="2813">
        <v>0.1</v>
      </c>
      <c r="AP15" s="2813">
        <v>0.05</v>
      </c>
      <c r="AQ15" s="656"/>
      <c r="AR15" s="657"/>
      <c r="AS15" s="565"/>
      <c r="AU15" s="646">
        <f>AU13/AT13-1</f>
        <v>0.29607454001143663</v>
      </c>
      <c r="AV15" s="2780">
        <f t="shared" ref="AV15:AZ15" si="41">AV13/AU13-1</f>
        <v>0.40676338532610101</v>
      </c>
      <c r="AW15" s="2780">
        <f t="shared" si="41"/>
        <v>0.43033724448380184</v>
      </c>
      <c r="AX15" s="2780">
        <f t="shared" si="41"/>
        <v>0.47407455178640534</v>
      </c>
      <c r="AY15" s="2780">
        <f t="shared" si="41"/>
        <v>0.27474296714354463</v>
      </c>
      <c r="AZ15" s="2780">
        <f t="shared" si="41"/>
        <v>0.2039482716015486</v>
      </c>
      <c r="BA15" s="2780">
        <f t="shared" ref="BA15" si="42">BA13/AZ13-1</f>
        <v>0.21844768409769899</v>
      </c>
      <c r="BB15" s="2780">
        <f t="shared" ref="BB15" si="43">BB13/BA13-1</f>
        <v>0.14023842261635266</v>
      </c>
      <c r="BC15" s="2780">
        <f t="shared" ref="BC15" si="44">BC13/BB13-1</f>
        <v>9.0582903619952582E-2</v>
      </c>
      <c r="BD15" s="2717">
        <f>BC15*0.9</f>
        <v>8.1524613257957332E-2</v>
      </c>
      <c r="BE15" s="2717">
        <f t="shared" ref="BE15:BJ15" si="45">BD15*0.9</f>
        <v>7.3372151932161594E-2</v>
      </c>
      <c r="BF15" s="2717">
        <f t="shared" si="45"/>
        <v>6.6034936738945435E-2</v>
      </c>
      <c r="BG15" s="2717">
        <f t="shared" si="45"/>
        <v>5.9431443065050896E-2</v>
      </c>
      <c r="BH15" s="2717">
        <f t="shared" si="45"/>
        <v>5.3488298758545806E-2</v>
      </c>
      <c r="BI15" s="2717">
        <f t="shared" si="45"/>
        <v>4.8139468882691223E-2</v>
      </c>
      <c r="BJ15" s="2717">
        <f t="shared" si="45"/>
        <v>4.3325521994422099E-2</v>
      </c>
      <c r="BK15" s="565" t="s">
        <v>467</v>
      </c>
      <c r="BL15" s="2717">
        <v>0.26100000000000001</v>
      </c>
      <c r="BM15" s="2717">
        <v>0.26</v>
      </c>
      <c r="BN15" s="2813">
        <v>0.15</v>
      </c>
      <c r="BO15" s="2813">
        <v>0.16</v>
      </c>
    </row>
    <row r="16" spans="2:67" s="522" customFormat="1" ht="12" customHeight="1" x14ac:dyDescent="0.35">
      <c r="B16" s="563"/>
      <c r="X16" s="564"/>
      <c r="Y16" s="565"/>
      <c r="Z16" s="566"/>
      <c r="AA16" s="566"/>
      <c r="AB16" s="566"/>
      <c r="AC16" s="566"/>
      <c r="AD16" s="566"/>
      <c r="AE16" s="566"/>
      <c r="AF16" s="566"/>
      <c r="AG16" s="566"/>
      <c r="AH16" s="566"/>
      <c r="AI16" s="566"/>
      <c r="AJ16" s="566"/>
      <c r="AK16" s="566"/>
      <c r="AL16" s="566"/>
      <c r="AM16" s="566"/>
      <c r="AN16" s="566"/>
      <c r="AO16" s="566"/>
      <c r="AP16" s="566"/>
      <c r="AQ16" s="567"/>
      <c r="AR16" s="520"/>
      <c r="AS16" s="521"/>
      <c r="AZ16" s="562"/>
      <c r="BA16" s="562"/>
      <c r="BB16" s="562"/>
      <c r="BC16" s="562"/>
      <c r="BD16" s="562"/>
      <c r="BE16" s="562"/>
      <c r="BF16" s="562"/>
      <c r="BG16" s="562"/>
      <c r="BH16" s="562"/>
      <c r="BI16" s="562"/>
      <c r="BJ16" s="562"/>
      <c r="BL16" s="566"/>
      <c r="BM16" s="566"/>
      <c r="BN16" s="566"/>
      <c r="BO16" s="566"/>
    </row>
    <row r="17" spans="2:67" s="522" customFormat="1" ht="12" customHeight="1" x14ac:dyDescent="0.35">
      <c r="B17" s="2815" t="s">
        <v>460</v>
      </c>
      <c r="X17" s="568"/>
      <c r="AA17" s="568"/>
      <c r="AB17" s="568"/>
      <c r="AC17" s="569"/>
      <c r="AD17" s="569"/>
      <c r="AE17" s="526" t="e">
        <f ca="1">_xll.VisibleAlpha.UDF.VAData("BABA","1QFY-2021","Total revenue - Customer management")</f>
        <v>#NAME?</v>
      </c>
      <c r="AF17" s="526" t="e">
        <f ca="1">_xll.VisibleAlpha.UDF.VAData("BABA","2QFY-2021","Total revenue - Customer management")</f>
        <v>#NAME?</v>
      </c>
      <c r="AG17" s="526" t="e">
        <f ca="1">_xll.VisibleAlpha.UDF.VAData("BABA","3QFY-2021","Total revenue - Customer management")</f>
        <v>#NAME?</v>
      </c>
      <c r="AH17" s="526" t="e">
        <f ca="1">_xll.VisibleAlpha.UDF.VAData("BABA","4QFY-2021","Total revenue - Customer management")</f>
        <v>#NAME?</v>
      </c>
      <c r="AI17" s="526" t="e">
        <f ca="1">_xll.VisibleAlpha.UDF.VAData("BABA",AI2,"Total revenue - Customer management")</f>
        <v>#NAME?</v>
      </c>
      <c r="AJ17" s="526" t="e">
        <f ca="1">_xll.VisibleAlpha.UDF.VAData("BABA",AJ2,"Total revenue - Customer management")</f>
        <v>#NAME?</v>
      </c>
      <c r="AK17" s="526" t="e">
        <f ca="1">_xll.VisibleAlpha.UDF.VAData("BABA",AK2,"Total revenue - Customer management")</f>
        <v>#NAME?</v>
      </c>
      <c r="AL17" s="526" t="e">
        <f ca="1">_xll.VisibleAlpha.UDF.VAData("BABA",AL2,"Total revenue - Customer management")</f>
        <v>#NAME?</v>
      </c>
      <c r="AM17" s="526" t="e">
        <f ca="1">_xll.VisibleAlpha.UDF.VAData("BABA",AM2,"Total revenue - Customer management")</f>
        <v>#NAME?</v>
      </c>
      <c r="AN17" s="526" t="e">
        <f ca="1">_xll.VisibleAlpha.UDF.VAData("BABA",AN2,"Total revenue - Customer management")</f>
        <v>#NAME?</v>
      </c>
      <c r="AO17" s="526" t="e">
        <f ca="1">_xll.VisibleAlpha.UDF.VAData("BABA",AO2,"Total revenue - Customer management")</f>
        <v>#NAME?</v>
      </c>
      <c r="AP17" s="526" t="e">
        <f ca="1">_xll.VisibleAlpha.UDF.VAData("BABA",AP2,"Total revenue - Customer management")</f>
        <v>#NAME?</v>
      </c>
      <c r="AQ17" s="567"/>
      <c r="AR17" s="520"/>
      <c r="AS17" s="521"/>
      <c r="AZ17" s="526" t="e">
        <f ca="1">_xll.VisibleAlpha.UDF.VAData("BABA","FY-2020","Total revenue - Customer management")</f>
        <v>#NAME?</v>
      </c>
      <c r="BA17" s="526" t="e">
        <f ca="1">_xll.VisibleAlpha.UDF.VAData("BABA","FY-2021","Total revenue - Customer management")</f>
        <v>#NAME?</v>
      </c>
      <c r="BB17" s="526" t="e">
        <f ca="1">_xll.VisibleAlpha.UDF.VAData("BABA","FY-2022","Total revenue - Customer management")</f>
        <v>#NAME?</v>
      </c>
      <c r="BC17" s="526" t="e">
        <f ca="1">_xll.VisibleAlpha.UDF.VAData("BABA","FY-2022","Total revenue - Customer management")</f>
        <v>#NAME?</v>
      </c>
      <c r="BD17" s="526" t="e">
        <f ca="1">_xll.VisibleAlpha.UDF.VAData("BABA","FY-2022","Total revenue - Customer management")</f>
        <v>#NAME?</v>
      </c>
      <c r="BE17" s="526" t="e">
        <f ca="1">_xll.VisibleAlpha.UDF.VAData("BABA","FY-2022","Total revenue - Customer management")</f>
        <v>#NAME?</v>
      </c>
      <c r="BF17" s="526" t="e">
        <f ca="1">_xll.VisibleAlpha.UDF.VAData("BABA","FY-2022","Total revenue - Customer management")</f>
        <v>#NAME?</v>
      </c>
      <c r="BG17" s="526" t="e">
        <f ca="1">_xll.VisibleAlpha.UDF.VAData("BABA","FY-2022","Total revenue - Customer management")</f>
        <v>#NAME?</v>
      </c>
      <c r="BH17" s="526" t="e">
        <f ca="1">_xll.VisibleAlpha.UDF.VAData("BABA","FY-2022","Total revenue - Customer management")</f>
        <v>#NAME?</v>
      </c>
      <c r="BI17" s="526" t="e">
        <f ca="1">_xll.VisibleAlpha.UDF.VAData("BABA","FY-2022","Total revenue - Customer management")</f>
        <v>#NAME?</v>
      </c>
      <c r="BJ17" s="526" t="e">
        <f ca="1">_xll.VisibleAlpha.UDF.VAData("BABA","FY-2022","Total revenue - Customer management")</f>
        <v>#NAME?</v>
      </c>
      <c r="BL17" s="568"/>
      <c r="BM17" s="568"/>
      <c r="BN17" s="526">
        <v>50079.592466151298</v>
      </c>
      <c r="BO17" s="526">
        <v>50203.802701744004</v>
      </c>
    </row>
    <row r="18" spans="2:67" s="522" customFormat="1" ht="12" customHeight="1" x14ac:dyDescent="0.35">
      <c r="B18" s="530" t="s">
        <v>459</v>
      </c>
      <c r="X18" s="568"/>
      <c r="Y18" s="568"/>
      <c r="Z18" s="568"/>
      <c r="AA18" s="568"/>
      <c r="AB18" s="568"/>
      <c r="AC18" s="568"/>
      <c r="AD18" s="568"/>
      <c r="AE18" s="533" t="e">
        <f ca="1">_xll.VisibleAlpha.UDF.VAData("BABA","1QFY-2021","Total revenue - Customer management","Consensus","CD","IMPL","2020/8/12","YoY%")</f>
        <v>#NAME?</v>
      </c>
      <c r="AF18" s="533" t="e">
        <f ca="1">_xll.VisibleAlpha.UDF.VAData("BABA","2QFY-2021","Total revenue - Customer management","Consensus","CD","IMPL","2020/8/12","YoY%")</f>
        <v>#NAME?</v>
      </c>
      <c r="AG18" s="533" t="e">
        <f ca="1">_xll.VisibleAlpha.UDF.VAData("BABA","3QFY-2021","Total revenue - Customer management","Consensus","CD","IMPL","2020/8/12","YoY%")</f>
        <v>#NAME?</v>
      </c>
      <c r="AH18" s="533" t="e">
        <f ca="1">_xll.VisibleAlpha.UDF.VAData("BABA","4QFY-2021","Total revenue - Customer management","Consensus","CD","IMPL","2020/8/12","YoY%")</f>
        <v>#NAME?</v>
      </c>
      <c r="AI18" s="533" t="e">
        <f ca="1">_xll.VisibleAlpha.UDF.VAData("BABA",AI2,"Total revenue - Customer management","Consensus","CD","IMPL","2020/8/12","YoY%")</f>
        <v>#NAME?</v>
      </c>
      <c r="AJ18" s="533" t="e">
        <f ca="1">_xll.VisibleAlpha.UDF.VAData("BABA",AJ2,"Total revenue - Customer management","Consensus","CD","IMPL","2020/8/12","YoY%")</f>
        <v>#NAME?</v>
      </c>
      <c r="AK18" s="533" t="e">
        <f ca="1">_xll.VisibleAlpha.UDF.VAData("BABA",AK2,"Total revenue - Customer management","Consensus","CD","IMPL","2020/8/12","YoY%")</f>
        <v>#NAME?</v>
      </c>
      <c r="AL18" s="533" t="e">
        <f ca="1">_xll.VisibleAlpha.UDF.VAData("BABA",AL2,"Total revenue - Customer management","Consensus","CD","IMPL","2020/8/12","YoY%")</f>
        <v>#NAME?</v>
      </c>
      <c r="AM18" s="533" t="e">
        <f ca="1">_xll.VisibleAlpha.UDF.VAData("BABA",AM2,"Total revenue - Customer management","Consensus","CD","IMPL","2020/8/12","YoY%")</f>
        <v>#NAME?</v>
      </c>
      <c r="AN18" s="533" t="e">
        <f ca="1">_xll.VisibleAlpha.UDF.VAData("BABA",AN2,"Total revenue - Customer management","Consensus","CD","IMPL","2020/8/12","YoY%")</f>
        <v>#NAME?</v>
      </c>
      <c r="AO18" s="533" t="e">
        <f ca="1">_xll.VisibleAlpha.UDF.VAData("BABA",AO2,"Total revenue - Customer management","Consensus","CD","IMPL","2020/8/12","YoY%")</f>
        <v>#NAME?</v>
      </c>
      <c r="AP18" s="533" t="e">
        <f ca="1">_xll.VisibleAlpha.UDF.VAData("BABA",AP2,"Total revenue - Customer management","Consensus","CD","IMPL","2020/8/12","YoY%")</f>
        <v>#NAME?</v>
      </c>
      <c r="AQ18" s="567"/>
      <c r="AR18" s="520"/>
      <c r="AS18" s="521"/>
      <c r="AZ18" s="533" t="e">
        <f ca="1">_xll.VisibleAlpha.UDF.VAData("BABA","FY-2020","Total revenue - Customer management","Consensus","CD","IMPL","2020/8/12","YoY%")</f>
        <v>#NAME?</v>
      </c>
      <c r="BA18" s="533" t="e">
        <f ca="1">_xll.VisibleAlpha.UDF.VAData("BABA","FY-2021","Total revenue - Customer management","Consensus","CD","IMPL","2020/8/12","YoY%")</f>
        <v>#NAME?</v>
      </c>
      <c r="BB18" s="533" t="e">
        <f ca="1">_xll.VisibleAlpha.UDF.VAData("BABA","FY-2022","Total revenue - Customer management","Consensus","CD","IMPL","2020/8/12","YoY%")</f>
        <v>#NAME?</v>
      </c>
      <c r="BC18" s="533" t="e">
        <f ca="1">_xll.VisibleAlpha.UDF.VAData("BABA","FY-2022","Total revenue - Customer management","Consensus","CD","IMPL","2020/8/12","YoY%")</f>
        <v>#NAME?</v>
      </c>
      <c r="BD18" s="533" t="e">
        <f ca="1">_xll.VisibleAlpha.UDF.VAData("BABA","FY-2022","Total revenue - Customer management","Consensus","CD","IMPL","2020/8/12","YoY%")</f>
        <v>#NAME?</v>
      </c>
      <c r="BE18" s="533" t="e">
        <f ca="1">_xll.VisibleAlpha.UDF.VAData("BABA","FY-2022","Total revenue - Customer management","Consensus","CD","IMPL","2020/8/12","YoY%")</f>
        <v>#NAME?</v>
      </c>
      <c r="BF18" s="533" t="e">
        <f ca="1">_xll.VisibleAlpha.UDF.VAData("BABA","FY-2022","Total revenue - Customer management","Consensus","CD","IMPL","2020/8/12","YoY%")</f>
        <v>#NAME?</v>
      </c>
      <c r="BG18" s="533" t="e">
        <f ca="1">_xll.VisibleAlpha.UDF.VAData("BABA","FY-2022","Total revenue - Customer management","Consensus","CD","IMPL","2020/8/12","YoY%")</f>
        <v>#NAME?</v>
      </c>
      <c r="BH18" s="533" t="e">
        <f ca="1">_xll.VisibleAlpha.UDF.VAData("BABA","FY-2022","Total revenue - Customer management","Consensus","CD","IMPL","2020/8/12","YoY%")</f>
        <v>#NAME?</v>
      </c>
      <c r="BI18" s="533" t="e">
        <f ca="1">_xll.VisibleAlpha.UDF.VAData("BABA","FY-2022","Total revenue - Customer management","Consensus","CD","IMPL","2020/8/12","YoY%")</f>
        <v>#NAME?</v>
      </c>
      <c r="BJ18" s="533" t="e">
        <f ca="1">_xll.VisibleAlpha.UDF.VAData("BABA","FY-2022","Total revenue - Customer management","Consensus","CD","IMPL","2020/8/12","YoY%")</f>
        <v>#NAME?</v>
      </c>
      <c r="BL18" s="568"/>
      <c r="BM18" s="568"/>
      <c r="BN18" s="533">
        <v>0.19367861148284601</v>
      </c>
      <c r="BO18" s="533">
        <v>0.204320755517996</v>
      </c>
    </row>
    <row r="19" spans="2:67" s="522" customFormat="1" ht="12" customHeight="1" x14ac:dyDescent="0.35">
      <c r="B19" s="530"/>
      <c r="X19" s="568"/>
      <c r="Y19" s="568"/>
      <c r="Z19" s="568"/>
      <c r="AA19" s="568"/>
      <c r="AB19" s="568"/>
      <c r="AC19" s="568"/>
      <c r="AD19" s="568"/>
      <c r="AE19" s="568"/>
      <c r="AF19" s="568"/>
      <c r="AG19" s="568"/>
      <c r="AH19" s="568"/>
      <c r="AI19" s="568"/>
      <c r="AJ19" s="568"/>
      <c r="AK19" s="568"/>
      <c r="AL19" s="568"/>
      <c r="AM19" s="568"/>
      <c r="AN19" s="568"/>
      <c r="AO19" s="568"/>
      <c r="AP19" s="568"/>
      <c r="AQ19" s="567"/>
      <c r="AR19" s="520"/>
      <c r="AS19" s="521"/>
      <c r="AZ19" s="562"/>
      <c r="BA19" s="562"/>
      <c r="BB19" s="562"/>
      <c r="BC19" s="562"/>
      <c r="BD19" s="562"/>
      <c r="BE19" s="562"/>
      <c r="BF19" s="562"/>
      <c r="BG19" s="562"/>
      <c r="BH19" s="562"/>
      <c r="BI19" s="562"/>
      <c r="BJ19" s="562"/>
      <c r="BL19" s="568"/>
      <c r="BM19" s="568"/>
      <c r="BN19" s="568"/>
      <c r="BO19" s="568"/>
    </row>
    <row r="20" spans="2:67" s="538" customFormat="1" ht="12" customHeight="1" x14ac:dyDescent="0.35">
      <c r="B20" s="557" t="s">
        <v>468</v>
      </c>
      <c r="C20" s="519">
        <v>1880</v>
      </c>
      <c r="D20" s="519">
        <v>2144</v>
      </c>
      <c r="E20" s="519">
        <v>4844.7</v>
      </c>
      <c r="F20" s="519">
        <v>3154</v>
      </c>
      <c r="G20" s="519">
        <v>4026</v>
      </c>
      <c r="H20" s="519">
        <v>4278</v>
      </c>
      <c r="I20" s="519">
        <v>7893</v>
      </c>
      <c r="J20" s="519">
        <v>5004</v>
      </c>
      <c r="K20" s="519">
        <v>5055</v>
      </c>
      <c r="L20" s="519">
        <v>5587</v>
      </c>
      <c r="M20" s="519">
        <v>9045</v>
      </c>
      <c r="N20" s="519">
        <v>6142</v>
      </c>
      <c r="O20" s="519">
        <v>6926</v>
      </c>
      <c r="P20" s="519">
        <v>6864</v>
      </c>
      <c r="Q20" s="519">
        <v>12118</v>
      </c>
      <c r="R20" s="519">
        <v>8158</v>
      </c>
      <c r="S20" s="519">
        <v>8878</v>
      </c>
      <c r="T20" s="519">
        <v>10059</v>
      </c>
      <c r="U20" s="519">
        <v>16221</v>
      </c>
      <c r="V20" s="519">
        <v>11367</v>
      </c>
      <c r="W20" s="519">
        <v>13756</v>
      </c>
      <c r="X20" s="519">
        <v>13136</v>
      </c>
      <c r="Y20" s="519">
        <v>20165</v>
      </c>
      <c r="Z20" s="519">
        <v>14790</v>
      </c>
      <c r="AA20" s="519">
        <v>16902</v>
      </c>
      <c r="AB20" s="519">
        <v>16275</v>
      </c>
      <c r="AC20" s="519">
        <v>23409</v>
      </c>
      <c r="AD20" s="519">
        <v>14500</v>
      </c>
      <c r="AE20" s="519">
        <v>19781</v>
      </c>
      <c r="AF20" s="519">
        <f>AB20*(1+AF22)</f>
        <v>19204.5</v>
      </c>
      <c r="AG20" s="519">
        <f>AC20*(1+AG22)</f>
        <v>28324.89</v>
      </c>
      <c r="AH20" s="519">
        <f>AD20*(1+AH22)</f>
        <v>18125</v>
      </c>
      <c r="AI20" s="519">
        <f t="shared" ref="AI20:AP20" si="46">AE20*(1+AI22)</f>
        <v>22748.149999999998</v>
      </c>
      <c r="AJ20" s="519">
        <f t="shared" si="46"/>
        <v>23045.399999999998</v>
      </c>
      <c r="AK20" s="519">
        <f t="shared" si="46"/>
        <v>33989.867999999995</v>
      </c>
      <c r="AL20" s="519">
        <f t="shared" si="46"/>
        <v>19937.5</v>
      </c>
      <c r="AM20" s="519">
        <f t="shared" si="46"/>
        <v>25022.965</v>
      </c>
      <c r="AN20" s="519">
        <f t="shared" si="46"/>
        <v>26502.209999999995</v>
      </c>
      <c r="AO20" s="519">
        <f t="shared" si="46"/>
        <v>39088.348199999993</v>
      </c>
      <c r="AP20" s="519">
        <f t="shared" si="46"/>
        <v>20934.375</v>
      </c>
      <c r="AQ20" s="570" t="s">
        <v>458</v>
      </c>
      <c r="AR20" s="558" t="s">
        <v>465</v>
      </c>
      <c r="AS20" s="559"/>
      <c r="AT20" s="519">
        <f>C20+D20+E20+F20</f>
        <v>12022.7</v>
      </c>
      <c r="AU20" s="519">
        <f>G20+H20+I20+J20</f>
        <v>21201</v>
      </c>
      <c r="AV20" s="519">
        <f>K20+L20+M20+N20</f>
        <v>25829</v>
      </c>
      <c r="AW20" s="519">
        <f>O20+P20+Q20+R20</f>
        <v>34066</v>
      </c>
      <c r="AX20" s="519">
        <f>S20+T20+U20+V20</f>
        <v>46525</v>
      </c>
      <c r="AY20" s="560">
        <f>W20+X20+Y20+Z20</f>
        <v>61847</v>
      </c>
      <c r="AZ20" s="560">
        <f>AA20+AB20+AC20+AD20</f>
        <v>71086</v>
      </c>
      <c r="BA20" s="519">
        <f>SUM(AE20:AH20)</f>
        <v>85435.39</v>
      </c>
      <c r="BB20" s="519">
        <f>SUM(AI20:AL20)</f>
        <v>99720.917999999991</v>
      </c>
      <c r="BC20" s="519">
        <f>SUM(AM20:AP20)</f>
        <v>111547.8982</v>
      </c>
      <c r="BD20" s="519">
        <f t="shared" ref="BD20:BJ20" si="47">BC20*(1+BD22)</f>
        <v>123454.60071377663</v>
      </c>
      <c r="BE20" s="519">
        <f t="shared" si="47"/>
        <v>135314.46993173749</v>
      </c>
      <c r="BF20" s="519">
        <f t="shared" si="47"/>
        <v>147013.75628209315</v>
      </c>
      <c r="BG20" s="519">
        <f t="shared" si="47"/>
        <v>158453.48205383029</v>
      </c>
      <c r="BH20" s="519">
        <f t="shared" si="47"/>
        <v>169550.38880121699</v>
      </c>
      <c r="BI20" s="519">
        <f t="shared" si="47"/>
        <v>180237.03541958521</v>
      </c>
      <c r="BJ20" s="519">
        <f t="shared" si="47"/>
        <v>190461.23229003107</v>
      </c>
      <c r="BL20" s="519">
        <v>16222.96</v>
      </c>
      <c r="BM20" s="519">
        <v>24903.775000000001</v>
      </c>
      <c r="BN20" s="519">
        <v>19268.28</v>
      </c>
      <c r="BO20" s="519">
        <v>19692.75</v>
      </c>
    </row>
    <row r="21" spans="2:67" ht="12" customHeight="1" x14ac:dyDescent="0.35">
      <c r="B21" s="530" t="s">
        <v>466</v>
      </c>
      <c r="C21" s="524"/>
      <c r="D21" s="524"/>
      <c r="E21" s="524"/>
      <c r="F21" s="524"/>
      <c r="G21" s="524"/>
      <c r="H21" s="524"/>
      <c r="I21" s="524"/>
      <c r="J21" s="524"/>
      <c r="K21" s="524"/>
      <c r="L21" s="524"/>
      <c r="M21" s="554">
        <f t="shared" ref="M21:AH21" si="48">M20/L20-1</f>
        <v>0.61893681761231423</v>
      </c>
      <c r="N21" s="554">
        <f t="shared" si="48"/>
        <v>-0.32095080154781652</v>
      </c>
      <c r="O21" s="554">
        <f t="shared" si="48"/>
        <v>0.12764571800716373</v>
      </c>
      <c r="P21" s="554">
        <f t="shared" si="48"/>
        <v>-8.9517759168351585E-3</v>
      </c>
      <c r="Q21" s="554">
        <f t="shared" si="48"/>
        <v>0.76544289044289049</v>
      </c>
      <c r="R21" s="554">
        <f t="shared" si="48"/>
        <v>-0.32678659844858893</v>
      </c>
      <c r="S21" s="554">
        <f t="shared" si="48"/>
        <v>8.8256925717087542E-2</v>
      </c>
      <c r="T21" s="554">
        <f t="shared" si="48"/>
        <v>0.13302545618382511</v>
      </c>
      <c r="U21" s="554">
        <f t="shared" si="48"/>
        <v>0.61258574410975242</v>
      </c>
      <c r="V21" s="554">
        <f t="shared" si="48"/>
        <v>-0.29924172369151103</v>
      </c>
      <c r="W21" s="554">
        <f t="shared" si="48"/>
        <v>0.21016978974223632</v>
      </c>
      <c r="X21" s="554">
        <f t="shared" si="48"/>
        <v>-4.5071241640011639E-2</v>
      </c>
      <c r="Y21" s="554">
        <f t="shared" si="48"/>
        <v>0.53509439707673567</v>
      </c>
      <c r="Z21" s="554">
        <f t="shared" si="48"/>
        <v>-0.26655095462434908</v>
      </c>
      <c r="AA21" s="554">
        <f t="shared" si="48"/>
        <v>0.14279918864097363</v>
      </c>
      <c r="AB21" s="554">
        <f t="shared" si="48"/>
        <v>-3.7096201632942805E-2</v>
      </c>
      <c r="AC21" s="554">
        <f t="shared" si="48"/>
        <v>0.43834101382488488</v>
      </c>
      <c r="AD21" s="554">
        <f t="shared" si="48"/>
        <v>-0.38058011875774278</v>
      </c>
      <c r="AE21" s="554">
        <f t="shared" si="48"/>
        <v>0.36420689655172422</v>
      </c>
      <c r="AF21" s="554">
        <f t="shared" si="48"/>
        <v>-2.9144128203831943E-2</v>
      </c>
      <c r="AG21" s="554">
        <f t="shared" si="48"/>
        <v>0.47490900570178862</v>
      </c>
      <c r="AH21" s="554">
        <f t="shared" si="48"/>
        <v>-0.36010342846874255</v>
      </c>
      <c r="AI21" s="554">
        <f t="shared" ref="AI21" si="49">AI20/AH20-1</f>
        <v>0.25507034482758617</v>
      </c>
      <c r="AJ21" s="554">
        <f t="shared" ref="AJ21" si="50">AJ20/AI20-1</f>
        <v>1.3066996656871055E-2</v>
      </c>
      <c r="AK21" s="554">
        <f t="shared" ref="AK21" si="51">AK20/AJ20-1</f>
        <v>0.47490900570178862</v>
      </c>
      <c r="AL21" s="554">
        <f t="shared" ref="AL21" si="52">AL20/AK20-1</f>
        <v>-0.41342814276301387</v>
      </c>
      <c r="AM21" s="554">
        <f t="shared" ref="AM21" si="53">AM20/AL20-1</f>
        <v>0.25507034482758617</v>
      </c>
      <c r="AN21" s="554">
        <f t="shared" ref="AN21" si="54">AN20/AM20-1</f>
        <v>5.9115496504910325E-2</v>
      </c>
      <c r="AO21" s="554">
        <f t="shared" ref="AO21" si="55">AO20/AN20-1</f>
        <v>0.47490900570178862</v>
      </c>
      <c r="AP21" s="554">
        <f t="shared" ref="AP21" si="56">AP20/AO20-1</f>
        <v>-0.46443439121840391</v>
      </c>
      <c r="AQ21" s="527"/>
      <c r="AR21" s="508"/>
      <c r="AS21" s="509"/>
      <c r="AT21" s="524"/>
      <c r="AU21" s="524"/>
      <c r="AV21" s="561"/>
      <c r="AW21" s="561"/>
      <c r="AX21" s="561"/>
      <c r="AY21" s="561"/>
      <c r="AZ21" s="524"/>
      <c r="BL21" s="554">
        <v>-4.0175127203881299E-2</v>
      </c>
      <c r="BM21" s="554">
        <v>0.530185867895545</v>
      </c>
      <c r="BN21" s="554">
        <v>0.328846896551724</v>
      </c>
      <c r="BO21" s="554">
        <v>-4.4613518022345033E-3</v>
      </c>
    </row>
    <row r="22" spans="2:67" s="646" customFormat="1" ht="12" customHeight="1" x14ac:dyDescent="0.35">
      <c r="B22" s="672" t="s">
        <v>459</v>
      </c>
      <c r="G22" s="646">
        <v>1.14148936170213</v>
      </c>
      <c r="H22" s="646">
        <v>0.99208197484862604</v>
      </c>
      <c r="I22" s="646">
        <v>0.62481681012240198</v>
      </c>
      <c r="J22" s="646">
        <v>0.61492399961920496</v>
      </c>
      <c r="K22" s="646">
        <v>0.24884252359662201</v>
      </c>
      <c r="L22" s="646">
        <v>0.29189618891746599</v>
      </c>
      <c r="M22" s="646">
        <v>0.167272842760504</v>
      </c>
      <c r="N22" s="646">
        <v>0.21136625449302199</v>
      </c>
      <c r="O22" s="646">
        <v>0.37752991344195502</v>
      </c>
      <c r="P22" s="646">
        <v>0.24225401054033699</v>
      </c>
      <c r="Q22" s="646">
        <v>0.32328698544264101</v>
      </c>
      <c r="R22" s="646">
        <v>0.330948576409064</v>
      </c>
      <c r="S22" s="646">
        <v>0.28183655789777601</v>
      </c>
      <c r="T22" s="646">
        <v>0.46547202797202802</v>
      </c>
      <c r="U22" s="646">
        <v>0.334073964659582</v>
      </c>
      <c r="V22" s="2780">
        <v>0.38537477148080401</v>
      </c>
      <c r="W22" s="2780">
        <f t="shared" ref="W22:AE22" si="57">W20/S20-1</f>
        <v>0.54944807389051586</v>
      </c>
      <c r="X22" s="2779">
        <f t="shared" si="57"/>
        <v>0.30589521821254606</v>
      </c>
      <c r="Y22" s="2780">
        <f t="shared" si="57"/>
        <v>0.24314160655939832</v>
      </c>
      <c r="Z22" s="2779">
        <f t="shared" si="57"/>
        <v>0.30113486408023227</v>
      </c>
      <c r="AA22" s="2780">
        <f t="shared" si="57"/>
        <v>0.22870020354754295</v>
      </c>
      <c r="AB22" s="2780">
        <f t="shared" si="57"/>
        <v>0.23896163215590738</v>
      </c>
      <c r="AC22" s="2780">
        <f t="shared" si="57"/>
        <v>0.16087279940490951</v>
      </c>
      <c r="AD22" s="2780">
        <f t="shared" si="57"/>
        <v>-1.9607843137254943E-2</v>
      </c>
      <c r="AE22" s="2779">
        <f t="shared" si="57"/>
        <v>0.17033487161282679</v>
      </c>
      <c r="AF22" s="2717">
        <v>0.18</v>
      </c>
      <c r="AG22" s="2717">
        <v>0.21</v>
      </c>
      <c r="AH22" s="2717">
        <v>0.25</v>
      </c>
      <c r="AI22" s="2717">
        <v>0.15</v>
      </c>
      <c r="AJ22" s="2717">
        <v>0.2</v>
      </c>
      <c r="AK22" s="2717">
        <v>0.2</v>
      </c>
      <c r="AL22" s="2717">
        <v>0.1</v>
      </c>
      <c r="AM22" s="2717">
        <v>0.1</v>
      </c>
      <c r="AN22" s="2717">
        <v>0.15</v>
      </c>
      <c r="AO22" s="2717">
        <v>0.15</v>
      </c>
      <c r="AP22" s="2717">
        <v>0.05</v>
      </c>
      <c r="AQ22" s="656"/>
      <c r="AR22" s="657"/>
      <c r="AS22" s="565"/>
      <c r="AU22" s="646">
        <f t="shared" ref="AU22:AZ22" si="58">AU20/AT20-1</f>
        <v>0.76341420812296734</v>
      </c>
      <c r="AV22" s="2780">
        <f t="shared" si="58"/>
        <v>0.21829159001933873</v>
      </c>
      <c r="AW22" s="2780">
        <f t="shared" si="58"/>
        <v>0.31890510666305305</v>
      </c>
      <c r="AX22" s="2780">
        <f t="shared" si="58"/>
        <v>0.36573122761697885</v>
      </c>
      <c r="AY22" s="2780">
        <f t="shared" si="58"/>
        <v>0.32932831810854379</v>
      </c>
      <c r="AZ22" s="2780">
        <f t="shared" si="58"/>
        <v>0.14938477209888923</v>
      </c>
      <c r="BA22" s="2780">
        <f t="shared" ref="BA22" si="59">BA20/AZ20-1</f>
        <v>0.20185957853867142</v>
      </c>
      <c r="BB22" s="2780">
        <f t="shared" ref="BB22" si="60">BB20/BA20-1</f>
        <v>0.16720855373867893</v>
      </c>
      <c r="BC22" s="2780">
        <f t="shared" ref="BC22" si="61">BC20/BB20-1</f>
        <v>0.11860079547201918</v>
      </c>
      <c r="BD22" s="2717">
        <f>BC22*0.9</f>
        <v>0.10674071592481726</v>
      </c>
      <c r="BE22" s="2717">
        <f t="shared" ref="BE22:BJ22" si="62">BD22*0.9</f>
        <v>9.6066644332335541E-2</v>
      </c>
      <c r="BF22" s="2717">
        <f t="shared" si="62"/>
        <v>8.6459979899101994E-2</v>
      </c>
      <c r="BG22" s="2717">
        <f t="shared" si="62"/>
        <v>7.7813981909191796E-2</v>
      </c>
      <c r="BH22" s="2717">
        <f t="shared" si="62"/>
        <v>7.0032583718272617E-2</v>
      </c>
      <c r="BI22" s="2717">
        <f t="shared" si="62"/>
        <v>6.3029325346445356E-2</v>
      </c>
      <c r="BJ22" s="2717">
        <f t="shared" si="62"/>
        <v>5.6726392811800821E-2</v>
      </c>
      <c r="BK22" s="646" t="s">
        <v>469</v>
      </c>
      <c r="BL22" s="2717">
        <v>0.23499999999999999</v>
      </c>
      <c r="BM22" s="2717">
        <v>0.23499999999999999</v>
      </c>
      <c r="BN22" s="2717">
        <v>0.14000000000000001</v>
      </c>
      <c r="BO22" s="2717">
        <v>0.21</v>
      </c>
    </row>
    <row r="23" spans="2:67" s="522" customFormat="1" ht="12" customHeight="1" x14ac:dyDescent="0.35">
      <c r="B23" s="571"/>
      <c r="X23" s="568"/>
      <c r="Y23" s="568"/>
      <c r="Z23" s="568"/>
      <c r="AA23" s="568"/>
      <c r="AB23" s="568"/>
      <c r="AC23" s="568"/>
      <c r="AD23" s="568"/>
      <c r="AE23" s="568"/>
      <c r="AF23" s="568"/>
      <c r="AG23" s="568"/>
      <c r="AH23" s="568"/>
      <c r="AI23" s="568"/>
      <c r="AJ23" s="568"/>
      <c r="AK23" s="568"/>
      <c r="AL23" s="568"/>
      <c r="AM23" s="568"/>
      <c r="AN23" s="568"/>
      <c r="AO23" s="568"/>
      <c r="AP23" s="568"/>
      <c r="AQ23" s="567"/>
      <c r="AR23" s="520"/>
      <c r="AS23" s="521"/>
      <c r="AZ23" s="562"/>
      <c r="BA23" s="562"/>
      <c r="BB23" s="562"/>
      <c r="BC23" s="562"/>
      <c r="BD23" s="562"/>
      <c r="BE23" s="562"/>
      <c r="BF23" s="562"/>
      <c r="BG23" s="562"/>
      <c r="BH23" s="562"/>
      <c r="BI23" s="562"/>
      <c r="BJ23" s="562"/>
      <c r="BL23" s="568"/>
      <c r="BM23" s="568"/>
      <c r="BN23" s="568"/>
      <c r="BO23" s="568"/>
    </row>
    <row r="24" spans="2:67" s="522" customFormat="1" ht="12" customHeight="1" x14ac:dyDescent="0.35">
      <c r="B24" s="2815" t="s">
        <v>460</v>
      </c>
      <c r="X24" s="568"/>
      <c r="Y24" s="568"/>
      <c r="Z24" s="568"/>
      <c r="AA24" s="568"/>
      <c r="AB24" s="568"/>
      <c r="AC24" s="569"/>
      <c r="AD24" s="569"/>
      <c r="AE24" s="526" t="e">
        <f ca="1">_xll.VisibleAlpha.UDF.VAData("BABA","1QFY-2021","Total revenue - Commission")</f>
        <v>#NAME?</v>
      </c>
      <c r="AF24" s="526" t="e">
        <f ca="1">_xll.VisibleAlpha.UDF.VAData("BABA","2QFY-2021","Total revenue - Commission")</f>
        <v>#NAME?</v>
      </c>
      <c r="AG24" s="526" t="e">
        <f ca="1">_xll.VisibleAlpha.UDF.VAData("BABA","3QFY-2021","Total revenue - Commission")</f>
        <v>#NAME?</v>
      </c>
      <c r="AH24" s="526" t="e">
        <f ca="1">_xll.VisibleAlpha.UDF.VAData("BABA","4QFY-2021","Total revenue - Commission")</f>
        <v>#NAME?</v>
      </c>
      <c r="AI24" s="526" t="e">
        <f ca="1">_xll.VisibleAlpha.UDF.VAData("BABA",AI2,"Total revenue - Commission")</f>
        <v>#NAME?</v>
      </c>
      <c r="AJ24" s="526" t="e">
        <f ca="1">_xll.VisibleAlpha.UDF.VAData("BABA",AJ2,"Total revenue - Commission")</f>
        <v>#NAME?</v>
      </c>
      <c r="AK24" s="526" t="e">
        <f ca="1">_xll.VisibleAlpha.UDF.VAData("BABA",AK2,"Total revenue - Commission")</f>
        <v>#NAME?</v>
      </c>
      <c r="AL24" s="526" t="e">
        <f ca="1">_xll.VisibleAlpha.UDF.VAData("BABA",AL2,"Total revenue - Commission")</f>
        <v>#NAME?</v>
      </c>
      <c r="AM24" s="526" t="e">
        <f ca="1">_xll.VisibleAlpha.UDF.VAData("BABA",AM2,"Total revenue - Commission")</f>
        <v>#NAME?</v>
      </c>
      <c r="AN24" s="526" t="e">
        <f ca="1">_xll.VisibleAlpha.UDF.VAData("BABA",AN2,"Total revenue - Commission")</f>
        <v>#NAME?</v>
      </c>
      <c r="AO24" s="526" t="e">
        <f ca="1">_xll.VisibleAlpha.UDF.VAData("BABA",AO2,"Total revenue - Commission")</f>
        <v>#NAME?</v>
      </c>
      <c r="AP24" s="526" t="e">
        <f ca="1">_xll.VisibleAlpha.UDF.VAData("BABA",AP2,"Total revenue - Commission")</f>
        <v>#NAME?</v>
      </c>
      <c r="AQ24" s="567"/>
      <c r="AR24" s="520"/>
      <c r="AS24" s="521"/>
      <c r="AZ24" s="526" t="e">
        <f ca="1">_xll.VisibleAlpha.UDF.VAData("BABA","FY-2020","Total revenue - Commission")</f>
        <v>#NAME?</v>
      </c>
      <c r="BA24" s="526" t="e">
        <f ca="1">_xll.VisibleAlpha.UDF.VAData("BABA","FY-2021","Total revenue - Commission")</f>
        <v>#NAME?</v>
      </c>
      <c r="BB24" s="526" t="e">
        <f ca="1">_xll.VisibleAlpha.UDF.VAData("BABA","FY-2022","Total revenue - Commission")</f>
        <v>#NAME?</v>
      </c>
      <c r="BC24" s="526" t="e">
        <f ca="1">_xll.VisibleAlpha.UDF.VAData("BABA","FY-2022","Total revenue - Commission")</f>
        <v>#NAME?</v>
      </c>
      <c r="BD24" s="526" t="e">
        <f ca="1">_xll.VisibleAlpha.UDF.VAData("BABA","FY-2022","Total revenue - Commission")</f>
        <v>#NAME?</v>
      </c>
      <c r="BE24" s="526" t="e">
        <f ca="1">_xll.VisibleAlpha.UDF.VAData("BABA","FY-2022","Total revenue - Commission")</f>
        <v>#NAME?</v>
      </c>
      <c r="BF24" s="526" t="e">
        <f ca="1">_xll.VisibleAlpha.UDF.VAData("BABA","FY-2022","Total revenue - Commission")</f>
        <v>#NAME?</v>
      </c>
      <c r="BG24" s="526" t="e">
        <f ca="1">_xll.VisibleAlpha.UDF.VAData("BABA","FY-2022","Total revenue - Commission")</f>
        <v>#NAME?</v>
      </c>
      <c r="BH24" s="526" t="e">
        <f ca="1">_xll.VisibleAlpha.UDF.VAData("BABA","FY-2022","Total revenue - Commission")</f>
        <v>#NAME?</v>
      </c>
      <c r="BI24" s="526" t="e">
        <f ca="1">_xll.VisibleAlpha.UDF.VAData("BABA","FY-2022","Total revenue - Commission")</f>
        <v>#NAME?</v>
      </c>
      <c r="BJ24" s="526" t="e">
        <f ca="1">_xll.VisibleAlpha.UDF.VAData("BABA","FY-2022","Total revenue - Commission")</f>
        <v>#NAME?</v>
      </c>
      <c r="BK24" s="572"/>
      <c r="BL24" s="568"/>
      <c r="BM24" s="568"/>
      <c r="BN24" s="526">
        <v>19659.9823805124</v>
      </c>
      <c r="BO24" s="526">
        <v>18940.633202342298</v>
      </c>
    </row>
    <row r="25" spans="2:67" s="522" customFormat="1" ht="12" customHeight="1" x14ac:dyDescent="0.35">
      <c r="B25" s="530" t="s">
        <v>459</v>
      </c>
      <c r="X25" s="568"/>
      <c r="Y25" s="568"/>
      <c r="Z25" s="568"/>
      <c r="AA25" s="568"/>
      <c r="AB25" s="568"/>
      <c r="AC25" s="568"/>
      <c r="AD25" s="568"/>
      <c r="AE25" s="533" t="e">
        <f ca="1">_xll.VisibleAlpha.UDF.VAData("BABA","1QFY-2021","Total revenue - Commission","Consensus","CD","IMPL","2020/8/12","YoY%")</f>
        <v>#NAME?</v>
      </c>
      <c r="AF25" s="533" t="e">
        <f ca="1">_xll.VisibleAlpha.UDF.VAData("BABA","2QFY-2021","Total revenue - Commission","Consensus","CD","IMPL","2020/8/12","YoY%")</f>
        <v>#NAME?</v>
      </c>
      <c r="AG25" s="533" t="e">
        <f ca="1">_xll.VisibleAlpha.UDF.VAData("BABA","3QFY-2021","Total revenue - Commission","Consensus","CD","IMPL","2020/8/12","YoY%")</f>
        <v>#NAME?</v>
      </c>
      <c r="AH25" s="533" t="e">
        <f ca="1">_xll.VisibleAlpha.UDF.VAData("BABA","4QFY-2021","Total revenue - Commission","Consensus","CD","IMPL","2020/8/12","YoY%")</f>
        <v>#NAME?</v>
      </c>
      <c r="AI25" s="533" t="e">
        <f ca="1">_xll.VisibleAlpha.UDF.VAData("BABA",AI2,"Total revenue - Commission","Consensus","CD","IMPL","2020/8/12","YoY%")</f>
        <v>#NAME?</v>
      </c>
      <c r="AJ25" s="533" t="e">
        <f ca="1">_xll.VisibleAlpha.UDF.VAData("BABA",AJ2,"Total revenue - Commission","Consensus","CD","IMPL","2020/8/12","YoY%")</f>
        <v>#NAME?</v>
      </c>
      <c r="AK25" s="533" t="e">
        <f ca="1">_xll.VisibleAlpha.UDF.VAData("BABA",AK2,"Total revenue - Commission","Consensus","CD","IMPL","2020/8/12","YoY%")</f>
        <v>#NAME?</v>
      </c>
      <c r="AL25" s="533" t="e">
        <f ca="1">_xll.VisibleAlpha.UDF.VAData("BABA",AL2,"Total revenue - Commission","Consensus","CD","IMPL","2020/8/12","YoY%")</f>
        <v>#NAME?</v>
      </c>
      <c r="AM25" s="533" t="e">
        <f ca="1">_xll.VisibleAlpha.UDF.VAData("BABA",AM2,"Total revenue - Commission","Consensus","CD","IMPL","2020/8/12","YoY%")</f>
        <v>#NAME?</v>
      </c>
      <c r="AN25" s="533" t="e">
        <f ca="1">_xll.VisibleAlpha.UDF.VAData("BABA",AN2,"Total revenue - Commission","Consensus","CD","IMPL","2020/8/12","YoY%")</f>
        <v>#NAME?</v>
      </c>
      <c r="AO25" s="533" t="e">
        <f ca="1">_xll.VisibleAlpha.UDF.VAData("BABA",AO2,"Total revenue - Commission","Consensus","CD","IMPL","2020/8/12","YoY%")</f>
        <v>#NAME?</v>
      </c>
      <c r="AP25" s="533" t="e">
        <f ca="1">_xll.VisibleAlpha.UDF.VAData("BABA",AP2,"Total revenue - Commission","Consensus","CD","IMPL","2020/8/12","YoY%")</f>
        <v>#NAME?</v>
      </c>
      <c r="AQ25" s="567"/>
      <c r="AR25" s="520"/>
      <c r="AS25" s="521"/>
      <c r="AZ25" s="533" t="e">
        <f ca="1">_xll.VisibleAlpha.UDF.VAData("BABA","FY-2020","Total revenue - Commission","Consensus","CD","IMPL","2020/8/12","YoY%")</f>
        <v>#NAME?</v>
      </c>
      <c r="BA25" s="533" t="e">
        <f ca="1">_xll.VisibleAlpha.UDF.VAData("BABA","FY-2021","Total revenue - Commission","Consensus","CD","IMPL","2020/8/12","YoY%")</f>
        <v>#NAME?</v>
      </c>
      <c r="BB25" s="533" t="e">
        <f ca="1">_xll.VisibleAlpha.UDF.VAData("BABA","FY-2022","Total revenue - Commission","Consensus","CD","IMPL","2020/8/12","YoY%")</f>
        <v>#NAME?</v>
      </c>
      <c r="BC25" s="533" t="e">
        <f ca="1">_xll.VisibleAlpha.UDF.VAData("BABA","FY-2022","Total revenue - Commission","Consensus","CD","IMPL","2020/8/12","YoY%")</f>
        <v>#NAME?</v>
      </c>
      <c r="BD25" s="533" t="e">
        <f ca="1">_xll.VisibleAlpha.UDF.VAData("BABA","FY-2022","Total revenue - Commission","Consensus","CD","IMPL","2020/8/12","YoY%")</f>
        <v>#NAME?</v>
      </c>
      <c r="BE25" s="533" t="e">
        <f ca="1">_xll.VisibleAlpha.UDF.VAData("BABA","FY-2022","Total revenue - Commission","Consensus","CD","IMPL","2020/8/12","YoY%")</f>
        <v>#NAME?</v>
      </c>
      <c r="BF25" s="533" t="e">
        <f ca="1">_xll.VisibleAlpha.UDF.VAData("BABA","FY-2022","Total revenue - Commission","Consensus","CD","IMPL","2020/8/12","YoY%")</f>
        <v>#NAME?</v>
      </c>
      <c r="BG25" s="533" t="e">
        <f ca="1">_xll.VisibleAlpha.UDF.VAData("BABA","FY-2022","Total revenue - Commission","Consensus","CD","IMPL","2020/8/12","YoY%")</f>
        <v>#NAME?</v>
      </c>
      <c r="BH25" s="533" t="e">
        <f ca="1">_xll.VisibleAlpha.UDF.VAData("BABA","FY-2022","Total revenue - Commission","Consensus","CD","IMPL","2020/8/12","YoY%")</f>
        <v>#NAME?</v>
      </c>
      <c r="BI25" s="533" t="e">
        <f ca="1">_xll.VisibleAlpha.UDF.VAData("BABA","FY-2022","Total revenue - Commission","Consensus","CD","IMPL","2020/8/12","YoY%")</f>
        <v>#NAME?</v>
      </c>
      <c r="BJ25" s="533" t="e">
        <f ca="1">_xll.VisibleAlpha.UDF.VAData("BABA","FY-2022","Total revenue - Commission","Consensus","CD","IMPL","2020/8/12","YoY%")</f>
        <v>#NAME?</v>
      </c>
      <c r="BL25" s="568"/>
      <c r="BM25" s="568">
        <v>0.21</v>
      </c>
      <c r="BN25" s="533">
        <v>0.16317491305836099</v>
      </c>
      <c r="BO25" s="533">
        <v>0.16949416798856901</v>
      </c>
    </row>
    <row r="26" spans="2:67" s="522" customFormat="1" ht="12" customHeight="1" x14ac:dyDescent="0.35">
      <c r="B26" s="571"/>
      <c r="X26" s="568"/>
      <c r="Y26" s="568"/>
      <c r="Z26" s="568"/>
      <c r="AA26" s="568"/>
      <c r="AB26" s="568"/>
      <c r="AC26" s="562"/>
      <c r="AD26" s="568"/>
      <c r="AE26" s="568"/>
      <c r="AF26" s="568"/>
      <c r="AG26" s="568"/>
      <c r="AH26" s="568"/>
      <c r="AI26" s="568"/>
      <c r="AJ26" s="568"/>
      <c r="AK26" s="568"/>
      <c r="AL26" s="568"/>
      <c r="AM26" s="568"/>
      <c r="AN26" s="568"/>
      <c r="AO26" s="568"/>
      <c r="AP26" s="568"/>
      <c r="AQ26" s="567"/>
      <c r="AR26" s="520"/>
      <c r="AS26" s="521"/>
      <c r="AZ26" s="562"/>
      <c r="BA26" s="562"/>
      <c r="BB26" s="562"/>
      <c r="BC26" s="562"/>
      <c r="BD26" s="562"/>
      <c r="BE26" s="562"/>
      <c r="BF26" s="562"/>
      <c r="BG26" s="562"/>
      <c r="BH26" s="562"/>
      <c r="BI26" s="562"/>
      <c r="BJ26" s="562"/>
      <c r="BL26" s="568"/>
      <c r="BM26" s="568"/>
      <c r="BN26" s="568"/>
      <c r="BO26" s="568"/>
    </row>
    <row r="27" spans="2:67" s="522" customFormat="1" ht="12" customHeight="1" x14ac:dyDescent="0.35">
      <c r="B27" s="573" t="s">
        <v>470</v>
      </c>
      <c r="W27" s="574">
        <f>[34]GMV!F9</f>
        <v>0</v>
      </c>
      <c r="X27" s="574">
        <f>[34]GMV!G9</f>
        <v>0</v>
      </c>
      <c r="Y27" s="574">
        <f>[34]GMV!H9</f>
        <v>0</v>
      </c>
      <c r="Z27" s="568">
        <v>0.20699999999999999</v>
      </c>
      <c r="AA27" s="568">
        <v>0.23</v>
      </c>
      <c r="AB27" s="568"/>
      <c r="AC27" s="568"/>
      <c r="AD27" s="568"/>
      <c r="AE27" s="568"/>
      <c r="AF27" s="568"/>
      <c r="AG27" s="568"/>
      <c r="AH27" s="568"/>
      <c r="AI27" s="568"/>
      <c r="AJ27" s="568"/>
      <c r="AK27" s="568"/>
      <c r="AL27" s="568"/>
      <c r="AM27" s="568"/>
      <c r="AN27" s="568"/>
      <c r="AO27" s="568"/>
      <c r="AP27" s="568"/>
      <c r="AQ27" s="567"/>
      <c r="AR27" s="520"/>
      <c r="AS27" s="521"/>
      <c r="AZ27" s="562"/>
      <c r="BA27" s="562"/>
      <c r="BB27" s="562"/>
      <c r="BC27" s="562"/>
      <c r="BD27" s="562"/>
      <c r="BE27" s="562"/>
      <c r="BF27" s="562"/>
      <c r="BG27" s="562"/>
      <c r="BH27" s="562"/>
      <c r="BI27" s="562"/>
      <c r="BJ27" s="562"/>
      <c r="BL27" s="568"/>
      <c r="BM27" s="568"/>
      <c r="BN27" s="568"/>
      <c r="BO27" s="568"/>
    </row>
    <row r="28" spans="2:67" s="522" customFormat="1" ht="12" customHeight="1" x14ac:dyDescent="0.35">
      <c r="B28" s="571" t="s">
        <v>471</v>
      </c>
      <c r="W28" s="575"/>
      <c r="X28" s="575"/>
      <c r="Y28" s="574"/>
      <c r="Z28" s="562">
        <v>0.3</v>
      </c>
      <c r="AA28" s="562">
        <v>0.35</v>
      </c>
      <c r="AB28" s="562"/>
      <c r="AC28" s="562"/>
      <c r="AD28" s="562"/>
      <c r="AE28" s="562"/>
      <c r="AF28" s="562"/>
      <c r="AG28" s="562"/>
      <c r="AH28" s="562"/>
      <c r="AI28" s="562"/>
      <c r="AJ28" s="562"/>
      <c r="AK28" s="562"/>
      <c r="AL28" s="562"/>
      <c r="AM28" s="562"/>
      <c r="AN28" s="562"/>
      <c r="AO28" s="562"/>
      <c r="AP28" s="562"/>
      <c r="AQ28" s="567"/>
      <c r="AR28" s="520"/>
      <c r="AS28" s="521"/>
      <c r="AX28" s="522">
        <f>4950/3300</f>
        <v>1.5</v>
      </c>
      <c r="AZ28" s="562"/>
      <c r="BA28" s="562"/>
      <c r="BB28" s="562"/>
      <c r="BC28" s="562"/>
      <c r="BD28" s="562"/>
      <c r="BE28" s="562"/>
      <c r="BF28" s="562"/>
      <c r="BG28" s="562"/>
      <c r="BH28" s="562"/>
      <c r="BI28" s="562"/>
      <c r="BJ28" s="562"/>
      <c r="BL28" s="562"/>
      <c r="BM28" s="562"/>
      <c r="BN28" s="562"/>
      <c r="BO28" s="562"/>
    </row>
    <row r="29" spans="2:67" s="522" customFormat="1" ht="12" customHeight="1" x14ac:dyDescent="0.35">
      <c r="B29" s="576"/>
      <c r="X29" s="568"/>
      <c r="Y29" s="568"/>
      <c r="Z29" s="568"/>
      <c r="AA29" s="568"/>
      <c r="AB29" s="568"/>
      <c r="AC29" s="568"/>
      <c r="AD29" s="568"/>
      <c r="AE29" s="568"/>
      <c r="AF29" s="568"/>
      <c r="AG29" s="568"/>
      <c r="AH29" s="568"/>
      <c r="AI29" s="568"/>
      <c r="AJ29" s="568"/>
      <c r="AK29" s="568"/>
      <c r="AL29" s="568"/>
      <c r="AM29" s="568"/>
      <c r="AN29" s="568"/>
      <c r="AO29" s="568"/>
      <c r="AP29" s="568"/>
      <c r="AQ29" s="567"/>
      <c r="AR29" s="520"/>
      <c r="AS29" s="521"/>
      <c r="AZ29" s="562"/>
      <c r="BA29" s="562"/>
      <c r="BB29" s="562"/>
      <c r="BC29" s="562"/>
      <c r="BD29" s="562"/>
      <c r="BE29" s="562"/>
      <c r="BF29" s="562"/>
      <c r="BG29" s="562"/>
      <c r="BH29" s="562"/>
      <c r="BI29" s="562"/>
      <c r="BJ29" s="562"/>
      <c r="BL29" s="568"/>
      <c r="BM29" s="568"/>
      <c r="BN29" s="568"/>
      <c r="BO29" s="568"/>
    </row>
    <row r="30" spans="2:67" s="522" customFormat="1" ht="12" customHeight="1" x14ac:dyDescent="0.35">
      <c r="B30" s="571"/>
      <c r="X30" s="568"/>
      <c r="Y30" s="568"/>
      <c r="Z30" s="568"/>
      <c r="AA30" s="568"/>
      <c r="AB30" s="568"/>
      <c r="AC30" s="568"/>
      <c r="AD30" s="568"/>
      <c r="AE30" s="568"/>
      <c r="AF30" s="568"/>
      <c r="AG30" s="568"/>
      <c r="AH30" s="568"/>
      <c r="AI30" s="568"/>
      <c r="AJ30" s="568"/>
      <c r="AK30" s="568"/>
      <c r="AL30" s="568"/>
      <c r="AM30" s="568"/>
      <c r="AN30" s="568"/>
      <c r="AO30" s="568"/>
      <c r="AP30" s="568"/>
      <c r="AQ30" s="567"/>
      <c r="AR30" s="520"/>
      <c r="AS30" s="521"/>
      <c r="AZ30" s="562"/>
      <c r="BA30" s="562"/>
      <c r="BB30" s="562"/>
      <c r="BC30" s="562"/>
      <c r="BD30" s="562"/>
      <c r="BE30" s="562"/>
      <c r="BF30" s="562"/>
      <c r="BG30" s="562"/>
      <c r="BH30" s="562"/>
      <c r="BI30" s="562"/>
      <c r="BJ30" s="562"/>
      <c r="BL30" s="568"/>
      <c r="BM30" s="568"/>
      <c r="BN30" s="568"/>
      <c r="BO30" s="568"/>
    </row>
    <row r="31" spans="2:67" ht="11.65" x14ac:dyDescent="0.35">
      <c r="B31" s="577" t="s">
        <v>472</v>
      </c>
      <c r="C31" s="572">
        <f>C13+C20</f>
        <v>8667</v>
      </c>
      <c r="D31" s="572">
        <f t="shared" ref="D31:I31" si="63">D13+D20</f>
        <v>8645.0400000000009</v>
      </c>
      <c r="E31" s="572">
        <f t="shared" si="63"/>
        <v>16149</v>
      </c>
      <c r="F31" s="572">
        <f t="shared" si="63"/>
        <v>8290.66</v>
      </c>
      <c r="G31" s="572">
        <f t="shared" si="63"/>
        <v>12639</v>
      </c>
      <c r="H31" s="572">
        <f t="shared" si="63"/>
        <v>12769.384999999998</v>
      </c>
      <c r="I31" s="572">
        <f t="shared" si="63"/>
        <v>21274.974999999999</v>
      </c>
      <c r="J31" s="572">
        <f>J13+J20</f>
        <v>13048.640000000001</v>
      </c>
      <c r="K31" s="572">
        <f t="shared" ref="K31:V31" si="64">K13+K20</f>
        <v>15711.525547445257</v>
      </c>
      <c r="L31" s="572">
        <f t="shared" si="64"/>
        <v>17267.450452554742</v>
      </c>
      <c r="M31" s="572">
        <f t="shared" si="64"/>
        <v>28714.09</v>
      </c>
      <c r="N31" s="572">
        <f t="shared" si="64"/>
        <v>18339.934000000001</v>
      </c>
      <c r="O31" s="572">
        <f t="shared" si="64"/>
        <v>22808</v>
      </c>
      <c r="P31" s="572">
        <f t="shared" si="64"/>
        <v>23509</v>
      </c>
      <c r="Q31" s="572">
        <f t="shared" si="64"/>
        <v>40026.567999999999</v>
      </c>
      <c r="R31" s="572">
        <f t="shared" si="64"/>
        <v>25252.432000000001</v>
      </c>
      <c r="S31" s="572">
        <f t="shared" si="64"/>
        <v>35098</v>
      </c>
      <c r="T31" s="572">
        <f t="shared" si="64"/>
        <v>36331</v>
      </c>
      <c r="U31" s="572">
        <f t="shared" si="64"/>
        <v>55021</v>
      </c>
      <c r="V31" s="572">
        <f t="shared" si="64"/>
        <v>34360</v>
      </c>
      <c r="W31" s="572">
        <f>W13+W20</f>
        <v>46809</v>
      </c>
      <c r="X31" s="519">
        <f t="shared" ref="X31:AG31" si="65">X20+X13</f>
        <v>46056</v>
      </c>
      <c r="Y31" s="519">
        <f t="shared" si="65"/>
        <v>69757</v>
      </c>
      <c r="Z31" s="519">
        <f t="shared" si="65"/>
        <v>44909</v>
      </c>
      <c r="AA31" s="519">
        <f t="shared" si="65"/>
        <v>58856</v>
      </c>
      <c r="AB31" s="519">
        <f t="shared" si="65"/>
        <v>57576</v>
      </c>
      <c r="AC31" s="519">
        <f t="shared" si="65"/>
        <v>84644</v>
      </c>
      <c r="AD31" s="519">
        <f t="shared" si="65"/>
        <v>45406</v>
      </c>
      <c r="AE31" s="519">
        <f t="shared" si="65"/>
        <v>71215</v>
      </c>
      <c r="AF31" s="519">
        <f>AF20+AF13</f>
        <v>69338</v>
      </c>
      <c r="AG31" s="519">
        <f t="shared" si="65"/>
        <v>98745.14</v>
      </c>
      <c r="AH31" s="519">
        <f>AH20+AH13</f>
        <v>59848.100000000006</v>
      </c>
      <c r="AI31" s="519">
        <f t="shared" ref="AI31:AP31" si="66">AI20+AI13</f>
        <v>81897.25</v>
      </c>
      <c r="AJ31" s="519">
        <f t="shared" si="66"/>
        <v>80698.924999999988</v>
      </c>
      <c r="AK31" s="519">
        <f t="shared" si="66"/>
        <v>114973.15549999999</v>
      </c>
      <c r="AL31" s="519">
        <f t="shared" si="66"/>
        <v>65832.91</v>
      </c>
      <c r="AM31" s="519">
        <f t="shared" si="66"/>
        <v>90086.975000000006</v>
      </c>
      <c r="AN31" s="519">
        <f t="shared" si="66"/>
        <v>89921.087499999994</v>
      </c>
      <c r="AO31" s="519">
        <f t="shared" si="66"/>
        <v>128169.96444999998</v>
      </c>
      <c r="AP31" s="519">
        <f t="shared" si="66"/>
        <v>69124.555500000017</v>
      </c>
      <c r="AT31" s="572">
        <f t="shared" ref="AT31:AY31" si="67">SUM(AT13,AT20)</f>
        <v>41751.699999999997</v>
      </c>
      <c r="AU31" s="572">
        <f t="shared" si="67"/>
        <v>59732</v>
      </c>
      <c r="AV31" s="572">
        <f t="shared" si="67"/>
        <v>80033</v>
      </c>
      <c r="AW31" s="572">
        <f t="shared" si="67"/>
        <v>111596</v>
      </c>
      <c r="AX31" s="572">
        <f t="shared" si="67"/>
        <v>160810</v>
      </c>
      <c r="AY31" s="572">
        <f t="shared" si="67"/>
        <v>207531</v>
      </c>
      <c r="AZ31" s="578">
        <f>AZ13+AZ20</f>
        <v>246482</v>
      </c>
      <c r="BA31" s="578">
        <f>BA13+BA20</f>
        <v>299146.23999999999</v>
      </c>
      <c r="BB31" s="578">
        <f>BB13+BB20</f>
        <v>343402.24049999996</v>
      </c>
      <c r="BC31" s="578">
        <f>BC13+BC20</f>
        <v>377302.58245000005</v>
      </c>
      <c r="BD31" s="578">
        <f t="shared" ref="BD31:BJ31" si="68">BD13+BD20</f>
        <v>410874.83281874843</v>
      </c>
      <c r="BE31" s="578">
        <f t="shared" si="68"/>
        <v>443823.34297509247</v>
      </c>
      <c r="BF31" s="578">
        <f t="shared" si="68"/>
        <v>475894.99324026937</v>
      </c>
      <c r="BG31" s="578">
        <f t="shared" si="68"/>
        <v>506880.60552144988</v>
      </c>
      <c r="BH31" s="578">
        <f t="shared" si="68"/>
        <v>536614.28634445334</v>
      </c>
      <c r="BI31" s="578">
        <f t="shared" si="68"/>
        <v>564971.19403656363</v>
      </c>
      <c r="BJ31" s="578">
        <f t="shared" si="68"/>
        <v>591864.19915817492</v>
      </c>
      <c r="BL31" s="519">
        <v>57735.08</v>
      </c>
      <c r="BM31" s="519">
        <v>87389.695000000007</v>
      </c>
      <c r="BN31" s="519">
        <v>67515.38</v>
      </c>
      <c r="BO31" s="519">
        <v>67601.91</v>
      </c>
    </row>
    <row r="32" spans="2:67" s="646" customFormat="1" ht="12" customHeight="1" x14ac:dyDescent="0.35">
      <c r="B32" s="2814" t="s">
        <v>459</v>
      </c>
      <c r="G32" s="646">
        <f>G31/C31-1</f>
        <v>0.45829006576670128</v>
      </c>
      <c r="H32" s="646">
        <f t="shared" ref="H32:AG32" si="69">H31/D31-1</f>
        <v>0.47707645077408523</v>
      </c>
      <c r="I32" s="646">
        <f t="shared" si="69"/>
        <v>0.31741748715090701</v>
      </c>
      <c r="J32" s="646">
        <f t="shared" si="69"/>
        <v>0.57389640872982395</v>
      </c>
      <c r="K32" s="646">
        <f t="shared" si="69"/>
        <v>0.24309878530305062</v>
      </c>
      <c r="L32" s="646">
        <f t="shared" si="69"/>
        <v>0.35225388321792672</v>
      </c>
      <c r="M32" s="646">
        <f t="shared" si="69"/>
        <v>0.34966504073447813</v>
      </c>
      <c r="N32" s="646">
        <f t="shared" si="69"/>
        <v>0.40550540132918056</v>
      </c>
      <c r="O32" s="646">
        <f t="shared" si="69"/>
        <v>0.45167316382645306</v>
      </c>
      <c r="P32" s="646">
        <f t="shared" si="69"/>
        <v>0.36146329561477408</v>
      </c>
      <c r="Q32" s="646">
        <f t="shared" si="69"/>
        <v>0.39396958078768995</v>
      </c>
      <c r="R32" s="646">
        <f t="shared" si="69"/>
        <v>0.37690964427680052</v>
      </c>
      <c r="S32" s="646">
        <f t="shared" si="69"/>
        <v>0.53884601894072248</v>
      </c>
      <c r="T32" s="646">
        <f t="shared" si="69"/>
        <v>0.54540814156280581</v>
      </c>
      <c r="U32" s="646">
        <f t="shared" si="69"/>
        <v>0.37461198272107676</v>
      </c>
      <c r="V32" s="646">
        <f t="shared" si="69"/>
        <v>0.36066102464903183</v>
      </c>
      <c r="W32" s="646">
        <f t="shared" si="69"/>
        <v>0.33366573593936977</v>
      </c>
      <c r="X32" s="2780">
        <f t="shared" si="69"/>
        <v>0.26767774077234319</v>
      </c>
      <c r="Y32" s="2780">
        <f t="shared" si="69"/>
        <v>0.26782501226804301</v>
      </c>
      <c r="Z32" s="2780">
        <f t="shared" si="69"/>
        <v>0.30701396973224671</v>
      </c>
      <c r="AA32" s="2780">
        <f t="shared" si="69"/>
        <v>0.25736503663825339</v>
      </c>
      <c r="AB32" s="2780">
        <f t="shared" si="69"/>
        <v>0.25013027618551331</v>
      </c>
      <c r="AC32" s="2780">
        <f t="shared" si="69"/>
        <v>0.21341227403701413</v>
      </c>
      <c r="AD32" s="2780">
        <f t="shared" si="69"/>
        <v>1.1066824021910948E-2</v>
      </c>
      <c r="AE32" s="2780">
        <f t="shared" si="69"/>
        <v>0.20998708712790548</v>
      </c>
      <c r="AF32" s="2780">
        <f t="shared" si="69"/>
        <v>0.20428650826733352</v>
      </c>
      <c r="AG32" s="2780">
        <f t="shared" si="69"/>
        <v>0.166593497471764</v>
      </c>
      <c r="AH32" s="2780">
        <f>AH31/AD31-1</f>
        <v>0.31806589437519284</v>
      </c>
      <c r="AI32" s="2780">
        <f t="shared" ref="AI32" si="70">AI31/AE31-1</f>
        <v>0.14999999999999991</v>
      </c>
      <c r="AJ32" s="2780">
        <f t="shared" ref="AJ32" si="71">AJ31/AF31-1</f>
        <v>0.16384846693011035</v>
      </c>
      <c r="AK32" s="2780">
        <f t="shared" ref="AK32" si="72">AK31/AG31-1</f>
        <v>0.16434242232073393</v>
      </c>
      <c r="AL32" s="2780">
        <f t="shared" ref="AL32" si="73">AL31/AH31-1</f>
        <v>9.9999999999999867E-2</v>
      </c>
      <c r="AM32" s="2780">
        <f t="shared" ref="AM32" si="74">AM31/AI31-1</f>
        <v>0.10000000000000009</v>
      </c>
      <c r="AN32" s="2780">
        <f t="shared" ref="AN32" si="75">AN31/AJ31-1</f>
        <v>0.11427862886649365</v>
      </c>
      <c r="AO32" s="2780">
        <f t="shared" ref="AO32" si="76">AO31/AK31-1</f>
        <v>0.11478165396617301</v>
      </c>
      <c r="AP32" s="2780">
        <f t="shared" ref="AP32" si="77">AP31/AL31-1</f>
        <v>5.0000000000000266E-2</v>
      </c>
      <c r="AQ32" s="656"/>
      <c r="AR32" s="657"/>
      <c r="AS32" s="565"/>
      <c r="AU32" s="646">
        <f t="shared" ref="AU32:BB32" si="78">AU31/AT31-1</f>
        <v>0.4306483328822539</v>
      </c>
      <c r="AV32" s="646">
        <f t="shared" si="78"/>
        <v>0.33986807741244229</v>
      </c>
      <c r="AW32" s="646">
        <f t="shared" si="78"/>
        <v>0.39437482038659044</v>
      </c>
      <c r="AX32" s="646">
        <f t="shared" si="78"/>
        <v>0.44100146958672348</v>
      </c>
      <c r="AY32" s="2779">
        <f t="shared" si="78"/>
        <v>0.29053541446427467</v>
      </c>
      <c r="AZ32" s="2779">
        <f t="shared" si="78"/>
        <v>0.18768762257204941</v>
      </c>
      <c r="BA32" s="2779">
        <f t="shared" si="78"/>
        <v>0.21366363466703442</v>
      </c>
      <c r="BB32" s="2779">
        <f t="shared" si="78"/>
        <v>0.14794102209006521</v>
      </c>
      <c r="BC32" s="2779">
        <f t="shared" ref="BC32" si="79">BC31/BB31-1</f>
        <v>9.8719047087871603E-2</v>
      </c>
      <c r="BD32" s="2779">
        <f t="shared" ref="BD32" si="80">BD31/BC31-1</f>
        <v>8.8979646390831002E-2</v>
      </c>
      <c r="BE32" s="2779">
        <f t="shared" ref="BE32" si="81">BE31/BD31-1</f>
        <v>8.0191113021709004E-2</v>
      </c>
      <c r="BF32" s="2779">
        <f t="shared" ref="BF32" si="82">BF31/BE31-1</f>
        <v>7.2262197950630824E-2</v>
      </c>
      <c r="BG32" s="2779">
        <f t="shared" ref="BG32" si="83">BG31/BF31-1</f>
        <v>6.5110187586143731E-2</v>
      </c>
      <c r="BH32" s="2779">
        <f t="shared" ref="BH32" si="84">BH31/BG31-1</f>
        <v>5.8660127255046879E-2</v>
      </c>
      <c r="BI32" s="2779">
        <f t="shared" ref="BI32" si="85">BI31/BH31-1</f>
        <v>5.2844116181260059E-2</v>
      </c>
      <c r="BJ32" s="2779">
        <f t="shared" ref="BJ32" si="86">BJ31/BI31-1</f>
        <v>4.7600666025940486E-2</v>
      </c>
      <c r="BL32" s="2780">
        <v>0.25358433211742198</v>
      </c>
      <c r="BM32" s="2780">
        <v>0.25277312671129798</v>
      </c>
      <c r="BN32" s="2780">
        <v>0.14712824520864501</v>
      </c>
      <c r="BO32" s="2780">
        <v>0.17413349312213433</v>
      </c>
    </row>
    <row r="33" spans="1:67" s="522" customFormat="1" ht="12" customHeight="1" x14ac:dyDescent="0.35">
      <c r="B33" s="579"/>
      <c r="AQ33" s="567"/>
      <c r="AR33" s="520"/>
      <c r="AS33" s="521"/>
      <c r="AY33" s="580"/>
      <c r="AZ33" s="580"/>
      <c r="BA33" s="580"/>
      <c r="BB33" s="580"/>
      <c r="BC33" s="580"/>
      <c r="BD33" s="580"/>
      <c r="BE33" s="580"/>
      <c r="BF33" s="580"/>
      <c r="BG33" s="580"/>
      <c r="BH33" s="580"/>
      <c r="BI33" s="580"/>
      <c r="BJ33" s="580"/>
    </row>
    <row r="34" spans="1:67" s="538" customFormat="1" ht="12" customHeight="1" x14ac:dyDescent="0.35">
      <c r="B34" s="577" t="s">
        <v>473</v>
      </c>
      <c r="F34" s="538">
        <v>1080</v>
      </c>
      <c r="K34" s="581"/>
      <c r="L34" s="581"/>
      <c r="M34" s="581"/>
      <c r="N34" s="581"/>
      <c r="O34" s="581">
        <v>575</v>
      </c>
      <c r="P34" s="581">
        <v>600</v>
      </c>
      <c r="Q34" s="582">
        <v>775.23799999999994</v>
      </c>
      <c r="R34" s="583">
        <v>562.76200000000017</v>
      </c>
      <c r="S34" s="519">
        <v>1614</v>
      </c>
      <c r="T34" s="519">
        <v>3226</v>
      </c>
      <c r="U34" s="519">
        <v>5084</v>
      </c>
      <c r="V34" s="519">
        <v>5825</v>
      </c>
      <c r="W34" s="519">
        <v>7159</v>
      </c>
      <c r="X34" s="519">
        <v>8095</v>
      </c>
      <c r="Y34" s="519">
        <v>11298</v>
      </c>
      <c r="Z34" s="519">
        <v>13532</v>
      </c>
      <c r="AA34" s="519">
        <v>16745</v>
      </c>
      <c r="AB34" s="519">
        <v>18210.000000000004</v>
      </c>
      <c r="AC34" s="519">
        <v>25814</v>
      </c>
      <c r="AD34" s="519">
        <v>25499</v>
      </c>
      <c r="AE34" s="519">
        <v>30106</v>
      </c>
      <c r="AF34" s="519">
        <v>26132</v>
      </c>
      <c r="AG34" s="519">
        <f>SUM(AG37,AG39,AG41,AG43)</f>
        <v>36044.958233644313</v>
      </c>
      <c r="AH34" s="519">
        <f>SUM(AH37,AH39,AH41,AH43)</f>
        <v>35406.020021519704</v>
      </c>
      <c r="AI34" s="519">
        <f t="shared" ref="AI34:AP34" si="87">SUM(AI37,AI39,AI41,AI43)</f>
        <v>44333.839165579804</v>
      </c>
      <c r="AJ34" s="519">
        <f t="shared" si="87"/>
        <v>46140.18948496956</v>
      </c>
      <c r="AK34" s="519">
        <f t="shared" si="87"/>
        <v>53516.720300216904</v>
      </c>
      <c r="AL34" s="519">
        <f t="shared" si="87"/>
        <v>53417.246665750266</v>
      </c>
      <c r="AM34" s="519">
        <f t="shared" si="87"/>
        <v>64740.599028671088</v>
      </c>
      <c r="AN34" s="519">
        <f t="shared" si="87"/>
        <v>67509.682505525183</v>
      </c>
      <c r="AO34" s="519">
        <f t="shared" si="87"/>
        <v>76157.983042367283</v>
      </c>
      <c r="AP34" s="519">
        <f t="shared" si="87"/>
        <v>76489.178086023487</v>
      </c>
      <c r="AQ34" s="570" t="s">
        <v>458</v>
      </c>
      <c r="AR34" s="558" t="s">
        <v>465</v>
      </c>
      <c r="AS34" s="559"/>
      <c r="AT34" s="519">
        <v>1080</v>
      </c>
      <c r="AU34" s="519"/>
      <c r="AV34" s="519"/>
      <c r="AW34" s="519">
        <v>2513</v>
      </c>
      <c r="AX34" s="519">
        <f>S34+T34+U34+V34</f>
        <v>15749</v>
      </c>
      <c r="AY34" s="560">
        <f>W34+X34+Y34+Z34</f>
        <v>40084</v>
      </c>
      <c r="AZ34" s="560">
        <f>AA34+AB34+AC34+AD34</f>
        <v>86268</v>
      </c>
      <c r="BA34" s="519">
        <f>SUM(AE34:AH34)</f>
        <v>127688.97825516402</v>
      </c>
      <c r="BB34" s="519">
        <f>SUM(AI34:AL34)</f>
        <v>197407.99561651651</v>
      </c>
      <c r="BC34" s="519">
        <f>SUM(AM34:AP34)</f>
        <v>284897.44266258704</v>
      </c>
      <c r="BD34" s="519">
        <f t="shared" ref="BD34:BJ34" si="88">SUM(BD37,BD39,BD41,BD43)</f>
        <v>381207.83482481376</v>
      </c>
      <c r="BE34" s="519">
        <f t="shared" si="88"/>
        <v>476652.54815573734</v>
      </c>
      <c r="BF34" s="519">
        <f t="shared" si="88"/>
        <v>563793.05988557078</v>
      </c>
      <c r="BG34" s="519">
        <f t="shared" si="88"/>
        <v>638653.42085066915</v>
      </c>
      <c r="BH34" s="519">
        <f t="shared" si="88"/>
        <v>700259.94308013481</v>
      </c>
      <c r="BI34" s="519">
        <f t="shared" si="88"/>
        <v>749536.59044730465</v>
      </c>
      <c r="BJ34" s="519">
        <f t="shared" si="88"/>
        <v>788283.51232061628</v>
      </c>
      <c r="BL34" s="519">
        <v>18576.0081919478</v>
      </c>
      <c r="BM34" s="519">
        <v>28193.3971271103</v>
      </c>
      <c r="BN34" s="519">
        <v>31529.822456834401</v>
      </c>
      <c r="BO34" s="519">
        <v>30539.469765040605</v>
      </c>
    </row>
    <row r="35" spans="1:67" s="522" customFormat="1" ht="12" customHeight="1" x14ac:dyDescent="0.35">
      <c r="B35" s="530" t="s">
        <v>459</v>
      </c>
      <c r="S35" s="522">
        <f>S34/O34-1</f>
        <v>1.8069565217391306</v>
      </c>
      <c r="T35" s="522">
        <f t="shared" ref="T35:AH35" si="89">T34/P34-1</f>
        <v>4.3766666666666669</v>
      </c>
      <c r="U35" s="522">
        <f t="shared" si="89"/>
        <v>5.5579860636346519</v>
      </c>
      <c r="V35" s="522">
        <f t="shared" si="89"/>
        <v>9.3507344134820727</v>
      </c>
      <c r="W35" s="522">
        <f t="shared" si="89"/>
        <v>3.4355638166047084</v>
      </c>
      <c r="X35" s="522">
        <f t="shared" si="89"/>
        <v>1.5092994420334782</v>
      </c>
      <c r="Y35" s="522">
        <f t="shared" si="89"/>
        <v>1.2222659323367426</v>
      </c>
      <c r="Z35" s="522">
        <f t="shared" si="89"/>
        <v>1.3230901287553647</v>
      </c>
      <c r="AA35" s="522">
        <f t="shared" si="89"/>
        <v>1.3390138287470319</v>
      </c>
      <c r="AB35" s="522">
        <f t="shared" si="89"/>
        <v>1.2495367510809148</v>
      </c>
      <c r="AC35" s="522">
        <f t="shared" si="89"/>
        <v>1.2848291733050097</v>
      </c>
      <c r="AD35" s="522">
        <f t="shared" si="89"/>
        <v>0.8843482116464676</v>
      </c>
      <c r="AE35" s="522">
        <f t="shared" si="89"/>
        <v>0.79790982382800846</v>
      </c>
      <c r="AF35" s="522">
        <f t="shared" si="89"/>
        <v>0.43503569467325609</v>
      </c>
      <c r="AG35" s="522">
        <f t="shared" si="89"/>
        <v>0.3963337039453132</v>
      </c>
      <c r="AH35" s="522">
        <f t="shared" si="89"/>
        <v>0.38852582538608194</v>
      </c>
      <c r="AI35" s="522">
        <f t="shared" ref="AI35" si="90">AI34/AE34-1</f>
        <v>0.4725914822819306</v>
      </c>
      <c r="AJ35" s="522">
        <f t="shared" ref="AJ35" si="91">AJ34/AF34-1</f>
        <v>0.7656585598105603</v>
      </c>
      <c r="AK35" s="522">
        <f t="shared" ref="AK35" si="92">AK34/AG34-1</f>
        <v>0.48472138470296455</v>
      </c>
      <c r="AL35" s="522">
        <f t="shared" ref="AL35" si="93">AL34/AH34-1</f>
        <v>0.50870520417949772</v>
      </c>
      <c r="AM35" s="522">
        <f t="shared" ref="AM35" si="94">AM34/AI34-1</f>
        <v>0.46029760217416094</v>
      </c>
      <c r="AN35" s="522">
        <f t="shared" ref="AN35" si="95">AN34/AJ34-1</f>
        <v>0.46314272349308117</v>
      </c>
      <c r="AO35" s="522">
        <f t="shared" ref="AO35" si="96">AO34/AK34-1</f>
        <v>0.42306895144429491</v>
      </c>
      <c r="AP35" s="522">
        <f t="shared" ref="AP35" si="97">AP34/AL34-1</f>
        <v>0.43191914335536752</v>
      </c>
      <c r="AQ35" s="567"/>
      <c r="AR35" s="520"/>
      <c r="AS35" s="521"/>
      <c r="AX35" s="522">
        <f>AX34/AW34-1</f>
        <v>5.2670115399920414</v>
      </c>
      <c r="AY35" s="584">
        <f t="shared" ref="AY35:AZ35" si="98">AY34/AX34-1</f>
        <v>1.5451774715854976</v>
      </c>
      <c r="AZ35" s="584">
        <f t="shared" si="98"/>
        <v>1.152180421115657</v>
      </c>
      <c r="BA35" s="584">
        <f>BA34/AZ34-1</f>
        <v>0.48014302238563578</v>
      </c>
      <c r="BB35" s="584">
        <f>BB34/BA34-1</f>
        <v>0.54600654115996816</v>
      </c>
      <c r="BC35" s="584">
        <f t="shared" ref="BC35:BJ35" si="99">BC34/BB34-1</f>
        <v>0.44319100030794578</v>
      </c>
      <c r="BD35" s="584">
        <f t="shared" si="99"/>
        <v>0.33805284899061072</v>
      </c>
      <c r="BE35" s="584">
        <f t="shared" si="99"/>
        <v>0.25037447977632921</v>
      </c>
      <c r="BF35" s="584">
        <f t="shared" si="99"/>
        <v>0.18281767729344423</v>
      </c>
      <c r="BG35" s="584">
        <f t="shared" si="99"/>
        <v>0.13277985539639725</v>
      </c>
      <c r="BH35" s="584">
        <f t="shared" si="99"/>
        <v>9.6463152342325831E-2</v>
      </c>
      <c r="BI35" s="584">
        <f t="shared" si="99"/>
        <v>7.036907915998114E-2</v>
      </c>
      <c r="BJ35" s="584">
        <f t="shared" si="99"/>
        <v>5.1694503466719999E-2</v>
      </c>
      <c r="BL35" s="522">
        <v>1.29475085755995</v>
      </c>
      <c r="BM35" s="522">
        <v>1.4954325656851</v>
      </c>
      <c r="BN35" s="522">
        <v>0.88293953161148697</v>
      </c>
      <c r="BO35" s="522">
        <v>0.67707137644374504</v>
      </c>
    </row>
    <row r="36" spans="1:67" s="522" customFormat="1" ht="12" customHeight="1" x14ac:dyDescent="0.35">
      <c r="B36" s="579"/>
      <c r="Z36" s="585"/>
      <c r="AQ36" s="567"/>
      <c r="AR36" s="520"/>
      <c r="AS36" s="521"/>
      <c r="AY36" s="580"/>
      <c r="AZ36" s="580"/>
      <c r="BA36" s="580"/>
      <c r="BB36" s="580"/>
      <c r="BC36" s="580"/>
      <c r="BD36" s="580"/>
      <c r="BE36" s="580"/>
      <c r="BF36" s="580"/>
      <c r="BG36" s="580"/>
      <c r="BH36" s="580"/>
      <c r="BI36" s="580"/>
      <c r="BJ36" s="580"/>
    </row>
    <row r="37" spans="1:67" ht="12" customHeight="1" x14ac:dyDescent="0.35">
      <c r="B37" s="586" t="s">
        <v>474</v>
      </c>
      <c r="S37" s="587">
        <v>667.24500000000262</v>
      </c>
      <c r="T37" s="587">
        <v>1300</v>
      </c>
      <c r="U37" s="587">
        <v>2600</v>
      </c>
      <c r="V37" s="587">
        <v>1843.4845034204982</v>
      </c>
      <c r="W37" s="587">
        <v>2000</v>
      </c>
      <c r="X37" s="587">
        <v>1443.0000000000002</v>
      </c>
      <c r="Y37" s="587">
        <v>2860.0000000000005</v>
      </c>
      <c r="Z37" s="587">
        <v>2051.6202291564055</v>
      </c>
      <c r="AA37" s="587">
        <v>2200</v>
      </c>
      <c r="AB37" s="587">
        <v>1587.3000000000004</v>
      </c>
      <c r="AC37" s="587">
        <v>3146.0000000000009</v>
      </c>
      <c r="AD37" s="587">
        <v>1672.3859071841234</v>
      </c>
      <c r="AE37" s="587">
        <v>2376</v>
      </c>
      <c r="AF37" s="587">
        <f>AB37*(1+AF38)</f>
        <v>1666.6650000000004</v>
      </c>
      <c r="AG37" s="587">
        <f t="shared" ref="AG37:AH37" si="100">AC37*(1+AG38)</f>
        <v>3303.3000000000011</v>
      </c>
      <c r="AH37" s="587">
        <f t="shared" si="100"/>
        <v>2174.1016793393605</v>
      </c>
      <c r="AI37" s="587">
        <f t="shared" ref="AI37" si="101">AE37*(1+AI38)</f>
        <v>2494.8000000000002</v>
      </c>
      <c r="AJ37" s="587">
        <f t="shared" ref="AJ37" si="102">AF37*(1+AJ38)</f>
        <v>1749.9982500000006</v>
      </c>
      <c r="AK37" s="587">
        <f t="shared" ref="AK37" si="103">AG37*(1+AK38)</f>
        <v>3468.4650000000015</v>
      </c>
      <c r="AL37" s="587">
        <f t="shared" ref="AL37" si="104">AH37*(1+AL38)</f>
        <v>2282.8067633063288</v>
      </c>
      <c r="AM37" s="587">
        <f t="shared" ref="AM37" si="105">AI37*(1+AM38)</f>
        <v>2619.5400000000004</v>
      </c>
      <c r="AN37" s="587">
        <f t="shared" ref="AN37" si="106">AJ37*(1+AN38)</f>
        <v>1837.4981625000007</v>
      </c>
      <c r="AO37" s="587">
        <f t="shared" ref="AO37" si="107">AK37*(1+AO38)</f>
        <v>3641.8882500000018</v>
      </c>
      <c r="AP37" s="587">
        <f t="shared" ref="AP37" si="108">AL37*(1+AP38)</f>
        <v>2396.9471014716455</v>
      </c>
      <c r="AQ37" s="527"/>
      <c r="AR37" s="528"/>
      <c r="AS37" s="529"/>
      <c r="AT37" s="524"/>
      <c r="AU37" s="524"/>
      <c r="AV37" s="524"/>
      <c r="AW37" s="524"/>
      <c r="AX37" s="524">
        <f>S37+T37+U37+V37</f>
        <v>6410.7295034205008</v>
      </c>
      <c r="AY37" s="524">
        <f>W37+X37+Y37+Z37</f>
        <v>8354.6202291564059</v>
      </c>
      <c r="AZ37" s="524">
        <f>SUM(AA37:AD37)</f>
        <v>8605.6859071841245</v>
      </c>
      <c r="BA37" s="524">
        <f>SUM(AE37:AH37)</f>
        <v>9520.066679339363</v>
      </c>
      <c r="BB37" s="524">
        <f>SUM(AI37:AL37)</f>
        <v>9996.070013306331</v>
      </c>
      <c r="BC37" s="524">
        <f>SUM(AM37:AP37)</f>
        <v>10495.873513971648</v>
      </c>
      <c r="BD37" s="524">
        <f t="shared" ref="BD37:BJ37" si="109">BC37*(1+BD38)</f>
        <v>11010.171316156258</v>
      </c>
      <c r="BE37" s="524">
        <f t="shared" si="109"/>
        <v>11538.879742758081</v>
      </c>
      <c r="BF37" s="524">
        <f t="shared" si="109"/>
        <v>12081.89480790038</v>
      </c>
      <c r="BG37" s="524">
        <f t="shared" si="109"/>
        <v>12639.092562064214</v>
      </c>
      <c r="BH37" s="524">
        <f t="shared" si="109"/>
        <v>13210.329493040716</v>
      </c>
      <c r="BI37" s="524">
        <f t="shared" si="109"/>
        <v>13795.442979546371</v>
      </c>
      <c r="BJ37" s="524">
        <f t="shared" si="109"/>
        <v>14394.251794196041</v>
      </c>
      <c r="BL37" s="587">
        <v>1704.4649999999999</v>
      </c>
      <c r="BM37" s="587">
        <v>2275.56</v>
      </c>
      <c r="BN37" s="587">
        <v>833.49</v>
      </c>
      <c r="BO37" s="587">
        <v>1666.6650000000004</v>
      </c>
    </row>
    <row r="38" spans="1:67" ht="12" customHeight="1" x14ac:dyDescent="0.35">
      <c r="B38" s="530" t="s">
        <v>459</v>
      </c>
      <c r="S38" s="588"/>
      <c r="T38" s="588"/>
      <c r="U38" s="589"/>
      <c r="V38" s="589"/>
      <c r="W38" s="522">
        <f>W37/S37-1</f>
        <v>1.9973997557119083</v>
      </c>
      <c r="X38" s="522">
        <f t="shared" ref="X38:AE38" si="110">X37/T37-1</f>
        <v>0.1100000000000001</v>
      </c>
      <c r="Y38" s="522">
        <f t="shared" si="110"/>
        <v>0.10000000000000009</v>
      </c>
      <c r="Z38" s="522">
        <f t="shared" si="110"/>
        <v>0.11290343116512314</v>
      </c>
      <c r="AA38" s="522">
        <f>AA37/W37-1</f>
        <v>0.10000000000000009</v>
      </c>
      <c r="AB38" s="522">
        <f t="shared" si="110"/>
        <v>0.10000000000000009</v>
      </c>
      <c r="AC38" s="522">
        <f t="shared" si="110"/>
        <v>0.10000000000000009</v>
      </c>
      <c r="AD38" s="522">
        <f t="shared" si="110"/>
        <v>-0.1848462578906318</v>
      </c>
      <c r="AE38" s="522">
        <f t="shared" si="110"/>
        <v>8.0000000000000071E-2</v>
      </c>
      <c r="AF38" s="589">
        <v>0.05</v>
      </c>
      <c r="AG38" s="589">
        <v>0.05</v>
      </c>
      <c r="AH38" s="589">
        <v>0.3</v>
      </c>
      <c r="AI38" s="589">
        <v>0.05</v>
      </c>
      <c r="AJ38" s="589">
        <v>0.05</v>
      </c>
      <c r="AK38" s="589">
        <v>0.05</v>
      </c>
      <c r="AL38" s="589">
        <v>0.05</v>
      </c>
      <c r="AM38" s="589">
        <v>0.05</v>
      </c>
      <c r="AN38" s="589">
        <f t="shared" ref="AN38:AP38" si="111">AM38</f>
        <v>0.05</v>
      </c>
      <c r="AO38" s="589">
        <f t="shared" si="111"/>
        <v>0.05</v>
      </c>
      <c r="AP38" s="589">
        <f t="shared" si="111"/>
        <v>0.05</v>
      </c>
      <c r="AQ38" s="527"/>
      <c r="AR38" s="528"/>
      <c r="AS38" s="529"/>
      <c r="AT38" s="524"/>
      <c r="AU38" s="524"/>
      <c r="AV38" s="524"/>
      <c r="AW38" s="524"/>
      <c r="AX38" s="524"/>
      <c r="AY38" s="524"/>
      <c r="AZ38" s="522">
        <f>AZ37/AY37-1</f>
        <v>3.0051117961237273E-2</v>
      </c>
      <c r="BA38" s="522">
        <f t="shared" ref="BA38:BC38" si="112">BA37/AZ37-1</f>
        <v>0.10625309615261491</v>
      </c>
      <c r="BB38" s="522">
        <f t="shared" si="112"/>
        <v>5.0000000000000044E-2</v>
      </c>
      <c r="BC38" s="522">
        <f t="shared" si="112"/>
        <v>5.0000000000000044E-2</v>
      </c>
      <c r="BD38" s="590">
        <f>BC38*0.98</f>
        <v>4.9000000000000044E-2</v>
      </c>
      <c r="BE38" s="590">
        <f t="shared" ref="BE38:BJ38" si="113">BD38*0.98</f>
        <v>4.8020000000000042E-2</v>
      </c>
      <c r="BF38" s="590">
        <f t="shared" si="113"/>
        <v>4.7059600000000042E-2</v>
      </c>
      <c r="BG38" s="590">
        <f t="shared" si="113"/>
        <v>4.6118408000000041E-2</v>
      </c>
      <c r="BH38" s="590">
        <f t="shared" si="113"/>
        <v>4.5196039840000042E-2</v>
      </c>
      <c r="BI38" s="590">
        <f t="shared" si="113"/>
        <v>4.4292119043200039E-2</v>
      </c>
      <c r="BJ38" s="590">
        <f t="shared" si="113"/>
        <v>4.3406276662336034E-2</v>
      </c>
      <c r="BL38" s="562">
        <v>0.05</v>
      </c>
      <c r="BM38" s="562">
        <v>0.05</v>
      </c>
      <c r="BN38" s="589">
        <v>0.05</v>
      </c>
      <c r="BO38" s="589">
        <v>0.05</v>
      </c>
    </row>
    <row r="39" spans="1:67" ht="12" customHeight="1" x14ac:dyDescent="0.35">
      <c r="B39" s="586" t="s">
        <v>475</v>
      </c>
      <c r="O39" s="493">
        <v>35</v>
      </c>
      <c r="P39" s="591">
        <v>36.049999999999997</v>
      </c>
      <c r="Q39" s="591">
        <v>111.39449999999999</v>
      </c>
      <c r="R39" s="591">
        <v>229.47266999999999</v>
      </c>
      <c r="S39" s="524">
        <v>334.83887097500002</v>
      </c>
      <c r="T39" s="524">
        <v>992.69877041999996</v>
      </c>
      <c r="U39" s="524">
        <v>1861.3101945374999</v>
      </c>
      <c r="V39" s="524">
        <v>2051.5774588680001</v>
      </c>
      <c r="W39" s="524">
        <v>2655.0390414063181</v>
      </c>
      <c r="X39" s="587">
        <v>3835.8327203475492</v>
      </c>
      <c r="Y39" s="524">
        <v>6023.5150210178963</v>
      </c>
      <c r="Z39" s="524">
        <v>7779.9957497722462</v>
      </c>
      <c r="AA39" s="587">
        <v>8342.132327921774</v>
      </c>
      <c r="AB39" s="587">
        <v>9553.9368134514643</v>
      </c>
      <c r="AC39" s="587">
        <v>11735.130444014974</v>
      </c>
      <c r="AD39" s="587">
        <v>14920.562855003458</v>
      </c>
      <c r="AE39" s="587">
        <v>14632.400251844632</v>
      </c>
      <c r="AF39" s="587">
        <f t="shared" ref="AF39:AH39" si="114">AE39*(1+AF40)</f>
        <v>16827.260289621325</v>
      </c>
      <c r="AG39" s="587">
        <f t="shared" si="114"/>
        <v>19351.349333064521</v>
      </c>
      <c r="AH39" s="587">
        <f t="shared" si="114"/>
        <v>22254.051733024196</v>
      </c>
      <c r="AI39" s="587">
        <f t="shared" ref="AI39" si="115">AH39*(1+AI40)</f>
        <v>25592.159492977826</v>
      </c>
      <c r="AJ39" s="587">
        <f t="shared" ref="AJ39" si="116">AI39*(1+AJ40)</f>
        <v>29430.983416924497</v>
      </c>
      <c r="AK39" s="587">
        <f t="shared" ref="AK39" si="117">AJ39*(1+AK40)</f>
        <v>33845.630929463172</v>
      </c>
      <c r="AL39" s="587">
        <f t="shared" ref="AL39" si="118">AK39*(1+AL40)</f>
        <v>37907.106640998754</v>
      </c>
      <c r="AM39" s="587">
        <f t="shared" ref="AM39" si="119">AL39*(1+AM40)</f>
        <v>42455.959437918609</v>
      </c>
      <c r="AN39" s="587">
        <f t="shared" ref="AN39" si="120">AM39*(1+AN40)</f>
        <v>47550.674570468844</v>
      </c>
      <c r="AO39" s="587">
        <f t="shared" ref="AO39" si="121">AN39*(1+AO40)</f>
        <v>53256.755518925107</v>
      </c>
      <c r="AP39" s="587">
        <f t="shared" ref="AP39" si="122">AO39*(1+AP40)</f>
        <v>58582.43107081762</v>
      </c>
      <c r="AQ39" s="527"/>
      <c r="AR39" s="528"/>
      <c r="AS39" s="529"/>
      <c r="AT39" s="524"/>
      <c r="AU39" s="524"/>
      <c r="AV39" s="524"/>
      <c r="AW39" s="524">
        <f>O39+P39+Q39+R39</f>
        <v>411.91717</v>
      </c>
      <c r="AX39" s="524">
        <f>SUM(S39:V39)</f>
        <v>5240.4252948004996</v>
      </c>
      <c r="AY39" s="524">
        <f>SUM(W39:Z39)</f>
        <v>20294.382532544012</v>
      </c>
      <c r="AZ39" s="524">
        <f>SUM(AA39:AD39)</f>
        <v>44551.762440391671</v>
      </c>
      <c r="BA39" s="524">
        <f>SUM(AE39:AH39)</f>
        <v>73065.061607554671</v>
      </c>
      <c r="BB39" s="524">
        <f>SUM(AI39:AL39)</f>
        <v>126775.88048036424</v>
      </c>
      <c r="BC39" s="524">
        <f>SUM(AM39:AP39)</f>
        <v>201845.82059813017</v>
      </c>
      <c r="BD39" s="524">
        <f t="shared" ref="BD39:BJ39" si="123">BC39*(1+BD40)</f>
        <v>285511.47944061726</v>
      </c>
      <c r="BE39" s="524">
        <f t="shared" si="123"/>
        <v>368353.19582887134</v>
      </c>
      <c r="BF39" s="524">
        <f t="shared" si="123"/>
        <v>443168.07797491952</v>
      </c>
      <c r="BG39" s="524">
        <f t="shared" si="123"/>
        <v>506175.26110790193</v>
      </c>
      <c r="BH39" s="524">
        <f t="shared" si="123"/>
        <v>556550.89796293504</v>
      </c>
      <c r="BI39" s="524">
        <f t="shared" si="123"/>
        <v>595323.28700863896</v>
      </c>
      <c r="BJ39" s="524">
        <f t="shared" si="123"/>
        <v>624354.72748146066</v>
      </c>
      <c r="BK39" s="556" t="s">
        <v>476</v>
      </c>
      <c r="BL39" s="587">
        <v>11031.8759131487</v>
      </c>
      <c r="BM39" s="587">
        <v>12686.657300121</v>
      </c>
      <c r="BN39" s="587">
        <v>20425.518253194899</v>
      </c>
      <c r="BO39" s="587">
        <v>16827.260289621325</v>
      </c>
    </row>
    <row r="40" spans="1:67" s="543" customFormat="1" ht="12" customHeight="1" x14ac:dyDescent="0.35">
      <c r="B40" s="530" t="s">
        <v>466</v>
      </c>
      <c r="O40" s="522"/>
      <c r="P40" s="522">
        <f t="shared" ref="P40:AE40" si="124">P39/O39-1</f>
        <v>3.0000000000000027E-2</v>
      </c>
      <c r="Q40" s="522">
        <f t="shared" si="124"/>
        <v>2.09</v>
      </c>
      <c r="R40" s="522">
        <f t="shared" si="124"/>
        <v>1.06</v>
      </c>
      <c r="S40" s="522">
        <f t="shared" si="124"/>
        <v>0.45916666666666672</v>
      </c>
      <c r="T40" s="522">
        <f t="shared" si="124"/>
        <v>1.9647058823529409</v>
      </c>
      <c r="U40" s="522">
        <f t="shared" si="124"/>
        <v>0.875</v>
      </c>
      <c r="V40" s="522">
        <f t="shared" si="124"/>
        <v>0.10222222222222244</v>
      </c>
      <c r="W40" s="522">
        <f t="shared" si="124"/>
        <v>0.29414516129032253</v>
      </c>
      <c r="X40" s="522">
        <f t="shared" si="124"/>
        <v>0.4447368421052631</v>
      </c>
      <c r="Y40" s="522">
        <f t="shared" si="124"/>
        <v>0.57032786885245867</v>
      </c>
      <c r="Z40" s="522">
        <f t="shared" si="124"/>
        <v>0.29160394265232981</v>
      </c>
      <c r="AA40" s="522">
        <f t="shared" si="124"/>
        <v>7.2254098360655883E-2</v>
      </c>
      <c r="AB40" s="522">
        <f t="shared" si="124"/>
        <v>0.14526315789473698</v>
      </c>
      <c r="AC40" s="522">
        <f t="shared" si="124"/>
        <v>0.22830312499999983</v>
      </c>
      <c r="AD40" s="522">
        <f t="shared" si="124"/>
        <v>0.27144414168937381</v>
      </c>
      <c r="AE40" s="522">
        <f t="shared" si="124"/>
        <v>-1.9313118811881358E-2</v>
      </c>
      <c r="AF40" s="562">
        <v>0.15</v>
      </c>
      <c r="AG40" s="562">
        <v>0.15</v>
      </c>
      <c r="AH40" s="562">
        <v>0.15</v>
      </c>
      <c r="AI40" s="562">
        <f>AH40</f>
        <v>0.15</v>
      </c>
      <c r="AJ40" s="562">
        <f t="shared" ref="AJ40:AO40" si="125">AI40</f>
        <v>0.15</v>
      </c>
      <c r="AK40" s="562">
        <f t="shared" si="125"/>
        <v>0.15</v>
      </c>
      <c r="AL40" s="562">
        <v>0.12</v>
      </c>
      <c r="AM40" s="562">
        <f t="shared" si="125"/>
        <v>0.12</v>
      </c>
      <c r="AN40" s="562">
        <f t="shared" si="125"/>
        <v>0.12</v>
      </c>
      <c r="AO40" s="562">
        <f t="shared" si="125"/>
        <v>0.12</v>
      </c>
      <c r="AP40" s="562">
        <v>0.1</v>
      </c>
      <c r="AQ40" s="592"/>
      <c r="AR40" s="593"/>
      <c r="AS40" s="594"/>
      <c r="AT40" s="569"/>
      <c r="AU40" s="569"/>
      <c r="AV40" s="569"/>
      <c r="AW40" s="569"/>
      <c r="AX40" s="569"/>
      <c r="AY40" s="522">
        <f>AY39/AX39-1</f>
        <v>2.87265944859092</v>
      </c>
      <c r="AZ40" s="522">
        <f>AZ39/AY39-1</f>
        <v>1.1952755827356953</v>
      </c>
      <c r="BA40" s="522">
        <f>BA39/AZ39-1</f>
        <v>0.64000384284039402</v>
      </c>
      <c r="BB40" s="522">
        <f t="shared" ref="BB40:BC40" si="126">BB39/BA39-1</f>
        <v>0.73510947217563238</v>
      </c>
      <c r="BC40" s="522">
        <f t="shared" si="126"/>
        <v>0.59214686447705778</v>
      </c>
      <c r="BD40" s="562">
        <f>BC40*0.7</f>
        <v>0.41450280513394044</v>
      </c>
      <c r="BE40" s="562">
        <f t="shared" ref="BE40:BJ40" si="127">BD40*0.7</f>
        <v>0.29015196359375828</v>
      </c>
      <c r="BF40" s="562">
        <f t="shared" si="127"/>
        <v>0.20310637451563079</v>
      </c>
      <c r="BG40" s="562">
        <f t="shared" si="127"/>
        <v>0.14217446216094154</v>
      </c>
      <c r="BH40" s="562">
        <f t="shared" si="127"/>
        <v>9.9522123512659072E-2</v>
      </c>
      <c r="BI40" s="562">
        <f t="shared" si="127"/>
        <v>6.966548645886135E-2</v>
      </c>
      <c r="BJ40" s="562">
        <f t="shared" si="127"/>
        <v>4.876584052120294E-2</v>
      </c>
      <c r="BL40" s="562">
        <v>0.2</v>
      </c>
      <c r="BM40" s="562">
        <v>0.15</v>
      </c>
      <c r="BN40" s="562">
        <v>0.15</v>
      </c>
      <c r="BO40" s="562">
        <v>0.15</v>
      </c>
    </row>
    <row r="41" spans="1:67" ht="12" customHeight="1" x14ac:dyDescent="0.35">
      <c r="A41" s="493" t="s">
        <v>477</v>
      </c>
      <c r="B41" s="586" t="s">
        <v>478</v>
      </c>
      <c r="O41" s="595">
        <f t="shared" ref="O41:AE41" si="128">O34-O37-O39-O43</f>
        <v>540</v>
      </c>
      <c r="P41" s="595">
        <f t="shared" si="128"/>
        <v>563.95000000000005</v>
      </c>
      <c r="Q41" s="595">
        <f t="shared" si="128"/>
        <v>663.84349999999995</v>
      </c>
      <c r="R41" s="595">
        <f t="shared" si="128"/>
        <v>333.28933000000018</v>
      </c>
      <c r="S41" s="595">
        <f t="shared" si="128"/>
        <v>611.91612902499742</v>
      </c>
      <c r="T41" s="595">
        <f t="shared" si="128"/>
        <v>933.30122958000004</v>
      </c>
      <c r="U41" s="595">
        <f t="shared" si="128"/>
        <v>622.68980546250009</v>
      </c>
      <c r="V41" s="595">
        <f t="shared" si="128"/>
        <v>1929.9380377115017</v>
      </c>
      <c r="W41" s="595">
        <f t="shared" si="128"/>
        <v>2503.9609585936819</v>
      </c>
      <c r="X41" s="595">
        <f t="shared" si="128"/>
        <v>2816.1672796524508</v>
      </c>
      <c r="Y41" s="595">
        <f t="shared" si="128"/>
        <v>2414.4849789821037</v>
      </c>
      <c r="Z41" s="595">
        <f t="shared" si="128"/>
        <v>3700.3840210713479</v>
      </c>
      <c r="AA41" s="595">
        <f t="shared" si="128"/>
        <v>6202.867672078226</v>
      </c>
      <c r="AB41" s="595">
        <f t="shared" si="128"/>
        <v>5585.3231865485486</v>
      </c>
      <c r="AC41" s="595">
        <f t="shared" si="128"/>
        <v>5456.6095559850455</v>
      </c>
      <c r="AD41" s="595">
        <f t="shared" si="128"/>
        <v>5906.0512378124204</v>
      </c>
      <c r="AE41" s="595">
        <f t="shared" si="128"/>
        <v>9197.5997481553677</v>
      </c>
      <c r="AF41" s="587">
        <f t="shared" ref="AF41:AH41" si="129">AB41*(1+AF42)</f>
        <v>8545.5444754192795</v>
      </c>
      <c r="AG41" s="587">
        <f t="shared" si="129"/>
        <v>7366.4229005798115</v>
      </c>
      <c r="AH41" s="587">
        <f t="shared" si="129"/>
        <v>7677.8666091561463</v>
      </c>
      <c r="AI41" s="587">
        <f t="shared" ref="AI41" si="130">AE41*(1+AI42)</f>
        <v>11956.879672601979</v>
      </c>
      <c r="AJ41" s="587">
        <f t="shared" ref="AJ41" si="131">AF41*(1+AJ42)</f>
        <v>11109.207818045064</v>
      </c>
      <c r="AK41" s="587">
        <f t="shared" ref="AK41" si="132">AG41*(1+AK42)</f>
        <v>9576.3497707537554</v>
      </c>
      <c r="AL41" s="587">
        <f t="shared" ref="AL41" si="133">AH41*(1+AL42)</f>
        <v>9597.3332614451829</v>
      </c>
      <c r="AM41" s="587">
        <f t="shared" ref="AM41" si="134">AI41*(1+AM42)</f>
        <v>14946.099590752474</v>
      </c>
      <c r="AN41" s="587">
        <f t="shared" ref="AN41" si="135">AJ41*(1+AN42)</f>
        <v>13886.50977255633</v>
      </c>
      <c r="AO41" s="587">
        <f t="shared" ref="AO41" si="136">AK41*(1+AO42)</f>
        <v>11970.437213442194</v>
      </c>
      <c r="AP41" s="587">
        <f t="shared" ref="AP41" si="137">AL41*(1+AP42)</f>
        <v>11516.799913734219</v>
      </c>
      <c r="AQ41" s="527"/>
      <c r="AR41" s="528"/>
      <c r="AS41" s="529"/>
      <c r="AT41" s="524"/>
      <c r="AU41" s="524"/>
      <c r="AV41" s="524"/>
      <c r="AW41" s="524">
        <f>AW34-AW37-AW39-AW43</f>
        <v>2101.0828299999998</v>
      </c>
      <c r="AX41" s="524">
        <f>AX34-AX37-AX39-AX43</f>
        <v>4097.8452017789987</v>
      </c>
      <c r="AY41" s="524">
        <f>AY34-AY37-AY39-AY43</f>
        <v>11434.997238299584</v>
      </c>
      <c r="AZ41" s="524">
        <f>AZ34-AZ37-AZ39-AZ43</f>
        <v>23150.85165242424</v>
      </c>
      <c r="BA41" s="524">
        <f>SUM(AE41:AH41)</f>
        <v>32787.433733310609</v>
      </c>
      <c r="BB41" s="524">
        <f>SUM(AI41:AL41)</f>
        <v>42239.770522845982</v>
      </c>
      <c r="BC41" s="524">
        <f>SUM(AM41:AP41)</f>
        <v>52319.846490485215</v>
      </c>
      <c r="BD41" s="524">
        <f t="shared" ref="BD41:BJ41" si="138">BC41*(1+BD42)</f>
        <v>62932.589353540265</v>
      </c>
      <c r="BE41" s="524">
        <f t="shared" si="138"/>
        <v>73783.238166917363</v>
      </c>
      <c r="BF41" s="524">
        <f t="shared" si="138"/>
        <v>84596.500608585062</v>
      </c>
      <c r="BG41" s="524">
        <f t="shared" si="138"/>
        <v>95134.795723245217</v>
      </c>
      <c r="BH41" s="524">
        <f t="shared" si="138"/>
        <v>105208.20022488858</v>
      </c>
      <c r="BI41" s="524">
        <f t="shared" si="138"/>
        <v>114677.22822083351</v>
      </c>
      <c r="BJ41" s="524">
        <f t="shared" si="138"/>
        <v>123450.30484289727</v>
      </c>
      <c r="BL41" s="587">
        <v>5839.6672787990701</v>
      </c>
      <c r="BM41" s="587">
        <v>6674.6560861892303</v>
      </c>
      <c r="BN41" s="587">
        <v>7970.8142036395002</v>
      </c>
      <c r="BO41" s="587">
        <v>8545.5444754192795</v>
      </c>
    </row>
    <row r="42" spans="1:67" ht="12" customHeight="1" x14ac:dyDescent="0.35">
      <c r="B42" s="530" t="s">
        <v>459</v>
      </c>
      <c r="S42" s="522">
        <f>S41/O41-1</f>
        <v>0.13317801671295815</v>
      </c>
      <c r="T42" s="522">
        <f t="shared" ref="T42:AD42" si="139">T41/P41-1</f>
        <v>0.65493612834471127</v>
      </c>
      <c r="U42" s="522">
        <f t="shared" si="139"/>
        <v>-6.1993066946501529E-2</v>
      </c>
      <c r="V42" s="522">
        <f t="shared" si="139"/>
        <v>4.7905785274059047</v>
      </c>
      <c r="W42" s="522">
        <f t="shared" si="139"/>
        <v>3.0920002592240747</v>
      </c>
      <c r="X42" s="522">
        <f t="shared" si="139"/>
        <v>2.0174258753733452</v>
      </c>
      <c r="Y42" s="522">
        <f t="shared" si="139"/>
        <v>2.8775084444954993</v>
      </c>
      <c r="Z42" s="522">
        <f t="shared" si="139"/>
        <v>0.91735897669503452</v>
      </c>
      <c r="AA42" s="522">
        <f t="shared" si="139"/>
        <v>1.4772221990082417</v>
      </c>
      <c r="AB42" s="522">
        <f t="shared" si="139"/>
        <v>0.98330661211213455</v>
      </c>
      <c r="AC42" s="522">
        <f t="shared" si="139"/>
        <v>1.2599476093180906</v>
      </c>
      <c r="AD42" s="522">
        <f t="shared" si="139"/>
        <v>0.59606440958051699</v>
      </c>
      <c r="AE42" s="522">
        <f>AE41/AA41-1</f>
        <v>0.4827979951205017</v>
      </c>
      <c r="AF42" s="596">
        <v>0.53</v>
      </c>
      <c r="AG42" s="596">
        <v>0.35</v>
      </c>
      <c r="AH42" s="596">
        <v>0.3</v>
      </c>
      <c r="AI42" s="596">
        <f>AH42</f>
        <v>0.3</v>
      </c>
      <c r="AJ42" s="596">
        <f t="shared" ref="AJ42:AO42" si="140">AI42</f>
        <v>0.3</v>
      </c>
      <c r="AK42" s="596">
        <f t="shared" si="140"/>
        <v>0.3</v>
      </c>
      <c r="AL42" s="596">
        <v>0.25</v>
      </c>
      <c r="AM42" s="596">
        <f t="shared" si="140"/>
        <v>0.25</v>
      </c>
      <c r="AN42" s="596">
        <f t="shared" si="140"/>
        <v>0.25</v>
      </c>
      <c r="AO42" s="596">
        <f t="shared" si="140"/>
        <v>0.25</v>
      </c>
      <c r="AP42" s="596">
        <v>0.2</v>
      </c>
      <c r="AQ42" s="527"/>
      <c r="AR42" s="528"/>
      <c r="AS42" s="529"/>
      <c r="AT42" s="524"/>
      <c r="AU42" s="524"/>
      <c r="AV42" s="524"/>
      <c r="AW42" s="524"/>
      <c r="AX42" s="524"/>
      <c r="AY42" s="554">
        <f>AY41/AX41-1</f>
        <v>1.7904902882459557</v>
      </c>
      <c r="AZ42" s="554">
        <f>AZ41/AY41-1</f>
        <v>1.0245611931487302</v>
      </c>
      <c r="BA42" s="522">
        <f t="shared" ref="BA42:BC42" si="141">BA41/AZ41-1</f>
        <v>0.41625173127820014</v>
      </c>
      <c r="BB42" s="522">
        <f t="shared" si="141"/>
        <v>0.28829144929181227</v>
      </c>
      <c r="BC42" s="522">
        <f t="shared" si="141"/>
        <v>0.23863945856872681</v>
      </c>
      <c r="BD42" s="562">
        <f>BC42*0.85</f>
        <v>0.20284353978341779</v>
      </c>
      <c r="BE42" s="562">
        <f t="shared" ref="BE42:BJ42" si="142">BD42*0.85</f>
        <v>0.17241700881590513</v>
      </c>
      <c r="BF42" s="562">
        <f t="shared" si="142"/>
        <v>0.14655445749351936</v>
      </c>
      <c r="BG42" s="562">
        <f t="shared" si="142"/>
        <v>0.12457128886949145</v>
      </c>
      <c r="BH42" s="562">
        <f t="shared" si="142"/>
        <v>0.10588559553906773</v>
      </c>
      <c r="BI42" s="562">
        <f t="shared" si="142"/>
        <v>9.0002756208207566E-2</v>
      </c>
      <c r="BJ42" s="562">
        <f t="shared" si="142"/>
        <v>7.6502342776976429E-2</v>
      </c>
      <c r="BL42" s="590">
        <v>0.8</v>
      </c>
      <c r="BM42" s="590">
        <v>0.8</v>
      </c>
      <c r="BN42" s="596">
        <v>0.55000000000000004</v>
      </c>
      <c r="BO42" s="596">
        <v>0.53</v>
      </c>
    </row>
    <row r="43" spans="1:67" ht="12" customHeight="1" x14ac:dyDescent="0.35">
      <c r="B43" s="586" t="s">
        <v>479</v>
      </c>
      <c r="S43" s="588"/>
      <c r="T43" s="522"/>
      <c r="U43" s="590"/>
      <c r="V43" s="590"/>
      <c r="W43" s="590"/>
      <c r="X43" s="590"/>
      <c r="Y43" s="590"/>
      <c r="Z43" s="590"/>
      <c r="AA43" s="590"/>
      <c r="AB43" s="587">
        <v>1483.4399999999914</v>
      </c>
      <c r="AC43" s="587">
        <v>5476.2599999999802</v>
      </c>
      <c r="AD43" s="587">
        <v>3000</v>
      </c>
      <c r="AE43" s="587">
        <v>3900</v>
      </c>
      <c r="AF43" s="588">
        <v>3500</v>
      </c>
      <c r="AG43" s="587">
        <f t="shared" ref="AG43:AH43" si="143">AC43*(1+AG44)</f>
        <v>6023.8859999999786</v>
      </c>
      <c r="AH43" s="587">
        <f t="shared" si="143"/>
        <v>3300.0000000000005</v>
      </c>
      <c r="AI43" s="587">
        <f t="shared" ref="AI43" si="144">AE43*(1+AI44)</f>
        <v>4290</v>
      </c>
      <c r="AJ43" s="587">
        <f t="shared" ref="AJ43" si="145">AF43*(1+AJ44)</f>
        <v>3850.0000000000005</v>
      </c>
      <c r="AK43" s="587">
        <f t="shared" ref="AK43" si="146">AG43*(1+AK44)</f>
        <v>6626.274599999977</v>
      </c>
      <c r="AL43" s="587">
        <f t="shared" ref="AL43" si="147">AH43*(1+AL44)</f>
        <v>3630.0000000000009</v>
      </c>
      <c r="AM43" s="587">
        <f t="shared" ref="AM43" si="148">AI43*(1+AM44)</f>
        <v>4719</v>
      </c>
      <c r="AN43" s="587">
        <f t="shared" ref="AN43" si="149">AJ43*(1+AN44)</f>
        <v>4235.0000000000009</v>
      </c>
      <c r="AO43" s="587">
        <f t="shared" ref="AO43" si="150">AK43*(1+AO44)</f>
        <v>7288.9020599999749</v>
      </c>
      <c r="AP43" s="587">
        <f t="shared" ref="AP43" si="151">AL43*(1+AP44)</f>
        <v>3993.0000000000014</v>
      </c>
      <c r="AQ43" s="527"/>
      <c r="AR43" s="528"/>
      <c r="AS43" s="529"/>
      <c r="AT43" s="524"/>
      <c r="AU43" s="524"/>
      <c r="AV43" s="524"/>
      <c r="AW43" s="524"/>
      <c r="AX43" s="524"/>
      <c r="AY43" s="524"/>
      <c r="AZ43" s="524">
        <f>SUM(AA43:AD43)</f>
        <v>9959.6999999999716</v>
      </c>
      <c r="BA43" s="524">
        <f>SUM(AE43:AH43)</f>
        <v>16723.88599999998</v>
      </c>
      <c r="BB43" s="524">
        <f>SUM(AI43:AL43)</f>
        <v>18396.274599999979</v>
      </c>
      <c r="BC43" s="524">
        <f>SUM(AM43:AP43)</f>
        <v>20235.902059999975</v>
      </c>
      <c r="BD43" s="524">
        <f t="shared" ref="BD43:BJ43" si="152">BC43*(1+BD44)</f>
        <v>21753.594714499974</v>
      </c>
      <c r="BE43" s="524">
        <f t="shared" si="152"/>
        <v>22977.234417190597</v>
      </c>
      <c r="BF43" s="524">
        <f t="shared" si="152"/>
        <v>23946.586494165826</v>
      </c>
      <c r="BG43" s="524">
        <f t="shared" si="152"/>
        <v>24704.271457457788</v>
      </c>
      <c r="BH43" s="524">
        <f t="shared" si="152"/>
        <v>25290.515399270505</v>
      </c>
      <c r="BI43" s="524">
        <f t="shared" si="152"/>
        <v>25740.632238285842</v>
      </c>
      <c r="BJ43" s="524">
        <f t="shared" si="152"/>
        <v>26084.228202062277</v>
      </c>
      <c r="BL43" s="590"/>
      <c r="BM43" s="590">
        <v>6556.5237408000003</v>
      </c>
      <c r="BN43" s="588">
        <v>2300</v>
      </c>
      <c r="BO43" s="588">
        <v>3500</v>
      </c>
    </row>
    <row r="44" spans="1:67" ht="12" customHeight="1" x14ac:dyDescent="0.35">
      <c r="B44" s="530" t="s">
        <v>459</v>
      </c>
      <c r="S44" s="588"/>
      <c r="T44" s="588"/>
      <c r="U44" s="590"/>
      <c r="V44" s="590"/>
      <c r="W44" s="590"/>
      <c r="X44" s="590"/>
      <c r="Y44" s="590"/>
      <c r="Z44" s="590"/>
      <c r="AA44" s="590"/>
      <c r="AB44" s="590"/>
      <c r="AC44" s="590"/>
      <c r="AD44" s="590"/>
      <c r="AE44" s="522"/>
      <c r="AF44" s="590"/>
      <c r="AG44" s="596">
        <v>0.1</v>
      </c>
      <c r="AH44" s="596">
        <v>0.1</v>
      </c>
      <c r="AI44" s="596">
        <v>0.1</v>
      </c>
      <c r="AJ44" s="596">
        <v>0.1</v>
      </c>
      <c r="AK44" s="596">
        <v>0.1</v>
      </c>
      <c r="AL44" s="596">
        <v>0.1</v>
      </c>
      <c r="AM44" s="596">
        <v>0.1</v>
      </c>
      <c r="AN44" s="596">
        <v>0.1</v>
      </c>
      <c r="AO44" s="596">
        <v>0.1</v>
      </c>
      <c r="AP44" s="596">
        <v>0.1</v>
      </c>
      <c r="AQ44" s="527"/>
      <c r="AR44" s="528"/>
      <c r="AS44" s="529"/>
      <c r="AT44" s="524"/>
      <c r="AU44" s="524"/>
      <c r="AV44" s="524"/>
      <c r="AW44" s="524"/>
      <c r="AX44" s="524"/>
      <c r="AY44" s="524"/>
      <c r="AZ44" s="524"/>
      <c r="BA44" s="522">
        <f>BA43/AZ43-1</f>
        <v>0.67915559705613915</v>
      </c>
      <c r="BB44" s="522">
        <f>BB43/BA43-1</f>
        <v>0.10000000000000009</v>
      </c>
      <c r="BC44" s="522">
        <f>BC43/BB43-1</f>
        <v>9.9999999999999867E-2</v>
      </c>
      <c r="BD44" s="562">
        <f>BC44*0.75</f>
        <v>7.49999999999999E-2</v>
      </c>
      <c r="BE44" s="562">
        <f t="shared" ref="BE44:BJ44" si="153">BD44*0.75</f>
        <v>5.6249999999999925E-2</v>
      </c>
      <c r="BF44" s="562">
        <f t="shared" si="153"/>
        <v>4.2187499999999947E-2</v>
      </c>
      <c r="BG44" s="562">
        <f t="shared" si="153"/>
        <v>3.1640624999999964E-2</v>
      </c>
      <c r="BH44" s="562">
        <f t="shared" si="153"/>
        <v>2.3730468749999973E-2</v>
      </c>
      <c r="BI44" s="562">
        <f t="shared" si="153"/>
        <v>1.7797851562499981E-2</v>
      </c>
      <c r="BJ44" s="562">
        <f t="shared" si="153"/>
        <v>1.3348388671874985E-2</v>
      </c>
      <c r="BL44" s="590"/>
      <c r="BM44" s="590"/>
      <c r="BN44" s="590"/>
      <c r="BO44" s="590"/>
    </row>
    <row r="45" spans="1:67" ht="12" customHeight="1" x14ac:dyDescent="0.35">
      <c r="B45" s="530"/>
      <c r="S45" s="588"/>
      <c r="T45" s="588"/>
      <c r="U45" s="590"/>
      <c r="V45" s="590"/>
      <c r="W45" s="590"/>
      <c r="X45" s="590"/>
      <c r="Y45" s="590"/>
      <c r="Z45" s="590"/>
      <c r="AA45" s="590"/>
      <c r="AB45" s="590"/>
      <c r="AC45" s="589"/>
      <c r="AD45" s="590"/>
      <c r="AE45" s="590"/>
      <c r="AF45" s="590"/>
      <c r="AG45" s="590"/>
      <c r="AH45" s="590"/>
      <c r="AI45" s="590"/>
      <c r="AJ45" s="590"/>
      <c r="AK45" s="590"/>
      <c r="AL45" s="590"/>
      <c r="AM45" s="590"/>
      <c r="AN45" s="590"/>
      <c r="AO45" s="590"/>
      <c r="AP45" s="590"/>
      <c r="AQ45" s="527"/>
      <c r="AR45" s="528"/>
      <c r="AS45" s="529"/>
      <c r="AT45" s="524"/>
      <c r="AU45" s="524"/>
      <c r="AV45" s="524"/>
      <c r="AW45" s="524"/>
      <c r="AX45" s="524"/>
      <c r="AY45" s="524"/>
      <c r="AZ45" s="524"/>
      <c r="BA45" s="524"/>
      <c r="BB45" s="524"/>
      <c r="BC45" s="524"/>
      <c r="BD45" s="524"/>
      <c r="BE45" s="524"/>
      <c r="BF45" s="524"/>
      <c r="BG45" s="524"/>
      <c r="BH45" s="524"/>
      <c r="BI45" s="524"/>
      <c r="BJ45" s="524"/>
      <c r="BL45" s="590"/>
      <c r="BM45" s="590"/>
      <c r="BN45" s="590"/>
      <c r="BO45" s="590"/>
    </row>
    <row r="46" spans="1:67" ht="12" customHeight="1" x14ac:dyDescent="0.35">
      <c r="B46" s="530"/>
      <c r="S46" s="588"/>
      <c r="T46" s="588"/>
      <c r="U46" s="590"/>
      <c r="V46" s="590"/>
      <c r="W46" s="590"/>
      <c r="X46" s="590"/>
      <c r="Y46" s="590"/>
      <c r="Z46" s="590"/>
      <c r="AA46" s="590"/>
      <c r="AB46" s="590"/>
      <c r="AC46" s="590"/>
      <c r="AD46" s="590"/>
      <c r="AE46" s="590"/>
      <c r="AF46" s="590"/>
      <c r="AG46" s="590"/>
      <c r="AH46" s="590"/>
      <c r="AI46" s="590"/>
      <c r="AJ46" s="590"/>
      <c r="AK46" s="590"/>
      <c r="AL46" s="590"/>
      <c r="AM46" s="590"/>
      <c r="AN46" s="590"/>
      <c r="AO46" s="590"/>
      <c r="AP46" s="590"/>
      <c r="AQ46" s="527"/>
      <c r="AR46" s="528"/>
      <c r="AS46" s="529"/>
      <c r="AT46" s="524"/>
      <c r="AU46" s="524"/>
      <c r="AV46" s="524"/>
      <c r="AW46" s="524"/>
      <c r="AX46" s="524"/>
      <c r="AY46" s="524"/>
      <c r="AZ46" s="524"/>
      <c r="BA46" s="524"/>
      <c r="BB46" s="524"/>
      <c r="BC46" s="524"/>
      <c r="BD46" s="524"/>
      <c r="BE46" s="524"/>
      <c r="BF46" s="524"/>
      <c r="BG46" s="524"/>
      <c r="BH46" s="524"/>
      <c r="BI46" s="524"/>
      <c r="BJ46" s="524"/>
      <c r="BL46" s="590"/>
      <c r="BM46" s="590"/>
      <c r="BN46" s="590"/>
      <c r="BO46" s="590"/>
    </row>
    <row r="47" spans="1:67" ht="12" customHeight="1" x14ac:dyDescent="0.35">
      <c r="B47" s="586"/>
      <c r="S47" s="588"/>
      <c r="T47" s="588"/>
      <c r="U47" s="588"/>
      <c r="V47" s="588"/>
      <c r="W47" s="588"/>
      <c r="X47" s="588"/>
      <c r="Y47" s="588"/>
      <c r="Z47" s="588"/>
      <c r="AA47" s="588"/>
      <c r="AB47" s="588"/>
      <c r="AC47" s="588"/>
      <c r="AD47" s="588"/>
      <c r="AE47" s="588"/>
      <c r="AF47" s="588"/>
      <c r="AG47" s="588"/>
      <c r="AH47" s="588"/>
      <c r="AI47" s="588"/>
      <c r="AJ47" s="588"/>
      <c r="AK47" s="588"/>
      <c r="AL47" s="588"/>
      <c r="AM47" s="588"/>
      <c r="AN47" s="588"/>
      <c r="AO47" s="588"/>
      <c r="AP47" s="588"/>
      <c r="AQ47" s="527"/>
      <c r="AR47" s="528"/>
      <c r="AS47" s="529"/>
      <c r="AT47" s="524"/>
      <c r="AU47" s="524"/>
      <c r="AV47" s="524"/>
      <c r="AW47" s="524"/>
      <c r="AX47" s="524"/>
      <c r="AY47" s="524"/>
      <c r="AZ47" s="524"/>
      <c r="BA47" s="524"/>
      <c r="BB47" s="524"/>
      <c r="BC47" s="524"/>
      <c r="BD47" s="524"/>
      <c r="BE47" s="524"/>
      <c r="BF47" s="524"/>
      <c r="BG47" s="524"/>
      <c r="BH47" s="524"/>
      <c r="BI47" s="524"/>
      <c r="BJ47" s="524"/>
      <c r="BL47" s="588"/>
      <c r="BM47" s="588"/>
      <c r="BN47" s="588"/>
      <c r="BO47" s="588"/>
    </row>
    <row r="49" spans="2:67" s="538" customFormat="1" ht="12" customHeight="1" outlineLevel="1" x14ac:dyDescent="0.35">
      <c r="B49" s="597" t="s">
        <v>480</v>
      </c>
      <c r="C49" s="560">
        <f t="shared" ref="C49:V49" si="154">C31+C34</f>
        <v>8667</v>
      </c>
      <c r="D49" s="560">
        <f t="shared" si="154"/>
        <v>8645.0400000000009</v>
      </c>
      <c r="E49" s="560">
        <f t="shared" si="154"/>
        <v>16149</v>
      </c>
      <c r="F49" s="560">
        <f t="shared" si="154"/>
        <v>9370.66</v>
      </c>
      <c r="G49" s="560">
        <f t="shared" si="154"/>
        <v>12639</v>
      </c>
      <c r="H49" s="560">
        <f t="shared" si="154"/>
        <v>12769.384999999998</v>
      </c>
      <c r="I49" s="560">
        <f t="shared" si="154"/>
        <v>21274.974999999999</v>
      </c>
      <c r="J49" s="560">
        <f t="shared" si="154"/>
        <v>13048.640000000001</v>
      </c>
      <c r="K49" s="560">
        <f t="shared" si="154"/>
        <v>15711.525547445257</v>
      </c>
      <c r="L49" s="560">
        <f t="shared" si="154"/>
        <v>17267.450452554742</v>
      </c>
      <c r="M49" s="560">
        <f t="shared" si="154"/>
        <v>28714.09</v>
      </c>
      <c r="N49" s="560">
        <f t="shared" si="154"/>
        <v>18339.934000000001</v>
      </c>
      <c r="O49" s="560">
        <f t="shared" si="154"/>
        <v>23383</v>
      </c>
      <c r="P49" s="560">
        <f t="shared" si="154"/>
        <v>24109</v>
      </c>
      <c r="Q49" s="560">
        <f t="shared" si="154"/>
        <v>40801.805999999997</v>
      </c>
      <c r="R49" s="560">
        <f t="shared" si="154"/>
        <v>25815.194</v>
      </c>
      <c r="S49" s="560">
        <f t="shared" si="154"/>
        <v>36712</v>
      </c>
      <c r="T49" s="560">
        <f t="shared" si="154"/>
        <v>39557</v>
      </c>
      <c r="U49" s="560">
        <f t="shared" si="154"/>
        <v>60105</v>
      </c>
      <c r="V49" s="560">
        <f t="shared" si="154"/>
        <v>40185</v>
      </c>
      <c r="W49" s="560">
        <v>53968</v>
      </c>
      <c r="X49" s="560">
        <f>X31+X34</f>
        <v>54151</v>
      </c>
      <c r="Y49" s="560">
        <f t="shared" ref="Y49:AP49" si="155">SUM(Y34,Y31)</f>
        <v>81055</v>
      </c>
      <c r="Z49" s="560">
        <f t="shared" si="155"/>
        <v>58441</v>
      </c>
      <c r="AA49" s="560">
        <f t="shared" si="155"/>
        <v>75601</v>
      </c>
      <c r="AB49" s="560">
        <f t="shared" si="155"/>
        <v>75786</v>
      </c>
      <c r="AC49" s="560">
        <f t="shared" si="155"/>
        <v>110458</v>
      </c>
      <c r="AD49" s="560">
        <f t="shared" si="155"/>
        <v>70905</v>
      </c>
      <c r="AE49" s="560">
        <f t="shared" si="155"/>
        <v>101321</v>
      </c>
      <c r="AF49" s="560">
        <f>SUM(AF34,AF31)</f>
        <v>95470</v>
      </c>
      <c r="AG49" s="560">
        <f t="shared" si="155"/>
        <v>134790.09823364433</v>
      </c>
      <c r="AH49" s="560">
        <f t="shared" si="155"/>
        <v>95254.120021519717</v>
      </c>
      <c r="AI49" s="560">
        <f t="shared" si="155"/>
        <v>126231.0891655798</v>
      </c>
      <c r="AJ49" s="560">
        <f t="shared" si="155"/>
        <v>126839.11448496956</v>
      </c>
      <c r="AK49" s="560">
        <f t="shared" si="155"/>
        <v>168489.87580021689</v>
      </c>
      <c r="AL49" s="560">
        <f t="shared" si="155"/>
        <v>119250.15666575027</v>
      </c>
      <c r="AM49" s="560">
        <f t="shared" si="155"/>
        <v>154827.57402867108</v>
      </c>
      <c r="AN49" s="560">
        <f t="shared" si="155"/>
        <v>157430.77000552518</v>
      </c>
      <c r="AO49" s="560">
        <f t="shared" si="155"/>
        <v>204327.94749236727</v>
      </c>
      <c r="AP49" s="560">
        <f t="shared" si="155"/>
        <v>145613.7335860235</v>
      </c>
      <c r="AQ49" s="539" t="s">
        <v>458</v>
      </c>
      <c r="AR49" s="508" t="s">
        <v>465</v>
      </c>
      <c r="AS49" s="509"/>
      <c r="AT49" s="560">
        <f t="shared" ref="AT49:BJ49" si="156">SUM(AT34,AT31)</f>
        <v>42831.7</v>
      </c>
      <c r="AU49" s="560">
        <f t="shared" si="156"/>
        <v>59732</v>
      </c>
      <c r="AV49" s="560">
        <f t="shared" si="156"/>
        <v>80033</v>
      </c>
      <c r="AW49" s="560">
        <f t="shared" si="156"/>
        <v>114109</v>
      </c>
      <c r="AX49" s="560">
        <f t="shared" si="156"/>
        <v>176559</v>
      </c>
      <c r="AY49" s="560">
        <f t="shared" si="156"/>
        <v>247615</v>
      </c>
      <c r="AZ49" s="560">
        <f t="shared" si="156"/>
        <v>332750</v>
      </c>
      <c r="BA49" s="560">
        <f t="shared" si="156"/>
        <v>426835.21825516399</v>
      </c>
      <c r="BB49" s="560">
        <f t="shared" si="156"/>
        <v>540810.2361165164</v>
      </c>
      <c r="BC49" s="560">
        <f t="shared" si="156"/>
        <v>662200.02511258703</v>
      </c>
      <c r="BD49" s="560">
        <f t="shared" si="156"/>
        <v>792082.66764356219</v>
      </c>
      <c r="BE49" s="560">
        <f t="shared" si="156"/>
        <v>920475.89113082981</v>
      </c>
      <c r="BF49" s="560">
        <f t="shared" si="156"/>
        <v>1039688.0531258401</v>
      </c>
      <c r="BG49" s="560">
        <f t="shared" si="156"/>
        <v>1145534.0263721191</v>
      </c>
      <c r="BH49" s="560">
        <f t="shared" si="156"/>
        <v>1236874.2294245881</v>
      </c>
      <c r="BI49" s="560">
        <f t="shared" si="156"/>
        <v>1314507.7844838682</v>
      </c>
      <c r="BJ49" s="560">
        <f t="shared" si="156"/>
        <v>1380147.7114787912</v>
      </c>
      <c r="BL49" s="560">
        <v>76311.088191947798</v>
      </c>
      <c r="BM49" s="560">
        <v>115583.09212710999</v>
      </c>
      <c r="BN49" s="560">
        <v>99045.202456834406</v>
      </c>
      <c r="BO49" s="560">
        <v>98141.379765040605</v>
      </c>
    </row>
    <row r="50" spans="2:67" s="522" customFormat="1" ht="12" customHeight="1" outlineLevel="1" x14ac:dyDescent="0.35">
      <c r="B50" s="530" t="s">
        <v>459</v>
      </c>
      <c r="G50" s="522">
        <f t="shared" ref="G50:AH50" si="157">G49/C49-1</f>
        <v>0.45829006576670128</v>
      </c>
      <c r="H50" s="522">
        <f t="shared" si="157"/>
        <v>0.47707645077408523</v>
      </c>
      <c r="I50" s="522">
        <f t="shared" si="157"/>
        <v>0.31741748715090701</v>
      </c>
      <c r="J50" s="522">
        <f t="shared" si="157"/>
        <v>0.39249956779992035</v>
      </c>
      <c r="K50" s="522">
        <f t="shared" si="157"/>
        <v>0.24309878530305062</v>
      </c>
      <c r="L50" s="522">
        <f t="shared" si="157"/>
        <v>0.35225388321792672</v>
      </c>
      <c r="M50" s="522">
        <f t="shared" si="157"/>
        <v>0.34966504073447813</v>
      </c>
      <c r="N50" s="522">
        <f t="shared" si="157"/>
        <v>0.40550540132918056</v>
      </c>
      <c r="O50" s="522">
        <f t="shared" si="157"/>
        <v>0.48827050112916304</v>
      </c>
      <c r="P50" s="522">
        <f t="shared" si="157"/>
        <v>0.39621075307229514</v>
      </c>
      <c r="Q50" s="522">
        <f t="shared" si="157"/>
        <v>0.4209681031159267</v>
      </c>
      <c r="R50" s="522">
        <f t="shared" si="157"/>
        <v>0.40759470562980216</v>
      </c>
      <c r="S50" s="522">
        <f t="shared" si="157"/>
        <v>0.57002950861737167</v>
      </c>
      <c r="T50" s="522">
        <f t="shared" si="157"/>
        <v>0.640756563938778</v>
      </c>
      <c r="U50" s="522">
        <f t="shared" si="157"/>
        <v>0.47309655851998333</v>
      </c>
      <c r="V50" s="522">
        <f t="shared" si="157"/>
        <v>0.55664141048097493</v>
      </c>
      <c r="W50" s="522">
        <f t="shared" si="157"/>
        <v>0.47003704510786659</v>
      </c>
      <c r="X50" s="522">
        <f t="shared" si="157"/>
        <v>0.36893596582147281</v>
      </c>
      <c r="Y50" s="522">
        <f t="shared" si="157"/>
        <v>0.34855669245487064</v>
      </c>
      <c r="Z50" s="522">
        <f t="shared" si="157"/>
        <v>0.45429886773671768</v>
      </c>
      <c r="AA50" s="522">
        <f t="shared" si="157"/>
        <v>0.40084865105247558</v>
      </c>
      <c r="AB50" s="522">
        <f t="shared" si="157"/>
        <v>0.39953094125685573</v>
      </c>
      <c r="AC50" s="522">
        <f t="shared" si="157"/>
        <v>0.36275368576892242</v>
      </c>
      <c r="AD50" s="522">
        <f t="shared" si="157"/>
        <v>0.21327492684930105</v>
      </c>
      <c r="AE50" s="522">
        <f t="shared" si="157"/>
        <v>0.34020714011719422</v>
      </c>
      <c r="AF50" s="522">
        <f t="shared" si="157"/>
        <v>0.25973134879793092</v>
      </c>
      <c r="AG50" s="522">
        <f t="shared" si="157"/>
        <v>0.22028371176052741</v>
      </c>
      <c r="AH50" s="522">
        <f t="shared" si="157"/>
        <v>0.34340483776207198</v>
      </c>
      <c r="AI50" s="522">
        <f t="shared" ref="AI50" si="158">AI49/AE49-1</f>
        <v>0.24585317126340844</v>
      </c>
      <c r="AJ50" s="522">
        <f t="shared" ref="AJ50" si="159">AJ49/AF49-1</f>
        <v>0.32857562045636901</v>
      </c>
      <c r="AK50" s="522">
        <f t="shared" ref="AK50" si="160">AK49/AG49-1</f>
        <v>0.25001671493819666</v>
      </c>
      <c r="AL50" s="522">
        <f t="shared" ref="AL50" si="161">AL49/AH49-1</f>
        <v>0.25191599732178926</v>
      </c>
      <c r="AM50" s="522">
        <f t="shared" ref="AM50" si="162">AM49/AI49-1</f>
        <v>0.22654074406013169</v>
      </c>
      <c r="AN50" s="522">
        <f t="shared" ref="AN50" si="163">AN49/AJ49-1</f>
        <v>0.24118471375941941</v>
      </c>
      <c r="AO50" s="522">
        <f t="shared" ref="AO50" si="164">AO49/AK49-1</f>
        <v>0.21270163279510368</v>
      </c>
      <c r="AP50" s="522">
        <f t="shared" ref="AP50" si="165">AP49/AL49-1</f>
        <v>0.22107792272481852</v>
      </c>
      <c r="AQ50" s="567"/>
      <c r="AR50" s="520"/>
      <c r="AS50" s="521"/>
      <c r="AU50" s="522">
        <f t="shared" ref="AU50:BB50" si="166">AU49/AT49-1</f>
        <v>0.39457457910846405</v>
      </c>
      <c r="AV50" s="522">
        <f t="shared" si="166"/>
        <v>0.33986807741244229</v>
      </c>
      <c r="AW50" s="522">
        <f t="shared" si="166"/>
        <v>0.42577436807316982</v>
      </c>
      <c r="AX50" s="522">
        <f t="shared" si="166"/>
        <v>0.5472837374790771</v>
      </c>
      <c r="AY50" s="522">
        <f t="shared" si="166"/>
        <v>0.40244903969777801</v>
      </c>
      <c r="AZ50" s="522">
        <f t="shared" si="166"/>
        <v>0.34382004321224491</v>
      </c>
      <c r="BA50" s="522">
        <f t="shared" si="166"/>
        <v>0.28275046808463999</v>
      </c>
      <c r="BB50" s="522">
        <f t="shared" si="166"/>
        <v>0.26702346242014552</v>
      </c>
      <c r="BC50" s="522">
        <f t="shared" ref="BC50" si="167">BC49/BB49-1</f>
        <v>0.22445911872481172</v>
      </c>
      <c r="BD50" s="522">
        <f t="shared" ref="BD50" si="168">BD49/BC49-1</f>
        <v>0.19613808155457635</v>
      </c>
      <c r="BE50" s="522">
        <f t="shared" ref="BE50" si="169">BE49/BD49-1</f>
        <v>0.16209573663470778</v>
      </c>
      <c r="BF50" s="522">
        <f t="shared" ref="BF50" si="170">BF49/BE49-1</f>
        <v>0.12951144418193827</v>
      </c>
      <c r="BG50" s="522">
        <f t="shared" ref="BG50" si="171">BG49/BF49-1</f>
        <v>0.1018055107280027</v>
      </c>
      <c r="BH50" s="522">
        <f t="shared" ref="BH50" si="172">BH49/BG49-1</f>
        <v>7.973591438548655E-2</v>
      </c>
      <c r="BI50" s="522">
        <f t="shared" ref="BI50" si="173">BI49/BH49-1</f>
        <v>6.2765924952124186E-2</v>
      </c>
      <c r="BJ50" s="522">
        <f t="shared" ref="BJ50" si="174">BJ49/BI49-1</f>
        <v>4.9934985376063112E-2</v>
      </c>
      <c r="BL50" s="522">
        <v>0.409227681703899</v>
      </c>
      <c r="BM50" s="522">
        <v>0.42598349425834597</v>
      </c>
      <c r="BN50" s="522">
        <v>0.310104396196272</v>
      </c>
      <c r="BO50" s="522">
        <v>0.294980336276365</v>
      </c>
    </row>
    <row r="51" spans="2:67" ht="12" customHeight="1" outlineLevel="1" x14ac:dyDescent="0.35"/>
    <row r="52" spans="2:67" s="522" customFormat="1" ht="12" customHeight="1" outlineLevel="1" x14ac:dyDescent="0.35">
      <c r="B52" s="599"/>
      <c r="AQ52" s="567"/>
      <c r="AR52" s="520"/>
      <c r="AS52" s="521"/>
    </row>
    <row r="53" spans="2:67" s="538" customFormat="1" ht="12" customHeight="1" outlineLevel="1" x14ac:dyDescent="0.35">
      <c r="B53" s="600" t="s">
        <v>481</v>
      </c>
      <c r="C53" s="519">
        <v>526</v>
      </c>
      <c r="D53" s="519">
        <v>568</v>
      </c>
      <c r="E53" s="519">
        <v>612</v>
      </c>
      <c r="F53" s="519">
        <v>594</v>
      </c>
      <c r="G53" s="519">
        <v>709</v>
      </c>
      <c r="H53" s="519">
        <v>790</v>
      </c>
      <c r="I53" s="519">
        <v>860</v>
      </c>
      <c r="J53" s="519">
        <v>846</v>
      </c>
      <c r="K53" s="519">
        <v>997</v>
      </c>
      <c r="L53" s="519">
        <v>1046</v>
      </c>
      <c r="M53" s="519">
        <v>1162</v>
      </c>
      <c r="N53" s="519">
        <v>1083</v>
      </c>
      <c r="O53" s="519">
        <v>1261</v>
      </c>
      <c r="P53" s="519">
        <v>1435</v>
      </c>
      <c r="Q53" s="519">
        <v>1514</v>
      </c>
      <c r="R53" s="519">
        <v>1469</v>
      </c>
      <c r="S53" s="519">
        <v>1641</v>
      </c>
      <c r="T53" s="519">
        <v>1714</v>
      </c>
      <c r="U53" s="519">
        <v>1926</v>
      </c>
      <c r="V53" s="519">
        <v>1883</v>
      </c>
      <c r="W53" s="519">
        <v>2250</v>
      </c>
      <c r="X53" s="519">
        <v>2497</v>
      </c>
      <c r="Y53" s="519">
        <v>2694</v>
      </c>
      <c r="Z53" s="519">
        <v>2547</v>
      </c>
      <c r="AA53" s="519">
        <v>2992</v>
      </c>
      <c r="AB53" s="519">
        <v>3283</v>
      </c>
      <c r="AC53" s="519">
        <v>3365</v>
      </c>
      <c r="AD53" s="519">
        <v>2787</v>
      </c>
      <c r="AE53" s="519">
        <v>3484</v>
      </c>
      <c r="AF53" s="519">
        <v>3637</v>
      </c>
      <c r="AG53" s="519">
        <f>AC53*(1+AG54)</f>
        <v>4206.25</v>
      </c>
      <c r="AH53" s="519">
        <f>AD53*(1+AH54)</f>
        <v>3483.75</v>
      </c>
      <c r="AI53" s="519">
        <f t="shared" ref="AI53:AP53" si="175">AE53*(1+AI54)</f>
        <v>4180.8</v>
      </c>
      <c r="AJ53" s="519">
        <f t="shared" si="175"/>
        <v>4364.3999999999996</v>
      </c>
      <c r="AK53" s="519">
        <f t="shared" si="175"/>
        <v>5047.5</v>
      </c>
      <c r="AL53" s="519">
        <f t="shared" si="175"/>
        <v>4110.8249999999998</v>
      </c>
      <c r="AM53" s="519">
        <f t="shared" si="175"/>
        <v>4933.3440000000001</v>
      </c>
      <c r="AN53" s="519">
        <f t="shared" si="175"/>
        <v>5149.9919999999993</v>
      </c>
      <c r="AO53" s="519">
        <f t="shared" si="175"/>
        <v>5956.0499999999993</v>
      </c>
      <c r="AP53" s="519">
        <f t="shared" si="175"/>
        <v>4727.4487499999996</v>
      </c>
      <c r="AQ53" s="570" t="s">
        <v>458</v>
      </c>
      <c r="AR53" s="558" t="s">
        <v>465</v>
      </c>
      <c r="AS53" s="559"/>
      <c r="AT53" s="519">
        <f>C53+D53+E53+F53</f>
        <v>2300</v>
      </c>
      <c r="AU53" s="519">
        <f>G53+H53+I53+J53</f>
        <v>3205</v>
      </c>
      <c r="AV53" s="519">
        <f>K53+L53+M53+N53</f>
        <v>4288</v>
      </c>
      <c r="AW53" s="519">
        <f>O53+P53+Q53+R53</f>
        <v>5679</v>
      </c>
      <c r="AX53" s="519">
        <f>S53+T53+U53+V53</f>
        <v>7164</v>
      </c>
      <c r="AY53" s="560">
        <f>W53+X53+Y53+Z53</f>
        <v>9988</v>
      </c>
      <c r="AZ53" s="519">
        <f>AA53+AB53+AC53+AD53</f>
        <v>12427</v>
      </c>
      <c r="BA53" s="519">
        <f>SUM(AE53:AH53)</f>
        <v>14811</v>
      </c>
      <c r="BB53" s="519">
        <f>SUM(AI53:AL53)</f>
        <v>17703.525000000001</v>
      </c>
      <c r="BC53" s="519">
        <f>SUM(AM53:AP53)</f>
        <v>20766.834749999998</v>
      </c>
      <c r="BD53" s="519">
        <f t="shared" ref="BD53:BJ53" si="176">BC53*(1+BD54)</f>
        <v>23641.527665283873</v>
      </c>
      <c r="BE53" s="519">
        <f t="shared" si="176"/>
        <v>26259.630343098241</v>
      </c>
      <c r="BF53" s="519">
        <f t="shared" si="176"/>
        <v>28586.058973025963</v>
      </c>
      <c r="BG53" s="519">
        <f t="shared" si="176"/>
        <v>30612.086762229133</v>
      </c>
      <c r="BH53" s="519">
        <f t="shared" si="176"/>
        <v>32347.784250974913</v>
      </c>
      <c r="BI53" s="519">
        <f t="shared" si="176"/>
        <v>33815.073124863338</v>
      </c>
      <c r="BJ53" s="519">
        <f t="shared" si="176"/>
        <v>35042.148962413856</v>
      </c>
      <c r="BL53" s="519">
        <v>3370.95</v>
      </c>
      <c r="BM53" s="519">
        <v>3636.9</v>
      </c>
      <c r="BN53" s="519">
        <v>3440.8</v>
      </c>
      <c r="BO53" s="519">
        <v>4432.05</v>
      </c>
    </row>
    <row r="54" spans="2:67" s="522" customFormat="1" ht="12" customHeight="1" outlineLevel="1" x14ac:dyDescent="0.35">
      <c r="B54" s="530" t="s">
        <v>459</v>
      </c>
      <c r="G54" s="522">
        <f t="shared" ref="G54:AF54" si="177">G53/C53-1</f>
        <v>0.34790874524714832</v>
      </c>
      <c r="H54" s="522">
        <f>H53/D53-1</f>
        <v>0.39084507042253525</v>
      </c>
      <c r="I54" s="522">
        <f t="shared" si="177"/>
        <v>0.40522875816993453</v>
      </c>
      <c r="J54" s="522">
        <f t="shared" si="177"/>
        <v>0.42424242424242431</v>
      </c>
      <c r="K54" s="522">
        <f t="shared" si="177"/>
        <v>0.40620592383638932</v>
      </c>
      <c r="L54" s="522">
        <f t="shared" si="177"/>
        <v>0.32405063291139236</v>
      </c>
      <c r="M54" s="522">
        <f t="shared" si="177"/>
        <v>0.35116279069767442</v>
      </c>
      <c r="N54" s="522">
        <f t="shared" si="177"/>
        <v>0.28014184397163122</v>
      </c>
      <c r="O54" s="522">
        <f t="shared" si="177"/>
        <v>0.26479438314944836</v>
      </c>
      <c r="P54" s="522">
        <f t="shared" si="177"/>
        <v>0.37189292543021035</v>
      </c>
      <c r="Q54" s="522">
        <f t="shared" si="177"/>
        <v>0.30292598967297768</v>
      </c>
      <c r="R54" s="522">
        <f t="shared" si="177"/>
        <v>0.35641735918744222</v>
      </c>
      <c r="S54" s="522">
        <f t="shared" si="177"/>
        <v>0.30134813639968283</v>
      </c>
      <c r="T54" s="522">
        <f t="shared" si="177"/>
        <v>0.19442508710801398</v>
      </c>
      <c r="U54" s="522">
        <f>U53/Q53-1</f>
        <v>0.27212681638044911</v>
      </c>
      <c r="V54" s="522">
        <f t="shared" si="177"/>
        <v>0.28182437031994545</v>
      </c>
      <c r="W54" s="522">
        <f t="shared" si="177"/>
        <v>0.37111517367458857</v>
      </c>
      <c r="X54" s="568">
        <f>X53/T53-1</f>
        <v>0.456826137689615</v>
      </c>
      <c r="Y54" s="522">
        <f t="shared" si="177"/>
        <v>0.39875389408099693</v>
      </c>
      <c r="Z54" s="522">
        <f t="shared" si="177"/>
        <v>0.35262878385554974</v>
      </c>
      <c r="AA54" s="522">
        <f t="shared" si="177"/>
        <v>0.32977777777777773</v>
      </c>
      <c r="AB54" s="522">
        <f t="shared" si="177"/>
        <v>0.31477773327993597</v>
      </c>
      <c r="AC54" s="522">
        <f t="shared" si="177"/>
        <v>0.2490720118782479</v>
      </c>
      <c r="AD54" s="522">
        <f t="shared" si="177"/>
        <v>9.4228504122497059E-2</v>
      </c>
      <c r="AE54" s="522">
        <f t="shared" si="177"/>
        <v>0.16443850267379689</v>
      </c>
      <c r="AF54" s="522">
        <f t="shared" si="177"/>
        <v>0.10782820590922926</v>
      </c>
      <c r="AG54" s="562">
        <v>0.25</v>
      </c>
      <c r="AH54" s="601">
        <v>0.25</v>
      </c>
      <c r="AI54" s="601">
        <v>0.2</v>
      </c>
      <c r="AJ54" s="601">
        <v>0.2</v>
      </c>
      <c r="AK54" s="601">
        <v>0.2</v>
      </c>
      <c r="AL54" s="601">
        <v>0.18</v>
      </c>
      <c r="AM54" s="601">
        <v>0.18</v>
      </c>
      <c r="AN54" s="601">
        <v>0.18</v>
      </c>
      <c r="AO54" s="601">
        <v>0.18</v>
      </c>
      <c r="AP54" s="601">
        <v>0.15</v>
      </c>
      <c r="AQ54" s="567"/>
      <c r="AR54" s="520"/>
      <c r="AS54" s="521"/>
      <c r="AU54" s="522">
        <f>AU53/AT53-1</f>
        <v>0.39347826086956528</v>
      </c>
      <c r="AV54" s="522">
        <f>AV53/AU53-1</f>
        <v>0.33790951638065514</v>
      </c>
      <c r="AW54" s="522">
        <f>AW53/AV53-1</f>
        <v>0.32439365671641784</v>
      </c>
      <c r="AX54" s="522">
        <f t="shared" ref="AX54:AZ54" si="178">AX53/AW53-1</f>
        <v>0.26148969889064966</v>
      </c>
      <c r="AY54" s="522">
        <f t="shared" si="178"/>
        <v>0.39419318816303739</v>
      </c>
      <c r="AZ54" s="522">
        <f t="shared" si="178"/>
        <v>0.24419303163796546</v>
      </c>
      <c r="BA54" s="522">
        <f t="shared" ref="BA54" si="179">BA53/AZ53-1</f>
        <v>0.19184034763016022</v>
      </c>
      <c r="BB54" s="522">
        <f t="shared" ref="BB54" si="180">BB53/BA53-1</f>
        <v>0.19529572614948365</v>
      </c>
      <c r="BC54" s="522">
        <f t="shared" ref="BC54" si="181">BC53/BB53-1</f>
        <v>0.17303388731905067</v>
      </c>
      <c r="BD54" s="562">
        <f>BC54*0.8</f>
        <v>0.13842710985524054</v>
      </c>
      <c r="BE54" s="562">
        <f t="shared" ref="BE54:BJ54" si="182">BD54*0.8</f>
        <v>0.11074168788419243</v>
      </c>
      <c r="BF54" s="562">
        <f t="shared" si="182"/>
        <v>8.8593350307353949E-2</v>
      </c>
      <c r="BG54" s="562">
        <f t="shared" si="182"/>
        <v>7.0874680245883157E-2</v>
      </c>
      <c r="BH54" s="562">
        <f t="shared" si="182"/>
        <v>5.6699744196706529E-2</v>
      </c>
      <c r="BI54" s="562">
        <f t="shared" si="182"/>
        <v>4.5359795357365229E-2</v>
      </c>
      <c r="BJ54" s="562">
        <f t="shared" si="182"/>
        <v>3.6287836285892182E-2</v>
      </c>
      <c r="BL54" s="562">
        <v>0.35</v>
      </c>
      <c r="BM54" s="562">
        <v>0.35</v>
      </c>
      <c r="BN54" s="601">
        <v>0.15</v>
      </c>
      <c r="BO54" s="562">
        <v>0.35</v>
      </c>
    </row>
    <row r="55" spans="2:67" ht="12" customHeight="1" outlineLevel="1" x14ac:dyDescent="0.35"/>
    <row r="56" spans="2:67" ht="12" customHeight="1" outlineLevel="1" x14ac:dyDescent="0.35">
      <c r="B56" s="602" t="s">
        <v>482</v>
      </c>
      <c r="C56" s="572">
        <f t="shared" ref="C56:AG56" si="183">C58+C61</f>
        <v>1117</v>
      </c>
      <c r="D56" s="572">
        <f t="shared" si="183"/>
        <v>1176</v>
      </c>
      <c r="E56" s="572">
        <f t="shared" si="183"/>
        <v>1264</v>
      </c>
      <c r="F56" s="572">
        <f t="shared" si="183"/>
        <v>1294</v>
      </c>
      <c r="G56" s="572">
        <f t="shared" si="183"/>
        <v>1469</v>
      </c>
      <c r="H56" s="572">
        <f t="shared" si="183"/>
        <v>1617</v>
      </c>
      <c r="I56" s="572">
        <f t="shared" si="183"/>
        <v>1763</v>
      </c>
      <c r="J56" s="572">
        <f t="shared" si="183"/>
        <v>1637</v>
      </c>
      <c r="K56" s="572">
        <f t="shared" si="183"/>
        <v>1746</v>
      </c>
      <c r="L56" s="572">
        <f t="shared" si="183"/>
        <v>1836</v>
      </c>
      <c r="M56" s="572">
        <f t="shared" si="183"/>
        <v>2062</v>
      </c>
      <c r="N56" s="572">
        <f t="shared" si="183"/>
        <v>1985</v>
      </c>
      <c r="O56" s="572">
        <f t="shared" si="183"/>
        <v>2549</v>
      </c>
      <c r="P56" s="572">
        <f t="shared" si="183"/>
        <v>2844</v>
      </c>
      <c r="Q56" s="572">
        <f t="shared" si="183"/>
        <v>4006</v>
      </c>
      <c r="R56" s="572">
        <f t="shared" si="183"/>
        <v>3938</v>
      </c>
      <c r="S56" s="572">
        <f t="shared" si="183"/>
        <v>4247</v>
      </c>
      <c r="T56" s="572">
        <f t="shared" si="183"/>
        <v>4529</v>
      </c>
      <c r="U56" s="572">
        <f t="shared" si="183"/>
        <v>6399</v>
      </c>
      <c r="V56" s="572">
        <f t="shared" si="183"/>
        <v>5666</v>
      </c>
      <c r="W56" s="572">
        <f t="shared" si="183"/>
        <v>6153</v>
      </c>
      <c r="X56" s="572">
        <f t="shared" si="183"/>
        <v>6486</v>
      </c>
      <c r="Y56" s="572">
        <f t="shared" si="183"/>
        <v>8009</v>
      </c>
      <c r="Z56" s="572">
        <f t="shared" si="183"/>
        <v>7077</v>
      </c>
      <c r="AA56" s="572">
        <f t="shared" si="183"/>
        <v>7812</v>
      </c>
      <c r="AB56" s="572">
        <f t="shared" si="183"/>
        <v>8441</v>
      </c>
      <c r="AC56" s="572">
        <f t="shared" si="183"/>
        <v>9853</v>
      </c>
      <c r="AD56" s="572">
        <f t="shared" si="183"/>
        <v>7811</v>
      </c>
      <c r="AE56" s="572">
        <f t="shared" si="183"/>
        <v>10216</v>
      </c>
      <c r="AF56" s="572">
        <f>AF58+AF61</f>
        <v>11299</v>
      </c>
      <c r="AG56" s="572">
        <f t="shared" si="183"/>
        <v>12645.320146209537</v>
      </c>
      <c r="AH56" s="572">
        <f>AH58+AH61</f>
        <v>9930.808574973973</v>
      </c>
      <c r="AI56" s="572">
        <f t="shared" ref="AI56:AP56" si="184">AI58+AI61</f>
        <v>12797.196112679883</v>
      </c>
      <c r="AJ56" s="572">
        <f t="shared" si="184"/>
        <v>14142.562265410001</v>
      </c>
      <c r="AK56" s="572">
        <f t="shared" si="184"/>
        <v>15899.095491134676</v>
      </c>
      <c r="AL56" s="572">
        <f t="shared" si="184"/>
        <v>12266.094441581925</v>
      </c>
      <c r="AM56" s="572">
        <f t="shared" si="184"/>
        <v>15873.528108740162</v>
      </c>
      <c r="AN56" s="572">
        <f t="shared" si="184"/>
        <v>17534.9263987823</v>
      </c>
      <c r="AO56" s="572">
        <f t="shared" si="184"/>
        <v>19813.298704449095</v>
      </c>
      <c r="AP56" s="572">
        <f t="shared" si="184"/>
        <v>14970.063051977406</v>
      </c>
      <c r="AQ56" s="555" t="s">
        <v>458</v>
      </c>
      <c r="AT56" s="572">
        <f>C56+D56+E56+F56</f>
        <v>4851</v>
      </c>
      <c r="AU56" s="572">
        <f>G56+H56+I56+J56</f>
        <v>6486</v>
      </c>
      <c r="AV56" s="572">
        <f>K56+L56+M56+N56</f>
        <v>7629</v>
      </c>
      <c r="AW56" s="572">
        <f>O56+P56+Q56+R56</f>
        <v>13337</v>
      </c>
      <c r="AX56" s="572">
        <f>S56+T56+U56+V56</f>
        <v>20841</v>
      </c>
      <c r="AY56" s="572">
        <f>W56+X56+Y56+Z56</f>
        <v>27725</v>
      </c>
      <c r="AZ56" s="572">
        <f>AA56+AB56+AC56+AD56</f>
        <v>33917</v>
      </c>
      <c r="BA56" s="572">
        <f t="shared" ref="BA56:BJ56" si="185">BA58+BA61</f>
        <v>44091.128721183515</v>
      </c>
      <c r="BB56" s="572">
        <f t="shared" si="185"/>
        <v>55104.948310806481</v>
      </c>
      <c r="BC56" s="572">
        <f t="shared" si="185"/>
        <v>68191.81626394896</v>
      </c>
      <c r="BD56" s="572">
        <f t="shared" si="185"/>
        <v>79902.80114954435</v>
      </c>
      <c r="BE56" s="572">
        <f t="shared" si="185"/>
        <v>89811.054322923213</v>
      </c>
      <c r="BF56" s="572">
        <f t="shared" si="185"/>
        <v>97861.588366728814</v>
      </c>
      <c r="BG56" s="572">
        <f t="shared" si="185"/>
        <v>104220.43670386641</v>
      </c>
      <c r="BH56" s="572">
        <f t="shared" si="185"/>
        <v>109148.35451763985</v>
      </c>
      <c r="BI56" s="572">
        <f t="shared" si="185"/>
        <v>112920.83821833442</v>
      </c>
      <c r="BJ56" s="572">
        <f t="shared" si="185"/>
        <v>115787.64200381447</v>
      </c>
      <c r="BL56" s="572">
        <v>8847.1200000000008</v>
      </c>
      <c r="BM56" s="572">
        <v>10389.35</v>
      </c>
      <c r="BN56" s="572">
        <v>8272.6</v>
      </c>
      <c r="BO56" s="572">
        <v>9857.6979624655996</v>
      </c>
    </row>
    <row r="57" spans="2:67" ht="12" customHeight="1" outlineLevel="1" x14ac:dyDescent="0.35">
      <c r="B57" s="602"/>
      <c r="C57" s="572"/>
      <c r="D57" s="572"/>
      <c r="E57" s="572"/>
      <c r="F57" s="572"/>
      <c r="G57" s="572"/>
      <c r="H57" s="572"/>
      <c r="I57" s="572"/>
      <c r="J57" s="572"/>
      <c r="K57" s="572"/>
      <c r="L57" s="572"/>
      <c r="M57" s="572"/>
      <c r="N57" s="572"/>
      <c r="O57" s="572"/>
      <c r="P57" s="572"/>
      <c r="Q57" s="572"/>
      <c r="R57" s="572"/>
      <c r="S57" s="572"/>
      <c r="T57" s="572"/>
      <c r="U57" s="572"/>
      <c r="V57" s="572"/>
      <c r="W57" s="572"/>
      <c r="X57" s="572"/>
      <c r="Y57" s="572"/>
      <c r="Z57" s="572"/>
      <c r="AA57" s="572"/>
      <c r="AB57" s="572"/>
      <c r="AC57" s="572"/>
      <c r="AD57" s="572"/>
      <c r="AE57" s="572"/>
      <c r="AF57" s="572"/>
      <c r="AG57" s="572"/>
      <c r="AH57" s="572"/>
      <c r="AI57" s="572"/>
      <c r="AJ57" s="572"/>
      <c r="AK57" s="572"/>
      <c r="AL57" s="572"/>
      <c r="AM57" s="572"/>
      <c r="AN57" s="572"/>
      <c r="AO57" s="572"/>
      <c r="AP57" s="572"/>
      <c r="AT57" s="572"/>
      <c r="AU57" s="572"/>
      <c r="AV57" s="572"/>
      <c r="AW57" s="572"/>
      <c r="AX57" s="572"/>
      <c r="AY57" s="572"/>
      <c r="AZ57" s="572"/>
      <c r="BA57" s="572"/>
      <c r="BB57" s="572"/>
      <c r="BC57" s="572"/>
      <c r="BD57" s="572"/>
      <c r="BE57" s="572"/>
      <c r="BF57" s="572"/>
      <c r="BG57" s="572"/>
      <c r="BH57" s="572"/>
      <c r="BI57" s="572"/>
      <c r="BJ57" s="572"/>
      <c r="BL57" s="572"/>
      <c r="BM57" s="572"/>
      <c r="BN57" s="572"/>
      <c r="BO57" s="572"/>
    </row>
    <row r="58" spans="2:67" ht="12" customHeight="1" outlineLevel="1" x14ac:dyDescent="0.35">
      <c r="B58" s="586" t="s">
        <v>483</v>
      </c>
      <c r="C58" s="524">
        <v>938</v>
      </c>
      <c r="D58" s="524">
        <v>966</v>
      </c>
      <c r="E58" s="524">
        <v>1000</v>
      </c>
      <c r="F58" s="524">
        <v>1009</v>
      </c>
      <c r="G58" s="524">
        <v>1111</v>
      </c>
      <c r="H58" s="524">
        <v>1198</v>
      </c>
      <c r="I58" s="524">
        <v>1209</v>
      </c>
      <c r="J58" s="524">
        <v>1200</v>
      </c>
      <c r="K58" s="524">
        <v>1245</v>
      </c>
      <c r="L58" s="524">
        <v>1355</v>
      </c>
      <c r="M58" s="524">
        <v>1430</v>
      </c>
      <c r="N58" s="524">
        <v>1395</v>
      </c>
      <c r="O58" s="524">
        <v>1432</v>
      </c>
      <c r="P58" s="524">
        <v>1506</v>
      </c>
      <c r="Q58" s="524">
        <v>1554</v>
      </c>
      <c r="R58" s="524">
        <v>1509</v>
      </c>
      <c r="S58" s="524">
        <v>1609</v>
      </c>
      <c r="T58" s="524">
        <v>1651</v>
      </c>
      <c r="U58" s="524">
        <v>1666</v>
      </c>
      <c r="V58" s="524">
        <v>1699</v>
      </c>
      <c r="W58" s="524">
        <v>1837</v>
      </c>
      <c r="X58" s="587">
        <v>2022</v>
      </c>
      <c r="Y58" s="524">
        <v>2175</v>
      </c>
      <c r="Z58" s="587">
        <v>2133</v>
      </c>
      <c r="AA58" s="524">
        <v>2245</v>
      </c>
      <c r="AB58" s="524">
        <v>2434</v>
      </c>
      <c r="AC58" s="524">
        <v>2457</v>
      </c>
      <c r="AD58" s="524">
        <v>2458</v>
      </c>
      <c r="AE58" s="524">
        <v>3204</v>
      </c>
      <c r="AF58" s="524">
        <v>3510</v>
      </c>
      <c r="AG58" s="524">
        <f>AC58*(1+AG59)</f>
        <v>2948.4</v>
      </c>
      <c r="AH58" s="524">
        <f>AD58*(1+AH59)</f>
        <v>3072.5</v>
      </c>
      <c r="AI58" s="524">
        <f t="shared" ref="AI58:AN58" si="186">AE58*(1+AI59)</f>
        <v>3844.7999999999997</v>
      </c>
      <c r="AJ58" s="524">
        <f t="shared" si="186"/>
        <v>4212</v>
      </c>
      <c r="AK58" s="524">
        <f t="shared" si="186"/>
        <v>3538.08</v>
      </c>
      <c r="AL58" s="524">
        <f t="shared" si="186"/>
        <v>3625.5499999999997</v>
      </c>
      <c r="AM58" s="524">
        <f t="shared" si="186"/>
        <v>4536.8639999999996</v>
      </c>
      <c r="AN58" s="524">
        <f t="shared" si="186"/>
        <v>4970.16</v>
      </c>
      <c r="AO58" s="524">
        <f>AK58*(1+AO59)</f>
        <v>4174.9344000000001</v>
      </c>
      <c r="AP58" s="524">
        <f>AL58*(1+AP59)</f>
        <v>4169.3824999999997</v>
      </c>
      <c r="AQ58" s="527" t="s">
        <v>458</v>
      </c>
      <c r="AR58" s="508" t="s">
        <v>465</v>
      </c>
      <c r="AS58" s="509"/>
      <c r="AT58" s="524">
        <f>C58+D58+E58+F58</f>
        <v>3913</v>
      </c>
      <c r="AU58" s="524">
        <f>G58+H58+I58+J58</f>
        <v>4718</v>
      </c>
      <c r="AV58" s="524">
        <f>K58+L58+M58+N58</f>
        <v>5425</v>
      </c>
      <c r="AW58" s="524">
        <f>O58+P58+Q58+R58</f>
        <v>6001</v>
      </c>
      <c r="AX58" s="524">
        <f>S58+T58+U58+V58</f>
        <v>6625</v>
      </c>
      <c r="AY58" s="572">
        <f>W58+X58+Y58+Z58</f>
        <v>8167</v>
      </c>
      <c r="AZ58" s="524">
        <f>AA58+AB58+AC58+AD58</f>
        <v>9594</v>
      </c>
      <c r="BA58" s="524">
        <f>SUM(AE58:AH58)</f>
        <v>12734.9</v>
      </c>
      <c r="BB58" s="524">
        <f>SUM(AI58:AL58)</f>
        <v>15220.429999999998</v>
      </c>
      <c r="BC58" s="524">
        <f>SUM(AM58:AP58)</f>
        <v>17851.340899999999</v>
      </c>
      <c r="BD58" s="524">
        <f t="shared" ref="BD58:BJ58" si="187">BC58*(1+BD59)</f>
        <v>20319.880217400405</v>
      </c>
      <c r="BE58" s="524">
        <f t="shared" si="187"/>
        <v>22567.797548541381</v>
      </c>
      <c r="BF58" s="524">
        <f t="shared" si="187"/>
        <v>24565.074803812018</v>
      </c>
      <c r="BG58" s="524">
        <f t="shared" si="187"/>
        <v>26304.305761521369</v>
      </c>
      <c r="BH58" s="524">
        <f t="shared" si="187"/>
        <v>27794.201909344734</v>
      </c>
      <c r="BI58" s="524">
        <f t="shared" si="187"/>
        <v>29053.62992031726</v>
      </c>
      <c r="BJ58" s="524">
        <f t="shared" si="187"/>
        <v>30106.826711832968</v>
      </c>
      <c r="BL58" s="524">
        <v>2446.62</v>
      </c>
      <c r="BM58" s="524">
        <v>2631.75</v>
      </c>
      <c r="BN58" s="524">
        <v>2357.25</v>
      </c>
      <c r="BO58" s="524">
        <v>2920.7999999999997</v>
      </c>
    </row>
    <row r="59" spans="2:67" s="522" customFormat="1" ht="12" customHeight="1" outlineLevel="1" x14ac:dyDescent="0.35">
      <c r="B59" s="530" t="s">
        <v>459</v>
      </c>
      <c r="G59" s="522">
        <f>G58/C58-1</f>
        <v>0.18443496801705761</v>
      </c>
      <c r="H59" s="522">
        <f t="shared" ref="H59:AF59" si="188">H58/D58-1</f>
        <v>0.24016563146997938</v>
      </c>
      <c r="I59" s="522">
        <f t="shared" si="188"/>
        <v>0.20900000000000007</v>
      </c>
      <c r="J59" s="522">
        <f t="shared" si="188"/>
        <v>0.18929633300297333</v>
      </c>
      <c r="K59" s="522">
        <f t="shared" si="188"/>
        <v>0.12061206120612056</v>
      </c>
      <c r="L59" s="522">
        <f t="shared" si="188"/>
        <v>0.13105175292153581</v>
      </c>
      <c r="M59" s="522">
        <f t="shared" si="188"/>
        <v>0.18279569892473124</v>
      </c>
      <c r="N59" s="522">
        <f t="shared" si="188"/>
        <v>0.16250000000000009</v>
      </c>
      <c r="O59" s="522">
        <f t="shared" si="188"/>
        <v>0.15020080321285145</v>
      </c>
      <c r="P59" s="522">
        <f t="shared" si="188"/>
        <v>0.11143911439114396</v>
      </c>
      <c r="Q59" s="522">
        <f t="shared" si="188"/>
        <v>8.6713286713286708E-2</v>
      </c>
      <c r="R59" s="522">
        <f t="shared" si="188"/>
        <v>8.1720430107526942E-2</v>
      </c>
      <c r="S59" s="522">
        <f t="shared" si="188"/>
        <v>0.12360335195530725</v>
      </c>
      <c r="T59" s="522">
        <f t="shared" si="188"/>
        <v>9.6281540504647989E-2</v>
      </c>
      <c r="U59" s="522">
        <f t="shared" si="188"/>
        <v>7.2072072072072002E-2</v>
      </c>
      <c r="V59" s="522">
        <f t="shared" si="188"/>
        <v>0.12591119946984763</v>
      </c>
      <c r="W59" s="522">
        <f t="shared" si="188"/>
        <v>0.14170292106898685</v>
      </c>
      <c r="X59" s="522">
        <f t="shared" si="188"/>
        <v>0.2247122955784373</v>
      </c>
      <c r="Y59" s="522">
        <f t="shared" si="188"/>
        <v>0.30552220888355341</v>
      </c>
      <c r="Z59" s="522">
        <f t="shared" si="188"/>
        <v>0.25544437904649797</v>
      </c>
      <c r="AA59" s="522">
        <f t="shared" si="188"/>
        <v>0.22210125204137188</v>
      </c>
      <c r="AB59" s="522">
        <f t="shared" si="188"/>
        <v>0.20375865479723054</v>
      </c>
      <c r="AC59" s="522">
        <f t="shared" si="188"/>
        <v>0.1296551724137931</v>
      </c>
      <c r="AD59" s="522">
        <f t="shared" si="188"/>
        <v>0.15236755743084851</v>
      </c>
      <c r="AE59" s="522">
        <f t="shared" si="188"/>
        <v>0.42717149220489969</v>
      </c>
      <c r="AF59" s="522">
        <f t="shared" si="188"/>
        <v>0.44207066557107644</v>
      </c>
      <c r="AG59" s="562">
        <v>0.2</v>
      </c>
      <c r="AH59" s="562">
        <v>0.25</v>
      </c>
      <c r="AI59" s="562">
        <v>0.2</v>
      </c>
      <c r="AJ59" s="562">
        <v>0.2</v>
      </c>
      <c r="AK59" s="562">
        <v>0.2</v>
      </c>
      <c r="AL59" s="562">
        <v>0.18</v>
      </c>
      <c r="AM59" s="562">
        <v>0.18</v>
      </c>
      <c r="AN59" s="562">
        <v>0.18</v>
      </c>
      <c r="AO59" s="562">
        <v>0.18</v>
      </c>
      <c r="AP59" s="562">
        <v>0.15</v>
      </c>
      <c r="AQ59" s="567"/>
      <c r="AR59" s="520"/>
      <c r="AS59" s="521"/>
      <c r="AU59" s="522">
        <f t="shared" ref="AU59:AZ59" si="189">AU58/AT58-1</f>
        <v>0.20572450805008935</v>
      </c>
      <c r="AV59" s="522">
        <f t="shared" si="189"/>
        <v>0.14985163204747765</v>
      </c>
      <c r="AW59" s="522">
        <f t="shared" si="189"/>
        <v>0.10617511520737333</v>
      </c>
      <c r="AX59" s="522">
        <f>AX58/AW58-1</f>
        <v>0.10398266955507407</v>
      </c>
      <c r="AY59" s="522">
        <f t="shared" si="189"/>
        <v>0.23275471698113215</v>
      </c>
      <c r="AZ59" s="522">
        <f t="shared" si="189"/>
        <v>0.17472756214032081</v>
      </c>
      <c r="BA59" s="522">
        <f t="shared" ref="BA59" si="190">BA58/AZ58-1</f>
        <v>0.32738169689389207</v>
      </c>
      <c r="BB59" s="522">
        <f t="shared" ref="BB59" si="191">BB58/BA58-1</f>
        <v>0.19517467746115003</v>
      </c>
      <c r="BC59" s="522">
        <f t="shared" ref="BC59" si="192">BC58/BB58-1</f>
        <v>0.17285391411412165</v>
      </c>
      <c r="BD59" s="562">
        <f>BC59*0.8</f>
        <v>0.13828313129129732</v>
      </c>
      <c r="BE59" s="562">
        <f t="shared" ref="BE59:BJ59" si="193">BD59*0.8</f>
        <v>0.11062650503303786</v>
      </c>
      <c r="BF59" s="562">
        <f t="shared" si="193"/>
        <v>8.8501204026430302E-2</v>
      </c>
      <c r="BG59" s="562">
        <f t="shared" si="193"/>
        <v>7.080096322114425E-2</v>
      </c>
      <c r="BH59" s="562">
        <f t="shared" si="193"/>
        <v>5.6640770576915404E-2</v>
      </c>
      <c r="BI59" s="562">
        <f t="shared" si="193"/>
        <v>4.5312616461532326E-2</v>
      </c>
      <c r="BJ59" s="562">
        <f t="shared" si="193"/>
        <v>3.625009316922586E-2</v>
      </c>
      <c r="BL59" s="562">
        <v>0.21</v>
      </c>
      <c r="BM59" s="562">
        <v>0.21</v>
      </c>
      <c r="BN59" s="601">
        <v>0.05</v>
      </c>
      <c r="BO59" s="562">
        <v>0.2</v>
      </c>
    </row>
    <row r="60" spans="2:67" ht="12" customHeight="1" outlineLevel="1" x14ac:dyDescent="0.35">
      <c r="B60" s="603"/>
      <c r="C60" s="524"/>
      <c r="D60" s="524"/>
      <c r="E60" s="524"/>
      <c r="F60" s="524"/>
      <c r="G60" s="524"/>
      <c r="H60" s="524"/>
      <c r="I60" s="524"/>
      <c r="J60" s="524"/>
      <c r="K60" s="524"/>
      <c r="L60" s="524"/>
      <c r="M60" s="524"/>
      <c r="N60" s="524"/>
      <c r="O60" s="524"/>
      <c r="P60" s="524"/>
      <c r="Q60" s="524"/>
      <c r="R60" s="524"/>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27"/>
      <c r="AR60" s="528"/>
      <c r="AS60" s="529"/>
      <c r="AT60" s="524"/>
      <c r="AU60" s="524"/>
      <c r="AV60" s="524"/>
      <c r="AW60" s="524"/>
      <c r="AX60" s="524"/>
      <c r="BL60" s="587"/>
      <c r="BM60" s="587"/>
      <c r="BN60" s="587"/>
      <c r="BO60" s="587"/>
    </row>
    <row r="61" spans="2:67" ht="12" customHeight="1" outlineLevel="1" x14ac:dyDescent="0.35">
      <c r="B61" s="586" t="s">
        <v>484</v>
      </c>
      <c r="C61" s="524">
        <f>C64+C66</f>
        <v>179</v>
      </c>
      <c r="D61" s="524">
        <f t="shared" ref="D61:AE61" si="194">D64+D66</f>
        <v>210</v>
      </c>
      <c r="E61" s="524">
        <f t="shared" si="194"/>
        <v>264</v>
      </c>
      <c r="F61" s="524">
        <f t="shared" si="194"/>
        <v>285</v>
      </c>
      <c r="G61" s="524">
        <f t="shared" si="194"/>
        <v>358</v>
      </c>
      <c r="H61" s="524">
        <f t="shared" si="194"/>
        <v>419</v>
      </c>
      <c r="I61" s="524">
        <f t="shared" si="194"/>
        <v>554</v>
      </c>
      <c r="J61" s="524">
        <f t="shared" si="194"/>
        <v>437</v>
      </c>
      <c r="K61" s="524">
        <f t="shared" si="194"/>
        <v>501</v>
      </c>
      <c r="L61" s="524">
        <f t="shared" si="194"/>
        <v>481</v>
      </c>
      <c r="M61" s="524">
        <f t="shared" si="194"/>
        <v>632</v>
      </c>
      <c r="N61" s="524">
        <f t="shared" si="194"/>
        <v>590</v>
      </c>
      <c r="O61" s="524">
        <f t="shared" si="194"/>
        <v>1117</v>
      </c>
      <c r="P61" s="524">
        <f t="shared" si="194"/>
        <v>1338</v>
      </c>
      <c r="Q61" s="524">
        <f t="shared" si="194"/>
        <v>2452</v>
      </c>
      <c r="R61" s="524">
        <f t="shared" si="194"/>
        <v>2429</v>
      </c>
      <c r="S61" s="524">
        <f t="shared" si="194"/>
        <v>2638</v>
      </c>
      <c r="T61" s="524">
        <f t="shared" si="194"/>
        <v>2878</v>
      </c>
      <c r="U61" s="524">
        <f t="shared" si="194"/>
        <v>4733</v>
      </c>
      <c r="V61" s="524">
        <f t="shared" si="194"/>
        <v>3967</v>
      </c>
      <c r="W61" s="524">
        <f t="shared" si="194"/>
        <v>4316</v>
      </c>
      <c r="X61" s="524">
        <f t="shared" si="194"/>
        <v>4464</v>
      </c>
      <c r="Y61" s="524">
        <f t="shared" si="194"/>
        <v>5834</v>
      </c>
      <c r="Z61" s="524">
        <f t="shared" si="194"/>
        <v>4944</v>
      </c>
      <c r="AA61" s="524">
        <f t="shared" si="194"/>
        <v>5567</v>
      </c>
      <c r="AB61" s="524">
        <f t="shared" si="194"/>
        <v>6007</v>
      </c>
      <c r="AC61" s="524">
        <f t="shared" si="194"/>
        <v>7396</v>
      </c>
      <c r="AD61" s="524">
        <f>AD64+AD66</f>
        <v>5353</v>
      </c>
      <c r="AE61" s="524">
        <f t="shared" si="194"/>
        <v>7012</v>
      </c>
      <c r="AF61" s="524">
        <v>7789</v>
      </c>
      <c r="AG61" s="524">
        <f>SUM(AG64,AG66)</f>
        <v>9696.9201462095371</v>
      </c>
      <c r="AH61" s="524">
        <f>SUM(AH64,AH66)</f>
        <v>6858.308574973973</v>
      </c>
      <c r="AI61" s="524">
        <f t="shared" ref="AI61:AP61" si="195">SUM(AI64,AI66)</f>
        <v>8952.396112679884</v>
      </c>
      <c r="AJ61" s="524">
        <f t="shared" si="195"/>
        <v>9930.5622654100007</v>
      </c>
      <c r="AK61" s="524">
        <f t="shared" si="195"/>
        <v>12361.015491134676</v>
      </c>
      <c r="AL61" s="524">
        <f t="shared" si="195"/>
        <v>8640.5444415819256</v>
      </c>
      <c r="AM61" s="524">
        <f t="shared" si="195"/>
        <v>11336.664108740162</v>
      </c>
      <c r="AN61" s="524">
        <f t="shared" si="195"/>
        <v>12564.7663987823</v>
      </c>
      <c r="AO61" s="524">
        <f t="shared" si="195"/>
        <v>15638.364304449095</v>
      </c>
      <c r="AP61" s="524">
        <f t="shared" si="195"/>
        <v>10800.680551977406</v>
      </c>
      <c r="AQ61" s="527" t="s">
        <v>458</v>
      </c>
      <c r="AR61" s="508" t="s">
        <v>465</v>
      </c>
      <c r="AS61" s="509"/>
      <c r="AT61" s="524">
        <f>C61+D61+E61+F61</f>
        <v>938</v>
      </c>
      <c r="AU61" s="524">
        <f>G61+H61+I61+J61</f>
        <v>1768</v>
      </c>
      <c r="AV61" s="524">
        <f>K61+L61+M61+N61</f>
        <v>2204</v>
      </c>
      <c r="AW61" s="524">
        <f>O61+P61+Q61+R61</f>
        <v>7336</v>
      </c>
      <c r="AX61" s="524">
        <f>S61+T61+U61+V61</f>
        <v>14216</v>
      </c>
      <c r="AY61" s="524">
        <f>W61+X61+Y61+Z61</f>
        <v>19558</v>
      </c>
      <c r="AZ61" s="524">
        <f>AA61+AB61+AC61+AD61</f>
        <v>24323</v>
      </c>
      <c r="BA61" s="524">
        <f>BA64+BA66</f>
        <v>31356.228721183514</v>
      </c>
      <c r="BB61" s="524">
        <f>BB64+BB66</f>
        <v>39884.518310806481</v>
      </c>
      <c r="BC61" s="524">
        <f t="shared" ref="BC61:BJ61" si="196">BC64+BC66</f>
        <v>50340.475363948965</v>
      </c>
      <c r="BD61" s="524">
        <f t="shared" si="196"/>
        <v>59582.920932143948</v>
      </c>
      <c r="BE61" s="524">
        <f t="shared" si="196"/>
        <v>67243.256774381836</v>
      </c>
      <c r="BF61" s="524">
        <f t="shared" si="196"/>
        <v>73296.513562916793</v>
      </c>
      <c r="BG61" s="524">
        <f t="shared" si="196"/>
        <v>77916.130942345044</v>
      </c>
      <c r="BH61" s="524">
        <f t="shared" si="196"/>
        <v>81354.152608295117</v>
      </c>
      <c r="BI61" s="524">
        <f t="shared" si="196"/>
        <v>83867.208298017169</v>
      </c>
      <c r="BJ61" s="524">
        <f t="shared" si="196"/>
        <v>85680.815291981504</v>
      </c>
      <c r="BL61" s="524">
        <v>6400.5</v>
      </c>
      <c r="BM61" s="524">
        <v>7757.6</v>
      </c>
      <c r="BN61" s="524">
        <v>5915.35</v>
      </c>
      <c r="BO61" s="524">
        <v>6936.8979624655994</v>
      </c>
    </row>
    <row r="62" spans="2:67" s="522" customFormat="1" ht="12" customHeight="1" outlineLevel="1" x14ac:dyDescent="0.35">
      <c r="B62" s="530" t="s">
        <v>459</v>
      </c>
      <c r="G62" s="522">
        <f t="shared" ref="G62:AG62" si="197">G61/C61-1</f>
        <v>1</v>
      </c>
      <c r="H62" s="522">
        <f t="shared" si="197"/>
        <v>0.99523809523809526</v>
      </c>
      <c r="I62" s="522">
        <f t="shared" si="197"/>
        <v>1.0984848484848486</v>
      </c>
      <c r="J62" s="522">
        <f t="shared" si="197"/>
        <v>0.53333333333333344</v>
      </c>
      <c r="K62" s="522">
        <f>K61/G61-1</f>
        <v>0.3994413407821229</v>
      </c>
      <c r="L62" s="522">
        <f t="shared" si="197"/>
        <v>0.14797136038186154</v>
      </c>
      <c r="M62" s="522">
        <f t="shared" si="197"/>
        <v>0.1407942238267148</v>
      </c>
      <c r="N62" s="522">
        <f t="shared" si="197"/>
        <v>0.35011441647597263</v>
      </c>
      <c r="O62" s="522">
        <f t="shared" si="197"/>
        <v>1.2295409181636727</v>
      </c>
      <c r="P62" s="522">
        <f t="shared" si="197"/>
        <v>1.7817047817047817</v>
      </c>
      <c r="Q62" s="522">
        <f t="shared" si="197"/>
        <v>2.8797468354430378</v>
      </c>
      <c r="R62" s="522">
        <f t="shared" si="197"/>
        <v>3.1169491525423725</v>
      </c>
      <c r="S62" s="522">
        <f t="shared" si="197"/>
        <v>1.3616830796777082</v>
      </c>
      <c r="T62" s="522">
        <f t="shared" si="197"/>
        <v>1.1509715994020926</v>
      </c>
      <c r="U62" s="522">
        <f t="shared" si="197"/>
        <v>0.93026101141924955</v>
      </c>
      <c r="V62" s="522">
        <f t="shared" si="197"/>
        <v>0.63318237958007417</v>
      </c>
      <c r="W62" s="522">
        <f t="shared" si="197"/>
        <v>0.6360879454131918</v>
      </c>
      <c r="X62" s="568">
        <f t="shared" si="197"/>
        <v>0.55107713690062554</v>
      </c>
      <c r="Y62" s="522">
        <f t="shared" si="197"/>
        <v>0.23262201563490392</v>
      </c>
      <c r="Z62" s="522">
        <f t="shared" si="197"/>
        <v>0.24628182505671803</v>
      </c>
      <c r="AA62" s="522">
        <f t="shared" si="197"/>
        <v>0.28985171455050973</v>
      </c>
      <c r="AB62" s="522">
        <f t="shared" si="197"/>
        <v>0.34565412186379918</v>
      </c>
      <c r="AC62" s="522">
        <f t="shared" si="197"/>
        <v>0.2677408296194721</v>
      </c>
      <c r="AD62" s="522">
        <f t="shared" si="197"/>
        <v>8.2726537216828433E-2</v>
      </c>
      <c r="AE62" s="522">
        <f t="shared" si="197"/>
        <v>0.25956529549128793</v>
      </c>
      <c r="AF62" s="522">
        <f t="shared" si="197"/>
        <v>0.29665390377892464</v>
      </c>
      <c r="AG62" s="522">
        <f t="shared" si="197"/>
        <v>0.31110331884931552</v>
      </c>
      <c r="AH62" s="522">
        <f>AH61/AD61-1</f>
        <v>0.28120840182588691</v>
      </c>
      <c r="AI62" s="522">
        <f t="shared" ref="AI62:AP62" si="198">AI61/AE61-1</f>
        <v>0.27672505885337761</v>
      </c>
      <c r="AJ62" s="522">
        <f t="shared" si="198"/>
        <v>0.27494701058030557</v>
      </c>
      <c r="AK62" s="522">
        <f t="shared" si="198"/>
        <v>0.27473623632618205</v>
      </c>
      <c r="AL62" s="522">
        <f t="shared" si="198"/>
        <v>0.25986521999190093</v>
      </c>
      <c r="AM62" s="522">
        <f t="shared" si="198"/>
        <v>0.26632735706179012</v>
      </c>
      <c r="AN62" s="522">
        <f t="shared" si="198"/>
        <v>0.2652623348979668</v>
      </c>
      <c r="AO62" s="522">
        <f t="shared" si="198"/>
        <v>0.26513588755429796</v>
      </c>
      <c r="AP62" s="522">
        <f t="shared" si="198"/>
        <v>0.25</v>
      </c>
      <c r="AQ62" s="567"/>
      <c r="AR62" s="520"/>
      <c r="AS62" s="521"/>
      <c r="AU62" s="522">
        <f>AU61/AT61-1</f>
        <v>0.88486140724946694</v>
      </c>
      <c r="AV62" s="522">
        <f>AV61/AU61-1</f>
        <v>0.24660633484162897</v>
      </c>
      <c r="AW62" s="522">
        <f>AW61/AV61-1</f>
        <v>2.3284936479128855</v>
      </c>
      <c r="AX62" s="522">
        <f>AX61/AW61-1</f>
        <v>0.93784078516902936</v>
      </c>
      <c r="AY62" s="522">
        <f>AY61/AX61-1</f>
        <v>0.3757737760270119</v>
      </c>
      <c r="AZ62" s="522">
        <f t="shared" ref="AZ62:BB62" si="199">AZ61/AY61-1</f>
        <v>0.24363431843746808</v>
      </c>
      <c r="BA62" s="522">
        <f t="shared" si="199"/>
        <v>0.28915959055969709</v>
      </c>
      <c r="BB62" s="522">
        <f t="shared" si="199"/>
        <v>0.27198071762569653</v>
      </c>
      <c r="BC62" s="522">
        <f t="shared" ref="BC62" si="200">BC61/BB61-1</f>
        <v>0.2621557811395081</v>
      </c>
      <c r="BD62" s="522">
        <f t="shared" ref="BD62" si="201">BD61/BC61-1</f>
        <v>0.18359869471582124</v>
      </c>
      <c r="BE62" s="522">
        <f t="shared" ref="BE62" si="202">BE61/BD61-1</f>
        <v>0.1285659669313941</v>
      </c>
      <c r="BF62" s="522">
        <f t="shared" ref="BF62" si="203">BF61/BE61-1</f>
        <v>9.0020279785751001E-2</v>
      </c>
      <c r="BG62" s="522">
        <f t="shared" ref="BG62" si="204">BG61/BF61-1</f>
        <v>6.3026427245585603E-2</v>
      </c>
      <c r="BH62" s="522">
        <f t="shared" ref="BH62" si="205">BH61/BG61-1</f>
        <v>4.4124645620482239E-2</v>
      </c>
      <c r="BI62" s="522">
        <f t="shared" ref="BI62" si="206">BI61/BH61-1</f>
        <v>3.0890318553521645E-2</v>
      </c>
      <c r="BJ62" s="522">
        <f t="shared" ref="BJ62" si="207">BJ61/BI61-1</f>
        <v>2.1624745007843726E-2</v>
      </c>
      <c r="BL62" s="562">
        <v>0.37</v>
      </c>
      <c r="BM62" s="562">
        <v>0.32972231744943398</v>
      </c>
      <c r="BN62" s="522">
        <v>6.2574097359439501E-2</v>
      </c>
      <c r="BO62" s="522">
        <v>0.15480239095481929</v>
      </c>
    </row>
    <row r="63" spans="2:67" s="522" customFormat="1" ht="12" customHeight="1" outlineLevel="1" x14ac:dyDescent="0.35">
      <c r="B63" s="563"/>
      <c r="S63" s="524"/>
      <c r="X63" s="568"/>
      <c r="AA63" s="562"/>
      <c r="AB63" s="562"/>
      <c r="AC63" s="562"/>
      <c r="AD63" s="562"/>
      <c r="AE63" s="562"/>
      <c r="AF63" s="562"/>
      <c r="AG63" s="562"/>
      <c r="AH63" s="562"/>
      <c r="AI63" s="562"/>
      <c r="AJ63" s="562"/>
      <c r="AK63" s="562"/>
      <c r="AL63" s="562"/>
      <c r="AM63" s="562"/>
      <c r="AN63" s="562"/>
      <c r="AO63" s="562"/>
      <c r="AP63" s="562"/>
      <c r="AQ63" s="567"/>
      <c r="AR63" s="520"/>
      <c r="AS63" s="521"/>
      <c r="BL63" s="562"/>
      <c r="BM63" s="562"/>
      <c r="BN63" s="562"/>
      <c r="BO63" s="562"/>
    </row>
    <row r="64" spans="2:67" ht="12" customHeight="1" outlineLevel="1" x14ac:dyDescent="0.35">
      <c r="B64" s="603" t="s">
        <v>485</v>
      </c>
      <c r="C64" s="524">
        <v>179</v>
      </c>
      <c r="D64" s="524">
        <v>210</v>
      </c>
      <c r="E64" s="524">
        <v>264</v>
      </c>
      <c r="F64" s="524">
        <v>285</v>
      </c>
      <c r="G64" s="524">
        <v>358</v>
      </c>
      <c r="H64" s="524">
        <v>419</v>
      </c>
      <c r="I64" s="524">
        <v>554</v>
      </c>
      <c r="J64" s="524">
        <v>437</v>
      </c>
      <c r="K64" s="524">
        <v>501</v>
      </c>
      <c r="L64" s="524">
        <v>481</v>
      </c>
      <c r="M64" s="524">
        <v>632</v>
      </c>
      <c r="N64" s="524">
        <v>590</v>
      </c>
      <c r="O64" s="524">
        <v>351.43152584615382</v>
      </c>
      <c r="P64" s="524">
        <v>450.75823999999989</v>
      </c>
      <c r="Q64" s="524">
        <v>1152.5099999999948</v>
      </c>
      <c r="R64" s="524">
        <v>721.53445756480414</v>
      </c>
      <c r="S64" s="524">
        <v>1183.4198991076923</v>
      </c>
      <c r="T64" s="524">
        <v>1280.9648319999997</v>
      </c>
      <c r="U64" s="524">
        <v>2393.9179999999906</v>
      </c>
      <c r="V64" s="524">
        <v>1071.1373765553762</v>
      </c>
      <c r="W64" s="524">
        <v>1843.2138284830771</v>
      </c>
      <c r="X64" s="524">
        <v>1749.0402143999995</v>
      </c>
      <c r="Y64" s="524">
        <v>2698.2470535971529</v>
      </c>
      <c r="Z64" s="524">
        <v>2163.9718814931612</v>
      </c>
      <c r="AA64" s="587">
        <v>2846.9352113313848</v>
      </c>
      <c r="AB64" s="587">
        <v>2884.7962465599999</v>
      </c>
      <c r="AC64" s="587">
        <v>3476.3088169964412</v>
      </c>
      <c r="AD64" s="587">
        <v>1670.5857497397301</v>
      </c>
      <c r="AE64" s="587">
        <v>3747.9222535976619</v>
      </c>
      <c r="AF64" s="587">
        <f>AF61-AF66</f>
        <v>3886.2453081999997</v>
      </c>
      <c r="AG64" s="587">
        <f t="shared" ref="AG64:AH64" si="208">AC64*(1+AG65)</f>
        <v>4797.3061674550881</v>
      </c>
      <c r="AH64" s="587">
        <f t="shared" si="208"/>
        <v>2255.2907621486356</v>
      </c>
      <c r="AI64" s="587">
        <f t="shared" ref="AI64" si="209">AE64*(1+AI65)</f>
        <v>4872.2989296769611</v>
      </c>
      <c r="AJ64" s="587">
        <f t="shared" ref="AJ64" si="210">AF64*(1+AJ65)</f>
        <v>5052.1189006599998</v>
      </c>
      <c r="AK64" s="587">
        <f t="shared" ref="AK64" si="211">AG64*(1+AK65)</f>
        <v>6236.4980176916151</v>
      </c>
      <c r="AL64" s="587">
        <f t="shared" ref="AL64" si="212">AH64*(1+AL65)</f>
        <v>2886.7721755502535</v>
      </c>
      <c r="AM64" s="587">
        <f t="shared" ref="AM64" si="213">AI64*(1+AM65)</f>
        <v>6236.5426299865103</v>
      </c>
      <c r="AN64" s="587">
        <f t="shared" ref="AN64" si="214">AJ64*(1+AN65)</f>
        <v>6466.7121928447996</v>
      </c>
      <c r="AO64" s="587">
        <f t="shared" ref="AO64" si="215">AK64*(1+AO65)</f>
        <v>7982.7174626452679</v>
      </c>
      <c r="AP64" s="587">
        <f t="shared" ref="AP64" si="216">AL64*(1+AP65)</f>
        <v>3608.4652194378168</v>
      </c>
      <c r="AQ64" s="527" t="s">
        <v>486</v>
      </c>
      <c r="AR64" s="528"/>
      <c r="AS64" s="529"/>
      <c r="AT64" s="524">
        <f>C64+D64+E64+F64</f>
        <v>938</v>
      </c>
      <c r="AU64" s="524">
        <f>G64+H64+I64+J64</f>
        <v>1768</v>
      </c>
      <c r="AV64" s="524">
        <f>K64+L64+M64+N64</f>
        <v>2204</v>
      </c>
      <c r="AW64" s="524">
        <f>O64+P64+Q64+R64</f>
        <v>2676.2342234109528</v>
      </c>
      <c r="AX64" s="524">
        <f>S64+T64+U64+V64</f>
        <v>5929.4401076630584</v>
      </c>
      <c r="AY64" s="524">
        <f>W64+X64+Y64+Z64</f>
        <v>8454.4729779733898</v>
      </c>
      <c r="AZ64" s="587">
        <f>AA64+AB64+AC64+AD64</f>
        <v>10878.626024627556</v>
      </c>
      <c r="BA64" s="519">
        <f>SUM(AE64:AH64)</f>
        <v>14686.764491401385</v>
      </c>
      <c r="BB64" s="519">
        <f>SUM(AI64:AL64)</f>
        <v>19047.68802357883</v>
      </c>
      <c r="BC64" s="519">
        <f>SUM(AM64:AP64)</f>
        <v>24294.437504914396</v>
      </c>
      <c r="BD64" s="587">
        <f t="shared" ref="BD64" si="217">BC64*(1+BD65)</f>
        <v>28978.82644777832</v>
      </c>
      <c r="BE64" s="587">
        <f t="shared" ref="BE64" si="218">BD64*(1+BE65)</f>
        <v>32890.160715681413</v>
      </c>
      <c r="BF64" s="587">
        <f t="shared" ref="BF64" si="219">BE64*(1+BF65)</f>
        <v>35997.639517182812</v>
      </c>
      <c r="BG64" s="587">
        <f t="shared" ref="BG64" si="220">BF64*(1+BG65)</f>
        <v>38378.391982015884</v>
      </c>
      <c r="BH64" s="587">
        <f t="shared" ref="BH64" si="221">BG64*(1+BH65)</f>
        <v>40155.136701200332</v>
      </c>
      <c r="BI64" s="587">
        <f t="shared" ref="BI64" si="222">BH64*(1+BI65)</f>
        <v>41456.436635308928</v>
      </c>
      <c r="BJ64" s="587">
        <f t="shared" ref="BJ64" si="223">BI64*(1+BJ65)</f>
        <v>42396.86627608772</v>
      </c>
      <c r="BL64" s="587">
        <v>2024.4</v>
      </c>
      <c r="BM64" s="587">
        <v>2427.6</v>
      </c>
      <c r="BN64" s="587">
        <v>1540</v>
      </c>
      <c r="BO64" s="587">
        <v>3346.3636460095995</v>
      </c>
    </row>
    <row r="65" spans="1:67" s="522" customFormat="1" ht="12" customHeight="1" outlineLevel="1" x14ac:dyDescent="0.35">
      <c r="B65" s="530" t="s">
        <v>459</v>
      </c>
      <c r="G65" s="522">
        <f>G64/C64-1</f>
        <v>1</v>
      </c>
      <c r="H65" s="522">
        <f t="shared" ref="H65:AF65" si="224">H64/D64-1</f>
        <v>0.99523809523809526</v>
      </c>
      <c r="I65" s="522">
        <f t="shared" si="224"/>
        <v>1.0984848484848486</v>
      </c>
      <c r="J65" s="522">
        <f t="shared" si="224"/>
        <v>0.53333333333333344</v>
      </c>
      <c r="K65" s="522">
        <f t="shared" si="224"/>
        <v>0.3994413407821229</v>
      </c>
      <c r="L65" s="522">
        <f t="shared" si="224"/>
        <v>0.14797136038186154</v>
      </c>
      <c r="M65" s="522">
        <f t="shared" si="224"/>
        <v>0.1407942238267148</v>
      </c>
      <c r="N65" s="522">
        <f t="shared" si="224"/>
        <v>0.35011441647597263</v>
      </c>
      <c r="O65" s="522">
        <f t="shared" si="224"/>
        <v>-0.29853986857055126</v>
      </c>
      <c r="P65" s="522">
        <f t="shared" si="224"/>
        <v>-6.2872681912682138E-2</v>
      </c>
      <c r="Q65" s="522">
        <f t="shared" si="224"/>
        <v>0.82359177215189039</v>
      </c>
      <c r="R65" s="522">
        <f t="shared" si="224"/>
        <v>0.22293975858441373</v>
      </c>
      <c r="S65" s="522">
        <f t="shared" si="224"/>
        <v>2.3674266879111983</v>
      </c>
      <c r="T65" s="522">
        <f t="shared" si="224"/>
        <v>1.8418001454615669</v>
      </c>
      <c r="U65" s="522">
        <f t="shared" si="224"/>
        <v>1.0771342548003933</v>
      </c>
      <c r="V65" s="522">
        <f t="shared" si="224"/>
        <v>0.48452699011837952</v>
      </c>
      <c r="W65" s="522">
        <f t="shared" si="224"/>
        <v>0.5575315489226389</v>
      </c>
      <c r="X65" s="522">
        <f t="shared" si="224"/>
        <v>0.36540845674052047</v>
      </c>
      <c r="Y65" s="522">
        <f t="shared" si="224"/>
        <v>0.12712593062801791</v>
      </c>
      <c r="Z65" s="522">
        <f t="shared" si="224"/>
        <v>1.0202561584137633</v>
      </c>
      <c r="AA65" s="522">
        <f t="shared" si="224"/>
        <v>0.54454961618552278</v>
      </c>
      <c r="AB65" s="522">
        <f t="shared" si="224"/>
        <v>0.64935958750932232</v>
      </c>
      <c r="AC65" s="522">
        <f t="shared" si="224"/>
        <v>0.2883582370124409</v>
      </c>
      <c r="AD65" s="522">
        <f t="shared" si="224"/>
        <v>-0.22800025082257069</v>
      </c>
      <c r="AE65" s="522">
        <f t="shared" si="224"/>
        <v>0.31647613148348586</v>
      </c>
      <c r="AF65" s="522">
        <f t="shared" si="224"/>
        <v>0.34714724231709138</v>
      </c>
      <c r="AG65" s="562">
        <v>0.38</v>
      </c>
      <c r="AH65" s="601">
        <v>0.35</v>
      </c>
      <c r="AI65" s="601">
        <v>0.3</v>
      </c>
      <c r="AJ65" s="601">
        <v>0.3</v>
      </c>
      <c r="AK65" s="601">
        <v>0.3</v>
      </c>
      <c r="AL65" s="601">
        <v>0.28000000000000003</v>
      </c>
      <c r="AM65" s="601">
        <v>0.28000000000000003</v>
      </c>
      <c r="AN65" s="601">
        <v>0.28000000000000003</v>
      </c>
      <c r="AO65" s="601">
        <v>0.28000000000000003</v>
      </c>
      <c r="AP65" s="601">
        <v>0.25</v>
      </c>
      <c r="AQ65" s="567"/>
      <c r="AR65" s="520"/>
      <c r="AS65" s="521"/>
      <c r="AV65" s="522">
        <f t="shared" ref="AV65:AZ65" si="225">AV64/AU64-1</f>
        <v>0.24660633484162897</v>
      </c>
      <c r="AW65" s="522">
        <f>AW64/AV64-1</f>
        <v>0.21426235181985165</v>
      </c>
      <c r="AX65" s="522">
        <f>AX64/AW64-1</f>
        <v>1.2155908686145498</v>
      </c>
      <c r="AY65" s="522">
        <f>AY64/AX64-1</f>
        <v>0.42584676199815941</v>
      </c>
      <c r="AZ65" s="522">
        <f t="shared" si="225"/>
        <v>0.28673023770610673</v>
      </c>
      <c r="BA65" s="522">
        <f t="shared" ref="BA65" si="226">BA64/AZ64-1</f>
        <v>0.35005693349075351</v>
      </c>
      <c r="BB65" s="522">
        <f t="shared" ref="BB65" si="227">BB64/BA64-1</f>
        <v>0.29692881197425214</v>
      </c>
      <c r="BC65" s="522">
        <f t="shared" ref="BC65" si="228">BC64/BB64-1</f>
        <v>0.27545335028800855</v>
      </c>
      <c r="BD65" s="562">
        <f>BC65*0.7</f>
        <v>0.19281734520160598</v>
      </c>
      <c r="BE65" s="562">
        <f t="shared" ref="BE65:BJ65" si="229">BD65*0.7</f>
        <v>0.13497214164112417</v>
      </c>
      <c r="BF65" s="562">
        <f t="shared" si="229"/>
        <v>9.4480499148786909E-2</v>
      </c>
      <c r="BG65" s="562">
        <f t="shared" si="229"/>
        <v>6.6136349404150835E-2</v>
      </c>
      <c r="BH65" s="562">
        <f t="shared" si="229"/>
        <v>4.6295444582905583E-2</v>
      </c>
      <c r="BI65" s="562">
        <f t="shared" si="229"/>
        <v>3.2406811208033903E-2</v>
      </c>
      <c r="BJ65" s="562">
        <f t="shared" si="229"/>
        <v>2.2684767845623732E-2</v>
      </c>
      <c r="BL65" s="562">
        <v>0.4</v>
      </c>
      <c r="BM65" s="562">
        <v>0.4</v>
      </c>
      <c r="BN65" s="601">
        <v>0.1</v>
      </c>
      <c r="BO65" s="601">
        <v>0.16</v>
      </c>
    </row>
    <row r="66" spans="1:67" ht="12" customHeight="1" outlineLevel="1" x14ac:dyDescent="0.35">
      <c r="A66" s="493" t="s">
        <v>477</v>
      </c>
      <c r="B66" s="603" t="s">
        <v>487</v>
      </c>
      <c r="C66" s="524"/>
      <c r="D66" s="524"/>
      <c r="E66" s="524"/>
      <c r="F66" s="524"/>
      <c r="G66" s="524"/>
      <c r="H66" s="524"/>
      <c r="I66" s="524"/>
      <c r="J66" s="524"/>
      <c r="K66" s="524"/>
      <c r="L66" s="524"/>
      <c r="M66" s="524"/>
      <c r="N66" s="524"/>
      <c r="O66" s="524">
        <v>765.56847415384618</v>
      </c>
      <c r="P66" s="524">
        <v>887.24176000000011</v>
      </c>
      <c r="Q66" s="524">
        <v>1299.4900000000052</v>
      </c>
      <c r="R66" s="524">
        <v>1707.4655424351959</v>
      </c>
      <c r="S66" s="587">
        <v>1454.5801008923077</v>
      </c>
      <c r="T66" s="587">
        <v>1597.0351680000003</v>
      </c>
      <c r="U66" s="587">
        <v>2339.0820000000094</v>
      </c>
      <c r="V66" s="587">
        <v>2895.8626234446238</v>
      </c>
      <c r="W66" s="587">
        <v>2472.7861715169229</v>
      </c>
      <c r="X66" s="587">
        <v>2714.9597856000005</v>
      </c>
      <c r="Y66" s="587">
        <v>3135.7529464028471</v>
      </c>
      <c r="Z66" s="587">
        <v>2780.0281185068388</v>
      </c>
      <c r="AA66" s="587">
        <v>2720.0647886686152</v>
      </c>
      <c r="AB66" s="587">
        <v>3122.2037534400001</v>
      </c>
      <c r="AC66" s="524">
        <v>3919.6911830035588</v>
      </c>
      <c r="AD66" s="524">
        <v>3682.4142502602699</v>
      </c>
      <c r="AE66" s="587">
        <v>3264.0777464023381</v>
      </c>
      <c r="AF66" s="524">
        <f>AB66*(1+AF67)</f>
        <v>3902.7546918000003</v>
      </c>
      <c r="AG66" s="524">
        <f>AC66*(1+AG67)</f>
        <v>4899.6139787544489</v>
      </c>
      <c r="AH66" s="524">
        <f>AD66*(1+AH67)</f>
        <v>4603.0178128253374</v>
      </c>
      <c r="AI66" s="524">
        <f t="shared" ref="AI66:AP66" si="230">AE66*(1+AI67)</f>
        <v>4080.0971830029225</v>
      </c>
      <c r="AJ66" s="524">
        <f t="shared" si="230"/>
        <v>4878.44336475</v>
      </c>
      <c r="AK66" s="524">
        <f t="shared" si="230"/>
        <v>6124.5174734430611</v>
      </c>
      <c r="AL66" s="524">
        <f t="shared" si="230"/>
        <v>5753.7722660316722</v>
      </c>
      <c r="AM66" s="524">
        <f t="shared" si="230"/>
        <v>5100.1214787536528</v>
      </c>
      <c r="AN66" s="524">
        <f t="shared" si="230"/>
        <v>6098.0542059375002</v>
      </c>
      <c r="AO66" s="524">
        <f t="shared" si="230"/>
        <v>7655.6468418038266</v>
      </c>
      <c r="AP66" s="524">
        <f t="shared" si="230"/>
        <v>7192.2153325395902</v>
      </c>
      <c r="AQ66" s="527" t="s">
        <v>486</v>
      </c>
      <c r="AR66" s="528"/>
      <c r="AS66" s="529"/>
      <c r="AT66" s="524"/>
      <c r="AU66" s="524"/>
      <c r="AV66" s="524"/>
      <c r="AW66" s="524">
        <f>O66+P66+Q66+R66</f>
        <v>4659.7657765890472</v>
      </c>
      <c r="AX66" s="524">
        <f>S66+T66+U66+V66</f>
        <v>8286.5598923369416</v>
      </c>
      <c r="AY66" s="524">
        <f>W66+X66+Y66+Z66</f>
        <v>11103.52702202661</v>
      </c>
      <c r="AZ66" s="524">
        <f>AA66+AB66+AC66+AD66</f>
        <v>13444.373975372444</v>
      </c>
      <c r="BA66" s="524">
        <f>SUM(AE66:AH66)</f>
        <v>16669.464229782126</v>
      </c>
      <c r="BB66" s="524">
        <f>SUM(AI66:AL66)</f>
        <v>20836.830287227654</v>
      </c>
      <c r="BC66" s="524">
        <f>SUM(AM66:AP66)</f>
        <v>26046.037859034572</v>
      </c>
      <c r="BD66" s="524">
        <f t="shared" ref="BD66:BJ66" si="231">BC66*(1+BD67)</f>
        <v>30604.094484365629</v>
      </c>
      <c r="BE66" s="524">
        <f t="shared" si="231"/>
        <v>34353.096058700423</v>
      </c>
      <c r="BF66" s="524">
        <f t="shared" si="231"/>
        <v>37298.874045733981</v>
      </c>
      <c r="BG66" s="524">
        <f t="shared" si="231"/>
        <v>39537.738960329159</v>
      </c>
      <c r="BH66" s="524">
        <f t="shared" si="231"/>
        <v>41199.015907094792</v>
      </c>
      <c r="BI66" s="524">
        <f t="shared" si="231"/>
        <v>42410.771662708241</v>
      </c>
      <c r="BJ66" s="524">
        <f t="shared" si="231"/>
        <v>43283.949015893792</v>
      </c>
      <c r="BL66" s="524">
        <v>4376.1000000000004</v>
      </c>
      <c r="BM66" s="524">
        <v>5330</v>
      </c>
      <c r="BN66" s="524">
        <v>4375.3500000000004</v>
      </c>
      <c r="BO66" s="524">
        <v>3590.5343164559999</v>
      </c>
    </row>
    <row r="67" spans="1:67" s="522" customFormat="1" ht="12" customHeight="1" outlineLevel="1" x14ac:dyDescent="0.35">
      <c r="B67" s="530" t="s">
        <v>459</v>
      </c>
      <c r="S67" s="522">
        <f>S66/O66-1</f>
        <v>0.89999999999999991</v>
      </c>
      <c r="T67" s="522">
        <f t="shared" ref="T67:AE67" si="232">T66/P66-1</f>
        <v>0.8</v>
      </c>
      <c r="U67" s="522">
        <f t="shared" si="232"/>
        <v>0.8</v>
      </c>
      <c r="V67" s="522">
        <f t="shared" si="232"/>
        <v>0.6960006228380633</v>
      </c>
      <c r="W67" s="522">
        <f t="shared" si="232"/>
        <v>0.7</v>
      </c>
      <c r="X67" s="522">
        <f t="shared" si="232"/>
        <v>0.7</v>
      </c>
      <c r="Y67" s="522">
        <f t="shared" si="232"/>
        <v>0.3405912859843454</v>
      </c>
      <c r="Z67" s="522">
        <f t="shared" si="232"/>
        <v>-4.0000000000000036E-2</v>
      </c>
      <c r="AA67" s="522">
        <f t="shared" si="232"/>
        <v>0.10000000000000009</v>
      </c>
      <c r="AB67" s="522">
        <f t="shared" si="232"/>
        <v>0.14999999999999991</v>
      </c>
      <c r="AC67" s="522">
        <f t="shared" si="232"/>
        <v>0.25</v>
      </c>
      <c r="AD67" s="522">
        <f t="shared" si="232"/>
        <v>0.32459604481918158</v>
      </c>
      <c r="AE67" s="522">
        <f t="shared" si="232"/>
        <v>0.19999999999999996</v>
      </c>
      <c r="AF67" s="601">
        <v>0.25</v>
      </c>
      <c r="AG67" s="601">
        <v>0.25</v>
      </c>
      <c r="AH67" s="601">
        <v>0.25</v>
      </c>
      <c r="AI67" s="601">
        <v>0.25</v>
      </c>
      <c r="AJ67" s="601">
        <v>0.25</v>
      </c>
      <c r="AK67" s="601">
        <v>0.25</v>
      </c>
      <c r="AL67" s="601">
        <v>0.25</v>
      </c>
      <c r="AM67" s="601">
        <v>0.25</v>
      </c>
      <c r="AN67" s="601">
        <v>0.25</v>
      </c>
      <c r="AO67" s="601">
        <v>0.25</v>
      </c>
      <c r="AP67" s="601">
        <v>0.25</v>
      </c>
      <c r="AQ67" s="567"/>
      <c r="AR67" s="520"/>
      <c r="AS67" s="521"/>
      <c r="AY67" s="522">
        <f>AY66/AX66-1</f>
        <v>0.33994409818900606</v>
      </c>
      <c r="AZ67" s="522">
        <f>AZ66/AY66-1</f>
        <v>0.21082012487583279</v>
      </c>
      <c r="BA67" s="522">
        <f t="shared" ref="BA67:BC67" si="233">BA66/AZ66-1</f>
        <v>0.23988400354805961</v>
      </c>
      <c r="BB67" s="522">
        <f t="shared" si="233"/>
        <v>0.24999999999999978</v>
      </c>
      <c r="BC67" s="522">
        <f t="shared" si="233"/>
        <v>0.25000000000000022</v>
      </c>
      <c r="BD67" s="562">
        <f>BC67*0.7</f>
        <v>0.17500000000000016</v>
      </c>
      <c r="BE67" s="562">
        <f t="shared" ref="BE67:BJ67" si="234">BD67*0.7</f>
        <v>0.12250000000000009</v>
      </c>
      <c r="BF67" s="562">
        <f t="shared" si="234"/>
        <v>8.5750000000000062E-2</v>
      </c>
      <c r="BG67" s="562">
        <f t="shared" si="234"/>
        <v>6.0025000000000037E-2</v>
      </c>
      <c r="BH67" s="562">
        <f t="shared" si="234"/>
        <v>4.201750000000002E-2</v>
      </c>
      <c r="BI67" s="562">
        <f t="shared" si="234"/>
        <v>2.9412250000000011E-2</v>
      </c>
      <c r="BJ67" s="562">
        <f t="shared" si="234"/>
        <v>2.0588575000000008E-2</v>
      </c>
      <c r="BL67" s="562">
        <v>0.45</v>
      </c>
      <c r="BM67" s="562">
        <v>0.3</v>
      </c>
      <c r="BN67" s="601">
        <v>0.05</v>
      </c>
      <c r="BO67" s="601">
        <v>0.15</v>
      </c>
    </row>
    <row r="68" spans="1:67" ht="12" customHeight="1" outlineLevel="1" x14ac:dyDescent="0.35">
      <c r="B68" s="602"/>
      <c r="C68" s="572"/>
      <c r="D68" s="572"/>
      <c r="E68" s="572"/>
      <c r="F68" s="572"/>
      <c r="G68" s="572"/>
      <c r="H68" s="572"/>
      <c r="I68" s="572"/>
      <c r="J68" s="572"/>
      <c r="K68" s="572"/>
      <c r="L68" s="572"/>
      <c r="M68" s="572"/>
      <c r="N68" s="572"/>
      <c r="O68" s="572"/>
      <c r="P68" s="572"/>
      <c r="Q68" s="572"/>
      <c r="R68" s="572"/>
      <c r="S68" s="572"/>
      <c r="T68" s="572"/>
      <c r="U68" s="572"/>
      <c r="V68" s="572"/>
      <c r="W68" s="572"/>
      <c r="X68" s="572"/>
      <c r="Y68" s="572"/>
      <c r="Z68" s="572"/>
      <c r="AA68" s="572"/>
      <c r="AB68" s="572"/>
      <c r="AC68" s="572"/>
      <c r="AD68" s="572"/>
      <c r="AE68" s="572"/>
      <c r="AF68" s="572"/>
      <c r="AG68" s="572"/>
      <c r="AH68" s="572"/>
      <c r="AI68" s="572"/>
      <c r="AJ68" s="572"/>
      <c r="AK68" s="572"/>
      <c r="AL68" s="572"/>
      <c r="AM68" s="572"/>
      <c r="AN68" s="572"/>
      <c r="AO68" s="572"/>
      <c r="AP68" s="572"/>
      <c r="AT68" s="572"/>
      <c r="AU68" s="572"/>
      <c r="AV68" s="572"/>
      <c r="AW68" s="572"/>
      <c r="AX68" s="572"/>
      <c r="AY68" s="572"/>
      <c r="AZ68" s="572"/>
      <c r="BA68" s="572"/>
      <c r="BB68" s="572"/>
      <c r="BC68" s="572"/>
      <c r="BD68" s="572"/>
      <c r="BE68" s="572"/>
      <c r="BF68" s="572"/>
      <c r="BG68" s="572"/>
      <c r="BH68" s="572"/>
      <c r="BI68" s="572"/>
      <c r="BJ68" s="572"/>
      <c r="BL68" s="572"/>
      <c r="BM68" s="572"/>
      <c r="BN68" s="572"/>
      <c r="BO68" s="572"/>
    </row>
    <row r="69" spans="1:67" ht="12" customHeight="1" outlineLevel="1" x14ac:dyDescent="0.35">
      <c r="B69" s="602" t="s">
        <v>488</v>
      </c>
      <c r="C69" s="578"/>
      <c r="D69" s="578"/>
      <c r="E69" s="578"/>
      <c r="F69" s="578"/>
      <c r="G69" s="578"/>
      <c r="H69" s="578"/>
      <c r="I69" s="578"/>
      <c r="J69" s="578"/>
      <c r="K69" s="578">
        <v>83</v>
      </c>
      <c r="L69" s="578">
        <v>82</v>
      </c>
      <c r="M69" s="578">
        <v>173</v>
      </c>
      <c r="N69" s="578">
        <v>47</v>
      </c>
      <c r="O69" s="578">
        <v>48</v>
      </c>
      <c r="P69" s="578">
        <v>105</v>
      </c>
      <c r="Q69" s="578">
        <v>254</v>
      </c>
      <c r="R69" s="578">
        <v>348</v>
      </c>
      <c r="S69" s="578">
        <v>427</v>
      </c>
      <c r="T69" s="578">
        <v>662</v>
      </c>
      <c r="U69" s="578">
        <v>907</v>
      </c>
      <c r="V69" s="578">
        <v>701</v>
      </c>
      <c r="W69" s="578">
        <v>878</v>
      </c>
      <c r="X69" s="604">
        <v>1114</v>
      </c>
      <c r="Y69" s="578">
        <v>1435</v>
      </c>
      <c r="Z69" s="604">
        <v>1702</v>
      </c>
      <c r="AA69" s="524">
        <v>1954</v>
      </c>
      <c r="AB69" s="524">
        <v>2116</v>
      </c>
      <c r="AC69" s="524">
        <v>2697</v>
      </c>
      <c r="AD69" s="524">
        <v>2570</v>
      </c>
      <c r="AE69" s="524">
        <v>3483</v>
      </c>
      <c r="AF69" s="524">
        <v>3451</v>
      </c>
      <c r="AG69" s="524">
        <f>AC69*(1+AG70)</f>
        <v>4450.05</v>
      </c>
      <c r="AH69" s="524">
        <f>AD69*(1+AH70)</f>
        <v>3855</v>
      </c>
      <c r="AI69" s="524">
        <f t="shared" ref="AI69:AP69" si="235">AE69*(1+AI70)</f>
        <v>5224.5</v>
      </c>
      <c r="AJ69" s="524">
        <f t="shared" si="235"/>
        <v>5176.5</v>
      </c>
      <c r="AK69" s="524">
        <f t="shared" si="235"/>
        <v>6675.0750000000007</v>
      </c>
      <c r="AL69" s="524">
        <f t="shared" si="235"/>
        <v>5204.25</v>
      </c>
      <c r="AM69" s="524">
        <f t="shared" si="235"/>
        <v>7053.0750000000007</v>
      </c>
      <c r="AN69" s="524">
        <f t="shared" si="235"/>
        <v>6988.2750000000005</v>
      </c>
      <c r="AO69" s="524">
        <f t="shared" si="235"/>
        <v>9011.3512500000015</v>
      </c>
      <c r="AP69" s="524">
        <f t="shared" si="235"/>
        <v>6765.5250000000005</v>
      </c>
      <c r="AQ69" s="555" t="s">
        <v>458</v>
      </c>
      <c r="AR69" s="508" t="s">
        <v>465</v>
      </c>
      <c r="AS69" s="509"/>
      <c r="AV69" s="493">
        <f>K69+L69+M69+N69</f>
        <v>385</v>
      </c>
      <c r="AW69" s="578">
        <f>O69+P69+Q69+R69</f>
        <v>755</v>
      </c>
      <c r="AX69" s="578">
        <f>S69+T69+U69+V69</f>
        <v>2697</v>
      </c>
      <c r="AY69" s="524">
        <f>W69+X69+Y69+Z69</f>
        <v>5129</v>
      </c>
      <c r="AZ69" s="604">
        <f>AA69+AB69+AC69+AD69</f>
        <v>9337</v>
      </c>
      <c r="BA69" s="604">
        <f>SUM(AE69:AH69)</f>
        <v>15239.05</v>
      </c>
      <c r="BB69" s="604">
        <f>SUM(AI69:AL69)</f>
        <v>22280.325000000001</v>
      </c>
      <c r="BC69" s="604">
        <f>SUM(AM69:AP69)</f>
        <v>29818.226250000007</v>
      </c>
      <c r="BD69" s="604">
        <f t="shared" ref="BD69:BJ69" si="236">BC69*(1+BD70)</f>
        <v>37888.731322889493</v>
      </c>
      <c r="BE69" s="604">
        <f t="shared" si="236"/>
        <v>46092.604907669913</v>
      </c>
      <c r="BF69" s="604">
        <f t="shared" si="236"/>
        <v>54076.781535453934</v>
      </c>
      <c r="BG69" s="604">
        <f t="shared" si="236"/>
        <v>61570.540260629532</v>
      </c>
      <c r="BH69" s="604">
        <f t="shared" si="236"/>
        <v>68396.312951844418</v>
      </c>
      <c r="BI69" s="604">
        <f t="shared" si="236"/>
        <v>74462.300784990162</v>
      </c>
      <c r="BJ69" s="604">
        <f t="shared" si="236"/>
        <v>79745.479261675675</v>
      </c>
      <c r="BL69" s="524">
        <v>1949.5</v>
      </c>
      <c r="BM69" s="524">
        <v>2511.25</v>
      </c>
      <c r="BN69" s="524">
        <v>3419.5</v>
      </c>
      <c r="BO69" s="524">
        <v>3597.2</v>
      </c>
    </row>
    <row r="70" spans="1:67" s="522" customFormat="1" ht="12" customHeight="1" outlineLevel="1" x14ac:dyDescent="0.35">
      <c r="B70" s="530" t="s">
        <v>459</v>
      </c>
      <c r="O70" s="522">
        <f>O69/K69-1</f>
        <v>-0.42168674698795183</v>
      </c>
      <c r="P70" s="522">
        <f t="shared" ref="P70:AF70" si="237">P69/L69-1</f>
        <v>0.28048780487804881</v>
      </c>
      <c r="Q70" s="522">
        <f t="shared" si="237"/>
        <v>0.46820809248554918</v>
      </c>
      <c r="R70" s="522">
        <f t="shared" si="237"/>
        <v>6.4042553191489358</v>
      </c>
      <c r="S70" s="522">
        <f t="shared" si="237"/>
        <v>7.8958333333333339</v>
      </c>
      <c r="T70" s="522">
        <f t="shared" si="237"/>
        <v>5.3047619047619046</v>
      </c>
      <c r="U70" s="522">
        <f t="shared" si="237"/>
        <v>2.5708661417322833</v>
      </c>
      <c r="V70" s="522">
        <f t="shared" si="237"/>
        <v>1.014367816091954</v>
      </c>
      <c r="W70" s="522">
        <f t="shared" si="237"/>
        <v>1.0562060889929743</v>
      </c>
      <c r="X70" s="522">
        <f t="shared" si="237"/>
        <v>0.68277945619335356</v>
      </c>
      <c r="Y70" s="522">
        <f t="shared" si="237"/>
        <v>0.58213891951488428</v>
      </c>
      <c r="Z70" s="522">
        <f t="shared" si="237"/>
        <v>1.4279600570613411</v>
      </c>
      <c r="AA70" s="522">
        <f t="shared" si="237"/>
        <v>1.225512528473804</v>
      </c>
      <c r="AB70" s="522">
        <f t="shared" si="237"/>
        <v>0.89946140035906641</v>
      </c>
      <c r="AC70" s="522">
        <f t="shared" si="237"/>
        <v>0.87944250871080132</v>
      </c>
      <c r="AD70" s="522">
        <f t="shared" si="237"/>
        <v>0.50998824911868401</v>
      </c>
      <c r="AE70" s="522">
        <f t="shared" si="237"/>
        <v>0.78249744114636632</v>
      </c>
      <c r="AF70" s="522">
        <f t="shared" si="237"/>
        <v>0.63090737240075612</v>
      </c>
      <c r="AG70" s="562">
        <v>0.65</v>
      </c>
      <c r="AH70" s="562">
        <v>0.5</v>
      </c>
      <c r="AI70" s="562">
        <v>0.5</v>
      </c>
      <c r="AJ70" s="562">
        <v>0.5</v>
      </c>
      <c r="AK70" s="562">
        <v>0.5</v>
      </c>
      <c r="AL70" s="562">
        <v>0.35</v>
      </c>
      <c r="AM70" s="562">
        <v>0.35</v>
      </c>
      <c r="AN70" s="562">
        <v>0.35</v>
      </c>
      <c r="AO70" s="562">
        <v>0.35</v>
      </c>
      <c r="AP70" s="562">
        <v>0.3</v>
      </c>
      <c r="AQ70" s="567"/>
      <c r="AR70" s="520"/>
      <c r="AS70" s="521"/>
      <c r="AW70" s="522">
        <f>AW69/AV69-1</f>
        <v>0.96103896103896114</v>
      </c>
      <c r="AX70" s="522">
        <f>AX69/AW69-1</f>
        <v>2.5721854304635761</v>
      </c>
      <c r="AY70" s="522">
        <f t="shared" ref="AY70" si="238">AY69/AX69-1</f>
        <v>0.90174267704857258</v>
      </c>
      <c r="AZ70" s="522">
        <f>AZ69/AY69-1</f>
        <v>0.82043283291089875</v>
      </c>
      <c r="BA70" s="522">
        <f t="shared" ref="BA70:BC70" si="239">BA69/AZ69-1</f>
        <v>0.63211416943343668</v>
      </c>
      <c r="BB70" s="522">
        <f t="shared" si="239"/>
        <v>0.46205472125887126</v>
      </c>
      <c r="BC70" s="522">
        <f t="shared" si="239"/>
        <v>0.33832097377394654</v>
      </c>
      <c r="BD70" s="562">
        <f>BC70*0.8</f>
        <v>0.27065677901915725</v>
      </c>
      <c r="BE70" s="562">
        <f t="shared" ref="BE70:BJ70" si="240">BD70*0.8</f>
        <v>0.21652542321532581</v>
      </c>
      <c r="BF70" s="562">
        <f t="shared" si="240"/>
        <v>0.17322033857226066</v>
      </c>
      <c r="BG70" s="562">
        <f t="shared" si="240"/>
        <v>0.13857627085780852</v>
      </c>
      <c r="BH70" s="562">
        <f t="shared" si="240"/>
        <v>0.11086101668624682</v>
      </c>
      <c r="BI70" s="562">
        <f t="shared" si="240"/>
        <v>8.8688813348997461E-2</v>
      </c>
      <c r="BJ70" s="562">
        <f t="shared" si="240"/>
        <v>7.0951050679197977E-2</v>
      </c>
      <c r="BL70" s="562">
        <v>0.75</v>
      </c>
      <c r="BM70" s="562">
        <v>0.75</v>
      </c>
      <c r="BN70" s="562">
        <v>0.75</v>
      </c>
      <c r="BO70" s="562">
        <v>0.7</v>
      </c>
    </row>
    <row r="71" spans="1:67" ht="12" customHeight="1" outlineLevel="1" x14ac:dyDescent="0.35">
      <c r="B71" s="602"/>
      <c r="C71" s="578"/>
      <c r="D71" s="578"/>
      <c r="E71" s="578"/>
      <c r="F71" s="578"/>
      <c r="G71" s="578"/>
      <c r="H71" s="578"/>
      <c r="I71" s="578"/>
      <c r="J71" s="578"/>
      <c r="K71" s="578"/>
      <c r="L71" s="578"/>
      <c r="M71" s="578"/>
      <c r="N71" s="578"/>
      <c r="O71" s="578"/>
      <c r="P71" s="578"/>
      <c r="Q71" s="578"/>
      <c r="R71" s="578"/>
      <c r="S71" s="578"/>
      <c r="T71" s="578"/>
      <c r="U71" s="578"/>
      <c r="V71" s="578"/>
      <c r="W71" s="578"/>
      <c r="X71" s="604"/>
      <c r="Y71" s="578"/>
      <c r="Z71" s="604"/>
      <c r="AA71" s="604"/>
      <c r="AB71" s="604"/>
      <c r="AC71" s="604"/>
      <c r="AD71" s="604"/>
      <c r="AE71" s="604"/>
      <c r="AF71" s="604"/>
      <c r="AG71" s="604"/>
      <c r="AH71" s="604"/>
      <c r="AI71" s="604"/>
      <c r="AJ71" s="604"/>
      <c r="AK71" s="604"/>
      <c r="AL71" s="604"/>
      <c r="AM71" s="604"/>
      <c r="AN71" s="604"/>
      <c r="AO71" s="604"/>
      <c r="AP71" s="604"/>
      <c r="AR71" s="508"/>
      <c r="AS71" s="509"/>
      <c r="AW71" s="578"/>
      <c r="AX71" s="578"/>
      <c r="AY71" s="524"/>
      <c r="AZ71" s="525"/>
      <c r="BA71" s="525"/>
      <c r="BB71" s="525"/>
      <c r="BC71" s="525"/>
      <c r="BD71" s="525"/>
      <c r="BE71" s="525"/>
      <c r="BF71" s="525"/>
      <c r="BG71" s="525"/>
      <c r="BH71" s="525"/>
      <c r="BI71" s="525"/>
      <c r="BJ71" s="525"/>
      <c r="BL71" s="604"/>
      <c r="BM71" s="604"/>
      <c r="BN71" s="604"/>
      <c r="BO71" s="604"/>
    </row>
    <row r="72" spans="1:67" ht="12" customHeight="1" outlineLevel="1" x14ac:dyDescent="0.35">
      <c r="B72" s="602"/>
      <c r="C72" s="578"/>
      <c r="D72" s="578"/>
      <c r="E72" s="578"/>
      <c r="F72" s="578"/>
      <c r="G72" s="578"/>
      <c r="H72" s="578"/>
      <c r="I72" s="578"/>
      <c r="J72" s="578"/>
      <c r="K72" s="578"/>
      <c r="L72" s="578"/>
      <c r="M72" s="578"/>
      <c r="N72" s="578"/>
      <c r="O72" s="578"/>
      <c r="P72" s="578"/>
      <c r="Q72" s="578"/>
      <c r="R72" s="578"/>
      <c r="S72" s="578"/>
      <c r="T72" s="578"/>
      <c r="U72" s="578"/>
      <c r="V72" s="578"/>
      <c r="W72" s="578"/>
      <c r="X72" s="604"/>
      <c r="Y72" s="578"/>
      <c r="Z72" s="604"/>
      <c r="AA72" s="604"/>
      <c r="AB72" s="604"/>
      <c r="AC72" s="604"/>
      <c r="AD72" s="604"/>
      <c r="AE72" s="604"/>
      <c r="AF72" s="604"/>
      <c r="AG72" s="604"/>
      <c r="AH72" s="604"/>
      <c r="AI72" s="604"/>
      <c r="AJ72" s="604"/>
      <c r="AK72" s="604"/>
      <c r="AL72" s="604"/>
      <c r="AM72" s="604"/>
      <c r="AN72" s="604"/>
      <c r="AO72" s="604"/>
      <c r="AP72" s="604"/>
      <c r="AR72" s="508"/>
      <c r="AS72" s="509"/>
      <c r="AW72" s="578"/>
      <c r="AX72" s="578"/>
      <c r="AY72" s="524"/>
      <c r="AZ72" s="525"/>
      <c r="BA72" s="525"/>
      <c r="BB72" s="525"/>
      <c r="BC72" s="525"/>
      <c r="BD72" s="525"/>
      <c r="BE72" s="525"/>
      <c r="BF72" s="525"/>
      <c r="BG72" s="525"/>
      <c r="BH72" s="525"/>
      <c r="BI72" s="525"/>
      <c r="BJ72" s="525"/>
      <c r="BL72" s="604"/>
      <c r="BM72" s="604"/>
      <c r="BN72" s="604"/>
      <c r="BO72" s="604"/>
    </row>
    <row r="73" spans="1:67" s="538" customFormat="1" ht="12" customHeight="1" outlineLevel="1" x14ac:dyDescent="0.35">
      <c r="B73" s="597" t="s">
        <v>489</v>
      </c>
      <c r="C73" s="560">
        <f>C69+C56+C53</f>
        <v>1643</v>
      </c>
      <c r="D73" s="560">
        <f t="shared" ref="D73:AG73" si="241">D69+D56+D53</f>
        <v>1744</v>
      </c>
      <c r="E73" s="560">
        <f t="shared" si="241"/>
        <v>1876</v>
      </c>
      <c r="F73" s="560">
        <f t="shared" si="241"/>
        <v>1888</v>
      </c>
      <c r="G73" s="560">
        <f t="shared" si="241"/>
        <v>2178</v>
      </c>
      <c r="H73" s="560">
        <f t="shared" si="241"/>
        <v>2407</v>
      </c>
      <c r="I73" s="560">
        <f t="shared" si="241"/>
        <v>2623</v>
      </c>
      <c r="J73" s="560">
        <f t="shared" si="241"/>
        <v>2483</v>
      </c>
      <c r="K73" s="560">
        <f t="shared" si="241"/>
        <v>2826</v>
      </c>
      <c r="L73" s="560">
        <f t="shared" si="241"/>
        <v>2964</v>
      </c>
      <c r="M73" s="560">
        <f t="shared" si="241"/>
        <v>3397</v>
      </c>
      <c r="N73" s="560">
        <f t="shared" si="241"/>
        <v>3115</v>
      </c>
      <c r="O73" s="560">
        <f t="shared" si="241"/>
        <v>3858</v>
      </c>
      <c r="P73" s="560">
        <f t="shared" si="241"/>
        <v>4384</v>
      </c>
      <c r="Q73" s="560">
        <f t="shared" si="241"/>
        <v>5774</v>
      </c>
      <c r="R73" s="560">
        <f t="shared" si="241"/>
        <v>5755</v>
      </c>
      <c r="S73" s="560">
        <f t="shared" si="241"/>
        <v>6315</v>
      </c>
      <c r="T73" s="560">
        <f t="shared" si="241"/>
        <v>6905</v>
      </c>
      <c r="U73" s="560">
        <f t="shared" si="241"/>
        <v>9232</v>
      </c>
      <c r="V73" s="560">
        <f t="shared" si="241"/>
        <v>8250</v>
      </c>
      <c r="W73" s="560">
        <f t="shared" si="241"/>
        <v>9281</v>
      </c>
      <c r="X73" s="560">
        <f t="shared" si="241"/>
        <v>10097</v>
      </c>
      <c r="Y73" s="560">
        <f t="shared" si="241"/>
        <v>12138</v>
      </c>
      <c r="Z73" s="560">
        <f t="shared" si="241"/>
        <v>11326</v>
      </c>
      <c r="AA73" s="560">
        <f t="shared" si="241"/>
        <v>12758</v>
      </c>
      <c r="AB73" s="560">
        <f t="shared" si="241"/>
        <v>13840</v>
      </c>
      <c r="AC73" s="560">
        <f t="shared" si="241"/>
        <v>15915</v>
      </c>
      <c r="AD73" s="560">
        <f t="shared" si="241"/>
        <v>13168</v>
      </c>
      <c r="AE73" s="560">
        <f t="shared" si="241"/>
        <v>17183</v>
      </c>
      <c r="AF73" s="560">
        <f>AF69+AF56+AF53</f>
        <v>18387</v>
      </c>
      <c r="AG73" s="560">
        <f t="shared" si="241"/>
        <v>21301.620146209538</v>
      </c>
      <c r="AH73" s="560">
        <f>AH69+AH56+AH53</f>
        <v>17269.558574973973</v>
      </c>
      <c r="AI73" s="560">
        <f t="shared" ref="AI73:AP73" si="242">AI69+AI56+AI53</f>
        <v>22202.496112679884</v>
      </c>
      <c r="AJ73" s="560">
        <f t="shared" si="242"/>
        <v>23683.462265410002</v>
      </c>
      <c r="AK73" s="560">
        <f t="shared" si="242"/>
        <v>27621.670491134675</v>
      </c>
      <c r="AL73" s="560">
        <f t="shared" si="242"/>
        <v>21581.169441581926</v>
      </c>
      <c r="AM73" s="560">
        <f t="shared" si="242"/>
        <v>27859.947108740165</v>
      </c>
      <c r="AN73" s="560">
        <f t="shared" si="242"/>
        <v>29673.193398782299</v>
      </c>
      <c r="AO73" s="560">
        <f t="shared" si="242"/>
        <v>34780.699954449097</v>
      </c>
      <c r="AP73" s="560">
        <f t="shared" si="242"/>
        <v>26463.036801977407</v>
      </c>
      <c r="AQ73" s="539"/>
      <c r="AR73" s="556"/>
      <c r="AS73" s="514"/>
      <c r="AT73" s="519">
        <f>C73+D73+E73+F73</f>
        <v>7151</v>
      </c>
      <c r="AU73" s="519">
        <f>G73+H73+I73+J73</f>
        <v>9691</v>
      </c>
      <c r="AV73" s="519">
        <f>K73+L73+M73+N73</f>
        <v>12302</v>
      </c>
      <c r="AW73" s="519">
        <f>O73+P73+Q73+R73</f>
        <v>19771</v>
      </c>
      <c r="AX73" s="519">
        <f>S73+T73+U73+V73</f>
        <v>30702</v>
      </c>
      <c r="AY73" s="560">
        <f>W73+X73+Y73+Z73</f>
        <v>42842</v>
      </c>
      <c r="AZ73" s="519">
        <f>AA73+AB73+AC73+AD73</f>
        <v>55681</v>
      </c>
      <c r="BA73" s="560">
        <f t="shared" ref="BA73:BJ73" si="243">BA69+BA56+BA53</f>
        <v>74141.178721183518</v>
      </c>
      <c r="BB73" s="560">
        <f t="shared" si="243"/>
        <v>95088.79831080648</v>
      </c>
      <c r="BC73" s="560">
        <f t="shared" si="243"/>
        <v>118776.87726394896</v>
      </c>
      <c r="BD73" s="560">
        <f t="shared" si="243"/>
        <v>141433.06013771772</v>
      </c>
      <c r="BE73" s="560">
        <f t="shared" si="243"/>
        <v>162163.28957369138</v>
      </c>
      <c r="BF73" s="560">
        <f t="shared" si="243"/>
        <v>180524.42887520872</v>
      </c>
      <c r="BG73" s="560">
        <f t="shared" si="243"/>
        <v>196403.06372672506</v>
      </c>
      <c r="BH73" s="560">
        <f t="shared" si="243"/>
        <v>209892.45172045918</v>
      </c>
      <c r="BI73" s="560">
        <f t="shared" si="243"/>
        <v>221198.21212818794</v>
      </c>
      <c r="BJ73" s="560">
        <f t="shared" si="243"/>
        <v>230575.27022790399</v>
      </c>
      <c r="BL73" s="560">
        <v>14167.57</v>
      </c>
      <c r="BM73" s="560">
        <v>16537.5</v>
      </c>
      <c r="BN73" s="560">
        <v>15132.9</v>
      </c>
      <c r="BO73" s="560">
        <v>17886.947962465598</v>
      </c>
    </row>
    <row r="74" spans="1:67" s="522" customFormat="1" ht="12" customHeight="1" outlineLevel="1" x14ac:dyDescent="0.35">
      <c r="B74" s="530" t="s">
        <v>459</v>
      </c>
      <c r="G74" s="522">
        <f t="shared" ref="G74:AH74" si="244">G73/C73-1</f>
        <v>0.32562385879488742</v>
      </c>
      <c r="H74" s="522">
        <f t="shared" si="244"/>
        <v>0.38016055045871555</v>
      </c>
      <c r="I74" s="522">
        <f t="shared" si="244"/>
        <v>0.39818763326226003</v>
      </c>
      <c r="J74" s="522">
        <f t="shared" si="244"/>
        <v>0.31514830508474567</v>
      </c>
      <c r="K74" s="522">
        <f t="shared" si="244"/>
        <v>0.29752066115702469</v>
      </c>
      <c r="L74" s="522">
        <f t="shared" si="244"/>
        <v>0.23140839218944742</v>
      </c>
      <c r="M74" s="522">
        <f>M73/I73-1</f>
        <v>0.29508196721311486</v>
      </c>
      <c r="N74" s="522">
        <f t="shared" si="244"/>
        <v>0.25453080950463147</v>
      </c>
      <c r="O74" s="522">
        <f t="shared" si="244"/>
        <v>0.36518046709129504</v>
      </c>
      <c r="P74" s="522">
        <f t="shared" si="244"/>
        <v>0.47908232118758431</v>
      </c>
      <c r="Q74" s="522">
        <f t="shared" si="244"/>
        <v>0.69973506034736532</v>
      </c>
      <c r="R74" s="522">
        <f>R73/N73-1</f>
        <v>0.84751203852327439</v>
      </c>
      <c r="S74" s="522">
        <f t="shared" si="244"/>
        <v>0.63685847589424571</v>
      </c>
      <c r="T74" s="522">
        <f t="shared" si="244"/>
        <v>0.57504562043795615</v>
      </c>
      <c r="U74" s="522">
        <f t="shared" si="244"/>
        <v>0.59889158295808809</v>
      </c>
      <c r="V74" s="522">
        <f t="shared" si="244"/>
        <v>0.4335360556038228</v>
      </c>
      <c r="W74" s="522">
        <f t="shared" si="244"/>
        <v>0.46967537608867782</v>
      </c>
      <c r="X74" s="522">
        <f>X73/T73-1</f>
        <v>0.46227371469949308</v>
      </c>
      <c r="Y74" s="522">
        <f t="shared" si="244"/>
        <v>0.31477469670710567</v>
      </c>
      <c r="Z74" s="522">
        <f t="shared" si="244"/>
        <v>0.37284848484848476</v>
      </c>
      <c r="AA74" s="522">
        <f t="shared" si="244"/>
        <v>0.37463635384118099</v>
      </c>
      <c r="AB74" s="522">
        <f t="shared" si="244"/>
        <v>0.37070416955531349</v>
      </c>
      <c r="AC74" s="522">
        <f t="shared" si="244"/>
        <v>0.31117152743450327</v>
      </c>
      <c r="AD74" s="522">
        <f t="shared" si="244"/>
        <v>0.16263464594737775</v>
      </c>
      <c r="AE74" s="522">
        <f>AE73/AA73-1</f>
        <v>0.34684119767988708</v>
      </c>
      <c r="AF74" s="522">
        <f t="shared" si="244"/>
        <v>0.32854046242774571</v>
      </c>
      <c r="AG74" s="522">
        <f t="shared" si="244"/>
        <v>0.33846183765061499</v>
      </c>
      <c r="AH74" s="522">
        <f t="shared" si="244"/>
        <v>0.31147923564504665</v>
      </c>
      <c r="AI74" s="522">
        <f t="shared" ref="AI74" si="245">AI73/AE73-1</f>
        <v>0.29211989249140924</v>
      </c>
      <c r="AJ74" s="522">
        <f t="shared" ref="AJ74" si="246">AJ73/AF73-1</f>
        <v>0.28805472700331758</v>
      </c>
      <c r="AK74" s="522">
        <f t="shared" ref="AK74" si="247">AK73/AG73-1</f>
        <v>0.29669341118401937</v>
      </c>
      <c r="AL74" s="522">
        <f t="shared" ref="AL74" si="248">AL73/AH73-1</f>
        <v>0.24966537783172327</v>
      </c>
      <c r="AM74" s="522">
        <f t="shared" ref="AM74" si="249">AM73/AI73-1</f>
        <v>0.25481148458930702</v>
      </c>
      <c r="AN74" s="522">
        <f t="shared" ref="AN74" si="250">AN73/AJ73-1</f>
        <v>0.25290774913938052</v>
      </c>
      <c r="AO74" s="522">
        <f t="shared" ref="AO74" si="251">AO73/AK73-1</f>
        <v>0.25918162573158465</v>
      </c>
      <c r="AP74" s="522">
        <f t="shared" ref="AP74" si="252">AP73/AL73-1</f>
        <v>0.22620958394354895</v>
      </c>
      <c r="AQ74" s="567"/>
      <c r="AR74" s="520"/>
      <c r="AS74" s="521"/>
      <c r="AU74" s="522">
        <f t="shared" ref="AU74:BB74" si="253">AU73/AT73-1</f>
        <v>0.35519507761152291</v>
      </c>
      <c r="AV74" s="522">
        <f>AV73/AU73-1</f>
        <v>0.26942523991332168</v>
      </c>
      <c r="AW74" s="522">
        <f t="shared" si="253"/>
        <v>0.60713705088603476</v>
      </c>
      <c r="AX74" s="522">
        <f>AX73/AW73-1</f>
        <v>0.55288048151332769</v>
      </c>
      <c r="AY74" s="522">
        <f t="shared" si="253"/>
        <v>0.39541397954530644</v>
      </c>
      <c r="AZ74" s="522">
        <f t="shared" si="253"/>
        <v>0.29968255450259096</v>
      </c>
      <c r="BA74" s="522">
        <f t="shared" si="253"/>
        <v>0.3315346118277962</v>
      </c>
      <c r="BB74" s="522">
        <f t="shared" si="253"/>
        <v>0.28253691067414644</v>
      </c>
      <c r="BC74" s="522">
        <f t="shared" ref="BC74" si="254">BC73/BB73-1</f>
        <v>0.24911534664383717</v>
      </c>
      <c r="BD74" s="522">
        <f t="shared" ref="BD74" si="255">BD73/BC73-1</f>
        <v>0.19074573600231659</v>
      </c>
      <c r="BE74" s="522">
        <f t="shared" ref="BE74" si="256">BE73/BD73-1</f>
        <v>0.14657272787414755</v>
      </c>
      <c r="BF74" s="522">
        <f t="shared" ref="BF74" si="257">BF73/BE73-1</f>
        <v>0.11322623850186231</v>
      </c>
      <c r="BG74" s="522">
        <f t="shared" ref="BG74" si="258">BG73/BF73-1</f>
        <v>8.7958371897095322E-2</v>
      </c>
      <c r="BH74" s="522">
        <f t="shared" ref="BH74" si="259">BH73/BG73-1</f>
        <v>6.8682166855112081E-2</v>
      </c>
      <c r="BI74" s="522">
        <f t="shared" ref="BI74" si="260">BI73/BH73-1</f>
        <v>5.3864540220751156E-2</v>
      </c>
      <c r="BJ74" s="522">
        <f t="shared" ref="BJ74" si="261">BJ73/BI73-1</f>
        <v>4.2392106199673485E-2</v>
      </c>
      <c r="BL74" s="522">
        <v>0.40314647915222301</v>
      </c>
      <c r="BM74" s="522">
        <v>0.36245674740484402</v>
      </c>
      <c r="BN74" s="522">
        <v>0.18614986675027401</v>
      </c>
      <c r="BO74" s="522">
        <v>0.29240953486023114</v>
      </c>
    </row>
    <row r="75" spans="1:67" s="522" customFormat="1" ht="12" customHeight="1" outlineLevel="1" x14ac:dyDescent="0.35">
      <c r="B75" s="530"/>
      <c r="AQ75" s="567"/>
      <c r="AR75" s="520"/>
      <c r="AS75" s="521"/>
    </row>
    <row r="76" spans="1:67" s="522" customFormat="1" ht="12" customHeight="1" outlineLevel="1" x14ac:dyDescent="0.35">
      <c r="B76" s="599"/>
      <c r="AQ76" s="567"/>
      <c r="AR76" s="520"/>
      <c r="AS76" s="521"/>
    </row>
    <row r="77" spans="1:67" s="538" customFormat="1" ht="12" customHeight="1" outlineLevel="1" x14ac:dyDescent="0.35">
      <c r="A77" s="538" t="s">
        <v>477</v>
      </c>
      <c r="B77" s="597" t="s">
        <v>490</v>
      </c>
      <c r="U77" s="605">
        <v>3907</v>
      </c>
      <c r="V77" s="605">
        <v>2852</v>
      </c>
      <c r="W77" s="605">
        <v>3327</v>
      </c>
      <c r="X77" s="606">
        <v>3206</v>
      </c>
      <c r="Y77" s="605">
        <v>4491</v>
      </c>
      <c r="Z77" s="605">
        <v>3861</v>
      </c>
      <c r="AA77" s="519">
        <v>5005</v>
      </c>
      <c r="AB77" s="519">
        <v>4759</v>
      </c>
      <c r="AC77" s="519">
        <v>7518</v>
      </c>
      <c r="AD77" s="519">
        <v>4951</v>
      </c>
      <c r="AE77" s="519">
        <v>7713</v>
      </c>
      <c r="AF77" s="519">
        <v>8226</v>
      </c>
      <c r="AG77" s="519">
        <f>AC77*(1+AG78)</f>
        <v>11652.9</v>
      </c>
      <c r="AH77" s="519">
        <f>AD77*(1+AH78)</f>
        <v>7674.05</v>
      </c>
      <c r="AI77" s="519">
        <f t="shared" ref="AI77:AP77" si="262">AE77*(1+AI78)</f>
        <v>10798.199999999999</v>
      </c>
      <c r="AJ77" s="519">
        <f t="shared" si="262"/>
        <v>11516.4</v>
      </c>
      <c r="AK77" s="519">
        <f t="shared" si="262"/>
        <v>16314.059999999998</v>
      </c>
      <c r="AL77" s="519">
        <f t="shared" si="262"/>
        <v>10359.967500000001</v>
      </c>
      <c r="AM77" s="519">
        <f t="shared" si="262"/>
        <v>14577.57</v>
      </c>
      <c r="AN77" s="519">
        <f t="shared" si="262"/>
        <v>15547.140000000001</v>
      </c>
      <c r="AO77" s="519">
        <f t="shared" si="262"/>
        <v>22023.981</v>
      </c>
      <c r="AP77" s="519">
        <f t="shared" si="262"/>
        <v>13467.957750000001</v>
      </c>
      <c r="AQ77" s="539" t="s">
        <v>458</v>
      </c>
      <c r="AR77" s="558" t="s">
        <v>465</v>
      </c>
      <c r="AS77" s="559"/>
      <c r="AT77" s="519">
        <f>C77+D77+E77+F77</f>
        <v>0</v>
      </c>
      <c r="AU77" s="519">
        <f>G77+H77+I77+J77</f>
        <v>0</v>
      </c>
      <c r="AV77" s="519">
        <f>K77+L77+M77+N77</f>
        <v>0</v>
      </c>
      <c r="AW77" s="519">
        <f>O77+P77+Q77+R77</f>
        <v>0</v>
      </c>
      <c r="AX77" s="519">
        <f>S77+T77+U77+V77</f>
        <v>6759</v>
      </c>
      <c r="AY77" s="560">
        <f>W77+X77+Y77+Z77</f>
        <v>14885</v>
      </c>
      <c r="AZ77" s="519">
        <f>AA77+AB77+AC77+AD77</f>
        <v>22233</v>
      </c>
      <c r="BA77" s="605">
        <f>SUM(AE77:AH77)</f>
        <v>35265.950000000004</v>
      </c>
      <c r="BB77" s="605">
        <f>SUM(AI77:AL77)</f>
        <v>48988.627499999995</v>
      </c>
      <c r="BC77" s="605">
        <f>SUM(AM77:AP77)</f>
        <v>65616.648749999993</v>
      </c>
      <c r="BD77" s="605">
        <f t="shared" ref="BD77:BJ77" si="263">BC77*(1+BD78)</f>
        <v>83434.253944491895</v>
      </c>
      <c r="BE77" s="605">
        <f t="shared" si="263"/>
        <v>101558.90523101388</v>
      </c>
      <c r="BF77" s="605">
        <f t="shared" si="263"/>
        <v>119208.44033517073</v>
      </c>
      <c r="BG77" s="605">
        <f t="shared" si="263"/>
        <v>135781.86477389638</v>
      </c>
      <c r="BH77" s="605">
        <f t="shared" si="263"/>
        <v>150883.95297941077</v>
      </c>
      <c r="BI77" s="605">
        <f t="shared" si="263"/>
        <v>164309.38513405778</v>
      </c>
      <c r="BJ77" s="605">
        <f t="shared" si="263"/>
        <v>176005.39101900472</v>
      </c>
      <c r="BL77" s="519">
        <v>4328.1000000000004</v>
      </c>
      <c r="BM77" s="519">
        <v>6287.4</v>
      </c>
      <c r="BN77" s="519">
        <v>6906.9</v>
      </c>
      <c r="BO77" s="519">
        <v>6281.88</v>
      </c>
    </row>
    <row r="78" spans="1:67" s="522" customFormat="1" ht="12" customHeight="1" outlineLevel="1" x14ac:dyDescent="0.35">
      <c r="B78" s="530" t="s">
        <v>459</v>
      </c>
      <c r="W78" s="585"/>
      <c r="Y78" s="522">
        <f>Y77/U77-1</f>
        <v>0.14947530074225757</v>
      </c>
      <c r="Z78" s="568">
        <f>Z77/V77-1</f>
        <v>0.35378681626928477</v>
      </c>
      <c r="AA78" s="522">
        <f>AA77/W77-1</f>
        <v>0.5043582807333935</v>
      </c>
      <c r="AB78" s="522">
        <f t="shared" ref="AB78:AF78" si="264">AB77/X77-1</f>
        <v>0.48440424204616339</v>
      </c>
      <c r="AC78" s="522">
        <f t="shared" si="264"/>
        <v>0.67401469605878428</v>
      </c>
      <c r="AD78" s="522">
        <f t="shared" si="264"/>
        <v>0.28231028231028232</v>
      </c>
      <c r="AE78" s="522">
        <f t="shared" si="264"/>
        <v>0.54105894105894103</v>
      </c>
      <c r="AF78" s="522">
        <f t="shared" si="264"/>
        <v>0.72851439378020588</v>
      </c>
      <c r="AG78" s="562">
        <v>0.55000000000000004</v>
      </c>
      <c r="AH78" s="562">
        <v>0.55000000000000004</v>
      </c>
      <c r="AI78" s="562">
        <v>0.4</v>
      </c>
      <c r="AJ78" s="562">
        <v>0.4</v>
      </c>
      <c r="AK78" s="562">
        <v>0.4</v>
      </c>
      <c r="AL78" s="562">
        <v>0.35</v>
      </c>
      <c r="AM78" s="562">
        <v>0.35</v>
      </c>
      <c r="AN78" s="562">
        <v>0.35</v>
      </c>
      <c r="AO78" s="562">
        <v>0.35</v>
      </c>
      <c r="AP78" s="562">
        <v>0.3</v>
      </c>
      <c r="AQ78" s="567"/>
      <c r="AR78" s="520"/>
      <c r="AS78" s="521"/>
      <c r="AY78" s="522">
        <f>AY77/AX77-1</f>
        <v>1.2022488533806777</v>
      </c>
      <c r="AZ78" s="522">
        <f>AZ77/AY77-1</f>
        <v>0.49365132683909985</v>
      </c>
      <c r="BA78" s="522">
        <f t="shared" ref="BA78:BC78" si="265">BA77/AZ77-1</f>
        <v>0.58619844375477914</v>
      </c>
      <c r="BB78" s="522">
        <f t="shared" si="265"/>
        <v>0.38911974581714048</v>
      </c>
      <c r="BC78" s="522">
        <f t="shared" si="265"/>
        <v>0.3394261504876821</v>
      </c>
      <c r="BD78" s="562">
        <f>BC78*0.8</f>
        <v>0.27154092039014571</v>
      </c>
      <c r="BE78" s="562">
        <f t="shared" ref="BE78:BJ78" si="266">BD78*0.8</f>
        <v>0.21723273631211659</v>
      </c>
      <c r="BF78" s="562">
        <f t="shared" si="266"/>
        <v>0.17378618904969328</v>
      </c>
      <c r="BG78" s="562">
        <f t="shared" si="266"/>
        <v>0.13902895123975464</v>
      </c>
      <c r="BH78" s="562">
        <f t="shared" si="266"/>
        <v>0.11122316099180372</v>
      </c>
      <c r="BI78" s="562">
        <f t="shared" si="266"/>
        <v>8.8978528793442979E-2</v>
      </c>
      <c r="BJ78" s="562">
        <f t="shared" si="266"/>
        <v>7.1182823034754386E-2</v>
      </c>
      <c r="BL78" s="562">
        <v>0.35</v>
      </c>
      <c r="BM78" s="562">
        <v>0.4</v>
      </c>
      <c r="BN78" s="601">
        <v>0.38</v>
      </c>
      <c r="BO78" s="562">
        <v>0.32</v>
      </c>
    </row>
    <row r="79" spans="1:67" s="522" customFormat="1" ht="12" customHeight="1" outlineLevel="1" x14ac:dyDescent="0.35">
      <c r="B79" s="599"/>
      <c r="W79" s="585"/>
      <c r="Z79" s="562"/>
      <c r="AA79" s="562"/>
      <c r="AB79" s="562"/>
      <c r="AC79" s="562"/>
      <c r="AD79" s="562"/>
      <c r="AE79" s="562"/>
      <c r="AF79" s="562"/>
      <c r="AG79" s="562"/>
      <c r="AH79" s="562"/>
      <c r="AI79" s="562"/>
      <c r="AJ79" s="562"/>
      <c r="AK79" s="562"/>
      <c r="AL79" s="562"/>
      <c r="AM79" s="562"/>
      <c r="AN79" s="562"/>
      <c r="AO79" s="562"/>
      <c r="AP79" s="562"/>
      <c r="AQ79" s="567"/>
      <c r="AR79" s="520"/>
      <c r="AS79" s="521"/>
      <c r="AZ79" s="562"/>
      <c r="BA79" s="562"/>
      <c r="BB79" s="562"/>
      <c r="BC79" s="562"/>
      <c r="BD79" s="562"/>
      <c r="BE79" s="562"/>
      <c r="BF79" s="562"/>
      <c r="BG79" s="562"/>
      <c r="BH79" s="562"/>
      <c r="BI79" s="562"/>
      <c r="BJ79" s="562"/>
      <c r="BL79" s="562"/>
      <c r="BM79" s="562"/>
      <c r="BN79" s="562"/>
      <c r="BO79" s="562"/>
    </row>
    <row r="80" spans="1:67" s="607" customFormat="1" ht="12" customHeight="1" outlineLevel="1" x14ac:dyDescent="0.35">
      <c r="A80" s="607" t="s">
        <v>477</v>
      </c>
      <c r="B80" s="597" t="s">
        <v>491</v>
      </c>
      <c r="V80" s="608"/>
      <c r="W80" s="608">
        <v>2612</v>
      </c>
      <c r="X80" s="608">
        <v>5021</v>
      </c>
      <c r="Y80" s="608">
        <v>5159</v>
      </c>
      <c r="Z80" s="609">
        <v>5266</v>
      </c>
      <c r="AA80" s="609">
        <v>6180</v>
      </c>
      <c r="AB80" s="609">
        <v>6835</v>
      </c>
      <c r="AC80" s="609">
        <v>7584</v>
      </c>
      <c r="AD80" s="609">
        <v>4841</v>
      </c>
      <c r="AE80" s="609">
        <v>7101</v>
      </c>
      <c r="AF80" s="609">
        <v>8839</v>
      </c>
      <c r="AG80" s="609">
        <f>AC80*(1+AG81)</f>
        <v>9707.52</v>
      </c>
      <c r="AH80" s="609">
        <f>Z80*(1+AH81)</f>
        <v>7109.1</v>
      </c>
      <c r="AI80" s="609">
        <f t="shared" ref="AI80:AP80" si="267">AA80*(1+AI81)</f>
        <v>7725</v>
      </c>
      <c r="AJ80" s="609">
        <f t="shared" si="267"/>
        <v>8543.75</v>
      </c>
      <c r="AK80" s="609">
        <f t="shared" si="267"/>
        <v>9480</v>
      </c>
      <c r="AL80" s="609">
        <f t="shared" si="267"/>
        <v>5809.2</v>
      </c>
      <c r="AM80" s="609">
        <f t="shared" si="267"/>
        <v>8521.1999999999989</v>
      </c>
      <c r="AN80" s="609">
        <f t="shared" si="267"/>
        <v>10606.8</v>
      </c>
      <c r="AO80" s="609">
        <f t="shared" si="267"/>
        <v>11649.023999999999</v>
      </c>
      <c r="AP80" s="609">
        <f t="shared" si="267"/>
        <v>8388.7379999999994</v>
      </c>
      <c r="AQ80" s="610" t="s">
        <v>458</v>
      </c>
      <c r="AR80" s="558" t="s">
        <v>465</v>
      </c>
      <c r="AS80" s="559"/>
      <c r="AT80" s="519">
        <f>C80+D80+E80+F80</f>
        <v>0</v>
      </c>
      <c r="AU80" s="519">
        <f>G80+H80+I80+J80</f>
        <v>0</v>
      </c>
      <c r="AV80" s="519">
        <f>K80+L80+M80+N80</f>
        <v>0</v>
      </c>
      <c r="AW80" s="519">
        <f>O80+P80+Q80+R80</f>
        <v>0</v>
      </c>
      <c r="AX80" s="519">
        <f>S80+T80+U80+V80</f>
        <v>0</v>
      </c>
      <c r="AY80" s="560">
        <f>W80+X80+Y80+Z80</f>
        <v>18058</v>
      </c>
      <c r="AZ80" s="519">
        <f>AA80+AB80+AC80+AD80</f>
        <v>25440</v>
      </c>
      <c r="BA80" s="519">
        <f>SUM(AE80:AH80)</f>
        <v>32756.620000000003</v>
      </c>
      <c r="BB80" s="611">
        <f>SUM(AI80:AL80)</f>
        <v>31557.95</v>
      </c>
      <c r="BC80" s="611">
        <f>SUM(AM80:AP80)</f>
        <v>39165.761999999995</v>
      </c>
      <c r="BD80" s="611">
        <f t="shared" ref="BD80:BJ80" si="268">BC80*(1+BD81)</f>
        <v>45775.064185120398</v>
      </c>
      <c r="BE80" s="611">
        <f t="shared" si="268"/>
        <v>51182.30896743614</v>
      </c>
      <c r="BF80" s="611">
        <f t="shared" si="268"/>
        <v>55414.497269658161</v>
      </c>
      <c r="BG80" s="611">
        <f t="shared" si="268"/>
        <v>58621.996389855369</v>
      </c>
      <c r="BH80" s="611">
        <f t="shared" si="268"/>
        <v>60997.205184961298</v>
      </c>
      <c r="BI80" s="611">
        <f t="shared" si="268"/>
        <v>63221.506581007678</v>
      </c>
      <c r="BJ80" s="611">
        <f t="shared" si="268"/>
        <v>65296.377330080373</v>
      </c>
      <c r="BL80" s="609">
        <v>6527.3</v>
      </c>
      <c r="BM80" s="609">
        <v>6706.7</v>
      </c>
      <c r="BN80" s="609">
        <v>7107</v>
      </c>
      <c r="BO80" s="609">
        <v>8475.4</v>
      </c>
    </row>
    <row r="81" spans="2:67" s="613" customFormat="1" ht="12" customHeight="1" outlineLevel="1" x14ac:dyDescent="0.35">
      <c r="B81" s="612" t="s">
        <v>459</v>
      </c>
      <c r="W81" s="614"/>
      <c r="AA81" s="613">
        <f t="shared" ref="AA81:AF81" si="269">AA80/W80-1</f>
        <v>1.3660030627871365</v>
      </c>
      <c r="AB81" s="613">
        <f t="shared" si="269"/>
        <v>0.36128261302529374</v>
      </c>
      <c r="AC81" s="613">
        <f t="shared" si="269"/>
        <v>0.47005233572397742</v>
      </c>
      <c r="AD81" s="613">
        <f t="shared" si="269"/>
        <v>-8.0706418533991631E-2</v>
      </c>
      <c r="AE81" s="613">
        <f t="shared" si="269"/>
        <v>0.14902912621359232</v>
      </c>
      <c r="AF81" s="613">
        <f t="shared" si="269"/>
        <v>0.2931967812728602</v>
      </c>
      <c r="AG81" s="601">
        <v>0.28000000000000003</v>
      </c>
      <c r="AH81" s="562">
        <v>0.35</v>
      </c>
      <c r="AI81" s="562">
        <v>0.25</v>
      </c>
      <c r="AJ81" s="562">
        <v>0.25</v>
      </c>
      <c r="AK81" s="562">
        <v>0.25</v>
      </c>
      <c r="AL81" s="562">
        <v>0.2</v>
      </c>
      <c r="AM81" s="562">
        <v>0.2</v>
      </c>
      <c r="AN81" s="562">
        <v>0.2</v>
      </c>
      <c r="AO81" s="562">
        <v>0.2</v>
      </c>
      <c r="AP81" s="562">
        <v>0.18</v>
      </c>
      <c r="AQ81" s="615"/>
      <c r="AY81" s="568"/>
      <c r="AZ81" s="568">
        <f>AZ80/AY80-1</f>
        <v>0.40879388636615355</v>
      </c>
      <c r="BA81" s="568">
        <f>BA80/AZ80-1</f>
        <v>0.28760298742138368</v>
      </c>
      <c r="BB81" s="568">
        <f t="shared" ref="BB81:BC81" si="270">BB80/BA80-1</f>
        <v>-3.6593213829754112E-2</v>
      </c>
      <c r="BC81" s="568">
        <f t="shared" si="270"/>
        <v>0.24107434101391223</v>
      </c>
      <c r="BD81" s="562">
        <f>BC81*0.7</f>
        <v>0.16875203870973854</v>
      </c>
      <c r="BE81" s="562">
        <f t="shared" ref="BE81:BG81" si="271">BD81*0.7</f>
        <v>0.11812642709681696</v>
      </c>
      <c r="BF81" s="562">
        <f t="shared" si="271"/>
        <v>8.2688498967771876E-2</v>
      </c>
      <c r="BG81" s="562">
        <f t="shared" si="271"/>
        <v>5.7881949277440309E-2</v>
      </c>
      <c r="BH81" s="562">
        <f>BG81*0.7</f>
        <v>4.0517364494208216E-2</v>
      </c>
      <c r="BI81" s="562">
        <f t="shared" ref="BI81:BJ81" si="272">BH81*0.9</f>
        <v>3.6465628044787396E-2</v>
      </c>
      <c r="BJ81" s="562">
        <f t="shared" si="272"/>
        <v>3.2819065240308656E-2</v>
      </c>
      <c r="BL81" s="613">
        <v>0.3</v>
      </c>
      <c r="BM81" s="613">
        <v>0.3</v>
      </c>
      <c r="BN81" s="601">
        <v>0.15</v>
      </c>
      <c r="BO81" s="601">
        <v>0.24</v>
      </c>
    </row>
    <row r="82" spans="2:67" s="613" customFormat="1" ht="12" customHeight="1" outlineLevel="1" x14ac:dyDescent="0.35">
      <c r="B82" s="612" t="s">
        <v>466</v>
      </c>
      <c r="W82" s="614"/>
      <c r="AA82" s="613">
        <f t="shared" ref="AA82:AH82" si="273">AA80/Z80-1</f>
        <v>0.1735662742119255</v>
      </c>
      <c r="AB82" s="613">
        <f t="shared" si="273"/>
        <v>0.10598705501618122</v>
      </c>
      <c r="AC82" s="613">
        <f t="shared" si="273"/>
        <v>0.10958302852962687</v>
      </c>
      <c r="AD82" s="613">
        <f t="shared" si="273"/>
        <v>-0.36168248945147674</v>
      </c>
      <c r="AE82" s="613">
        <f t="shared" si="273"/>
        <v>0.46684569303862844</v>
      </c>
      <c r="AF82" s="613">
        <f>AF80/AE80-1</f>
        <v>0.2447542599633854</v>
      </c>
      <c r="AG82" s="613">
        <f t="shared" si="273"/>
        <v>9.8259984161104263E-2</v>
      </c>
      <c r="AH82" s="613">
        <f t="shared" si="273"/>
        <v>-0.26767083662974678</v>
      </c>
      <c r="AI82" s="613">
        <f t="shared" ref="AI82" si="274">AI80/AH80-1</f>
        <v>8.6635439085116284E-2</v>
      </c>
      <c r="AJ82" s="613">
        <f t="shared" ref="AJ82" si="275">AJ80/AI80-1</f>
        <v>0.10598705501618122</v>
      </c>
      <c r="AK82" s="613">
        <f t="shared" ref="AK82" si="276">AK80/AJ80-1</f>
        <v>0.10958302852962687</v>
      </c>
      <c r="AL82" s="613">
        <f t="shared" ref="AL82" si="277">AL80/AK80-1</f>
        <v>-0.38721518987341774</v>
      </c>
      <c r="AM82" s="613">
        <f t="shared" ref="AM82" si="278">AM80/AL80-1</f>
        <v>0.46684569303862822</v>
      </c>
      <c r="AN82" s="613">
        <f t="shared" ref="AN82" si="279">AN80/AM80-1</f>
        <v>0.24475425996338562</v>
      </c>
      <c r="AO82" s="613">
        <f t="shared" ref="AO82" si="280">AO80/AN80-1</f>
        <v>9.8259984161104263E-2</v>
      </c>
      <c r="AP82" s="613">
        <f t="shared" ref="AP82" si="281">AP80/AO80-1</f>
        <v>-0.27987632268591778</v>
      </c>
      <c r="AQ82" s="615"/>
      <c r="AY82" s="568"/>
      <c r="AZ82" s="568"/>
      <c r="BA82" s="568"/>
      <c r="BB82" s="568"/>
      <c r="BC82" s="568"/>
      <c r="BL82" s="613">
        <v>5.61974110032364E-2</v>
      </c>
      <c r="BM82" s="613">
        <v>-1.87710314557425E-2</v>
      </c>
      <c r="BN82" s="613">
        <v>0.46808510638297901</v>
      </c>
      <c r="BO82" s="613">
        <v>0.19355020419659197</v>
      </c>
    </row>
    <row r="83" spans="2:67" s="522" customFormat="1" ht="12" customHeight="1" outlineLevel="1" x14ac:dyDescent="0.35">
      <c r="B83" s="599"/>
      <c r="W83" s="585"/>
      <c r="Y83" s="562"/>
      <c r="Z83" s="562"/>
      <c r="AA83" s="562"/>
      <c r="AB83" s="562"/>
      <c r="AC83" s="562"/>
      <c r="AD83" s="562"/>
      <c r="AE83" s="562"/>
      <c r="AF83" s="562"/>
      <c r="AG83" s="562"/>
      <c r="AH83" s="562"/>
      <c r="AI83" s="562"/>
      <c r="AJ83" s="562"/>
      <c r="AK83" s="562"/>
      <c r="AL83" s="562"/>
      <c r="AM83" s="562"/>
      <c r="AN83" s="562"/>
      <c r="AO83" s="562"/>
      <c r="AP83" s="562"/>
      <c r="AQ83" s="567"/>
      <c r="AR83" s="520"/>
      <c r="AS83" s="521"/>
      <c r="AZ83" s="562"/>
      <c r="BA83" s="562"/>
      <c r="BB83" s="562"/>
      <c r="BC83" s="562"/>
      <c r="BD83" s="562"/>
      <c r="BE83" s="562"/>
      <c r="BF83" s="562"/>
      <c r="BG83" s="562"/>
      <c r="BH83" s="562"/>
      <c r="BI83" s="562"/>
      <c r="BJ83" s="562"/>
      <c r="BL83" s="562"/>
      <c r="BM83" s="562"/>
      <c r="BN83" s="562"/>
      <c r="BO83" s="562"/>
    </row>
    <row r="84" spans="2:67" s="618" customFormat="1" ht="12" customHeight="1" outlineLevel="1" x14ac:dyDescent="0.35">
      <c r="B84" s="616" t="s">
        <v>492</v>
      </c>
      <c r="C84" s="617">
        <f>C77+C73+C49</f>
        <v>10310</v>
      </c>
      <c r="D84" s="617">
        <f t="shared" ref="D84:V84" si="282">D77+D73+D49</f>
        <v>10389.040000000001</v>
      </c>
      <c r="E84" s="617">
        <f t="shared" si="282"/>
        <v>18025</v>
      </c>
      <c r="F84" s="617">
        <f t="shared" si="282"/>
        <v>11258.66</v>
      </c>
      <c r="G84" s="617">
        <f t="shared" si="282"/>
        <v>14817</v>
      </c>
      <c r="H84" s="617">
        <f t="shared" si="282"/>
        <v>15176.384999999998</v>
      </c>
      <c r="I84" s="617">
        <f t="shared" si="282"/>
        <v>23897.974999999999</v>
      </c>
      <c r="J84" s="617">
        <f t="shared" si="282"/>
        <v>15531.640000000001</v>
      </c>
      <c r="K84" s="617">
        <f t="shared" si="282"/>
        <v>18537.525547445257</v>
      </c>
      <c r="L84" s="617">
        <f t="shared" si="282"/>
        <v>20231.450452554742</v>
      </c>
      <c r="M84" s="617">
        <f t="shared" si="282"/>
        <v>32111.09</v>
      </c>
      <c r="N84" s="617">
        <f t="shared" si="282"/>
        <v>21454.934000000001</v>
      </c>
      <c r="O84" s="617">
        <f t="shared" si="282"/>
        <v>27241</v>
      </c>
      <c r="P84" s="617">
        <f t="shared" si="282"/>
        <v>28493</v>
      </c>
      <c r="Q84" s="617">
        <f t="shared" si="282"/>
        <v>46575.805999999997</v>
      </c>
      <c r="R84" s="617">
        <f t="shared" si="282"/>
        <v>31570.194</v>
      </c>
      <c r="S84" s="617">
        <f t="shared" si="282"/>
        <v>43027</v>
      </c>
      <c r="T84" s="617">
        <f t="shared" si="282"/>
        <v>46462</v>
      </c>
      <c r="U84" s="617">
        <f t="shared" si="282"/>
        <v>73244</v>
      </c>
      <c r="V84" s="617">
        <f t="shared" si="282"/>
        <v>51287</v>
      </c>
      <c r="W84" s="617">
        <v>69188</v>
      </c>
      <c r="X84" s="617">
        <f t="shared" ref="X84:AP84" si="283">X77+X73+X49+X80</f>
        <v>72475</v>
      </c>
      <c r="Y84" s="617">
        <f t="shared" si="283"/>
        <v>102843</v>
      </c>
      <c r="Z84" s="617">
        <f t="shared" si="283"/>
        <v>78894</v>
      </c>
      <c r="AA84" s="617">
        <f t="shared" si="283"/>
        <v>99544</v>
      </c>
      <c r="AB84" s="617">
        <f t="shared" si="283"/>
        <v>101220</v>
      </c>
      <c r="AC84" s="617">
        <f t="shared" si="283"/>
        <v>141475</v>
      </c>
      <c r="AD84" s="617">
        <f t="shared" si="283"/>
        <v>93865</v>
      </c>
      <c r="AE84" s="617">
        <f t="shared" si="283"/>
        <v>133318</v>
      </c>
      <c r="AF84" s="617">
        <v>130922</v>
      </c>
      <c r="AG84" s="617">
        <f>AG77+AG73+AG49+AG80</f>
        <v>177452.13837985386</v>
      </c>
      <c r="AH84" s="617">
        <f t="shared" si="283"/>
        <v>127306.82859649369</v>
      </c>
      <c r="AI84" s="617">
        <f t="shared" si="283"/>
        <v>166956.78527825969</v>
      </c>
      <c r="AJ84" s="617">
        <f t="shared" si="283"/>
        <v>170582.72675037954</v>
      </c>
      <c r="AK84" s="617">
        <f t="shared" si="283"/>
        <v>221905.60629135155</v>
      </c>
      <c r="AL84" s="617">
        <f t="shared" si="283"/>
        <v>157000.4936073322</v>
      </c>
      <c r="AM84" s="617">
        <f t="shared" si="283"/>
        <v>205786.29113741126</v>
      </c>
      <c r="AN84" s="617">
        <f t="shared" si="283"/>
        <v>213257.90340430746</v>
      </c>
      <c r="AO84" s="617">
        <f t="shared" si="283"/>
        <v>272781.65244681633</v>
      </c>
      <c r="AP84" s="617">
        <f t="shared" si="283"/>
        <v>193933.46613800092</v>
      </c>
      <c r="AQ84" s="539" t="s">
        <v>458</v>
      </c>
      <c r="AR84" s="508" t="s">
        <v>465</v>
      </c>
      <c r="AS84" s="509"/>
      <c r="AT84" s="617">
        <f>C84+D84+E84+F84</f>
        <v>49982.7</v>
      </c>
      <c r="AU84" s="617">
        <f>G84+H84+I84+J84</f>
        <v>69423</v>
      </c>
      <c r="AV84" s="617">
        <f>K84+L84+M84+N84</f>
        <v>92335</v>
      </c>
      <c r="AW84" s="617">
        <f>O84+P84+Q84+R84</f>
        <v>133880</v>
      </c>
      <c r="AX84" s="617">
        <f>S84+T84+U84+V84</f>
        <v>214020</v>
      </c>
      <c r="AY84" s="630">
        <f>W84+X84+Y84+Z84</f>
        <v>323400</v>
      </c>
      <c r="AZ84" s="630">
        <f>AA84+AB84+AC84+AD84</f>
        <v>436104</v>
      </c>
      <c r="BA84" s="630">
        <f>BA77+BA73+BA49+BA80</f>
        <v>568998.9669763475</v>
      </c>
      <c r="BB84" s="630">
        <f>BB77+BB73+BB49+BB80</f>
        <v>716445.61192732281</v>
      </c>
      <c r="BC84" s="630">
        <f t="shared" ref="BC84:BJ84" si="284">BC77+BC73+BC49+BC80</f>
        <v>885759.31312653597</v>
      </c>
      <c r="BD84" s="630">
        <f t="shared" si="284"/>
        <v>1062725.0459108921</v>
      </c>
      <c r="BE84" s="630">
        <f t="shared" si="284"/>
        <v>1235380.3949029713</v>
      </c>
      <c r="BF84" s="630">
        <f t="shared" si="284"/>
        <v>1394835.4196058777</v>
      </c>
      <c r="BG84" s="630">
        <f t="shared" si="284"/>
        <v>1536340.9512625958</v>
      </c>
      <c r="BH84" s="630">
        <f t="shared" si="284"/>
        <v>1658647.8393094193</v>
      </c>
      <c r="BI84" s="630">
        <f t="shared" si="284"/>
        <v>1763236.8883271215</v>
      </c>
      <c r="BJ84" s="630">
        <f t="shared" si="284"/>
        <v>1852024.7500557804</v>
      </c>
      <c r="BK84" s="538"/>
      <c r="BL84" s="617">
        <v>101334.058191948</v>
      </c>
      <c r="BM84" s="617">
        <v>145114.69212711</v>
      </c>
      <c r="BN84" s="617">
        <v>128192.002456834</v>
      </c>
      <c r="BO84" s="617">
        <v>130785.6077275062</v>
      </c>
    </row>
    <row r="85" spans="2:67" s="538" customFormat="1" ht="12" customHeight="1" outlineLevel="1" x14ac:dyDescent="0.35">
      <c r="B85" s="530" t="s">
        <v>459</v>
      </c>
      <c r="C85" s="560"/>
      <c r="D85" s="522"/>
      <c r="E85" s="522"/>
      <c r="F85" s="522"/>
      <c r="G85" s="522">
        <f>G84/C84-1</f>
        <v>0.43714839961202712</v>
      </c>
      <c r="H85" s="522">
        <f t="shared" ref="H85:AE85" si="285">H84/D84-1</f>
        <v>0.46080725456827554</v>
      </c>
      <c r="I85" s="522">
        <f t="shared" si="285"/>
        <v>0.32582385575589456</v>
      </c>
      <c r="J85" s="522">
        <f t="shared" si="285"/>
        <v>0.37952829199922555</v>
      </c>
      <c r="K85" s="522">
        <f t="shared" si="285"/>
        <v>0.25109843743303339</v>
      </c>
      <c r="L85" s="522">
        <f t="shared" si="285"/>
        <v>0.3330875865731362</v>
      </c>
      <c r="M85" s="522">
        <f t="shared" si="285"/>
        <v>0.3436740979099695</v>
      </c>
      <c r="N85" s="522">
        <f t="shared" si="285"/>
        <v>0.38136951410153719</v>
      </c>
      <c r="O85" s="522">
        <f t="shared" si="285"/>
        <v>0.46950572935308554</v>
      </c>
      <c r="P85" s="522">
        <f t="shared" si="285"/>
        <v>0.40835181673304222</v>
      </c>
      <c r="Q85" s="522">
        <f t="shared" si="285"/>
        <v>0.45045857988626348</v>
      </c>
      <c r="R85" s="522">
        <f t="shared" si="285"/>
        <v>0.47146544473173391</v>
      </c>
      <c r="S85" s="522">
        <f t="shared" si="285"/>
        <v>0.57949414485518158</v>
      </c>
      <c r="T85" s="522">
        <f t="shared" si="285"/>
        <v>0.6306461236093075</v>
      </c>
      <c r="U85" s="522">
        <f t="shared" si="285"/>
        <v>0.57257611387337026</v>
      </c>
      <c r="V85" s="522">
        <f t="shared" si="285"/>
        <v>0.62453863919873287</v>
      </c>
      <c r="W85" s="522">
        <f t="shared" si="285"/>
        <v>0.6080135728728473</v>
      </c>
      <c r="X85" s="522">
        <f t="shared" si="285"/>
        <v>0.55987688864017904</v>
      </c>
      <c r="Y85" s="522">
        <f t="shared" si="285"/>
        <v>0.40411501283381579</v>
      </c>
      <c r="Z85" s="522">
        <f t="shared" si="285"/>
        <v>0.53828455554039034</v>
      </c>
      <c r="AA85" s="522">
        <f t="shared" si="285"/>
        <v>0.43874660345724692</v>
      </c>
      <c r="AB85" s="522">
        <f t="shared" si="285"/>
        <v>0.39661952397378397</v>
      </c>
      <c r="AC85" s="522">
        <f t="shared" si="285"/>
        <v>0.37564053946306508</v>
      </c>
      <c r="AD85" s="522">
        <f>AD84/Z84-1</f>
        <v>0.18976094506553087</v>
      </c>
      <c r="AE85" s="522">
        <f t="shared" si="285"/>
        <v>0.33928714940126969</v>
      </c>
      <c r="AF85" s="522">
        <f>AF84/AB84-1</f>
        <v>0.29344003161430554</v>
      </c>
      <c r="AG85" s="522">
        <f t="shared" ref="AG85:AH85" si="286">AG84/AC84-1</f>
        <v>0.25430032429654603</v>
      </c>
      <c r="AH85" s="522">
        <f t="shared" si="286"/>
        <v>0.35627580670637293</v>
      </c>
      <c r="AI85" s="522">
        <f t="shared" ref="AI85" si="287">AI84/AE84-1</f>
        <v>0.25231990637618096</v>
      </c>
      <c r="AJ85" s="522">
        <f t="shared" ref="AJ85" si="288">AJ84/AF84-1</f>
        <v>0.30293401223919236</v>
      </c>
      <c r="AK85" s="522">
        <f t="shared" ref="AK85" si="289">AK84/AG84-1</f>
        <v>0.25050962088910222</v>
      </c>
      <c r="AL85" s="522">
        <f t="shared" ref="AL85" si="290">AL84/AH84-1</f>
        <v>0.23324487255082205</v>
      </c>
      <c r="AM85" s="522">
        <f t="shared" ref="AM85" si="291">AM84/AI84-1</f>
        <v>0.23257219402275919</v>
      </c>
      <c r="AN85" s="522">
        <f t="shared" ref="AN85" si="292">AN84/AJ84-1</f>
        <v>0.25017290711020346</v>
      </c>
      <c r="AO85" s="522">
        <f t="shared" ref="AO85" si="293">AO84/AK84-1</f>
        <v>0.22926886348543607</v>
      </c>
      <c r="AP85" s="522">
        <f t="shared" ref="AP85" si="294">AP84/AL84-1</f>
        <v>0.23524112365557492</v>
      </c>
      <c r="AQ85" s="539"/>
      <c r="AR85" s="508"/>
      <c r="AS85" s="509"/>
      <c r="AT85" s="560"/>
      <c r="AU85" s="560"/>
      <c r="AV85" s="560"/>
      <c r="AW85" s="560"/>
      <c r="AX85" s="560"/>
      <c r="AY85" s="560"/>
      <c r="AZ85" s="568">
        <f t="shared" ref="AZ85:BJ85" si="295">AZ84/AY84-1</f>
        <v>0.34849721706864556</v>
      </c>
      <c r="BA85" s="568">
        <f t="shared" si="295"/>
        <v>0.30473228169507149</v>
      </c>
      <c r="BB85" s="568">
        <f t="shared" si="295"/>
        <v>0.25913341413342939</v>
      </c>
      <c r="BC85" s="568">
        <f t="shared" si="295"/>
        <v>0.23632457004480689</v>
      </c>
      <c r="BD85" s="568">
        <f t="shared" si="295"/>
        <v>0.19978986408814148</v>
      </c>
      <c r="BE85" s="568">
        <f t="shared" si="295"/>
        <v>0.16246474067437777</v>
      </c>
      <c r="BF85" s="568">
        <f t="shared" si="295"/>
        <v>0.12907362409246437</v>
      </c>
      <c r="BG85" s="568">
        <f t="shared" si="295"/>
        <v>0.10144962600440821</v>
      </c>
      <c r="BH85" s="568">
        <f t="shared" si="295"/>
        <v>7.9609209105771184E-2</v>
      </c>
      <c r="BI85" s="568">
        <f t="shared" si="295"/>
        <v>6.3056814435816566E-2</v>
      </c>
      <c r="BJ85" s="568">
        <f t="shared" si="295"/>
        <v>5.035503868847524E-2</v>
      </c>
      <c r="BL85" s="560"/>
      <c r="BM85" s="560"/>
      <c r="BN85" s="560"/>
      <c r="BO85" s="522">
        <v>0.29209254818717834</v>
      </c>
    </row>
    <row r="86" spans="2:67" s="522" customFormat="1" ht="11.65" outlineLevel="1" x14ac:dyDescent="0.35">
      <c r="B86" s="619"/>
      <c r="AQ86" s="567"/>
      <c r="AR86" s="520"/>
      <c r="AS86" s="521"/>
    </row>
    <row r="87" spans="2:67" ht="11.65" hidden="1" outlineLevel="2" x14ac:dyDescent="0.35">
      <c r="B87" s="620" t="s">
        <v>493</v>
      </c>
      <c r="C87" s="578"/>
      <c r="D87" s="578"/>
      <c r="E87" s="578"/>
      <c r="F87" s="578"/>
      <c r="G87" s="578"/>
      <c r="H87" s="578"/>
      <c r="I87" s="578"/>
      <c r="J87" s="578"/>
      <c r="K87" s="578"/>
      <c r="L87" s="578"/>
      <c r="M87" s="578"/>
      <c r="N87" s="578"/>
      <c r="O87" s="578"/>
      <c r="P87" s="578"/>
      <c r="Q87" s="578">
        <f>U87/(1+U88)</f>
        <v>45895</v>
      </c>
      <c r="R87" s="578">
        <f>V87/(1+V88)</f>
        <v>31102.189781021894</v>
      </c>
      <c r="S87" s="578">
        <v>41413</v>
      </c>
      <c r="T87" s="578">
        <v>43236</v>
      </c>
      <c r="U87" s="578">
        <v>64253</v>
      </c>
      <c r="V87" s="578">
        <v>42610</v>
      </c>
      <c r="W87" s="578">
        <v>58182</v>
      </c>
      <c r="X87" s="578">
        <v>61412</v>
      </c>
      <c r="Y87" s="578"/>
      <c r="Z87" s="578"/>
      <c r="AA87" s="578"/>
      <c r="AB87" s="578"/>
      <c r="AC87" s="578"/>
      <c r="AD87" s="578"/>
      <c r="AE87" s="578"/>
      <c r="AF87" s="578"/>
      <c r="AG87" s="578"/>
      <c r="AH87" s="578"/>
      <c r="AI87" s="578"/>
      <c r="AJ87" s="578"/>
      <c r="AK87" s="578"/>
      <c r="AL87" s="578"/>
      <c r="AM87" s="578"/>
      <c r="AN87" s="578"/>
      <c r="AO87" s="578"/>
      <c r="AP87" s="578"/>
      <c r="AQ87" s="507"/>
      <c r="AR87" s="508"/>
      <c r="AS87" s="509"/>
      <c r="AT87" s="578"/>
      <c r="AU87" s="578"/>
      <c r="AV87" s="578"/>
      <c r="AW87" s="578"/>
      <c r="AX87" s="578"/>
      <c r="AY87" s="578"/>
      <c r="AZ87" s="578"/>
      <c r="BA87" s="578"/>
      <c r="BB87" s="578"/>
      <c r="BC87" s="578"/>
      <c r="BD87" s="578"/>
      <c r="BE87" s="578"/>
      <c r="BF87" s="578"/>
      <c r="BG87" s="578"/>
      <c r="BH87" s="578"/>
      <c r="BI87" s="578"/>
      <c r="BJ87" s="578"/>
      <c r="BL87" s="578"/>
      <c r="BM87" s="578"/>
      <c r="BN87" s="578"/>
      <c r="BO87" s="578"/>
    </row>
    <row r="88" spans="2:67" s="522" customFormat="1" ht="11.65" hidden="1" outlineLevel="2" x14ac:dyDescent="0.35">
      <c r="B88" s="619" t="s">
        <v>494</v>
      </c>
      <c r="U88" s="522">
        <v>0.4</v>
      </c>
      <c r="V88" s="522">
        <v>0.37</v>
      </c>
      <c r="W88" s="522">
        <f>W87/S87-1</f>
        <v>0.40492116002221534</v>
      </c>
      <c r="X88" s="522">
        <f>X87/T87-1</f>
        <v>0.42039041539457855</v>
      </c>
      <c r="AQ88" s="567"/>
      <c r="AR88" s="520"/>
      <c r="AS88" s="521"/>
    </row>
    <row r="89" spans="2:67" ht="11.65" hidden="1" outlineLevel="2" x14ac:dyDescent="0.35">
      <c r="B89" s="620" t="s">
        <v>495</v>
      </c>
      <c r="C89" s="578"/>
      <c r="D89" s="578"/>
      <c r="E89" s="578"/>
      <c r="F89" s="578"/>
      <c r="G89" s="578"/>
      <c r="H89" s="578"/>
      <c r="I89" s="578"/>
      <c r="J89" s="578"/>
      <c r="K89" s="578"/>
      <c r="L89" s="578"/>
      <c r="M89" s="578"/>
      <c r="N89" s="578"/>
      <c r="O89" s="578"/>
      <c r="P89" s="578"/>
      <c r="Q89" s="578"/>
      <c r="R89" s="578"/>
      <c r="S89" s="578"/>
      <c r="U89" s="578"/>
      <c r="V89" s="578"/>
      <c r="W89" s="578"/>
      <c r="X89" s="578"/>
      <c r="Y89" s="578"/>
      <c r="Z89" s="578"/>
      <c r="AA89" s="578"/>
      <c r="AB89" s="578"/>
      <c r="AC89" s="578"/>
      <c r="AD89" s="578"/>
      <c r="AE89" s="578"/>
      <c r="AF89" s="578"/>
      <c r="AG89" s="578"/>
      <c r="AH89" s="578"/>
      <c r="AI89" s="578"/>
      <c r="AJ89" s="578"/>
      <c r="AK89" s="578"/>
      <c r="AL89" s="578"/>
      <c r="AM89" s="578"/>
      <c r="AN89" s="578"/>
      <c r="AO89" s="578"/>
      <c r="AP89" s="578"/>
      <c r="AQ89" s="507"/>
      <c r="AR89" s="508"/>
      <c r="AS89" s="509"/>
      <c r="AT89" s="578"/>
      <c r="AU89" s="578"/>
      <c r="AV89" s="621">
        <v>0.6</v>
      </c>
      <c r="AW89" s="621">
        <v>1.5</v>
      </c>
      <c r="AX89" s="621">
        <v>3.5</v>
      </c>
      <c r="AY89" s="621">
        <v>7</v>
      </c>
      <c r="AZ89" s="621">
        <f>AY89*(1+AZ90)</f>
        <v>12.25</v>
      </c>
      <c r="BA89" s="621">
        <f>AZ89*(1+BA90)</f>
        <v>19.600000000000001</v>
      </c>
      <c r="BB89" s="621">
        <f>BA89*(1+BB90)</f>
        <v>29.400000000000002</v>
      </c>
      <c r="BC89" s="621"/>
      <c r="BD89" s="621"/>
      <c r="BE89" s="621"/>
      <c r="BF89" s="621"/>
      <c r="BG89" s="621"/>
      <c r="BH89" s="621"/>
      <c r="BI89" s="621"/>
      <c r="BJ89" s="621"/>
      <c r="BL89" s="578"/>
      <c r="BM89" s="578"/>
      <c r="BN89" s="578"/>
      <c r="BO89" s="578"/>
    </row>
    <row r="90" spans="2:67" s="522" customFormat="1" ht="11.65" hidden="1" outlineLevel="2" x14ac:dyDescent="0.35">
      <c r="B90" s="619" t="s">
        <v>496</v>
      </c>
      <c r="AQ90" s="567"/>
      <c r="AR90" s="520"/>
      <c r="AS90" s="521"/>
      <c r="AW90" s="522">
        <f>AW89/AV89-1</f>
        <v>1.5</v>
      </c>
      <c r="AX90" s="522">
        <f>AX89/AW89-1</f>
        <v>1.3333333333333335</v>
      </c>
      <c r="AY90" s="522">
        <f>AY89/AX89-1</f>
        <v>1</v>
      </c>
      <c r="AZ90" s="562">
        <v>0.75</v>
      </c>
      <c r="BA90" s="562">
        <v>0.6</v>
      </c>
      <c r="BB90" s="562">
        <v>0.5</v>
      </c>
      <c r="BC90" s="562"/>
      <c r="BD90" s="562"/>
      <c r="BE90" s="562"/>
      <c r="BF90" s="562"/>
      <c r="BG90" s="562"/>
      <c r="BH90" s="562"/>
      <c r="BI90" s="562"/>
      <c r="BJ90" s="562"/>
    </row>
    <row r="91" spans="2:67" s="522" customFormat="1" ht="11.65" hidden="1" outlineLevel="2" x14ac:dyDescent="0.35">
      <c r="B91" s="619" t="s">
        <v>497</v>
      </c>
      <c r="AQ91" s="567"/>
      <c r="AR91" s="520"/>
      <c r="AS91" s="521"/>
      <c r="AV91" s="522">
        <v>0.74</v>
      </c>
      <c r="AW91" s="522">
        <v>0.68</v>
      </c>
      <c r="AX91" s="522">
        <v>0.59</v>
      </c>
      <c r="AY91" s="522">
        <v>0.59</v>
      </c>
      <c r="AZ91" s="522">
        <v>0.61</v>
      </c>
      <c r="BA91" s="522">
        <v>0.62</v>
      </c>
      <c r="BB91" s="522">
        <v>0.62</v>
      </c>
    </row>
    <row r="92" spans="2:67" s="522" customFormat="1" ht="12" customHeight="1" outlineLevel="1" collapsed="1" x14ac:dyDescent="0.35">
      <c r="B92" s="619"/>
      <c r="AQ92" s="567"/>
      <c r="AR92" s="520"/>
      <c r="AS92" s="521"/>
    </row>
    <row r="93" spans="2:67" s="624" customFormat="1" ht="12" customHeight="1" outlineLevel="1" x14ac:dyDescent="0.35">
      <c r="B93" s="622" t="s">
        <v>498</v>
      </c>
      <c r="C93" s="623">
        <v>174</v>
      </c>
      <c r="D93" s="623">
        <v>190</v>
      </c>
      <c r="E93" s="623">
        <v>196</v>
      </c>
      <c r="F93" s="623">
        <v>213</v>
      </c>
      <c r="G93" s="623">
        <v>236</v>
      </c>
      <c r="H93" s="623">
        <v>285</v>
      </c>
      <c r="I93" s="623">
        <v>362</v>
      </c>
      <c r="J93" s="623">
        <v>388</v>
      </c>
      <c r="K93" s="623">
        <v>485</v>
      </c>
      <c r="L93" s="623">
        <v>649</v>
      </c>
      <c r="M93" s="623">
        <v>819</v>
      </c>
      <c r="N93" s="623">
        <v>1066</v>
      </c>
      <c r="O93" s="623">
        <v>1243</v>
      </c>
      <c r="P93" s="623">
        <v>1493</v>
      </c>
      <c r="Q93" s="623">
        <v>1764</v>
      </c>
      <c r="R93" s="623">
        <v>2163</v>
      </c>
      <c r="S93" s="623">
        <v>2431</v>
      </c>
      <c r="T93" s="623">
        <v>2975</v>
      </c>
      <c r="U93" s="623">
        <v>3599</v>
      </c>
      <c r="V93" s="623">
        <v>4385</v>
      </c>
      <c r="W93" s="623">
        <v>4698</v>
      </c>
      <c r="X93" s="623">
        <v>5667</v>
      </c>
      <c r="Y93" s="623">
        <v>6611</v>
      </c>
      <c r="Z93" s="623">
        <v>7726</v>
      </c>
      <c r="AA93" s="623">
        <v>7787</v>
      </c>
      <c r="AB93" s="623">
        <v>9291</v>
      </c>
      <c r="AC93" s="623">
        <v>10721</v>
      </c>
      <c r="AD93" s="623">
        <v>12217</v>
      </c>
      <c r="AE93" s="623">
        <v>12345</v>
      </c>
      <c r="AF93" s="623">
        <v>14899</v>
      </c>
      <c r="AG93" s="623">
        <f>AC93*(1+AG94)</f>
        <v>17153.600000000002</v>
      </c>
      <c r="AH93" s="623">
        <f>AD93*(1+AH94)</f>
        <v>18325.5</v>
      </c>
      <c r="AI93" s="623">
        <f t="shared" ref="AI93:AP93" si="296">AE93*(1+AI94)</f>
        <v>18517.5</v>
      </c>
      <c r="AJ93" s="623">
        <f t="shared" si="296"/>
        <v>22348.5</v>
      </c>
      <c r="AK93" s="623">
        <f t="shared" si="296"/>
        <v>25730.400000000001</v>
      </c>
      <c r="AL93" s="623">
        <f t="shared" si="296"/>
        <v>24739.425000000003</v>
      </c>
      <c r="AM93" s="623">
        <f t="shared" si="296"/>
        <v>24998.625</v>
      </c>
      <c r="AN93" s="623">
        <f t="shared" si="296"/>
        <v>30170.475000000002</v>
      </c>
      <c r="AO93" s="623">
        <f t="shared" si="296"/>
        <v>34736.04</v>
      </c>
      <c r="AP93" s="623">
        <f t="shared" si="296"/>
        <v>32161.252500000006</v>
      </c>
      <c r="AQ93" s="2818"/>
      <c r="AR93" s="2819"/>
      <c r="AS93" s="2820"/>
      <c r="AT93" s="617">
        <f>C93+D93+E93+F93</f>
        <v>773</v>
      </c>
      <c r="AU93" s="617">
        <f>G93+H93+I93+J93</f>
        <v>1271</v>
      </c>
      <c r="AV93" s="617">
        <f>K93+L93+M93+N93</f>
        <v>3019</v>
      </c>
      <c r="AW93" s="617">
        <f>O93+P93+Q93+R93</f>
        <v>6663</v>
      </c>
      <c r="AX93" s="617">
        <f>S93+T93+U93+V93</f>
        <v>13390</v>
      </c>
      <c r="AY93" s="617">
        <f>W93+X93+Y93+Z93</f>
        <v>24702</v>
      </c>
      <c r="AZ93" s="617">
        <f>AA93+AB93+AC93+AD93</f>
        <v>40016</v>
      </c>
      <c r="BA93" s="623">
        <f>SUM(AE93:AH93)</f>
        <v>62723.100000000006</v>
      </c>
      <c r="BB93" s="623">
        <f>SUM(AI93:AL93)</f>
        <v>91335.824999999997</v>
      </c>
      <c r="BC93" s="623">
        <f>SUM(AM93:AP93)</f>
        <v>122066.39250000002</v>
      </c>
      <c r="BD93" s="623">
        <f t="shared" ref="BD93:BJ93" si="297">BC93*(1+BD94)</f>
        <v>159029.46326420968</v>
      </c>
      <c r="BE93" s="623">
        <f t="shared" si="297"/>
        <v>202369.77557667799</v>
      </c>
      <c r="BF93" s="623">
        <f t="shared" si="297"/>
        <v>252006.44155330348</v>
      </c>
      <c r="BG93" s="623">
        <f t="shared" si="297"/>
        <v>307636.7034089815</v>
      </c>
      <c r="BH93" s="623">
        <f t="shared" si="297"/>
        <v>368756.24954207265</v>
      </c>
      <c r="BI93" s="623">
        <f t="shared" si="297"/>
        <v>434692.44285191467</v>
      </c>
      <c r="BJ93" s="623">
        <f t="shared" si="297"/>
        <v>504645.88358688192</v>
      </c>
      <c r="BK93" s="2827"/>
      <c r="BL93" s="623">
        <v>9407.2199999999993</v>
      </c>
      <c r="BM93" s="623">
        <v>10709.82</v>
      </c>
      <c r="BN93" s="623">
        <v>12459.2</v>
      </c>
      <c r="BO93" s="623">
        <v>14493.960000000001</v>
      </c>
    </row>
    <row r="94" spans="2:67" s="522" customFormat="1" ht="12" customHeight="1" outlineLevel="1" x14ac:dyDescent="0.35">
      <c r="B94" s="530" t="s">
        <v>459</v>
      </c>
      <c r="G94" s="522">
        <f t="shared" ref="G94:AF94" si="298">G93/C93-1</f>
        <v>0.35632183908045967</v>
      </c>
      <c r="H94" s="522">
        <f t="shared" si="298"/>
        <v>0.5</v>
      </c>
      <c r="I94" s="522">
        <f t="shared" si="298"/>
        <v>0.84693877551020402</v>
      </c>
      <c r="J94" s="522">
        <f t="shared" si="298"/>
        <v>0.82159624413145549</v>
      </c>
      <c r="K94" s="522">
        <f t="shared" si="298"/>
        <v>1.0550847457627119</v>
      </c>
      <c r="L94" s="522">
        <f t="shared" si="298"/>
        <v>1.2771929824561403</v>
      </c>
      <c r="M94" s="522">
        <f t="shared" si="298"/>
        <v>1.2624309392265194</v>
      </c>
      <c r="N94" s="522">
        <f t="shared" si="298"/>
        <v>1.7474226804123711</v>
      </c>
      <c r="O94" s="522">
        <f t="shared" si="298"/>
        <v>1.5628865979381446</v>
      </c>
      <c r="P94" s="522">
        <f t="shared" si="298"/>
        <v>1.300462249614792</v>
      </c>
      <c r="Q94" s="522">
        <f t="shared" si="298"/>
        <v>1.1538461538461537</v>
      </c>
      <c r="R94" s="522">
        <f t="shared" si="298"/>
        <v>1.0290806754221387</v>
      </c>
      <c r="S94" s="522">
        <f t="shared" si="298"/>
        <v>0.95575221238938046</v>
      </c>
      <c r="T94" s="522">
        <f t="shared" si="298"/>
        <v>0.99263228399196257</v>
      </c>
      <c r="U94" s="522">
        <f t="shared" si="298"/>
        <v>1.0402494331065761</v>
      </c>
      <c r="V94" s="522">
        <f t="shared" si="298"/>
        <v>1.0272769301895517</v>
      </c>
      <c r="W94" s="522">
        <f t="shared" si="298"/>
        <v>0.93253805018510905</v>
      </c>
      <c r="X94" s="568">
        <f t="shared" si="298"/>
        <v>0.90487394957983192</v>
      </c>
      <c r="Y94" s="522">
        <f t="shared" si="298"/>
        <v>0.83689913864962495</v>
      </c>
      <c r="Z94" s="522">
        <f t="shared" si="298"/>
        <v>0.76191562143671598</v>
      </c>
      <c r="AA94" s="522">
        <f t="shared" si="298"/>
        <v>0.65751383567475519</v>
      </c>
      <c r="AB94" s="522">
        <f t="shared" si="298"/>
        <v>0.63949179460031758</v>
      </c>
      <c r="AC94" s="522">
        <f t="shared" si="298"/>
        <v>0.621691120859174</v>
      </c>
      <c r="AD94" s="522">
        <f t="shared" si="298"/>
        <v>0.58128397618431271</v>
      </c>
      <c r="AE94" s="522">
        <f t="shared" si="298"/>
        <v>0.58533453191216123</v>
      </c>
      <c r="AF94" s="522">
        <f t="shared" si="298"/>
        <v>0.60359487676245838</v>
      </c>
      <c r="AG94" s="562">
        <v>0.6</v>
      </c>
      <c r="AH94" s="562">
        <v>0.5</v>
      </c>
      <c r="AI94" s="562">
        <v>0.5</v>
      </c>
      <c r="AJ94" s="562">
        <v>0.5</v>
      </c>
      <c r="AK94" s="562">
        <v>0.5</v>
      </c>
      <c r="AL94" s="562">
        <v>0.35</v>
      </c>
      <c r="AM94" s="562">
        <f t="shared" ref="AM94:AO94" si="299">AL94</f>
        <v>0.35</v>
      </c>
      <c r="AN94" s="562">
        <f t="shared" si="299"/>
        <v>0.35</v>
      </c>
      <c r="AO94" s="562">
        <f t="shared" si="299"/>
        <v>0.35</v>
      </c>
      <c r="AP94" s="562">
        <v>0.3</v>
      </c>
      <c r="AQ94" s="567"/>
      <c r="AR94" s="520"/>
      <c r="AS94" s="521"/>
      <c r="AU94" s="522">
        <f t="shared" ref="AU94:AZ94" si="300">AU93/AT93-1</f>
        <v>0.64424320827943071</v>
      </c>
      <c r="AV94" s="522">
        <f>AV93/AU93-1</f>
        <v>1.3752950432730136</v>
      </c>
      <c r="AW94" s="522">
        <f t="shared" si="300"/>
        <v>1.2070221927790659</v>
      </c>
      <c r="AX94" s="522">
        <f t="shared" si="300"/>
        <v>1.0096052829055981</v>
      </c>
      <c r="AY94" s="522">
        <f t="shared" si="300"/>
        <v>0.84480955937266611</v>
      </c>
      <c r="AZ94" s="522">
        <f t="shared" si="300"/>
        <v>0.61994980163549518</v>
      </c>
      <c r="BA94" s="522">
        <f t="shared" ref="BA94" si="301">BA93/AZ93-1</f>
        <v>0.56745051979208339</v>
      </c>
      <c r="BB94" s="522">
        <f t="shared" ref="BB94" si="302">BB93/BA93-1</f>
        <v>0.45617523687445272</v>
      </c>
      <c r="BC94" s="522">
        <f t="shared" ref="BC94" si="303">BC93/BB93-1</f>
        <v>0.33645688863050194</v>
      </c>
      <c r="BD94" s="562">
        <f>BC94*0.9</f>
        <v>0.30281119976745174</v>
      </c>
      <c r="BE94" s="562">
        <f t="shared" ref="BE94:BJ94" si="304">BD94*0.9</f>
        <v>0.27253007979070659</v>
      </c>
      <c r="BF94" s="562">
        <f t="shared" si="304"/>
        <v>0.24527707181163594</v>
      </c>
      <c r="BG94" s="562">
        <f t="shared" si="304"/>
        <v>0.22074936463047234</v>
      </c>
      <c r="BH94" s="562">
        <f t="shared" si="304"/>
        <v>0.19867442816742512</v>
      </c>
      <c r="BI94" s="562">
        <f t="shared" si="304"/>
        <v>0.1788069853506826</v>
      </c>
      <c r="BJ94" s="562">
        <f t="shared" si="304"/>
        <v>0.16092628681561433</v>
      </c>
      <c r="BK94" s="562"/>
      <c r="BL94" s="562">
        <v>0.66</v>
      </c>
      <c r="BM94" s="562">
        <v>0.62</v>
      </c>
      <c r="BN94" s="562">
        <v>0.6</v>
      </c>
      <c r="BO94" s="562">
        <v>0.56000000000000005</v>
      </c>
    </row>
    <row r="95" spans="2:67" ht="12" customHeight="1" outlineLevel="1" x14ac:dyDescent="0.35">
      <c r="B95" s="571" t="s">
        <v>499</v>
      </c>
      <c r="C95" s="625">
        <f t="shared" ref="C95:AD95" si="305">C93/C3</f>
        <v>27.990476803294509</v>
      </c>
      <c r="D95" s="625">
        <f t="shared" si="305"/>
        <v>30.56431375072389</v>
      </c>
      <c r="E95" s="625">
        <f t="shared" si="305"/>
        <v>31.52950260600991</v>
      </c>
      <c r="F95" s="625">
        <f t="shared" si="305"/>
        <v>34.264204362653622</v>
      </c>
      <c r="G95" s="625">
        <f t="shared" si="305"/>
        <v>38.042426977883814</v>
      </c>
      <c r="H95" s="625">
        <f t="shared" si="305"/>
        <v>46.432062561094817</v>
      </c>
      <c r="I95" s="625">
        <f t="shared" si="305"/>
        <v>58.976865428478334</v>
      </c>
      <c r="J95" s="625">
        <f t="shared" si="305"/>
        <v>63.212772890192248</v>
      </c>
      <c r="K95" s="625">
        <f t="shared" si="305"/>
        <v>78.225806451612897</v>
      </c>
      <c r="L95" s="625">
        <f t="shared" si="305"/>
        <v>99.84615384615384</v>
      </c>
      <c r="M95" s="625">
        <f t="shared" si="305"/>
        <v>124.09090909090909</v>
      </c>
      <c r="N95" s="625">
        <f t="shared" si="305"/>
        <v>161.51515151515153</v>
      </c>
      <c r="O95" s="625">
        <f t="shared" si="305"/>
        <v>188.33333333333334</v>
      </c>
      <c r="P95" s="625">
        <f t="shared" si="305"/>
        <v>223.88843068156257</v>
      </c>
      <c r="Q95" s="625">
        <f t="shared" si="305"/>
        <v>254.0688463200346</v>
      </c>
      <c r="R95" s="625">
        <f t="shared" si="305"/>
        <v>314.24337517433747</v>
      </c>
      <c r="S95" s="625">
        <f t="shared" si="305"/>
        <v>358.59159500243385</v>
      </c>
      <c r="T95" s="625">
        <f t="shared" si="305"/>
        <v>447.14652879022441</v>
      </c>
      <c r="U95" s="625">
        <f t="shared" si="305"/>
        <v>553.15617171049598</v>
      </c>
      <c r="V95" s="625">
        <f t="shared" si="305"/>
        <v>673.96215975285486</v>
      </c>
      <c r="W95" s="625">
        <f t="shared" si="305"/>
        <v>709.98942118784953</v>
      </c>
      <c r="X95" s="625">
        <f t="shared" si="305"/>
        <v>825.14522948278295</v>
      </c>
      <c r="Y95" s="625">
        <f t="shared" si="305"/>
        <v>961.63105541919651</v>
      </c>
      <c r="Z95" s="625">
        <f t="shared" si="305"/>
        <v>1144.5925925925926</v>
      </c>
      <c r="AA95" s="625">
        <f t="shared" si="305"/>
        <v>1131.8313953488373</v>
      </c>
      <c r="AB95" s="625">
        <f t="shared" si="305"/>
        <v>1299.8516262382684</v>
      </c>
      <c r="AC95" s="625">
        <f t="shared" si="305"/>
        <v>1531.5714285714287</v>
      </c>
      <c r="AD95" s="625">
        <f t="shared" si="305"/>
        <v>1745.2857142857142</v>
      </c>
      <c r="AE95" s="578"/>
      <c r="AF95" s="578"/>
      <c r="AG95" s="578"/>
      <c r="AH95" s="578"/>
      <c r="AI95" s="578"/>
      <c r="AJ95" s="578"/>
      <c r="AK95" s="578"/>
      <c r="AL95" s="578"/>
      <c r="AM95" s="578"/>
      <c r="AN95" s="578"/>
      <c r="AO95" s="578"/>
      <c r="AP95" s="578"/>
      <c r="AQ95" s="507"/>
      <c r="AR95" s="508"/>
      <c r="AS95" s="509"/>
      <c r="AT95" s="625">
        <f t="shared" ref="AT95:BB95" si="306">AT93/AT3</f>
        <v>124.34849752268194</v>
      </c>
      <c r="AU95" s="625">
        <f t="shared" si="306"/>
        <v>206.51891329780321</v>
      </c>
      <c r="AV95" s="625">
        <f t="shared" si="306"/>
        <v>466.2548262548263</v>
      </c>
      <c r="AW95" s="625">
        <f t="shared" si="306"/>
        <v>983.66101119407119</v>
      </c>
      <c r="AX95" s="625">
        <f t="shared" si="306"/>
        <v>2025.3202849666479</v>
      </c>
      <c r="AY95" s="625">
        <f t="shared" si="306"/>
        <v>3644.7524755085678</v>
      </c>
      <c r="AZ95" s="625">
        <f t="shared" si="306"/>
        <v>5716.5714285714284</v>
      </c>
      <c r="BA95" s="625">
        <f t="shared" si="306"/>
        <v>9503.5000000000018</v>
      </c>
      <c r="BB95" s="625">
        <f t="shared" si="306"/>
        <v>14051.665384615384</v>
      </c>
      <c r="BC95" s="625"/>
      <c r="BD95" s="625"/>
      <c r="BE95" s="625"/>
      <c r="BF95" s="625"/>
      <c r="BG95" s="625"/>
      <c r="BH95" s="625"/>
      <c r="BI95" s="625"/>
      <c r="BJ95" s="625"/>
      <c r="BL95" s="625">
        <v>1367.3284883720901</v>
      </c>
      <c r="BM95" s="625">
        <v>1529.9742857142901</v>
      </c>
      <c r="BN95" s="578"/>
      <c r="BO95" s="578"/>
    </row>
    <row r="96" spans="2:67" ht="12" customHeight="1" outlineLevel="1" x14ac:dyDescent="0.35">
      <c r="B96" s="571"/>
      <c r="C96" s="625"/>
      <c r="D96" s="625"/>
      <c r="E96" s="625"/>
      <c r="F96" s="625"/>
      <c r="G96" s="625"/>
      <c r="H96" s="625"/>
      <c r="I96" s="625"/>
      <c r="J96" s="625"/>
      <c r="K96" s="625"/>
      <c r="L96" s="625"/>
      <c r="M96" s="625"/>
      <c r="N96" s="625"/>
      <c r="O96" s="625"/>
      <c r="P96" s="625"/>
      <c r="Q96" s="625"/>
      <c r="R96" s="625"/>
      <c r="S96" s="625"/>
      <c r="T96" s="625"/>
      <c r="U96" s="625"/>
      <c r="V96" s="625"/>
      <c r="W96" s="625"/>
      <c r="X96" s="625"/>
      <c r="Y96" s="625"/>
      <c r="Z96" s="625"/>
      <c r="AA96" s="625"/>
      <c r="AB96" s="625"/>
      <c r="AC96" s="625"/>
      <c r="AD96" s="625"/>
      <c r="AE96" s="578"/>
      <c r="AF96" s="578"/>
      <c r="AG96" s="578"/>
      <c r="AH96" s="578"/>
      <c r="AI96" s="578"/>
      <c r="AJ96" s="578"/>
      <c r="AK96" s="578"/>
      <c r="AL96" s="578"/>
      <c r="AM96" s="578"/>
      <c r="AN96" s="578"/>
      <c r="AO96" s="578"/>
      <c r="AP96" s="578"/>
      <c r="AQ96" s="507"/>
      <c r="AR96" s="508"/>
      <c r="AS96" s="509"/>
      <c r="AT96" s="625"/>
      <c r="AU96" s="625"/>
      <c r="AV96" s="625"/>
      <c r="AW96" s="625"/>
      <c r="AX96" s="625"/>
      <c r="AY96" s="625"/>
      <c r="AZ96" s="625"/>
      <c r="BA96" s="625"/>
      <c r="BB96" s="625"/>
      <c r="BC96" s="625"/>
      <c r="BD96" s="625"/>
      <c r="BE96" s="625"/>
      <c r="BF96" s="625"/>
      <c r="BG96" s="625"/>
      <c r="BH96" s="625"/>
      <c r="BI96" s="625"/>
      <c r="BJ96" s="625"/>
      <c r="BL96" s="625"/>
      <c r="BM96" s="625"/>
      <c r="BN96" s="578"/>
      <c r="BO96" s="578"/>
    </row>
    <row r="97" spans="2:67" ht="12" hidden="1" customHeight="1" outlineLevel="2" x14ac:dyDescent="0.35">
      <c r="B97" s="571" t="s">
        <v>500</v>
      </c>
      <c r="C97" s="578"/>
      <c r="D97" s="578"/>
      <c r="E97" s="578"/>
      <c r="F97" s="578"/>
      <c r="G97" s="578"/>
      <c r="H97" s="578"/>
      <c r="I97" s="578"/>
      <c r="J97" s="578"/>
      <c r="K97" s="578"/>
      <c r="L97" s="578"/>
      <c r="M97" s="578"/>
      <c r="N97" s="578"/>
      <c r="O97" s="578"/>
      <c r="P97" s="578"/>
      <c r="Q97" s="578"/>
      <c r="R97" s="578"/>
      <c r="S97" s="626">
        <v>4100</v>
      </c>
      <c r="T97" s="626">
        <v>4584</v>
      </c>
      <c r="U97" s="626">
        <v>5113</v>
      </c>
      <c r="V97" s="626">
        <v>5442</v>
      </c>
      <c r="W97" s="626">
        <f>S97*(1+W98)</f>
        <v>6027</v>
      </c>
      <c r="X97" s="626">
        <f>T97*(1+X98)</f>
        <v>6692.6399999999994</v>
      </c>
      <c r="Y97" s="626">
        <f>U97*(1+Y98)</f>
        <v>7413.8499999999995</v>
      </c>
      <c r="Z97" s="626">
        <f>V97*(1+Z98)</f>
        <v>7890.9</v>
      </c>
      <c r="AA97" s="626">
        <f>W97*(1+AA98)</f>
        <v>8739.15</v>
      </c>
      <c r="AB97" s="626">
        <f t="shared" ref="AB97:AD97" si="307">X97*(1+AB98)</f>
        <v>9704.3279999999995</v>
      </c>
      <c r="AC97" s="626">
        <f t="shared" si="307"/>
        <v>10750.082499999999</v>
      </c>
      <c r="AD97" s="626">
        <f t="shared" si="307"/>
        <v>11441.804999999998</v>
      </c>
      <c r="AE97" s="626"/>
      <c r="AF97" s="626"/>
      <c r="AG97" s="626"/>
      <c r="AH97" s="626"/>
      <c r="AI97" s="626"/>
      <c r="AJ97" s="626"/>
      <c r="AK97" s="626"/>
      <c r="AL97" s="626"/>
      <c r="AM97" s="626"/>
      <c r="AN97" s="626"/>
      <c r="AO97" s="626"/>
      <c r="AP97" s="626"/>
      <c r="AQ97" s="627"/>
      <c r="AR97" s="628"/>
      <c r="AS97" s="629"/>
      <c r="AT97" s="626">
        <f>AU97/(1+AU98)</f>
        <v>3534.2465753424658</v>
      </c>
      <c r="AU97" s="626">
        <v>5160</v>
      </c>
      <c r="AV97" s="626">
        <v>8880</v>
      </c>
      <c r="AW97" s="626">
        <v>13314</v>
      </c>
      <c r="AX97" s="626">
        <v>19239</v>
      </c>
      <c r="AY97" s="626">
        <v>27560</v>
      </c>
      <c r="AZ97" s="626">
        <v>36262</v>
      </c>
      <c r="BA97" s="626">
        <v>47654</v>
      </c>
      <c r="BB97" s="626">
        <v>57084</v>
      </c>
      <c r="BC97" s="626"/>
      <c r="BD97" s="626"/>
      <c r="BE97" s="626"/>
      <c r="BF97" s="626"/>
      <c r="BG97" s="626"/>
      <c r="BH97" s="626"/>
      <c r="BI97" s="626"/>
      <c r="BJ97" s="626"/>
      <c r="BL97" s="626">
        <v>9704.3279999999995</v>
      </c>
      <c r="BM97" s="626">
        <v>10750.0825</v>
      </c>
      <c r="BN97" s="626"/>
      <c r="BO97" s="626"/>
    </row>
    <row r="98" spans="2:67" s="522" customFormat="1" ht="12" hidden="1" customHeight="1" outlineLevel="2" x14ac:dyDescent="0.35">
      <c r="B98" s="530" t="s">
        <v>501</v>
      </c>
      <c r="W98" s="522">
        <v>0.47</v>
      </c>
      <c r="X98" s="522">
        <v>0.46</v>
      </c>
      <c r="Y98" s="522">
        <v>0.45</v>
      </c>
      <c r="Z98" s="522">
        <v>0.45</v>
      </c>
      <c r="AA98" s="522">
        <v>0.45</v>
      </c>
      <c r="AB98" s="522">
        <v>0.45</v>
      </c>
      <c r="AC98" s="522">
        <v>0.45</v>
      </c>
      <c r="AD98" s="522">
        <v>0.45</v>
      </c>
      <c r="AQ98" s="567"/>
      <c r="AR98" s="520"/>
      <c r="AS98" s="521"/>
      <c r="AU98" s="522">
        <v>0.46</v>
      </c>
      <c r="AV98" s="522">
        <f t="shared" ref="AV98:BB98" si="308">AV97/AU97-1</f>
        <v>0.72093023255813948</v>
      </c>
      <c r="AW98" s="522">
        <f t="shared" si="308"/>
        <v>0.49932432432432439</v>
      </c>
      <c r="AX98" s="522">
        <f t="shared" si="308"/>
        <v>0.44502027940513744</v>
      </c>
      <c r="AY98" s="522">
        <f t="shared" si="308"/>
        <v>0.43250688705234164</v>
      </c>
      <c r="AZ98" s="522">
        <f t="shared" si="308"/>
        <v>0.31574746008708265</v>
      </c>
      <c r="BA98" s="522">
        <f t="shared" si="308"/>
        <v>0.31415807181071087</v>
      </c>
      <c r="BB98" s="522">
        <f t="shared" si="308"/>
        <v>0.19788475259159766</v>
      </c>
      <c r="BL98" s="522">
        <v>0.45</v>
      </c>
      <c r="BM98" s="522">
        <v>0.45</v>
      </c>
    </row>
    <row r="99" spans="2:67" s="522" customFormat="1" ht="12" customHeight="1" outlineLevel="1" collapsed="1" x14ac:dyDescent="0.35">
      <c r="B99" s="619"/>
      <c r="AQ99" s="567"/>
      <c r="AR99" s="520"/>
      <c r="AS99" s="521"/>
    </row>
    <row r="100" spans="2:67" s="618" customFormat="1" ht="12" customHeight="1" outlineLevel="1" x14ac:dyDescent="0.35">
      <c r="B100" s="616" t="s">
        <v>502</v>
      </c>
      <c r="C100" s="630">
        <v>195.35842880523731</v>
      </c>
      <c r="D100" s="630">
        <v>246.52373158756137</v>
      </c>
      <c r="E100" s="630">
        <v>348.18985270049097</v>
      </c>
      <c r="F100" s="630">
        <v>371.44680851063828</v>
      </c>
      <c r="G100" s="630">
        <v>477.09983633387884</v>
      </c>
      <c r="H100" s="630">
        <v>909.01472995090012</v>
      </c>
      <c r="I100" s="630">
        <v>1275.1456628477904</v>
      </c>
      <c r="J100" s="630">
        <v>1000.0490998363339</v>
      </c>
      <c r="K100" s="630">
        <v>812</v>
      </c>
      <c r="L100" s="630">
        <v>898</v>
      </c>
      <c r="M100" s="630">
        <v>1088</v>
      </c>
      <c r="N100" s="630">
        <v>1174</v>
      </c>
      <c r="O100" s="630">
        <v>3135</v>
      </c>
      <c r="P100" s="630">
        <v>3608</v>
      </c>
      <c r="Q100" s="630">
        <v>4063</v>
      </c>
      <c r="R100" s="630">
        <v>3927</v>
      </c>
      <c r="S100" s="630">
        <v>4081</v>
      </c>
      <c r="T100" s="630">
        <v>4798</v>
      </c>
      <c r="U100" s="630">
        <v>5413</v>
      </c>
      <c r="V100" s="630">
        <v>5272</v>
      </c>
      <c r="W100" s="630">
        <v>5975</v>
      </c>
      <c r="X100" s="630">
        <v>5940</v>
      </c>
      <c r="Y100" s="630">
        <v>6491</v>
      </c>
      <c r="Z100" s="630">
        <v>5671</v>
      </c>
      <c r="AA100" s="630">
        <v>6426</v>
      </c>
      <c r="AB100" s="630">
        <v>7442</v>
      </c>
      <c r="AC100" s="630">
        <v>7396</v>
      </c>
      <c r="AD100" s="630">
        <v>5944</v>
      </c>
      <c r="AE100" s="630">
        <v>6994</v>
      </c>
      <c r="AF100" s="630">
        <v>8066</v>
      </c>
      <c r="AG100" s="630">
        <f>AC100*(1+AG101)</f>
        <v>7987.68</v>
      </c>
      <c r="AH100" s="630">
        <f>AD100*(1+AH101)</f>
        <v>6538.4000000000005</v>
      </c>
      <c r="AI100" s="630">
        <f t="shared" ref="AI100:AP100" si="309">AE100*(1+AI101)</f>
        <v>7553.52</v>
      </c>
      <c r="AJ100" s="630">
        <f t="shared" si="309"/>
        <v>8711.2800000000007</v>
      </c>
      <c r="AK100" s="630">
        <f t="shared" si="309"/>
        <v>8626.6944000000003</v>
      </c>
      <c r="AL100" s="630">
        <f t="shared" si="309"/>
        <v>6930.7040000000006</v>
      </c>
      <c r="AM100" s="630">
        <f t="shared" si="309"/>
        <v>8006.7312000000011</v>
      </c>
      <c r="AN100" s="630">
        <f t="shared" si="309"/>
        <v>9233.9568000000017</v>
      </c>
      <c r="AO100" s="630">
        <f t="shared" si="309"/>
        <v>9144.2960640000001</v>
      </c>
      <c r="AP100" s="630">
        <f t="shared" si="309"/>
        <v>7277.2392000000009</v>
      </c>
      <c r="AQ100" s="633" t="s">
        <v>458</v>
      </c>
      <c r="AR100" s="508" t="s">
        <v>465</v>
      </c>
      <c r="AS100" s="509"/>
      <c r="AT100" s="617">
        <f>C100+D100+E100+F100</f>
        <v>1161.518821603928</v>
      </c>
      <c r="AU100" s="617">
        <f>G100+H100+I100+J100</f>
        <v>3661.3093289689032</v>
      </c>
      <c r="AV100" s="617">
        <f>K100+L100+M100+N100</f>
        <v>3972</v>
      </c>
      <c r="AW100" s="617">
        <f>O100+P100+Q100+R100</f>
        <v>14733</v>
      </c>
      <c r="AX100" s="617">
        <f>S100+T100+U100+V100</f>
        <v>19564</v>
      </c>
      <c r="AY100" s="2735">
        <f>W100+X100+Y100+Z100</f>
        <v>24077</v>
      </c>
      <c r="AZ100" s="2735">
        <f>AA100+AB100+AC100+AD100</f>
        <v>27208</v>
      </c>
      <c r="BA100" s="2736">
        <f>SUM(AE100:AH100)</f>
        <v>29586.080000000002</v>
      </c>
      <c r="BB100" s="2736">
        <f>SUM(AI100:AL100)</f>
        <v>31822.198400000005</v>
      </c>
      <c r="BC100" s="2736">
        <f>SUM(AM100:AP100)</f>
        <v>33662.223264000007</v>
      </c>
      <c r="BD100" s="630">
        <f t="shared" ref="BD100:BJ100" si="310">BC100*(1+BD101)</f>
        <v>36220.552232064008</v>
      </c>
      <c r="BE100" s="630">
        <f t="shared" si="310"/>
        <v>38835.676103219033</v>
      </c>
      <c r="BF100" s="630">
        <f t="shared" si="310"/>
        <v>41499.415127138825</v>
      </c>
      <c r="BG100" s="630">
        <f t="shared" si="310"/>
        <v>44203.537766530753</v>
      </c>
      <c r="BH100" s="630">
        <f t="shared" si="310"/>
        <v>46939.846158034976</v>
      </c>
      <c r="BI100" s="630">
        <f t="shared" si="310"/>
        <v>49700.254178671501</v>
      </c>
      <c r="BJ100" s="630">
        <f t="shared" si="310"/>
        <v>52476.857468135939</v>
      </c>
      <c r="BK100" s="538"/>
      <c r="BL100" s="630">
        <v>5049</v>
      </c>
      <c r="BM100" s="630">
        <v>7140.1</v>
      </c>
      <c r="BN100" s="630">
        <v>6816.96</v>
      </c>
      <c r="BO100" s="630">
        <v>7879.68</v>
      </c>
    </row>
    <row r="101" spans="2:67" s="613" customFormat="1" ht="12" customHeight="1" outlineLevel="1" x14ac:dyDescent="0.35">
      <c r="B101" s="612" t="s">
        <v>459</v>
      </c>
      <c r="G101" s="613">
        <f>G100/C100-1</f>
        <v>1.4421768707482991</v>
      </c>
      <c r="H101" s="613">
        <f t="shared" ref="H101:N101" si="311">H100/D100-1</f>
        <v>2.68733153638814</v>
      </c>
      <c r="I101" s="613">
        <f>I100/E100-1</f>
        <v>2.6622137404580153</v>
      </c>
      <c r="J101" s="613">
        <f t="shared" si="311"/>
        <v>1.6923076923076925</v>
      </c>
      <c r="K101" s="613">
        <f t="shared" si="311"/>
        <v>0.70194986072423404</v>
      </c>
      <c r="L101" s="613">
        <f>L100/H100-1</f>
        <v>-1.2117218333189239E-2</v>
      </c>
      <c r="M101" s="613">
        <f>M100/I100-1</f>
        <v>-0.14676414491332457</v>
      </c>
      <c r="N101" s="613">
        <f t="shared" si="311"/>
        <v>0.17394235962227711</v>
      </c>
      <c r="O101" s="613">
        <f>O100/K100-1</f>
        <v>2.8608374384236455</v>
      </c>
      <c r="P101" s="613">
        <f t="shared" ref="P101:AF101" si="312">P100/L100-1</f>
        <v>3.0178173719376389</v>
      </c>
      <c r="Q101" s="613">
        <f t="shared" si="312"/>
        <v>2.734375</v>
      </c>
      <c r="R101" s="613">
        <f t="shared" si="312"/>
        <v>2.3449744463373086</v>
      </c>
      <c r="S101" s="613">
        <f t="shared" si="312"/>
        <v>0.30175438596491233</v>
      </c>
      <c r="T101" s="613">
        <f t="shared" si="312"/>
        <v>0.32982261640798227</v>
      </c>
      <c r="U101" s="613">
        <f t="shared" si="312"/>
        <v>0.3322667979325622</v>
      </c>
      <c r="V101" s="613">
        <f t="shared" si="312"/>
        <v>0.34250063661828367</v>
      </c>
      <c r="W101" s="613">
        <f t="shared" si="312"/>
        <v>0.4641019358000491</v>
      </c>
      <c r="X101" s="613">
        <f t="shared" si="312"/>
        <v>0.23801583993330544</v>
      </c>
      <c r="Y101" s="613">
        <f t="shared" si="312"/>
        <v>0.19915019397746159</v>
      </c>
      <c r="Z101" s="613">
        <f t="shared" si="312"/>
        <v>7.5682852807283707E-2</v>
      </c>
      <c r="AA101" s="613">
        <f t="shared" si="312"/>
        <v>7.5481171548117176E-2</v>
      </c>
      <c r="AB101" s="613">
        <f t="shared" si="312"/>
        <v>0.2528619528619529</v>
      </c>
      <c r="AC101" s="613">
        <f t="shared" si="312"/>
        <v>0.13942381759359113</v>
      </c>
      <c r="AD101" s="613">
        <f t="shared" si="312"/>
        <v>4.8139657908658151E-2</v>
      </c>
      <c r="AE101" s="613">
        <f t="shared" si="312"/>
        <v>8.8390911920323667E-2</v>
      </c>
      <c r="AF101" s="613">
        <f t="shared" si="312"/>
        <v>8.384842784197799E-2</v>
      </c>
      <c r="AG101" s="562">
        <v>0.08</v>
      </c>
      <c r="AH101" s="562">
        <v>0.1</v>
      </c>
      <c r="AI101" s="562">
        <v>0.08</v>
      </c>
      <c r="AJ101" s="562">
        <f t="shared" ref="AJ101:AO101" si="313">AI101</f>
        <v>0.08</v>
      </c>
      <c r="AK101" s="562">
        <f t="shared" si="313"/>
        <v>0.08</v>
      </c>
      <c r="AL101" s="562">
        <v>0.06</v>
      </c>
      <c r="AM101" s="562">
        <f t="shared" si="313"/>
        <v>0.06</v>
      </c>
      <c r="AN101" s="562">
        <f t="shared" si="313"/>
        <v>0.06</v>
      </c>
      <c r="AO101" s="562">
        <f t="shared" si="313"/>
        <v>0.06</v>
      </c>
      <c r="AP101" s="562">
        <v>0.05</v>
      </c>
      <c r="AQ101" s="615"/>
      <c r="AU101" s="613">
        <f>AU100/AT100-1</f>
        <v>2.152173913043478</v>
      </c>
      <c r="AV101" s="613">
        <f>AV100/AU100-1</f>
        <v>8.4857804439755879E-2</v>
      </c>
      <c r="AW101" s="613">
        <f>AW100/AV100-1</f>
        <v>2.7092145015105742</v>
      </c>
      <c r="AX101" s="613">
        <f>AX100/AW100-1</f>
        <v>0.32790334622955264</v>
      </c>
      <c r="AY101" s="564">
        <f>AY100/AX100-1</f>
        <v>0.23067879779186251</v>
      </c>
      <c r="AZ101" s="564">
        <v>0.08</v>
      </c>
      <c r="BA101" s="564">
        <v>0.08</v>
      </c>
      <c r="BB101" s="564">
        <v>0.08</v>
      </c>
      <c r="BC101" s="564">
        <v>0.08</v>
      </c>
      <c r="BD101" s="562">
        <f>BC101*0.95</f>
        <v>7.5999999999999998E-2</v>
      </c>
      <c r="BE101" s="562">
        <f t="shared" ref="BE101:BJ101" si="314">BD101*0.95</f>
        <v>7.22E-2</v>
      </c>
      <c r="BF101" s="562">
        <f t="shared" si="314"/>
        <v>6.8589999999999998E-2</v>
      </c>
      <c r="BG101" s="562">
        <f t="shared" si="314"/>
        <v>6.5160499999999996E-2</v>
      </c>
      <c r="BH101" s="562">
        <f t="shared" si="314"/>
        <v>6.1902474999999992E-2</v>
      </c>
      <c r="BI101" s="562">
        <f t="shared" si="314"/>
        <v>5.8807351249999987E-2</v>
      </c>
      <c r="BJ101" s="562">
        <f t="shared" si="314"/>
        <v>5.5866983687499983E-2</v>
      </c>
      <c r="BL101" s="613">
        <v>-0.15</v>
      </c>
      <c r="BM101" s="613">
        <v>0.1</v>
      </c>
      <c r="BN101" s="562">
        <v>0.08</v>
      </c>
      <c r="BO101" s="562">
        <v>0.08</v>
      </c>
    </row>
    <row r="102" spans="2:67" s="522" customFormat="1" ht="12" customHeight="1" outlineLevel="1" x14ac:dyDescent="0.35">
      <c r="B102" s="619"/>
      <c r="Z102" s="562"/>
      <c r="AA102" s="562"/>
      <c r="AB102" s="562"/>
      <c r="AC102" s="562"/>
      <c r="AD102" s="562"/>
      <c r="AE102" s="562"/>
      <c r="AF102" s="562"/>
      <c r="AG102" s="562"/>
      <c r="AH102" s="562"/>
      <c r="AI102" s="562"/>
      <c r="AJ102" s="562"/>
      <c r="AK102" s="562"/>
      <c r="AL102" s="562"/>
      <c r="AM102" s="562"/>
      <c r="AN102" s="562"/>
      <c r="AO102" s="562"/>
      <c r="AP102" s="562"/>
      <c r="AQ102" s="631"/>
      <c r="AR102" s="520"/>
      <c r="AS102" s="521"/>
      <c r="AY102" s="564"/>
      <c r="AZ102" s="564"/>
      <c r="BA102" s="564"/>
      <c r="BB102" s="564"/>
      <c r="BC102" s="564"/>
      <c r="BD102" s="562"/>
      <c r="BE102" s="562"/>
      <c r="BF102" s="562"/>
      <c r="BG102" s="562"/>
      <c r="BH102" s="562"/>
      <c r="BI102" s="562"/>
      <c r="BJ102" s="562"/>
      <c r="BL102" s="562"/>
      <c r="BM102" s="562"/>
      <c r="BN102" s="562"/>
      <c r="BO102" s="562"/>
    </row>
    <row r="103" spans="2:67" s="618" customFormat="1" ht="12" customHeight="1" outlineLevel="1" x14ac:dyDescent="0.35">
      <c r="B103" s="616" t="s">
        <v>503</v>
      </c>
      <c r="C103" s="630">
        <v>98.64157119476269</v>
      </c>
      <c r="D103" s="630">
        <v>124.47626841243863</v>
      </c>
      <c r="E103" s="630">
        <v>175.81014729950903</v>
      </c>
      <c r="F103" s="630">
        <v>187.55319148936172</v>
      </c>
      <c r="G103" s="630">
        <v>240.90016366612116</v>
      </c>
      <c r="H103" s="630">
        <v>458.98527004909988</v>
      </c>
      <c r="I103" s="630">
        <v>643.85433715220961</v>
      </c>
      <c r="J103" s="630">
        <v>504.95090016366612</v>
      </c>
      <c r="K103" s="630">
        <v>410</v>
      </c>
      <c r="L103" s="630">
        <v>393</v>
      </c>
      <c r="M103" s="630">
        <v>525</v>
      </c>
      <c r="N103" s="630">
        <v>489</v>
      </c>
      <c r="O103" s="630">
        <v>535</v>
      </c>
      <c r="P103" s="630">
        <v>698</v>
      </c>
      <c r="Q103" s="630">
        <v>845</v>
      </c>
      <c r="R103" s="630">
        <v>919</v>
      </c>
      <c r="S103" s="630">
        <v>645</v>
      </c>
      <c r="T103" s="630">
        <v>887</v>
      </c>
      <c r="U103" s="630">
        <v>772</v>
      </c>
      <c r="V103" s="630">
        <v>988</v>
      </c>
      <c r="W103" s="630">
        <v>1059</v>
      </c>
      <c r="X103" s="630">
        <v>1066</v>
      </c>
      <c r="Y103" s="630">
        <v>1333</v>
      </c>
      <c r="Z103" s="630">
        <v>1207</v>
      </c>
      <c r="AA103" s="630">
        <v>1167</v>
      </c>
      <c r="AB103" s="630">
        <v>1064</v>
      </c>
      <c r="AC103" s="630">
        <v>1864</v>
      </c>
      <c r="AD103" s="630">
        <v>2288</v>
      </c>
      <c r="AE103" s="630">
        <v>1094</v>
      </c>
      <c r="AF103" s="630">
        <v>1172</v>
      </c>
      <c r="AG103" s="630">
        <f>AC103*(1+AG104)</f>
        <v>2050.4</v>
      </c>
      <c r="AH103" s="630">
        <f>AD103*(1+AH104)</f>
        <v>2516.8000000000002</v>
      </c>
      <c r="AI103" s="630">
        <f t="shared" ref="AI103:AP103" si="315">AE103*(1+AI104)</f>
        <v>1181.52</v>
      </c>
      <c r="AJ103" s="630">
        <f t="shared" si="315"/>
        <v>1265.76</v>
      </c>
      <c r="AK103" s="630">
        <f t="shared" si="315"/>
        <v>2214.4320000000002</v>
      </c>
      <c r="AL103" s="630">
        <f t="shared" si="315"/>
        <v>2667.8080000000004</v>
      </c>
      <c r="AM103" s="630">
        <f t="shared" si="315"/>
        <v>1252.4112</v>
      </c>
      <c r="AN103" s="630">
        <f t="shared" si="315"/>
        <v>1341.7056</v>
      </c>
      <c r="AO103" s="630">
        <f t="shared" si="315"/>
        <v>2347.2979200000004</v>
      </c>
      <c r="AP103" s="630">
        <f t="shared" si="315"/>
        <v>2801.1984000000007</v>
      </c>
      <c r="AQ103" s="633" t="s">
        <v>458</v>
      </c>
      <c r="AR103" s="508" t="s">
        <v>465</v>
      </c>
      <c r="AS103" s="509"/>
      <c r="AT103" s="617">
        <f>C103+D103+E103+F103</f>
        <v>586.48117839607198</v>
      </c>
      <c r="AU103" s="617">
        <f>G103+H103+I103+J103</f>
        <v>1848.6906710310968</v>
      </c>
      <c r="AV103" s="617">
        <f>K103+L103+M103+N103</f>
        <v>1817</v>
      </c>
      <c r="AW103" s="617">
        <f>O103+P103+Q103+R103</f>
        <v>2997</v>
      </c>
      <c r="AX103" s="617">
        <f>S103+T103+U103+V103</f>
        <v>3292</v>
      </c>
      <c r="AY103" s="2735">
        <f>W103+X103+Y103+Z103</f>
        <v>4665</v>
      </c>
      <c r="AZ103" s="2735">
        <f>AA103+AB103+AC103+AD103</f>
        <v>6383</v>
      </c>
      <c r="BA103" s="2736">
        <f>SUM(AE103:AH103)</f>
        <v>6833.2</v>
      </c>
      <c r="BB103" s="2736">
        <f>SUM(AI103:AL103)</f>
        <v>7329.52</v>
      </c>
      <c r="BC103" s="2736">
        <f>SUM(AM103:AP103)</f>
        <v>7742.6131200000018</v>
      </c>
      <c r="BD103" s="630">
        <f t="shared" ref="BD103:BJ103" si="316">BC103*(1+BD104)</f>
        <v>8157.1694893337453</v>
      </c>
      <c r="BE103" s="630">
        <f t="shared" si="316"/>
        <v>8572.0844785462341</v>
      </c>
      <c r="BF103" s="630">
        <f t="shared" si="316"/>
        <v>8986.3031638899047</v>
      </c>
      <c r="BG103" s="630">
        <f t="shared" si="316"/>
        <v>9398.8259239448271</v>
      </c>
      <c r="BH103" s="630">
        <f t="shared" si="316"/>
        <v>9808.7128444808986</v>
      </c>
      <c r="BI103" s="630">
        <f t="shared" si="316"/>
        <v>10215.086999938336</v>
      </c>
      <c r="BJ103" s="630">
        <f t="shared" si="316"/>
        <v>10617.136692637509</v>
      </c>
      <c r="BK103" s="538"/>
      <c r="BL103" s="630">
        <v>1385.8</v>
      </c>
      <c r="BM103" s="630">
        <v>1532.95</v>
      </c>
      <c r="BN103" s="630">
        <v>1473.15</v>
      </c>
      <c r="BO103" s="630">
        <v>1391.5</v>
      </c>
    </row>
    <row r="104" spans="2:67" s="613" customFormat="1" ht="12" customHeight="1" outlineLevel="1" x14ac:dyDescent="0.35">
      <c r="B104" s="612" t="s">
        <v>459</v>
      </c>
      <c r="G104" s="613">
        <f>G103/C103-1</f>
        <v>1.4421768707482996</v>
      </c>
      <c r="H104" s="613">
        <f t="shared" ref="H104:AA104" si="317">H103/D103-1</f>
        <v>2.6873315363881405</v>
      </c>
      <c r="I104" s="613">
        <f t="shared" si="317"/>
        <v>2.6622137404580153</v>
      </c>
      <c r="J104" s="613">
        <f t="shared" si="317"/>
        <v>1.6923076923076921</v>
      </c>
      <c r="K104" s="613">
        <f t="shared" si="317"/>
        <v>0.7019498607242336</v>
      </c>
      <c r="L104" s="613">
        <f t="shared" si="317"/>
        <v>-0.14376337184424481</v>
      </c>
      <c r="M104" s="613">
        <f t="shared" si="317"/>
        <v>-0.18459817740439011</v>
      </c>
      <c r="N104" s="613">
        <f t="shared" si="317"/>
        <v>-3.1589012235637259E-2</v>
      </c>
      <c r="O104" s="613">
        <f t="shared" si="317"/>
        <v>0.30487804878048785</v>
      </c>
      <c r="P104" s="613">
        <f t="shared" si="317"/>
        <v>0.77608142493638677</v>
      </c>
      <c r="Q104" s="613">
        <f t="shared" si="317"/>
        <v>0.60952380952380958</v>
      </c>
      <c r="R104" s="613">
        <f t="shared" si="317"/>
        <v>0.87934560327198374</v>
      </c>
      <c r="S104" s="613">
        <f t="shared" si="317"/>
        <v>0.20560747663551404</v>
      </c>
      <c r="T104" s="613">
        <f t="shared" si="317"/>
        <v>0.27077363896848139</v>
      </c>
      <c r="U104" s="613">
        <f t="shared" si="317"/>
        <v>-8.6390532544378673E-2</v>
      </c>
      <c r="V104" s="613">
        <f t="shared" si="317"/>
        <v>7.5081610446137148E-2</v>
      </c>
      <c r="W104" s="613">
        <f t="shared" si="317"/>
        <v>0.64186046511627914</v>
      </c>
      <c r="X104" s="613">
        <f t="shared" si="317"/>
        <v>0.20180383314543415</v>
      </c>
      <c r="Y104" s="613">
        <f t="shared" si="317"/>
        <v>0.72668393782383411</v>
      </c>
      <c r="Z104" s="613">
        <f t="shared" si="317"/>
        <v>0.22165991902834015</v>
      </c>
      <c r="AA104" s="613">
        <f t="shared" si="317"/>
        <v>0.10198300283286121</v>
      </c>
      <c r="AB104" s="613">
        <f>AB103/X103-1</f>
        <v>-1.8761726078799779E-3</v>
      </c>
      <c r="AC104" s="613">
        <f t="shared" ref="AC104:AF104" si="318">AC103/Y103-1</f>
        <v>0.39834958739684923</v>
      </c>
      <c r="AD104" s="613">
        <f>AD103/Z103-1</f>
        <v>0.89560894780447398</v>
      </c>
      <c r="AE104" s="613">
        <f t="shared" si="318"/>
        <v>-6.2553556126820897E-2</v>
      </c>
      <c r="AF104" s="613">
        <f t="shared" si="318"/>
        <v>0.10150375939849621</v>
      </c>
      <c r="AG104" s="562">
        <v>0.1</v>
      </c>
      <c r="AH104" s="562">
        <v>0.1</v>
      </c>
      <c r="AI104" s="562">
        <v>0.08</v>
      </c>
      <c r="AJ104" s="562">
        <v>0.08</v>
      </c>
      <c r="AK104" s="562">
        <v>0.08</v>
      </c>
      <c r="AL104" s="562">
        <v>0.06</v>
      </c>
      <c r="AM104" s="562">
        <v>0.06</v>
      </c>
      <c r="AN104" s="562">
        <v>0.06</v>
      </c>
      <c r="AO104" s="562">
        <v>0.06</v>
      </c>
      <c r="AP104" s="562">
        <v>0.05</v>
      </c>
      <c r="AQ104" s="615"/>
      <c r="AU104" s="613">
        <f t="shared" ref="AU104:AZ104" si="319">AU103/AT103-1</f>
        <v>2.1521739130434789</v>
      </c>
      <c r="AV104" s="613">
        <f t="shared" si="319"/>
        <v>-1.7142224779779669E-2</v>
      </c>
      <c r="AW104" s="613">
        <f t="shared" si="319"/>
        <v>0.64942212438084757</v>
      </c>
      <c r="AX104" s="613">
        <f t="shared" si="319"/>
        <v>9.8431765098431656E-2</v>
      </c>
      <c r="AY104" s="564">
        <f t="shared" si="319"/>
        <v>0.41707168894289182</v>
      </c>
      <c r="AZ104" s="564">
        <f t="shared" si="319"/>
        <v>0.36827438370846721</v>
      </c>
      <c r="BA104" s="564">
        <f t="shared" ref="BA104" si="320">BA103/AZ103-1</f>
        <v>7.0531098229672518E-2</v>
      </c>
      <c r="BB104" s="564">
        <f t="shared" ref="BB104" si="321">BB103/BA103-1</f>
        <v>7.2633612363168121E-2</v>
      </c>
      <c r="BC104" s="564">
        <f t="shared" ref="BC104" si="322">BC103/BB103-1</f>
        <v>5.6360187297394893E-2</v>
      </c>
      <c r="BD104" s="562">
        <f>BC104*0.95</f>
        <v>5.3542177932525144E-2</v>
      </c>
      <c r="BE104" s="562">
        <f t="shared" ref="BE104:BJ104" si="323">BD104*0.95</f>
        <v>5.0865069035898887E-2</v>
      </c>
      <c r="BF104" s="562">
        <f t="shared" si="323"/>
        <v>4.8321815584103943E-2</v>
      </c>
      <c r="BG104" s="562">
        <f t="shared" si="323"/>
        <v>4.5905724804898747E-2</v>
      </c>
      <c r="BH104" s="562">
        <f t="shared" si="323"/>
        <v>4.3610438564653804E-2</v>
      </c>
      <c r="BI104" s="562">
        <f t="shared" si="323"/>
        <v>4.1429916636421114E-2</v>
      </c>
      <c r="BJ104" s="562">
        <f t="shared" si="323"/>
        <v>3.9358420804600058E-2</v>
      </c>
      <c r="BL104" s="613">
        <v>0.3</v>
      </c>
      <c r="BM104" s="613">
        <v>0.15</v>
      </c>
      <c r="BN104" s="562">
        <v>0.15</v>
      </c>
      <c r="BO104" s="562">
        <v>0.15</v>
      </c>
    </row>
    <row r="105" spans="2:67" s="522" customFormat="1" ht="12" customHeight="1" outlineLevel="1" x14ac:dyDescent="0.35">
      <c r="B105" s="619"/>
      <c r="X105" s="568"/>
      <c r="Z105" s="562"/>
      <c r="AA105" s="562"/>
      <c r="AB105" s="562"/>
      <c r="AC105" s="562"/>
      <c r="AD105" s="562"/>
      <c r="AQ105" s="567"/>
      <c r="AR105" s="520"/>
      <c r="AS105" s="521"/>
      <c r="AY105" s="646"/>
      <c r="AZ105" s="566"/>
      <c r="BA105" s="566"/>
      <c r="BB105" s="566"/>
      <c r="BC105" s="566"/>
      <c r="BD105" s="562"/>
      <c r="BE105" s="562"/>
      <c r="BF105" s="562"/>
      <c r="BG105" s="562"/>
      <c r="BH105" s="562"/>
      <c r="BI105" s="562"/>
      <c r="BJ105" s="562"/>
      <c r="BL105" s="562"/>
      <c r="BM105" s="562"/>
    </row>
    <row r="106" spans="2:67" s="538" customFormat="1" ht="12" hidden="1" customHeight="1" outlineLevel="1" x14ac:dyDescent="0.35">
      <c r="B106" s="632" t="s">
        <v>504</v>
      </c>
      <c r="C106" s="605"/>
      <c r="D106" s="605"/>
      <c r="E106" s="605"/>
      <c r="F106" s="605"/>
      <c r="G106" s="605"/>
      <c r="H106" s="605"/>
      <c r="I106" s="605"/>
      <c r="J106" s="605"/>
      <c r="K106" s="605">
        <f t="shared" ref="K106:AD106" si="324">K103+K100</f>
        <v>1222</v>
      </c>
      <c r="L106" s="605">
        <f t="shared" si="324"/>
        <v>1291</v>
      </c>
      <c r="M106" s="605">
        <f t="shared" si="324"/>
        <v>1613</v>
      </c>
      <c r="N106" s="605">
        <f t="shared" si="324"/>
        <v>1663</v>
      </c>
      <c r="O106" s="605">
        <f t="shared" si="324"/>
        <v>3670</v>
      </c>
      <c r="P106" s="605">
        <f t="shared" si="324"/>
        <v>4306</v>
      </c>
      <c r="Q106" s="605">
        <f t="shared" si="324"/>
        <v>4908</v>
      </c>
      <c r="R106" s="605">
        <f t="shared" si="324"/>
        <v>4846</v>
      </c>
      <c r="S106" s="605">
        <f t="shared" si="324"/>
        <v>4726</v>
      </c>
      <c r="T106" s="605">
        <f t="shared" si="324"/>
        <v>5685</v>
      </c>
      <c r="U106" s="605">
        <f t="shared" si="324"/>
        <v>6185</v>
      </c>
      <c r="V106" s="605">
        <f t="shared" si="324"/>
        <v>6260</v>
      </c>
      <c r="W106" s="605">
        <f t="shared" si="324"/>
        <v>7034</v>
      </c>
      <c r="X106" s="605">
        <f t="shared" si="324"/>
        <v>7006</v>
      </c>
      <c r="Y106" s="605">
        <f t="shared" si="324"/>
        <v>7824</v>
      </c>
      <c r="Z106" s="605">
        <f t="shared" si="324"/>
        <v>6878</v>
      </c>
      <c r="AA106" s="605">
        <f t="shared" si="324"/>
        <v>7593</v>
      </c>
      <c r="AB106" s="605">
        <f t="shared" si="324"/>
        <v>8506</v>
      </c>
      <c r="AC106" s="605">
        <f t="shared" si="324"/>
        <v>9260</v>
      </c>
      <c r="AD106" s="605">
        <f t="shared" si="324"/>
        <v>8232</v>
      </c>
      <c r="AE106" s="605"/>
      <c r="AF106" s="605"/>
      <c r="AG106" s="605"/>
      <c r="AH106" s="605"/>
      <c r="AI106" s="605"/>
      <c r="AJ106" s="605"/>
      <c r="AK106" s="605"/>
      <c r="AL106" s="605"/>
      <c r="AM106" s="605"/>
      <c r="AN106" s="605"/>
      <c r="AO106" s="605"/>
      <c r="AP106" s="605"/>
      <c r="AQ106" s="633" t="s">
        <v>458</v>
      </c>
      <c r="AR106" s="508"/>
      <c r="AS106" s="509"/>
      <c r="AT106" s="605"/>
      <c r="AU106" s="605"/>
      <c r="AV106" s="605">
        <f>AV103+AV100</f>
        <v>5789</v>
      </c>
      <c r="AW106" s="605">
        <f>AW103+AW100</f>
        <v>17730</v>
      </c>
      <c r="AX106" s="605">
        <f>AX103+AX100</f>
        <v>22856</v>
      </c>
      <c r="AY106" s="605"/>
      <c r="AZ106" s="605"/>
      <c r="BA106" s="605"/>
      <c r="BB106" s="605"/>
      <c r="BC106" s="605"/>
      <c r="BD106" s="605"/>
      <c r="BE106" s="605"/>
      <c r="BF106" s="605"/>
      <c r="BG106" s="605"/>
      <c r="BH106" s="605"/>
      <c r="BI106" s="605"/>
      <c r="BJ106" s="605"/>
      <c r="BL106" s="605">
        <v>6434.8</v>
      </c>
      <c r="BM106" s="605">
        <v>8673.0499999999993</v>
      </c>
      <c r="BN106" s="605"/>
      <c r="BO106" s="605"/>
    </row>
    <row r="107" spans="2:67" s="522" customFormat="1" ht="12" hidden="1" customHeight="1" outlineLevel="1" x14ac:dyDescent="0.35">
      <c r="B107" s="619" t="s">
        <v>459</v>
      </c>
      <c r="P107" s="605"/>
      <c r="Q107" s="605"/>
      <c r="R107" s="605"/>
      <c r="S107" s="605"/>
      <c r="T107" s="605"/>
      <c r="U107" s="605"/>
      <c r="V107" s="605"/>
      <c r="W107" s="605"/>
      <c r="AQ107" s="567"/>
      <c r="AR107" s="520"/>
      <c r="AS107" s="521"/>
    </row>
    <row r="108" spans="2:67" s="522" customFormat="1" ht="12" customHeight="1" outlineLevel="1" x14ac:dyDescent="0.35">
      <c r="B108" s="619"/>
      <c r="P108" s="605"/>
      <c r="Q108" s="605"/>
      <c r="R108" s="605"/>
      <c r="S108" s="605"/>
      <c r="T108" s="605"/>
      <c r="U108" s="605"/>
      <c r="V108" s="605"/>
      <c r="W108" s="605"/>
      <c r="AQ108" s="567"/>
      <c r="AR108" s="520"/>
      <c r="AS108" s="521"/>
    </row>
    <row r="109" spans="2:67" s="668" customFormat="1" ht="12" customHeight="1" outlineLevel="1" x14ac:dyDescent="0.35">
      <c r="B109" s="667" t="s">
        <v>505</v>
      </c>
      <c r="C109" s="650">
        <v>10778</v>
      </c>
      <c r="D109" s="650">
        <v>10950</v>
      </c>
      <c r="E109" s="650">
        <v>18745</v>
      </c>
      <c r="F109" s="650">
        <v>12031</v>
      </c>
      <c r="G109" s="650">
        <v>15771</v>
      </c>
      <c r="H109" s="650">
        <v>16829</v>
      </c>
      <c r="I109" s="650">
        <v>26179</v>
      </c>
      <c r="J109" s="650">
        <v>17425</v>
      </c>
      <c r="K109" s="650">
        <v>20245</v>
      </c>
      <c r="L109" s="650">
        <v>22171</v>
      </c>
      <c r="M109" s="650">
        <v>34543</v>
      </c>
      <c r="N109" s="650">
        <v>24184</v>
      </c>
      <c r="O109" s="650">
        <v>32154</v>
      </c>
      <c r="P109" s="650">
        <v>34292</v>
      </c>
      <c r="Q109" s="650">
        <v>53248</v>
      </c>
      <c r="R109" s="650">
        <v>38579</v>
      </c>
      <c r="S109" s="650">
        <v>50184</v>
      </c>
      <c r="T109" s="650">
        <v>55122</v>
      </c>
      <c r="U109" s="650">
        <v>83028</v>
      </c>
      <c r="V109" s="650">
        <v>61932</v>
      </c>
      <c r="W109" s="650">
        <v>80920</v>
      </c>
      <c r="X109" s="650">
        <f t="shared" ref="X109:AP109" si="325">X84+X93+X100+X103</f>
        <v>85148</v>
      </c>
      <c r="Y109" s="650">
        <f t="shared" si="325"/>
        <v>117278</v>
      </c>
      <c r="Z109" s="650">
        <f t="shared" si="325"/>
        <v>93498</v>
      </c>
      <c r="AA109" s="650">
        <f t="shared" si="325"/>
        <v>114924</v>
      </c>
      <c r="AB109" s="650">
        <f t="shared" si="325"/>
        <v>119017</v>
      </c>
      <c r="AC109" s="650">
        <f t="shared" si="325"/>
        <v>161456</v>
      </c>
      <c r="AD109" s="650">
        <f t="shared" si="325"/>
        <v>114314</v>
      </c>
      <c r="AE109" s="650">
        <f t="shared" si="325"/>
        <v>153751</v>
      </c>
      <c r="AF109" s="650">
        <f t="shared" si="325"/>
        <v>155059</v>
      </c>
      <c r="AG109" s="650">
        <f t="shared" si="325"/>
        <v>204643.81837985385</v>
      </c>
      <c r="AH109" s="650">
        <f t="shared" si="325"/>
        <v>154687.52859649368</v>
      </c>
      <c r="AI109" s="650">
        <f t="shared" si="325"/>
        <v>194209.32527825967</v>
      </c>
      <c r="AJ109" s="650">
        <f t="shared" si="325"/>
        <v>202908.26675037955</v>
      </c>
      <c r="AK109" s="650">
        <f t="shared" si="325"/>
        <v>258477.13269135155</v>
      </c>
      <c r="AL109" s="650">
        <f t="shared" si="325"/>
        <v>191338.43060733221</v>
      </c>
      <c r="AM109" s="650">
        <f t="shared" si="325"/>
        <v>240044.05853741127</v>
      </c>
      <c r="AN109" s="650">
        <f t="shared" si="325"/>
        <v>254004.04080430747</v>
      </c>
      <c r="AO109" s="650">
        <f t="shared" si="325"/>
        <v>319009.28643081628</v>
      </c>
      <c r="AP109" s="650">
        <f t="shared" si="325"/>
        <v>236173.15623800093</v>
      </c>
      <c r="AQ109" s="649" t="s">
        <v>458</v>
      </c>
      <c r="AR109" s="729" t="s">
        <v>465</v>
      </c>
      <c r="AS109" s="730"/>
      <c r="AT109" s="650">
        <v>52504</v>
      </c>
      <c r="AU109" s="650">
        <v>76204</v>
      </c>
      <c r="AV109" s="650">
        <v>101143</v>
      </c>
      <c r="AW109" s="650">
        <v>158273</v>
      </c>
      <c r="AX109" s="650">
        <f>SUM(S109:V109)</f>
        <v>250266</v>
      </c>
      <c r="AY109" s="650">
        <f>SUM(W109:Z109)</f>
        <v>376844</v>
      </c>
      <c r="AZ109" s="650">
        <f>AZ84+AZ93+AZ100+AZ103</f>
        <v>509711</v>
      </c>
      <c r="BA109" s="650">
        <f>BA84+BA93+BA100+BA103</f>
        <v>668141.34697634738</v>
      </c>
      <c r="BB109" s="650">
        <f>BB84+BB93+BB100+BB103</f>
        <v>846933.15532732278</v>
      </c>
      <c r="BC109" s="650">
        <f t="shared" ref="BC109:BJ109" si="326">BC84+BC93+BC100+BC103</f>
        <v>1049230.542010536</v>
      </c>
      <c r="BD109" s="650">
        <f t="shared" si="326"/>
        <v>1266132.2308964995</v>
      </c>
      <c r="BE109" s="650">
        <f t="shared" si="326"/>
        <v>1485157.9310614143</v>
      </c>
      <c r="BF109" s="650">
        <f t="shared" si="326"/>
        <v>1697327.5794502099</v>
      </c>
      <c r="BG109" s="650">
        <f t="shared" si="326"/>
        <v>1897580.0183620527</v>
      </c>
      <c r="BH109" s="650">
        <f t="shared" si="326"/>
        <v>2084152.6478540078</v>
      </c>
      <c r="BI109" s="650">
        <f t="shared" si="326"/>
        <v>2257844.6723576463</v>
      </c>
      <c r="BJ109" s="650">
        <f t="shared" si="326"/>
        <v>2419764.627803436</v>
      </c>
      <c r="BL109" s="650">
        <v>117176.07819194801</v>
      </c>
      <c r="BM109" s="650">
        <v>164497.56212711</v>
      </c>
      <c r="BN109" s="650">
        <v>148941.31245683401</v>
      </c>
      <c r="BO109" s="650">
        <v>154550.74772750618</v>
      </c>
    </row>
    <row r="110" spans="2:67" s="648" customFormat="1" ht="12" hidden="1" customHeight="1" outlineLevel="1" x14ac:dyDescent="0.35">
      <c r="B110" s="701" t="s">
        <v>506</v>
      </c>
      <c r="C110" s="2731">
        <f t="shared" ref="C110:Z110" si="327">C109/C3/1000</f>
        <v>1.7338009137121162</v>
      </c>
      <c r="D110" s="2731">
        <f t="shared" si="327"/>
        <v>1.761469660896982</v>
      </c>
      <c r="E110" s="2731">
        <f t="shared" si="327"/>
        <v>3.0154108487227331</v>
      </c>
      <c r="F110" s="2731">
        <f t="shared" si="327"/>
        <v>1.9353645196576796</v>
      </c>
      <c r="G110" s="2731">
        <f t="shared" si="327"/>
        <v>2.5422335418144302</v>
      </c>
      <c r="H110" s="2731">
        <f t="shared" si="327"/>
        <v>2.7417725643532096</v>
      </c>
      <c r="I110" s="2731">
        <f t="shared" si="327"/>
        <v>4.265070055392636</v>
      </c>
      <c r="J110" s="2731">
        <f t="shared" si="327"/>
        <v>2.8388725969371129</v>
      </c>
      <c r="K110" s="2731">
        <f t="shared" si="327"/>
        <v>3.2653225806451611</v>
      </c>
      <c r="L110" s="2731">
        <f t="shared" si="327"/>
        <v>3.4109230769230772</v>
      </c>
      <c r="M110" s="2731">
        <f t="shared" si="327"/>
        <v>5.2337878787878793</v>
      </c>
      <c r="N110" s="2731">
        <f t="shared" si="327"/>
        <v>3.6642424242424245</v>
      </c>
      <c r="O110" s="2731">
        <f t="shared" si="327"/>
        <v>4.871818181818182</v>
      </c>
      <c r="P110" s="2731">
        <f t="shared" si="327"/>
        <v>5.1423858438929289</v>
      </c>
      <c r="Q110" s="2731">
        <f t="shared" si="327"/>
        <v>7.6693072159009077</v>
      </c>
      <c r="R110" s="2731">
        <f t="shared" si="327"/>
        <v>5.6048059042305907</v>
      </c>
      <c r="S110" s="2731">
        <f t="shared" si="327"/>
        <v>7.4025341849453481</v>
      </c>
      <c r="T110" s="2731">
        <f t="shared" si="327"/>
        <v>8.2849112470503368</v>
      </c>
      <c r="U110" s="2731">
        <f t="shared" si="327"/>
        <v>12.761169942978343</v>
      </c>
      <c r="V110" s="2731">
        <f t="shared" si="327"/>
        <v>9.5187741112460227</v>
      </c>
      <c r="W110" s="2731">
        <f t="shared" si="327"/>
        <v>12.22910684600272</v>
      </c>
      <c r="X110" s="2731">
        <f t="shared" si="327"/>
        <v>12.398</v>
      </c>
      <c r="Y110" s="2731">
        <f t="shared" si="327"/>
        <v>17.059169099599533</v>
      </c>
      <c r="Z110" s="2731">
        <f t="shared" si="327"/>
        <v>13.851555555555555</v>
      </c>
      <c r="AA110" s="2731"/>
      <c r="AB110" s="2731"/>
      <c r="AC110" s="2731"/>
      <c r="AD110" s="2731"/>
      <c r="AE110" s="2731"/>
      <c r="AF110" s="2731"/>
      <c r="AG110" s="2731"/>
      <c r="AH110" s="2731"/>
      <c r="AI110" s="2731"/>
      <c r="AJ110" s="2731"/>
      <c r="AK110" s="2731"/>
      <c r="AL110" s="2731"/>
      <c r="AM110" s="2731"/>
      <c r="AN110" s="2731"/>
      <c r="AO110" s="2731"/>
      <c r="AP110" s="2731"/>
      <c r="AQ110" s="2732"/>
      <c r="AR110" s="2733"/>
      <c r="AS110" s="2734"/>
      <c r="AT110" s="2731">
        <f t="shared" ref="AT110:BB110" si="328">AT109/AT3/1000</f>
        <v>8.4460459429895103</v>
      </c>
      <c r="AU110" s="2731">
        <f t="shared" si="328"/>
        <v>12.382035616794488</v>
      </c>
      <c r="AV110" s="2731">
        <f t="shared" si="328"/>
        <v>15.620540540540542</v>
      </c>
      <c r="AW110" s="2731">
        <f t="shared" si="328"/>
        <v>23.365898127678108</v>
      </c>
      <c r="AX110" s="2731">
        <f t="shared" si="328"/>
        <v>37.854279793686565</v>
      </c>
      <c r="AY110" s="2731">
        <f t="shared" si="328"/>
        <v>55.60291077161974</v>
      </c>
      <c r="AZ110" s="2731">
        <f t="shared" si="328"/>
        <v>72.815857142857141</v>
      </c>
      <c r="BA110" s="2731">
        <f t="shared" si="328"/>
        <v>101.23353742065871</v>
      </c>
      <c r="BB110" s="2731">
        <f t="shared" si="328"/>
        <v>130.29740851189581</v>
      </c>
      <c r="BC110" s="2731"/>
      <c r="BD110" s="2731"/>
      <c r="BE110" s="2731"/>
      <c r="BF110" s="2731"/>
      <c r="BG110" s="2731"/>
      <c r="BH110" s="2731"/>
      <c r="BI110" s="2731"/>
      <c r="BJ110" s="2731"/>
      <c r="BL110" s="2731"/>
      <c r="BM110" s="2731"/>
      <c r="BN110" s="2731"/>
      <c r="BO110" s="2731"/>
    </row>
    <row r="111" spans="2:67" s="564" customFormat="1" ht="12" customHeight="1" outlineLevel="1" x14ac:dyDescent="0.35">
      <c r="B111" s="2737" t="s">
        <v>459</v>
      </c>
      <c r="G111" s="564">
        <f>G109/C109-1</f>
        <v>0.46325848951568016</v>
      </c>
      <c r="H111" s="564">
        <f t="shared" ref="H111:AF111" si="329">H109/D109-1</f>
        <v>0.53689497716894974</v>
      </c>
      <c r="I111" s="564">
        <f t="shared" si="329"/>
        <v>0.39658575620165371</v>
      </c>
      <c r="J111" s="564">
        <f t="shared" si="329"/>
        <v>0.44834178372537603</v>
      </c>
      <c r="K111" s="564">
        <f t="shared" si="329"/>
        <v>0.28368524507006532</v>
      </c>
      <c r="L111" s="564">
        <f t="shared" si="329"/>
        <v>0.31742824885614129</v>
      </c>
      <c r="M111" s="564">
        <f t="shared" si="329"/>
        <v>0.31949272317506394</v>
      </c>
      <c r="N111" s="564">
        <f t="shared" si="329"/>
        <v>0.38789096126255385</v>
      </c>
      <c r="O111" s="564">
        <f t="shared" si="329"/>
        <v>0.58824401086688072</v>
      </c>
      <c r="P111" s="564">
        <f t="shared" si="329"/>
        <v>0.54670515538315811</v>
      </c>
      <c r="Q111" s="564">
        <f t="shared" si="329"/>
        <v>0.54149900124482531</v>
      </c>
      <c r="R111" s="564">
        <f t="shared" si="329"/>
        <v>0.59522825008269931</v>
      </c>
      <c r="S111" s="564">
        <f t="shared" si="329"/>
        <v>0.56073894383280454</v>
      </c>
      <c r="T111" s="564">
        <f t="shared" si="329"/>
        <v>0.60743030444418533</v>
      </c>
      <c r="U111" s="564">
        <f t="shared" si="329"/>
        <v>0.55926983173076916</v>
      </c>
      <c r="V111" s="564">
        <f t="shared" si="329"/>
        <v>0.60532932424375963</v>
      </c>
      <c r="W111" s="564">
        <f t="shared" si="329"/>
        <v>0.61246612466124661</v>
      </c>
      <c r="X111" s="564">
        <f t="shared" si="329"/>
        <v>0.54471898697434784</v>
      </c>
      <c r="Y111" s="564">
        <f t="shared" si="329"/>
        <v>0.41251144192320655</v>
      </c>
      <c r="Z111" s="564">
        <f t="shared" si="329"/>
        <v>0.50968804495252851</v>
      </c>
      <c r="AA111" s="564">
        <f t="shared" si="329"/>
        <v>0.42021749876421155</v>
      </c>
      <c r="AB111" s="564">
        <f t="shared" si="329"/>
        <v>0.39776624230751167</v>
      </c>
      <c r="AC111" s="564">
        <f t="shared" si="329"/>
        <v>0.37669469124644017</v>
      </c>
      <c r="AD111" s="564">
        <f t="shared" si="329"/>
        <v>0.22263577830541825</v>
      </c>
      <c r="AE111" s="564">
        <f t="shared" si="329"/>
        <v>0.33784936131704435</v>
      </c>
      <c r="AF111" s="564">
        <f t="shared" si="329"/>
        <v>0.3028306880529672</v>
      </c>
      <c r="AG111" s="564">
        <f t="shared" ref="AG111" si="330">AG109/AC109-1</f>
        <v>0.26748970852649556</v>
      </c>
      <c r="AH111" s="564">
        <f t="shared" ref="AH111" si="331">AH109/AD109-1</f>
        <v>0.35318096293099432</v>
      </c>
      <c r="AI111" s="564">
        <f t="shared" ref="AI111" si="332">AI109/AE109-1</f>
        <v>0.26314186755376978</v>
      </c>
      <c r="AJ111" s="564">
        <f t="shared" ref="AJ111" si="333">AJ109/AF109-1</f>
        <v>0.30858748444385387</v>
      </c>
      <c r="AK111" s="564">
        <f t="shared" ref="AK111" si="334">AK109/AG109-1</f>
        <v>0.26305858998180875</v>
      </c>
      <c r="AL111" s="564">
        <f t="shared" ref="AL111" si="335">AL109/AH109-1</f>
        <v>0.23693508030917831</v>
      </c>
      <c r="AM111" s="564">
        <f t="shared" ref="AM111" si="336">AM109/AI109-1</f>
        <v>0.2360068611199817</v>
      </c>
      <c r="AN111" s="564">
        <f t="shared" ref="AN111" si="337">AN109/AJ109-1</f>
        <v>0.25181711357668157</v>
      </c>
      <c r="AO111" s="564">
        <f t="shared" ref="AO111" si="338">AO109/AK109-1</f>
        <v>0.23418765563198352</v>
      </c>
      <c r="AP111" s="564">
        <f t="shared" ref="AP111" si="339">AP109/AL109-1</f>
        <v>0.23432159179082679</v>
      </c>
      <c r="AQ111" s="2738"/>
      <c r="AU111" s="564">
        <f>AU109/AT109-1</f>
        <v>0.45139417949108629</v>
      </c>
      <c r="AV111" s="564">
        <f t="shared" ref="AV111:BB111" si="340">AV109/AU109-1</f>
        <v>0.32726628523437085</v>
      </c>
      <c r="AW111" s="564">
        <f t="shared" si="340"/>
        <v>0.56484383496633472</v>
      </c>
      <c r="AX111" s="564">
        <f t="shared" si="340"/>
        <v>0.58122990023566867</v>
      </c>
      <c r="AY111" s="564">
        <f t="shared" si="340"/>
        <v>0.50577385661655994</v>
      </c>
      <c r="AZ111" s="564">
        <f t="shared" si="340"/>
        <v>0.35257825519313024</v>
      </c>
      <c r="BA111" s="564">
        <f t="shared" si="340"/>
        <v>0.31082387269717038</v>
      </c>
      <c r="BB111" s="564">
        <f t="shared" si="340"/>
        <v>0.26759578517343985</v>
      </c>
      <c r="BC111" s="564">
        <f t="shared" ref="BC111" si="341">BC109/BB109-1</f>
        <v>0.23885874039850208</v>
      </c>
      <c r="BD111" s="564">
        <f t="shared" ref="BD111" si="342">BD109/BC109-1</f>
        <v>0.20672452831037158</v>
      </c>
      <c r="BE111" s="564">
        <f t="shared" ref="BE111" si="343">BE109/BD109-1</f>
        <v>0.17298801406376896</v>
      </c>
      <c r="BF111" s="564">
        <f t="shared" ref="BF111" si="344">BF109/BE109-1</f>
        <v>0.14285999081401535</v>
      </c>
      <c r="BG111" s="564">
        <f t="shared" ref="BG111" si="345">BG109/BF109-1</f>
        <v>0.11798101989051979</v>
      </c>
      <c r="BH111" s="564">
        <f t="shared" ref="BH111" si="346">BH109/BG109-1</f>
        <v>9.8321350186328482E-2</v>
      </c>
      <c r="BI111" s="564">
        <f t="shared" ref="BI111" si="347">BI109/BH109-1</f>
        <v>8.3339396796335619E-2</v>
      </c>
      <c r="BJ111" s="564">
        <f t="shared" ref="BJ111" si="348">BJ109/BI109-1</f>
        <v>7.1714390909235037E-2</v>
      </c>
      <c r="BL111" s="564">
        <v>0.37614598336951899</v>
      </c>
      <c r="BM111" s="564">
        <v>0.40262932627696801</v>
      </c>
      <c r="BN111" s="564">
        <v>0.29599833330578801</v>
      </c>
      <c r="BO111" s="564">
        <v>0.29856027061265356</v>
      </c>
    </row>
    <row r="112" spans="2:67" ht="12" customHeight="1" outlineLevel="1" x14ac:dyDescent="0.35">
      <c r="C112" s="578"/>
      <c r="D112" s="578"/>
      <c r="E112" s="578"/>
      <c r="F112" s="578"/>
      <c r="G112" s="578"/>
      <c r="H112" s="578"/>
      <c r="I112" s="578"/>
      <c r="J112" s="578"/>
      <c r="K112" s="578"/>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8"/>
      <c r="AH112" s="578"/>
      <c r="AI112" s="578"/>
      <c r="AJ112" s="578"/>
      <c r="AK112" s="578"/>
      <c r="AL112" s="578"/>
      <c r="AM112" s="578"/>
      <c r="AN112" s="578"/>
      <c r="AO112" s="578"/>
      <c r="AP112" s="578"/>
      <c r="AQ112" s="507"/>
      <c r="AR112" s="508"/>
      <c r="AS112" s="509"/>
      <c r="AT112" s="578"/>
      <c r="AU112" s="578"/>
      <c r="AV112" s="578"/>
      <c r="AW112" s="578"/>
      <c r="AX112" s="578"/>
      <c r="AY112" s="578"/>
      <c r="AZ112" s="578"/>
      <c r="BA112" s="578"/>
      <c r="BB112" s="578"/>
      <c r="BC112" s="578"/>
      <c r="BD112" s="578"/>
      <c r="BE112" s="578"/>
      <c r="BF112" s="578"/>
      <c r="BG112" s="578"/>
      <c r="BH112" s="578"/>
      <c r="BI112" s="578"/>
      <c r="BJ112" s="578"/>
      <c r="BL112" s="578"/>
      <c r="BM112" s="578"/>
      <c r="BN112" s="578"/>
      <c r="BO112" s="578"/>
    </row>
    <row r="113" spans="2:67" ht="12" customHeight="1" x14ac:dyDescent="0.35">
      <c r="C113" s="578"/>
      <c r="D113" s="578"/>
      <c r="E113" s="578"/>
      <c r="F113" s="578"/>
      <c r="G113" s="578"/>
      <c r="H113" s="578"/>
      <c r="I113" s="578"/>
      <c r="J113" s="578"/>
      <c r="K113" s="578"/>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8"/>
      <c r="AH113" s="578"/>
      <c r="AI113" s="578"/>
      <c r="AJ113" s="578"/>
      <c r="AK113" s="578"/>
      <c r="AL113" s="578"/>
      <c r="AM113" s="578"/>
      <c r="AN113" s="578"/>
      <c r="AO113" s="578"/>
      <c r="AP113" s="578"/>
      <c r="AQ113" s="507"/>
      <c r="AR113" s="508"/>
      <c r="AS113" s="509"/>
      <c r="AT113" s="578"/>
      <c r="AU113" s="578"/>
      <c r="AV113" s="578"/>
      <c r="AW113" s="578"/>
      <c r="AX113" s="578"/>
      <c r="AY113" s="578"/>
      <c r="AZ113" s="578"/>
      <c r="BA113" s="578"/>
      <c r="BB113" s="578"/>
      <c r="BC113" s="578"/>
      <c r="BD113" s="578"/>
      <c r="BE113" s="578"/>
      <c r="BF113" s="578"/>
      <c r="BG113" s="578"/>
      <c r="BH113" s="578"/>
      <c r="BI113" s="578"/>
      <c r="BJ113" s="578"/>
      <c r="BL113" s="578"/>
      <c r="BM113" s="578"/>
      <c r="BN113" s="578"/>
      <c r="BO113" s="578"/>
    </row>
    <row r="114" spans="2:67" ht="12" customHeight="1" x14ac:dyDescent="0.35">
      <c r="C114" s="578"/>
      <c r="D114" s="578"/>
      <c r="E114" s="578"/>
      <c r="F114" s="578"/>
      <c r="G114" s="578"/>
      <c r="H114" s="578"/>
      <c r="I114" s="578"/>
      <c r="J114" s="578"/>
      <c r="K114" s="578"/>
      <c r="L114" s="578"/>
      <c r="M114" s="578"/>
      <c r="N114" s="578"/>
      <c r="O114" s="578"/>
      <c r="P114" s="578"/>
      <c r="Q114" s="578"/>
      <c r="R114" s="578"/>
      <c r="S114" s="578"/>
      <c r="T114" s="578"/>
      <c r="U114" s="578"/>
      <c r="V114" s="578"/>
      <c r="W114" s="578"/>
      <c r="X114" s="578"/>
      <c r="Y114" s="578"/>
      <c r="Z114" s="578"/>
      <c r="AA114" s="578"/>
      <c r="AB114" s="578"/>
      <c r="AC114" s="578"/>
      <c r="AD114" s="578"/>
      <c r="AE114" s="578"/>
      <c r="AF114" s="578"/>
      <c r="AG114" s="578"/>
      <c r="AH114" s="578"/>
      <c r="AI114" s="578"/>
      <c r="AJ114" s="578"/>
      <c r="AK114" s="578"/>
      <c r="AL114" s="578"/>
      <c r="AM114" s="578"/>
      <c r="AN114" s="578"/>
      <c r="AO114" s="578"/>
      <c r="AP114" s="578"/>
      <c r="AQ114" s="507"/>
      <c r="AR114" s="508"/>
      <c r="AS114" s="509"/>
      <c r="AT114" s="578"/>
      <c r="AU114" s="578"/>
      <c r="AV114" s="578"/>
      <c r="AW114" s="578"/>
      <c r="AX114" s="578"/>
      <c r="AY114" s="578"/>
      <c r="AZ114" s="578"/>
      <c r="BA114" s="578"/>
      <c r="BB114" s="578"/>
      <c r="BC114" s="578"/>
      <c r="BD114" s="578"/>
      <c r="BE114" s="578"/>
      <c r="BF114" s="578"/>
      <c r="BG114" s="578"/>
      <c r="BH114" s="578"/>
      <c r="BI114" s="578"/>
      <c r="BJ114" s="578"/>
      <c r="BL114" s="578"/>
      <c r="BM114" s="578"/>
      <c r="BN114" s="578"/>
      <c r="BO114" s="578"/>
    </row>
    <row r="115" spans="2:67" ht="12" customHeight="1" x14ac:dyDescent="0.35">
      <c r="C115" s="578"/>
      <c r="D115" s="578"/>
      <c r="E115" s="578"/>
      <c r="F115" s="578"/>
      <c r="G115" s="578"/>
      <c r="H115" s="578"/>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8"/>
      <c r="AH115" s="578"/>
      <c r="AI115" s="578"/>
      <c r="AJ115" s="578"/>
      <c r="AK115" s="578"/>
      <c r="AL115" s="578"/>
      <c r="AM115" s="578"/>
      <c r="AN115" s="578"/>
      <c r="AO115" s="578"/>
      <c r="AP115" s="578"/>
      <c r="AQ115" s="507"/>
      <c r="AR115" s="508"/>
      <c r="AS115" s="509"/>
      <c r="AT115" s="578"/>
      <c r="AU115" s="578"/>
      <c r="AV115" s="578"/>
      <c r="AW115" s="578"/>
      <c r="AX115" s="578"/>
      <c r="AY115" s="578"/>
      <c r="AZ115" s="578"/>
      <c r="BA115" s="578"/>
      <c r="BB115" s="578"/>
      <c r="BC115" s="578"/>
      <c r="BD115" s="578"/>
      <c r="BE115" s="578"/>
      <c r="BF115" s="578"/>
      <c r="BG115" s="578"/>
      <c r="BH115" s="578"/>
      <c r="BI115" s="578"/>
      <c r="BJ115" s="578"/>
      <c r="BL115" s="578"/>
      <c r="BM115" s="578"/>
      <c r="BN115" s="578"/>
      <c r="BO115" s="578"/>
    </row>
    <row r="116" spans="2:67" ht="12" customHeight="1" x14ac:dyDescent="0.35">
      <c r="C116" s="578"/>
      <c r="D116" s="578"/>
      <c r="E116" s="578"/>
      <c r="F116" s="578"/>
      <c r="G116" s="578"/>
      <c r="H116" s="578"/>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8"/>
      <c r="AH116" s="578"/>
      <c r="AI116" s="578"/>
      <c r="AJ116" s="578"/>
      <c r="AK116" s="578"/>
      <c r="AL116" s="578"/>
      <c r="AM116" s="578"/>
      <c r="AN116" s="578"/>
      <c r="AO116" s="578"/>
      <c r="AP116" s="578"/>
      <c r="AQ116" s="507"/>
      <c r="AR116" s="508"/>
      <c r="AS116" s="509"/>
      <c r="AT116" s="578"/>
      <c r="AU116" s="578"/>
      <c r="AV116" s="578"/>
      <c r="AW116" s="578"/>
      <c r="AX116" s="578"/>
      <c r="AY116" s="578"/>
      <c r="AZ116" s="578"/>
      <c r="BA116" s="578"/>
      <c r="BB116" s="578"/>
      <c r="BC116" s="578"/>
      <c r="BD116" s="578"/>
      <c r="BE116" s="578"/>
      <c r="BF116" s="578"/>
      <c r="BG116" s="578"/>
      <c r="BH116" s="578"/>
      <c r="BI116" s="578"/>
      <c r="BJ116" s="578"/>
      <c r="BL116" s="578"/>
      <c r="BM116" s="578"/>
      <c r="BN116" s="578"/>
      <c r="BO116" s="578"/>
    </row>
    <row r="117" spans="2:67" ht="12" customHeight="1" thickBot="1" x14ac:dyDescent="0.4">
      <c r="B117" s="634" t="s">
        <v>507</v>
      </c>
      <c r="C117" s="635"/>
      <c r="D117" s="635"/>
      <c r="E117" s="635"/>
      <c r="F117" s="635"/>
      <c r="G117" s="635"/>
      <c r="H117" s="635"/>
      <c r="I117" s="635"/>
      <c r="J117" s="635"/>
      <c r="K117" s="635"/>
      <c r="L117" s="635"/>
      <c r="M117" s="635"/>
      <c r="N117" s="635"/>
      <c r="O117" s="635"/>
      <c r="P117" s="635"/>
      <c r="Q117" s="635"/>
      <c r="R117" s="635"/>
      <c r="S117" s="636"/>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7"/>
      <c r="AR117" s="638"/>
      <c r="AS117" s="639"/>
      <c r="AT117" s="635"/>
      <c r="AU117" s="635"/>
      <c r="AV117" s="635"/>
      <c r="AW117" s="635"/>
      <c r="AX117" s="635"/>
      <c r="AY117" s="635"/>
      <c r="AZ117" s="635"/>
      <c r="BA117" s="635"/>
      <c r="BB117" s="635"/>
      <c r="BC117" s="709"/>
      <c r="BD117" s="709"/>
      <c r="BE117" s="709"/>
      <c r="BF117" s="709"/>
      <c r="BG117" s="709"/>
      <c r="BH117" s="709"/>
      <c r="BI117" s="709"/>
      <c r="BJ117" s="709"/>
      <c r="BL117" s="635"/>
      <c r="BM117" s="635"/>
      <c r="BN117" s="635"/>
      <c r="BO117" s="635"/>
    </row>
    <row r="118" spans="2:67" s="538" customFormat="1" ht="12" customHeight="1" x14ac:dyDescent="0.35">
      <c r="B118" s="640" t="s">
        <v>505</v>
      </c>
      <c r="C118" s="641">
        <v>10778</v>
      </c>
      <c r="D118" s="641">
        <v>10950</v>
      </c>
      <c r="E118" s="641">
        <v>18745</v>
      </c>
      <c r="F118" s="641">
        <v>12031</v>
      </c>
      <c r="G118" s="641">
        <v>15771</v>
      </c>
      <c r="H118" s="641">
        <v>16829</v>
      </c>
      <c r="I118" s="641">
        <v>26179</v>
      </c>
      <c r="J118" s="641">
        <v>17425</v>
      </c>
      <c r="K118" s="641">
        <v>20245</v>
      </c>
      <c r="L118" s="641">
        <v>22171</v>
      </c>
      <c r="M118" s="641">
        <v>34543</v>
      </c>
      <c r="N118" s="641">
        <v>24184</v>
      </c>
      <c r="O118" s="641">
        <v>32154</v>
      </c>
      <c r="P118" s="641">
        <v>34292</v>
      </c>
      <c r="Q118" s="641">
        <v>53248</v>
      </c>
      <c r="R118" s="641">
        <v>38579</v>
      </c>
      <c r="S118" s="641">
        <v>50184</v>
      </c>
      <c r="T118" s="641">
        <v>55122</v>
      </c>
      <c r="U118" s="641">
        <v>83028</v>
      </c>
      <c r="V118" s="641">
        <v>61932</v>
      </c>
      <c r="W118" s="641">
        <f>W109</f>
        <v>80920</v>
      </c>
      <c r="X118" s="641">
        <f>X109</f>
        <v>85148</v>
      </c>
      <c r="Y118" s="641">
        <f>Y109</f>
        <v>117278</v>
      </c>
      <c r="Z118" s="641">
        <f>Z109</f>
        <v>93498</v>
      </c>
      <c r="AA118" s="641">
        <f t="shared" ref="AA118:AP118" si="349">AA109</f>
        <v>114924</v>
      </c>
      <c r="AB118" s="641">
        <f t="shared" si="349"/>
        <v>119017</v>
      </c>
      <c r="AC118" s="641">
        <f t="shared" si="349"/>
        <v>161456</v>
      </c>
      <c r="AD118" s="641">
        <f t="shared" si="349"/>
        <v>114314</v>
      </c>
      <c r="AE118" s="641">
        <f t="shared" si="349"/>
        <v>153751</v>
      </c>
      <c r="AF118" s="641">
        <f t="shared" si="349"/>
        <v>155059</v>
      </c>
      <c r="AG118" s="641">
        <f t="shared" si="349"/>
        <v>204643.81837985385</v>
      </c>
      <c r="AH118" s="641">
        <f t="shared" si="349"/>
        <v>154687.52859649368</v>
      </c>
      <c r="AI118" s="641">
        <f t="shared" si="349"/>
        <v>194209.32527825967</v>
      </c>
      <c r="AJ118" s="641">
        <f t="shared" si="349"/>
        <v>202908.26675037955</v>
      </c>
      <c r="AK118" s="641">
        <f t="shared" si="349"/>
        <v>258477.13269135155</v>
      </c>
      <c r="AL118" s="641">
        <f t="shared" si="349"/>
        <v>191338.43060733221</v>
      </c>
      <c r="AM118" s="641">
        <f t="shared" si="349"/>
        <v>240044.05853741127</v>
      </c>
      <c r="AN118" s="641">
        <f t="shared" si="349"/>
        <v>254004.04080430747</v>
      </c>
      <c r="AO118" s="641">
        <f t="shared" si="349"/>
        <v>319009.28643081628</v>
      </c>
      <c r="AP118" s="641">
        <f t="shared" si="349"/>
        <v>236173.15623800093</v>
      </c>
      <c r="AQ118" s="633" t="s">
        <v>458</v>
      </c>
      <c r="AR118" s="508" t="s">
        <v>465</v>
      </c>
      <c r="AS118" s="509"/>
      <c r="AT118" s="641">
        <v>52504</v>
      </c>
      <c r="AU118" s="641">
        <v>76204</v>
      </c>
      <c r="AV118" s="641">
        <v>101143</v>
      </c>
      <c r="AW118" s="641">
        <v>158273</v>
      </c>
      <c r="AX118" s="641">
        <f>AX109</f>
        <v>250266</v>
      </c>
      <c r="AY118" s="641">
        <f>AY109</f>
        <v>376844</v>
      </c>
      <c r="AZ118" s="641">
        <f>AZ109</f>
        <v>509711</v>
      </c>
      <c r="BA118" s="641">
        <f>BA109</f>
        <v>668141.34697634738</v>
      </c>
      <c r="BB118" s="641">
        <f>BB109</f>
        <v>846933.15532732278</v>
      </c>
      <c r="BC118" s="641">
        <f t="shared" ref="BC118:BJ118" si="350">BC109</f>
        <v>1049230.542010536</v>
      </c>
      <c r="BD118" s="641">
        <f t="shared" si="350"/>
        <v>1266132.2308964995</v>
      </c>
      <c r="BE118" s="641">
        <f t="shared" si="350"/>
        <v>1485157.9310614143</v>
      </c>
      <c r="BF118" s="641">
        <f t="shared" si="350"/>
        <v>1697327.5794502099</v>
      </c>
      <c r="BG118" s="641">
        <f t="shared" si="350"/>
        <v>1897580.0183620527</v>
      </c>
      <c r="BH118" s="641">
        <f t="shared" si="350"/>
        <v>2084152.6478540078</v>
      </c>
      <c r="BI118" s="641">
        <f t="shared" si="350"/>
        <v>2257844.6723576463</v>
      </c>
      <c r="BJ118" s="641">
        <f t="shared" si="350"/>
        <v>2419764.627803436</v>
      </c>
      <c r="BL118" s="605">
        <v>117176.07819194801</v>
      </c>
      <c r="BM118" s="605">
        <v>164497.56212711</v>
      </c>
      <c r="BN118" s="641">
        <v>148941.31245683401</v>
      </c>
      <c r="BO118" s="641">
        <v>154550.74772750618</v>
      </c>
    </row>
    <row r="119" spans="2:67" s="646" customFormat="1" ht="12" customHeight="1" x14ac:dyDescent="0.35">
      <c r="B119" s="672" t="s">
        <v>508</v>
      </c>
      <c r="G119" s="646">
        <f>G118/C118-1</f>
        <v>0.46325848951568016</v>
      </c>
      <c r="H119" s="646">
        <f t="shared" ref="H119:AH119" si="351">H118/D118-1</f>
        <v>0.53689497716894974</v>
      </c>
      <c r="I119" s="646">
        <f t="shared" si="351"/>
        <v>0.39658575620165371</v>
      </c>
      <c r="J119" s="646">
        <f t="shared" si="351"/>
        <v>0.44834178372537603</v>
      </c>
      <c r="K119" s="646">
        <f t="shared" si="351"/>
        <v>0.28368524507006532</v>
      </c>
      <c r="L119" s="646">
        <f t="shared" si="351"/>
        <v>0.31742824885614129</v>
      </c>
      <c r="M119" s="646">
        <f t="shared" si="351"/>
        <v>0.31949272317506394</v>
      </c>
      <c r="N119" s="646">
        <f t="shared" si="351"/>
        <v>0.38789096126255385</v>
      </c>
      <c r="O119" s="646">
        <f t="shared" si="351"/>
        <v>0.58824401086688072</v>
      </c>
      <c r="P119" s="646">
        <f t="shared" si="351"/>
        <v>0.54670515538315811</v>
      </c>
      <c r="Q119" s="646">
        <f t="shared" si="351"/>
        <v>0.54149900124482531</v>
      </c>
      <c r="R119" s="646">
        <f t="shared" si="351"/>
        <v>0.59522825008269931</v>
      </c>
      <c r="S119" s="646">
        <f t="shared" si="351"/>
        <v>0.56073894383280454</v>
      </c>
      <c r="T119" s="646">
        <f t="shared" si="351"/>
        <v>0.60743030444418533</v>
      </c>
      <c r="U119" s="646">
        <f t="shared" si="351"/>
        <v>0.55926983173076916</v>
      </c>
      <c r="V119" s="646">
        <f t="shared" si="351"/>
        <v>0.60532932424375963</v>
      </c>
      <c r="W119" s="646">
        <f t="shared" si="351"/>
        <v>0.61246612466124661</v>
      </c>
      <c r="X119" s="646">
        <f t="shared" si="351"/>
        <v>0.54471898697434784</v>
      </c>
      <c r="Y119" s="646">
        <f t="shared" si="351"/>
        <v>0.41251144192320655</v>
      </c>
      <c r="Z119" s="646">
        <f t="shared" si="351"/>
        <v>0.50968804495252851</v>
      </c>
      <c r="AA119" s="646">
        <f t="shared" si="351"/>
        <v>0.42021749876421155</v>
      </c>
      <c r="AB119" s="646">
        <f t="shared" si="351"/>
        <v>0.39776624230751167</v>
      </c>
      <c r="AC119" s="646">
        <f t="shared" si="351"/>
        <v>0.37669469124644017</v>
      </c>
      <c r="AD119" s="646">
        <f t="shared" si="351"/>
        <v>0.22263577830541825</v>
      </c>
      <c r="AE119" s="646">
        <f t="shared" si="351"/>
        <v>0.33784936131704435</v>
      </c>
      <c r="AF119" s="646">
        <f t="shared" si="351"/>
        <v>0.3028306880529672</v>
      </c>
      <c r="AG119" s="646">
        <f t="shared" si="351"/>
        <v>0.26748970852649556</v>
      </c>
      <c r="AH119" s="646">
        <f t="shared" si="351"/>
        <v>0.35318096293099432</v>
      </c>
      <c r="AI119" s="646">
        <f t="shared" ref="AI119" si="352">AI118/AE118-1</f>
        <v>0.26314186755376978</v>
      </c>
      <c r="AJ119" s="646">
        <f t="shared" ref="AJ119" si="353">AJ118/AF118-1</f>
        <v>0.30858748444385387</v>
      </c>
      <c r="AK119" s="646">
        <f t="shared" ref="AK119" si="354">AK118/AG118-1</f>
        <v>0.26305858998180875</v>
      </c>
      <c r="AL119" s="646">
        <f t="shared" ref="AL119" si="355">AL118/AH118-1</f>
        <v>0.23693508030917831</v>
      </c>
      <c r="AM119" s="646">
        <f t="shared" ref="AM119" si="356">AM118/AI118-1</f>
        <v>0.2360068611199817</v>
      </c>
      <c r="AN119" s="646">
        <f t="shared" ref="AN119" si="357">AN118/AJ118-1</f>
        <v>0.25181711357668157</v>
      </c>
      <c r="AO119" s="646">
        <f t="shared" ref="AO119" si="358">AO118/AK118-1</f>
        <v>0.23418765563198352</v>
      </c>
      <c r="AP119" s="646">
        <f t="shared" ref="AP119" si="359">AP118/AL118-1</f>
        <v>0.23432159179082679</v>
      </c>
      <c r="AQ119" s="656"/>
      <c r="AR119" s="657"/>
      <c r="AS119" s="565"/>
      <c r="AU119" s="646">
        <f>AU118/AT118-1</f>
        <v>0.45139417949108629</v>
      </c>
      <c r="AV119" s="646">
        <f t="shared" ref="AV119:BB119" si="360">AV118/AU118-1</f>
        <v>0.32726628523437085</v>
      </c>
      <c r="AW119" s="646">
        <f t="shared" si="360"/>
        <v>0.56484383496633472</v>
      </c>
      <c r="AX119" s="646">
        <f t="shared" si="360"/>
        <v>0.58122990023566867</v>
      </c>
      <c r="AY119" s="646">
        <f t="shared" si="360"/>
        <v>0.50577385661655994</v>
      </c>
      <c r="AZ119" s="646">
        <f t="shared" si="360"/>
        <v>0.35257825519313024</v>
      </c>
      <c r="BA119" s="646">
        <f t="shared" si="360"/>
        <v>0.31082387269717038</v>
      </c>
      <c r="BB119" s="646">
        <f t="shared" si="360"/>
        <v>0.26759578517343985</v>
      </c>
      <c r="BC119" s="646">
        <f t="shared" ref="BC119" si="361">BC118/BB118-1</f>
        <v>0.23885874039850208</v>
      </c>
      <c r="BD119" s="646">
        <f t="shared" ref="BD119" si="362">BD118/BC118-1</f>
        <v>0.20672452831037158</v>
      </c>
      <c r="BE119" s="646">
        <f t="shared" ref="BE119" si="363">BE118/BD118-1</f>
        <v>0.17298801406376896</v>
      </c>
      <c r="BF119" s="646">
        <f t="shared" ref="BF119" si="364">BF118/BE118-1</f>
        <v>0.14285999081401535</v>
      </c>
      <c r="BG119" s="646">
        <f t="shared" ref="BG119" si="365">BG118/BF118-1</f>
        <v>0.11798101989051979</v>
      </c>
      <c r="BH119" s="646">
        <f t="shared" ref="BH119" si="366">BH118/BG118-1</f>
        <v>9.8321350186328482E-2</v>
      </c>
      <c r="BI119" s="646">
        <f t="shared" ref="BI119" si="367">BI118/BH118-1</f>
        <v>8.3339396796335619E-2</v>
      </c>
      <c r="BJ119" s="646">
        <f t="shared" ref="BJ119" si="368">BJ118/BI118-1</f>
        <v>7.1714390909235037E-2</v>
      </c>
      <c r="BL119" s="646">
        <v>0.37614598336951899</v>
      </c>
      <c r="BM119" s="646">
        <v>0.40262932627696801</v>
      </c>
      <c r="BN119" s="646">
        <v>0.29599833330578801</v>
      </c>
      <c r="BO119" s="646">
        <v>0.29856027061265356</v>
      </c>
    </row>
    <row r="120" spans="2:67" s="522" customFormat="1" ht="12" customHeight="1" x14ac:dyDescent="0.35">
      <c r="B120" s="642"/>
      <c r="AQ120" s="567"/>
      <c r="AR120" s="520"/>
      <c r="AS120" s="521"/>
    </row>
    <row r="121" spans="2:67" ht="12" customHeight="1" x14ac:dyDescent="0.35">
      <c r="B121" s="643"/>
      <c r="C121" s="578"/>
      <c r="D121" s="578"/>
      <c r="E121" s="578"/>
      <c r="F121" s="578"/>
      <c r="G121" s="578"/>
      <c r="H121" s="578"/>
      <c r="I121" s="578"/>
      <c r="J121" s="578"/>
      <c r="K121" s="578"/>
      <c r="L121" s="578"/>
      <c r="M121" s="578"/>
      <c r="N121" s="578"/>
      <c r="O121" s="578"/>
      <c r="P121" s="578"/>
      <c r="Q121" s="578"/>
      <c r="R121" s="578"/>
      <c r="S121" s="578"/>
      <c r="T121" s="578"/>
      <c r="U121" s="578"/>
      <c r="V121" s="578"/>
      <c r="W121" s="578"/>
      <c r="X121" s="578"/>
      <c r="Y121" s="578"/>
      <c r="Z121" s="578"/>
      <c r="AA121" s="578"/>
      <c r="AB121" s="578"/>
      <c r="AC121" s="578"/>
      <c r="AD121" s="578"/>
      <c r="AE121" s="578"/>
      <c r="AF121" s="578"/>
      <c r="AG121" s="578"/>
      <c r="AH121" s="578"/>
      <c r="AI121" s="578"/>
      <c r="AJ121" s="578"/>
      <c r="AK121" s="578"/>
      <c r="AL121" s="578"/>
      <c r="AM121" s="578"/>
      <c r="AN121" s="578"/>
      <c r="AO121" s="578"/>
      <c r="AP121" s="578"/>
      <c r="AQ121" s="507"/>
      <c r="AR121" s="508"/>
      <c r="AS121" s="509"/>
      <c r="AT121" s="578"/>
      <c r="AU121" s="578"/>
      <c r="AV121" s="578"/>
      <c r="AW121" s="578"/>
      <c r="AX121" s="578"/>
      <c r="AY121" s="578"/>
      <c r="AZ121" s="578"/>
      <c r="BA121" s="578"/>
      <c r="BB121" s="578"/>
      <c r="BC121" s="578"/>
      <c r="BD121" s="578"/>
      <c r="BE121" s="578"/>
      <c r="BF121" s="578"/>
      <c r="BG121" s="578"/>
      <c r="BH121" s="578"/>
      <c r="BI121" s="578"/>
      <c r="BJ121" s="578"/>
      <c r="BL121" s="578"/>
      <c r="BM121" s="578"/>
      <c r="BN121" s="578"/>
      <c r="BO121" s="578"/>
    </row>
    <row r="122" spans="2:67" ht="12" customHeight="1" x14ac:dyDescent="0.35">
      <c r="B122" s="643" t="s">
        <v>509</v>
      </c>
      <c r="C122" s="578"/>
      <c r="D122" s="578"/>
      <c r="E122" s="578"/>
      <c r="F122" s="578"/>
      <c r="G122" s="578"/>
      <c r="H122" s="578"/>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c r="AE122" s="578"/>
      <c r="AF122" s="578"/>
      <c r="AG122" s="578"/>
      <c r="AH122" s="578"/>
      <c r="AI122" s="578"/>
      <c r="AJ122" s="578"/>
      <c r="AK122" s="578"/>
      <c r="AL122" s="578"/>
      <c r="AM122" s="578"/>
      <c r="AN122" s="578"/>
      <c r="AO122" s="578"/>
      <c r="AP122" s="578"/>
      <c r="AQ122" s="507"/>
      <c r="AR122" s="508"/>
      <c r="AS122" s="509"/>
      <c r="AT122" s="578"/>
      <c r="AU122" s="578"/>
      <c r="AV122" s="578"/>
      <c r="AW122" s="578"/>
      <c r="AX122" s="578"/>
      <c r="AY122" s="578"/>
      <c r="AZ122" s="578"/>
      <c r="BA122" s="578"/>
      <c r="BB122" s="578"/>
      <c r="BC122" s="578"/>
      <c r="BD122" s="578"/>
      <c r="BE122" s="578"/>
      <c r="BF122" s="578"/>
      <c r="BG122" s="578"/>
      <c r="BH122" s="578"/>
      <c r="BI122" s="578"/>
      <c r="BJ122" s="578"/>
      <c r="BL122" s="578"/>
      <c r="BM122" s="578"/>
      <c r="BN122" s="578"/>
      <c r="BO122" s="578"/>
    </row>
    <row r="123" spans="2:67" s="648" customFormat="1" ht="12" customHeight="1" x14ac:dyDescent="0.35">
      <c r="B123" s="2739"/>
      <c r="C123" s="709"/>
      <c r="D123" s="709"/>
      <c r="E123" s="709"/>
      <c r="F123" s="709"/>
      <c r="G123" s="709"/>
      <c r="H123" s="709"/>
      <c r="I123" s="709"/>
      <c r="J123" s="709"/>
      <c r="K123" s="709"/>
      <c r="L123" s="709"/>
      <c r="M123" s="709"/>
      <c r="N123" s="709"/>
      <c r="O123" s="709"/>
      <c r="P123" s="709"/>
      <c r="Q123" s="709"/>
      <c r="R123" s="709"/>
      <c r="S123" s="2740" t="s">
        <v>510</v>
      </c>
      <c r="T123" s="2740" t="s">
        <v>511</v>
      </c>
      <c r="U123" s="2740" t="s">
        <v>511</v>
      </c>
      <c r="V123" s="2740" t="s">
        <v>510</v>
      </c>
      <c r="W123" s="2740" t="s">
        <v>512</v>
      </c>
      <c r="X123" s="2740" t="s">
        <v>511</v>
      </c>
      <c r="Y123" s="2740" t="s">
        <v>511</v>
      </c>
      <c r="Z123" s="2740" t="s">
        <v>511</v>
      </c>
      <c r="AA123" s="709"/>
      <c r="AB123" s="709"/>
      <c r="AC123" s="709"/>
      <c r="AD123" s="709"/>
      <c r="AE123" s="709"/>
      <c r="AF123" s="709"/>
      <c r="AG123" s="709"/>
      <c r="AH123" s="709"/>
      <c r="AI123" s="709"/>
      <c r="AJ123" s="709"/>
      <c r="AK123" s="709"/>
      <c r="AL123" s="709"/>
      <c r="AM123" s="709"/>
      <c r="AN123" s="709"/>
      <c r="AO123" s="709"/>
      <c r="AP123" s="709"/>
      <c r="AQ123" s="2741"/>
      <c r="AR123" s="729"/>
      <c r="AS123" s="730"/>
      <c r="AT123" s="709"/>
      <c r="AU123" s="709"/>
      <c r="AV123" s="709"/>
      <c r="AW123" s="709"/>
      <c r="AX123" s="709"/>
      <c r="AY123" s="709"/>
      <c r="AZ123" s="709"/>
      <c r="BA123" s="709"/>
      <c r="BB123" s="709"/>
      <c r="BC123" s="709"/>
      <c r="BD123" s="709"/>
      <c r="BE123" s="709"/>
      <c r="BF123" s="709"/>
      <c r="BG123" s="709"/>
      <c r="BH123" s="709"/>
      <c r="BI123" s="709"/>
      <c r="BJ123" s="709"/>
      <c r="BL123" s="709"/>
      <c r="BM123" s="709"/>
      <c r="BN123" s="709"/>
      <c r="BO123" s="709"/>
    </row>
    <row r="124" spans="2:67" s="712" customFormat="1" ht="12" customHeight="1" x14ac:dyDescent="0.65">
      <c r="B124" s="2823" t="s">
        <v>513</v>
      </c>
      <c r="C124" s="2766"/>
      <c r="D124" s="2766"/>
      <c r="E124" s="2766"/>
      <c r="F124" s="2766"/>
      <c r="G124" s="2766"/>
      <c r="H124" s="2766"/>
      <c r="I124" s="2766"/>
      <c r="J124" s="2766"/>
      <c r="K124" s="2766"/>
      <c r="L124" s="2766"/>
      <c r="M124" s="2766"/>
      <c r="N124" s="2766"/>
      <c r="O124" s="2766"/>
      <c r="P124" s="2766"/>
      <c r="Q124" s="2766"/>
      <c r="R124" s="2777">
        <f t="shared" ref="R124:AP124" si="369">R84-R80-R77-R66-R41</f>
        <v>29529.439127564805</v>
      </c>
      <c r="S124" s="2777">
        <f t="shared" si="369"/>
        <v>40960.503770082694</v>
      </c>
      <c r="T124" s="2777">
        <f t="shared" si="369"/>
        <v>43931.663602419998</v>
      </c>
      <c r="U124" s="2777">
        <f t="shared" si="369"/>
        <v>66375.228194537485</v>
      </c>
      <c r="V124" s="2777">
        <f t="shared" si="369"/>
        <v>43609.199338843871</v>
      </c>
      <c r="W124" s="2777">
        <f t="shared" si="369"/>
        <v>58272.252869889395</v>
      </c>
      <c r="X124" s="2777">
        <f t="shared" si="369"/>
        <v>58716.872934747546</v>
      </c>
      <c r="Y124" s="2777">
        <f t="shared" si="369"/>
        <v>87642.76207461505</v>
      </c>
      <c r="Z124" s="2777">
        <f t="shared" si="369"/>
        <v>63286.587860421809</v>
      </c>
      <c r="AA124" s="2778">
        <f t="shared" si="369"/>
        <v>79436.067539253156</v>
      </c>
      <c r="AB124" s="2778">
        <f t="shared" si="369"/>
        <v>80918.473060011456</v>
      </c>
      <c r="AC124" s="2778">
        <f t="shared" si="369"/>
        <v>116996.6992610114</v>
      </c>
      <c r="AD124" s="2778">
        <f t="shared" si="369"/>
        <v>74484.534511927297</v>
      </c>
      <c r="AE124" s="2778">
        <f t="shared" si="369"/>
        <v>106042.32250544229</v>
      </c>
      <c r="AF124" s="2778">
        <f t="shared" si="369"/>
        <v>101408.70083278071</v>
      </c>
      <c r="AG124" s="2778">
        <f t="shared" si="369"/>
        <v>143825.68150051963</v>
      </c>
      <c r="AH124" s="2778">
        <f t="shared" si="369"/>
        <v>100242.79417451221</v>
      </c>
      <c r="AI124" s="2778">
        <f t="shared" si="369"/>
        <v>132396.6084226548</v>
      </c>
      <c r="AJ124" s="2778">
        <f t="shared" si="369"/>
        <v>134534.92556758446</v>
      </c>
      <c r="AK124" s="2778">
        <f t="shared" si="369"/>
        <v>180410.67904715473</v>
      </c>
      <c r="AL124" s="2778">
        <f t="shared" si="369"/>
        <v>125480.22057985533</v>
      </c>
      <c r="AM124" s="2778">
        <f t="shared" si="369"/>
        <v>162641.3000679051</v>
      </c>
      <c r="AN124" s="2778">
        <f t="shared" si="369"/>
        <v>167119.39942581361</v>
      </c>
      <c r="AO124" s="2778">
        <f t="shared" si="369"/>
        <v>219482.56339157029</v>
      </c>
      <c r="AP124" s="2778">
        <f t="shared" si="369"/>
        <v>153367.7551417271</v>
      </c>
      <c r="AQ124" s="2778"/>
      <c r="AR124" s="2766"/>
      <c r="AS124" s="2766"/>
      <c r="AT124" s="2766"/>
      <c r="AU124" s="2766"/>
      <c r="AV124" s="2766"/>
      <c r="AW124" s="2766"/>
      <c r="AX124" s="2777">
        <f>S124+T124+U124+V124</f>
        <v>194876.59490588406</v>
      </c>
      <c r="AY124" s="2766">
        <f>W124+X124+Y124+Z124</f>
        <v>267918.47573967383</v>
      </c>
      <c r="AZ124" s="2778">
        <f>AA124+AB124+AC124+AD124</f>
        <v>351835.77437220328</v>
      </c>
      <c r="BA124" s="2778">
        <f>BA84-BA80-BA77-BA66-BA41</f>
        <v>451519.49901325477</v>
      </c>
      <c r="BB124" s="2778">
        <f>BB84-BB80-BB77-BB66-BB41</f>
        <v>572822.43361724925</v>
      </c>
      <c r="BC124" s="2778">
        <f t="shared" ref="BC124:BJ124" si="370">BC84-BC80-BC77-BC66-BC41</f>
        <v>702611.01802701619</v>
      </c>
      <c r="BD124" s="2778">
        <f t="shared" si="370"/>
        <v>839979.04394337395</v>
      </c>
      <c r="BE124" s="2778">
        <f t="shared" si="370"/>
        <v>974502.84647890343</v>
      </c>
      <c r="BF124" s="2778">
        <f t="shared" si="370"/>
        <v>1098317.1073467296</v>
      </c>
      <c r="BG124" s="2778">
        <f t="shared" si="370"/>
        <v>1207264.5554152697</v>
      </c>
      <c r="BH124" s="2778">
        <f t="shared" si="370"/>
        <v>1300359.465013064</v>
      </c>
      <c r="BI124" s="2778">
        <f t="shared" si="370"/>
        <v>1378617.9967285143</v>
      </c>
      <c r="BJ124" s="2778">
        <f t="shared" si="370"/>
        <v>1443988.7278479044</v>
      </c>
      <c r="BL124" s="2778">
        <v>80262.890913148702</v>
      </c>
      <c r="BM124" s="2778">
        <v>120115.93604092101</v>
      </c>
      <c r="BN124" s="2778">
        <v>101831.938253195</v>
      </c>
      <c r="BO124" s="2778">
        <v>103892.24893563092</v>
      </c>
    </row>
    <row r="125" spans="2:67" s="648" customFormat="1" ht="12" customHeight="1" x14ac:dyDescent="0.35">
      <c r="B125" s="672" t="s">
        <v>459</v>
      </c>
      <c r="C125" s="709"/>
      <c r="D125" s="709"/>
      <c r="E125" s="709"/>
      <c r="F125" s="709"/>
      <c r="G125" s="709"/>
      <c r="H125" s="709"/>
      <c r="I125" s="709"/>
      <c r="J125" s="709"/>
      <c r="K125" s="709"/>
      <c r="L125" s="709"/>
      <c r="M125" s="709"/>
      <c r="N125" s="709"/>
      <c r="O125" s="709"/>
      <c r="P125" s="709"/>
      <c r="Q125" s="709"/>
      <c r="R125" s="709"/>
      <c r="S125" s="2740"/>
      <c r="T125" s="2740"/>
      <c r="U125" s="2740"/>
      <c r="V125" s="2740"/>
      <c r="W125" s="646">
        <f>W124/S124-1</f>
        <v>0.42264492636565421</v>
      </c>
      <c r="X125" s="646">
        <f>X124/T124-1</f>
        <v>0.33655018089306088</v>
      </c>
      <c r="Y125" s="646">
        <f>Y124/U124-1</f>
        <v>0.32041372148273584</v>
      </c>
      <c r="Z125" s="646">
        <f>Z124/V124-1</f>
        <v>0.45122104555702691</v>
      </c>
      <c r="AA125" s="646">
        <f t="shared" ref="AA125:AH125" si="371">AA124/W124-1</f>
        <v>0.36318854389615662</v>
      </c>
      <c r="AB125" s="646">
        <f t="shared" si="371"/>
        <v>0.37811278114106472</v>
      </c>
      <c r="AC125" s="646">
        <f t="shared" si="371"/>
        <v>0.3349271119662538</v>
      </c>
      <c r="AD125" s="646">
        <f t="shared" si="371"/>
        <v>0.17694028118884364</v>
      </c>
      <c r="AE125" s="646">
        <f t="shared" si="371"/>
        <v>0.33493922585029412</v>
      </c>
      <c r="AF125" s="646">
        <f t="shared" si="371"/>
        <v>0.25322064292504765</v>
      </c>
      <c r="AG125" s="646">
        <f t="shared" si="371"/>
        <v>0.22931400978804239</v>
      </c>
      <c r="AH125" s="646">
        <f t="shared" si="371"/>
        <v>0.34582024082408958</v>
      </c>
      <c r="AI125" s="646">
        <f t="shared" ref="AI125" si="372">AI124/AE124-1</f>
        <v>0.24852611009024206</v>
      </c>
      <c r="AJ125" s="646">
        <f t="shared" ref="AJ125" si="373">AJ124/AF124-1</f>
        <v>0.32666057707836815</v>
      </c>
      <c r="AK125" s="646">
        <f t="shared" ref="AK125" si="374">AK124/AG124-1</f>
        <v>0.25437040982491665</v>
      </c>
      <c r="AL125" s="646">
        <f t="shared" ref="AL125" si="375">AL124/AH124-1</f>
        <v>0.25176299816032066</v>
      </c>
      <c r="AM125" s="646">
        <f t="shared" ref="AM125" si="376">AM124/AI124-1</f>
        <v>0.22844007868161564</v>
      </c>
      <c r="AN125" s="646">
        <f t="shared" ref="AN125" si="377">AN124/AJ124-1</f>
        <v>0.24220085394747648</v>
      </c>
      <c r="AO125" s="646">
        <f t="shared" ref="AO125" si="378">AO124/AK124-1</f>
        <v>0.21657190445030783</v>
      </c>
      <c r="AP125" s="646">
        <f t="shared" ref="AP125" si="379">AP124/AL124-1</f>
        <v>0.22224645791186037</v>
      </c>
      <c r="AQ125" s="2741"/>
      <c r="AR125" s="729"/>
      <c r="AS125" s="730"/>
      <c r="AT125" s="709"/>
      <c r="AU125" s="709"/>
      <c r="AV125" s="709"/>
      <c r="AW125" s="709"/>
      <c r="AX125" s="709"/>
      <c r="AY125" s="674"/>
      <c r="AZ125" s="674">
        <f>AZ124/AY124-1</f>
        <v>0.3132195284436774</v>
      </c>
      <c r="BA125" s="674">
        <f>BA124/AZ124-1</f>
        <v>0.28332458465578636</v>
      </c>
      <c r="BB125" s="674">
        <f>BB124/BA124-1</f>
        <v>0.26865491937577102</v>
      </c>
      <c r="BC125" s="674">
        <f t="shared" ref="BC125:BJ125" si="380">BC124/BB124-1</f>
        <v>0.22657734193505696</v>
      </c>
      <c r="BD125" s="674">
        <f t="shared" si="380"/>
        <v>0.19551077679097228</v>
      </c>
      <c r="BE125" s="674">
        <f t="shared" si="380"/>
        <v>0.16015137937726731</v>
      </c>
      <c r="BF125" s="674">
        <f t="shared" si="380"/>
        <v>0.12705377035602794</v>
      </c>
      <c r="BG125" s="674">
        <f t="shared" si="380"/>
        <v>9.9194893114003202E-2</v>
      </c>
      <c r="BH125" s="674">
        <f t="shared" si="380"/>
        <v>7.7112269369800091E-2</v>
      </c>
      <c r="BI125" s="674">
        <f t="shared" si="380"/>
        <v>6.0182229468883186E-2</v>
      </c>
      <c r="BJ125" s="674">
        <f t="shared" si="380"/>
        <v>4.7417581429022526E-2</v>
      </c>
      <c r="BL125" s="646">
        <v>0.38418325537540698</v>
      </c>
      <c r="BM125" s="646">
        <v>0.40675922211985099</v>
      </c>
      <c r="BN125" s="646">
        <v>0.28820407118800401</v>
      </c>
      <c r="BO125" s="646">
        <v>0.28391262225847314</v>
      </c>
    </row>
    <row r="126" spans="2:67" s="648" customFormat="1" ht="12" customHeight="1" x14ac:dyDescent="0.35">
      <c r="B126" s="2739"/>
      <c r="C126" s="709"/>
      <c r="D126" s="709"/>
      <c r="E126" s="709"/>
      <c r="F126" s="709"/>
      <c r="G126" s="709"/>
      <c r="H126" s="709"/>
      <c r="I126" s="709"/>
      <c r="J126" s="709"/>
      <c r="K126" s="709"/>
      <c r="L126" s="709"/>
      <c r="M126" s="709"/>
      <c r="N126" s="709"/>
      <c r="O126" s="709"/>
      <c r="P126" s="709"/>
      <c r="Q126" s="709"/>
      <c r="R126" s="709"/>
      <c r="S126" s="2740"/>
      <c r="T126" s="2740"/>
      <c r="U126" s="2740"/>
      <c r="V126" s="2740"/>
      <c r="W126" s="2740"/>
      <c r="X126" s="2740"/>
      <c r="Y126" s="2740"/>
      <c r="Z126" s="709"/>
      <c r="AA126" s="709"/>
      <c r="AB126" s="709"/>
      <c r="AC126" s="709"/>
      <c r="AD126" s="709"/>
      <c r="AE126" s="709"/>
      <c r="AF126" s="709"/>
      <c r="AG126" s="709"/>
      <c r="AH126" s="709"/>
      <c r="AI126" s="709"/>
      <c r="AJ126" s="709"/>
      <c r="AK126" s="709"/>
      <c r="AL126" s="709"/>
      <c r="AM126" s="709"/>
      <c r="AN126" s="709"/>
      <c r="AO126" s="709"/>
      <c r="AP126" s="709"/>
      <c r="AQ126" s="2741"/>
      <c r="AR126" s="729"/>
      <c r="AS126" s="730"/>
      <c r="AT126" s="709"/>
      <c r="AU126" s="709"/>
      <c r="AV126" s="709"/>
      <c r="AW126" s="709"/>
      <c r="AX126" s="709"/>
      <c r="AY126" s="709"/>
      <c r="AZ126" s="709"/>
      <c r="BA126" s="709"/>
      <c r="BB126" s="709"/>
      <c r="BC126" s="709"/>
      <c r="BD126" s="709"/>
      <c r="BE126" s="709"/>
      <c r="BF126" s="709"/>
      <c r="BG126" s="709"/>
      <c r="BH126" s="709"/>
      <c r="BI126" s="709"/>
      <c r="BJ126" s="709"/>
      <c r="BL126" s="709"/>
      <c r="BM126" s="709"/>
      <c r="BN126" s="709"/>
      <c r="BO126" s="709"/>
    </row>
    <row r="127" spans="2:67" s="648" customFormat="1" ht="12" customHeight="1" x14ac:dyDescent="0.35">
      <c r="B127" s="2742" t="s">
        <v>514</v>
      </c>
      <c r="C127" s="709"/>
      <c r="D127" s="709"/>
      <c r="E127" s="709"/>
      <c r="F127" s="709"/>
      <c r="G127" s="709"/>
      <c r="H127" s="709"/>
      <c r="I127" s="709"/>
      <c r="J127" s="709"/>
      <c r="K127" s="709"/>
      <c r="L127" s="709"/>
      <c r="M127" s="709"/>
      <c r="N127" s="709"/>
      <c r="O127" s="709"/>
      <c r="P127" s="709"/>
      <c r="Q127" s="709"/>
      <c r="R127" s="709"/>
      <c r="S127" s="709">
        <v>28384</v>
      </c>
      <c r="T127" s="709">
        <v>27964</v>
      </c>
      <c r="U127" s="2743">
        <v>41435</v>
      </c>
      <c r="V127" s="2743">
        <v>25136.231884057972</v>
      </c>
      <c r="W127" s="2743">
        <v>36956</v>
      </c>
      <c r="X127" s="2743">
        <v>35642</v>
      </c>
      <c r="Y127" s="2743">
        <v>54303</v>
      </c>
      <c r="Z127" s="2743">
        <v>34688</v>
      </c>
      <c r="AA127" s="2743">
        <v>46800</v>
      </c>
      <c r="AB127" s="2743">
        <v>45610</v>
      </c>
      <c r="AC127" s="2743">
        <v>66371</v>
      </c>
      <c r="AD127" s="2743">
        <v>33990</v>
      </c>
      <c r="AE127" s="2743">
        <v>55476</v>
      </c>
      <c r="AF127" s="2743">
        <v>45958</v>
      </c>
      <c r="AG127" s="2743">
        <f t="shared" ref="AG127:AP127" si="381">AG124*AG128</f>
        <v>74399.516068616183</v>
      </c>
      <c r="AH127" s="2743">
        <f t="shared" si="381"/>
        <v>40732.290276885193</v>
      </c>
      <c r="AI127" s="2743">
        <f>AI124*AI128</f>
        <v>67277.285357026456</v>
      </c>
      <c r="AJ127" s="2743">
        <f t="shared" si="381"/>
        <v>58952.642917853875</v>
      </c>
      <c r="AK127" s="2743">
        <f t="shared" si="381"/>
        <v>90618.391276058232</v>
      </c>
      <c r="AL127" s="2743">
        <f t="shared" si="381"/>
        <v>49104.970490232459</v>
      </c>
      <c r="AM127" s="2743">
        <f t="shared" si="381"/>
        <v>80206.494216452498</v>
      </c>
      <c r="AN127" s="2743">
        <f t="shared" si="381"/>
        <v>70724.232383631534</v>
      </c>
      <c r="AO127" s="2743">
        <f t="shared" si="381"/>
        <v>106951.55040206377</v>
      </c>
      <c r="AP127" s="2743">
        <f t="shared" si="381"/>
        <v>57717.859920427145</v>
      </c>
      <c r="AQ127" s="2741" t="s">
        <v>458</v>
      </c>
      <c r="AR127" s="729" t="s">
        <v>465</v>
      </c>
      <c r="AS127" s="730"/>
      <c r="AT127" s="709"/>
      <c r="AU127" s="709"/>
      <c r="AV127" s="709"/>
      <c r="AW127" s="709"/>
      <c r="AX127" s="709">
        <f>S127+T127+U127+V127</f>
        <v>122919.23188405797</v>
      </c>
      <c r="AY127" s="709">
        <f>W127+X127+Y127+Z127</f>
        <v>161589</v>
      </c>
      <c r="AZ127" s="709">
        <f>AA127+AB127+AC127+AD127</f>
        <v>192771</v>
      </c>
      <c r="BA127" s="709">
        <f>SUM(AE127:AH127)</f>
        <v>216565.80634550139</v>
      </c>
      <c r="BB127" s="709">
        <f>SUM(AI127:AL127)</f>
        <v>265953.29004117101</v>
      </c>
      <c r="BC127" s="709">
        <f>SUM(AM127:AP127)</f>
        <v>315600.13692257495</v>
      </c>
      <c r="BD127" s="709">
        <f t="shared" ref="BD127:BJ127" si="382">BD124*BD128</f>
        <v>373530.33119916829</v>
      </c>
      <c r="BE127" s="709">
        <f t="shared" si="382"/>
        <v>429018.21169016301</v>
      </c>
      <c r="BF127" s="709">
        <f t="shared" si="382"/>
        <v>478691.32710643072</v>
      </c>
      <c r="BG127" s="709">
        <f t="shared" si="382"/>
        <v>520913.31151201995</v>
      </c>
      <c r="BH127" s="709">
        <f t="shared" si="382"/>
        <v>555471.29791657289</v>
      </c>
      <c r="BI127" s="709">
        <f t="shared" si="382"/>
        <v>583011.79104085476</v>
      </c>
      <c r="BJ127" s="709">
        <f t="shared" si="382"/>
        <v>604550.23211544845</v>
      </c>
      <c r="BL127" s="709">
        <v>46552.476729626302</v>
      </c>
      <c r="BM127" s="709">
        <v>68466.083543325003</v>
      </c>
      <c r="BN127" s="2743">
        <v>57025.885421789098</v>
      </c>
      <c r="BO127" s="2743">
        <v>58179.659403953323</v>
      </c>
    </row>
    <row r="128" spans="2:67" s="646" customFormat="1" ht="12" customHeight="1" x14ac:dyDescent="0.35">
      <c r="B128" s="672" t="s">
        <v>515</v>
      </c>
      <c r="T128" s="646">
        <f>T127/T124</f>
        <v>0.63653405555212317</v>
      </c>
      <c r="U128" s="646">
        <f>U127/U124</f>
        <v>0.62425397436765417</v>
      </c>
      <c r="V128" s="646">
        <v>0.62</v>
      </c>
      <c r="W128" s="646">
        <v>0.62</v>
      </c>
      <c r="X128" s="646">
        <f t="shared" ref="X128:AF128" si="383">X127/X124</f>
        <v>0.60701461468510409</v>
      </c>
      <c r="Y128" s="646">
        <f t="shared" si="383"/>
        <v>0.61959480411821</v>
      </c>
      <c r="Z128" s="646">
        <f t="shared" si="383"/>
        <v>0.5481098155663594</v>
      </c>
      <c r="AA128" s="646">
        <f t="shared" si="383"/>
        <v>0.58915303148502263</v>
      </c>
      <c r="AB128" s="646">
        <f t="shared" si="383"/>
        <v>0.56365374030444593</v>
      </c>
      <c r="AC128" s="646">
        <f t="shared" si="383"/>
        <v>0.56728950832989722</v>
      </c>
      <c r="AD128" s="646">
        <f t="shared" si="383"/>
        <v>0.45633634180203059</v>
      </c>
      <c r="AE128" s="646">
        <f t="shared" si="383"/>
        <v>0.52314961318536635</v>
      </c>
      <c r="AF128" s="646">
        <f t="shared" si="383"/>
        <v>0.45319582661632835</v>
      </c>
      <c r="AG128" s="566">
        <f>AC128-5%</f>
        <v>0.51728950832989717</v>
      </c>
      <c r="AH128" s="566">
        <f>AD128-5%</f>
        <v>0.4063363418020306</v>
      </c>
      <c r="AI128" s="566">
        <f>AE128-1.5%</f>
        <v>0.50814961318536633</v>
      </c>
      <c r="AJ128" s="566">
        <f t="shared" ref="AJ128:AL128" si="384">AF128-1.5%</f>
        <v>0.43819582661632833</v>
      </c>
      <c r="AK128" s="566">
        <f t="shared" si="384"/>
        <v>0.50228950832989716</v>
      </c>
      <c r="AL128" s="566">
        <f t="shared" si="384"/>
        <v>0.39133634180203059</v>
      </c>
      <c r="AM128" s="566">
        <f t="shared" ref="AM128" si="385">AI128-1.5%</f>
        <v>0.49314961318536632</v>
      </c>
      <c r="AN128" s="566">
        <f t="shared" ref="AN128" si="386">AJ128-1.5%</f>
        <v>0.42319582661632832</v>
      </c>
      <c r="AO128" s="566">
        <f t="shared" ref="AO128" si="387">AK128-1.5%</f>
        <v>0.48728950832989715</v>
      </c>
      <c r="AP128" s="566">
        <f t="shared" ref="AP128" si="388">AL128-1.5%</f>
        <v>0.37633634180203057</v>
      </c>
      <c r="AQ128" s="656"/>
      <c r="AR128" s="729"/>
      <c r="AS128" s="730"/>
      <c r="AY128" s="2780">
        <f>AY127/AY124</f>
        <v>0.60312749822080158</v>
      </c>
      <c r="AZ128" s="2780">
        <f>AZ127/AZ124</f>
        <v>0.5479005093895587</v>
      </c>
      <c r="BA128" s="2780">
        <f t="shared" ref="BA128:BC128" si="389">BA127/BA124</f>
        <v>0.47963777161070936</v>
      </c>
      <c r="BB128" s="2780">
        <f t="shared" si="389"/>
        <v>0.46428574447012094</v>
      </c>
      <c r="BC128" s="2780">
        <f t="shared" si="389"/>
        <v>0.44918187848634017</v>
      </c>
      <c r="BD128" s="2717">
        <f>BC128*0.99</f>
        <v>0.44469005970147674</v>
      </c>
      <c r="BE128" s="2717">
        <f t="shared" ref="BE128:BJ128" si="390">BD128*0.99</f>
        <v>0.44024315910446199</v>
      </c>
      <c r="BF128" s="2717">
        <f t="shared" si="390"/>
        <v>0.43584072751341735</v>
      </c>
      <c r="BG128" s="2717">
        <f t="shared" si="390"/>
        <v>0.43148232023828315</v>
      </c>
      <c r="BH128" s="2717">
        <f t="shared" si="390"/>
        <v>0.42716749703590029</v>
      </c>
      <c r="BI128" s="2717">
        <f t="shared" si="390"/>
        <v>0.42289582206554127</v>
      </c>
      <c r="BJ128" s="2717">
        <f t="shared" si="390"/>
        <v>0.41866686384488583</v>
      </c>
      <c r="BL128" s="646">
        <v>0.57999999999999996</v>
      </c>
      <c r="BM128" s="646">
        <v>0.56999999999999995</v>
      </c>
      <c r="BN128" s="566">
        <v>0.56000000000000005</v>
      </c>
      <c r="BO128" s="566">
        <v>0.56000000000000005</v>
      </c>
    </row>
    <row r="129" spans="2:68" s="646" customFormat="1" ht="12" customHeight="1" x14ac:dyDescent="0.35">
      <c r="B129" s="672" t="s">
        <v>459</v>
      </c>
      <c r="X129" s="646">
        <f>X127/T127-1</f>
        <v>0.27456730081533398</v>
      </c>
      <c r="Y129" s="646">
        <f>Y127/U127-1</f>
        <v>0.31055870640762651</v>
      </c>
      <c r="Z129" s="646">
        <f>Z127/V127-1</f>
        <v>0.37999999999999989</v>
      </c>
      <c r="AA129" s="646">
        <f t="shared" ref="AA129:AH129" si="391">AA127/W127-1</f>
        <v>0.26637081935274387</v>
      </c>
      <c r="AB129" s="646">
        <f t="shared" si="391"/>
        <v>0.27967005218562369</v>
      </c>
      <c r="AC129" s="646">
        <f t="shared" si="391"/>
        <v>0.22223449901478731</v>
      </c>
      <c r="AD129" s="646">
        <f t="shared" si="391"/>
        <v>-2.0122232472324697E-2</v>
      </c>
      <c r="AE129" s="646">
        <f t="shared" si="391"/>
        <v>0.18538461538461548</v>
      </c>
      <c r="AF129" s="646">
        <f t="shared" si="391"/>
        <v>7.6299057224293865E-3</v>
      </c>
      <c r="AG129" s="646">
        <f t="shared" si="391"/>
        <v>0.12096421733311513</v>
      </c>
      <c r="AH129" s="646">
        <f t="shared" si="391"/>
        <v>0.19836099667211515</v>
      </c>
      <c r="AI129" s="646">
        <f t="shared" ref="AI129" si="392">AI127/AE127-1</f>
        <v>0.21272776258249437</v>
      </c>
      <c r="AJ129" s="646">
        <f t="shared" ref="AJ129" si="393">AJ127/AF127-1</f>
        <v>0.28275040075403357</v>
      </c>
      <c r="AK129" s="646">
        <f t="shared" ref="AK129" si="394">AK127/AG127-1</f>
        <v>0.21799705246044776</v>
      </c>
      <c r="AL129" s="646">
        <f t="shared" ref="AL129" si="395">AL127/AH127-1</f>
        <v>0.20555387768358813</v>
      </c>
      <c r="AM129" s="646">
        <f t="shared" ref="AM129" si="396">AM127/AI127-1</f>
        <v>0.19217792143088763</v>
      </c>
      <c r="AN129" s="646">
        <f t="shared" ref="AN129" si="397">AN127/AJ127-1</f>
        <v>0.19967874014029352</v>
      </c>
      <c r="AO129" s="646">
        <f t="shared" ref="AO129" si="398">AO127/AK127-1</f>
        <v>0.18024110664521187</v>
      </c>
      <c r="AP129" s="646">
        <f t="shared" ref="AP129" si="399">AP127/AL127-1</f>
        <v>0.17539750750706373</v>
      </c>
      <c r="AQ129" s="656"/>
      <c r="AR129" s="729"/>
      <c r="AS129" s="730"/>
      <c r="AZ129" s="564">
        <f>AZ127/AY127-1</f>
        <v>0.19297105619813237</v>
      </c>
      <c r="BA129" s="564">
        <f>BA127/AZ127-1</f>
        <v>0.12343561192036878</v>
      </c>
      <c r="BB129" s="564">
        <f>BB127/BA127-1</f>
        <v>0.2280483910598452</v>
      </c>
      <c r="BC129" s="564">
        <f t="shared" ref="BC129:BJ129" si="400">BC127/BB127-1</f>
        <v>0.18667506190172833</v>
      </c>
      <c r="BD129" s="564">
        <f t="shared" si="400"/>
        <v>0.18355566902306242</v>
      </c>
      <c r="BE129" s="564">
        <f t="shared" si="400"/>
        <v>0.1485498655834947</v>
      </c>
      <c r="BF129" s="564">
        <f t="shared" si="400"/>
        <v>0.11578323265246748</v>
      </c>
      <c r="BG129" s="564">
        <f t="shared" si="400"/>
        <v>8.8202944182863119E-2</v>
      </c>
      <c r="BH129" s="564">
        <f t="shared" si="400"/>
        <v>6.6341146676101914E-2</v>
      </c>
      <c r="BI129" s="564">
        <f t="shared" si="400"/>
        <v>4.9580407174194319E-2</v>
      </c>
      <c r="BJ129" s="564">
        <f t="shared" si="400"/>
        <v>3.6943405614731972E-2</v>
      </c>
      <c r="BL129" s="646">
        <v>0.30611292098160198</v>
      </c>
      <c r="BM129" s="646">
        <v>0.26081585811695401</v>
      </c>
      <c r="BN129" s="646">
        <v>0.21850182525190401</v>
      </c>
      <c r="BO129" s="646">
        <v>0.27558998912416843</v>
      </c>
    </row>
    <row r="130" spans="2:68" s="646" customFormat="1" ht="12" customHeight="1" x14ac:dyDescent="0.35">
      <c r="B130" s="2744"/>
      <c r="Z130" s="566"/>
      <c r="AA130" s="566"/>
      <c r="AB130" s="566"/>
      <c r="AC130" s="566"/>
      <c r="AD130" s="566"/>
      <c r="AQ130" s="656"/>
      <c r="AR130" s="729"/>
      <c r="AS130" s="730"/>
      <c r="AZ130" s="2717"/>
      <c r="BA130" s="2717"/>
      <c r="BB130" s="2717"/>
      <c r="BC130" s="2717"/>
      <c r="BD130" s="2717"/>
      <c r="BE130" s="2717"/>
      <c r="BF130" s="2717"/>
      <c r="BG130" s="2717"/>
      <c r="BH130" s="2717"/>
      <c r="BI130" s="2717"/>
      <c r="BJ130" s="2717"/>
      <c r="BL130" s="566"/>
      <c r="BM130" s="566"/>
    </row>
    <row r="131" spans="2:68" s="646" customFormat="1" ht="12" customHeight="1" x14ac:dyDescent="0.35">
      <c r="B131" s="2821" t="s">
        <v>460</v>
      </c>
      <c r="Z131" s="2718"/>
      <c r="AA131" s="2718"/>
      <c r="AB131" s="2718"/>
      <c r="AC131" s="2718"/>
      <c r="AD131" s="2718"/>
      <c r="AE131" s="709" t="e">
        <f ca="1">_xll.VisibleAlpha.UDF.VAData("BABA","1QFY-2021","EBITA operating - Market place based core")</f>
        <v>#NAME?</v>
      </c>
      <c r="AF131" s="709" t="e">
        <f ca="1">_xll.VisibleAlpha.UDF.VAData("BABA","2QFY-2021","EBITA operating - Market place based core")</f>
        <v>#NAME?</v>
      </c>
      <c r="AG131" s="709" t="e">
        <f ca="1">_xll.VisibleAlpha.UDF.VAData("BABA","3QFY-2021","EBITA operating - Market place based core")</f>
        <v>#NAME?</v>
      </c>
      <c r="AH131" s="709" t="e">
        <f ca="1">_xll.VisibleAlpha.UDF.VAData("BABA","4QFY-2021","EBITA operating - Market place based core")</f>
        <v>#NAME?</v>
      </c>
      <c r="AI131" s="709" t="e">
        <f ca="1">_xll.VisibleAlpha.UDF.VAData("BABA",AI2,"EBITA operating - Market place based core")</f>
        <v>#NAME?</v>
      </c>
      <c r="AJ131" s="709" t="e">
        <f ca="1">_xll.VisibleAlpha.UDF.VAData("BABA",AJ2,"EBITA operating - Market place based core")</f>
        <v>#NAME?</v>
      </c>
      <c r="AK131" s="709" t="e">
        <f ca="1">_xll.VisibleAlpha.UDF.VAData("BABA",AK2,"EBITA operating - Market place based core")</f>
        <v>#NAME?</v>
      </c>
      <c r="AL131" s="709" t="e">
        <f ca="1">_xll.VisibleAlpha.UDF.VAData("BABA",AL2,"EBITA operating - Market place based core")</f>
        <v>#NAME?</v>
      </c>
      <c r="AM131" s="709"/>
      <c r="AN131" s="709"/>
      <c r="AO131" s="709"/>
      <c r="AP131" s="709"/>
      <c r="AQ131" s="656"/>
      <c r="AR131" s="729"/>
      <c r="AS131" s="730"/>
      <c r="AZ131" s="709" t="e">
        <f ca="1">_xll.VisibleAlpha.UDF.VAData("BABA","FY-2020","EBITA operating - Market place based core")</f>
        <v>#NAME?</v>
      </c>
      <c r="BA131" s="709" t="e">
        <f ca="1">_xll.VisibleAlpha.UDF.VAData("BABA","FY-2021","EBITA operating - Market place based core")</f>
        <v>#NAME?</v>
      </c>
      <c r="BB131" s="709" t="e">
        <f ca="1">_xll.VisibleAlpha.UDF.VAData("BABA","FY-2022","EBITA operating - Market place based core")</f>
        <v>#NAME?</v>
      </c>
      <c r="BC131" s="709" t="e">
        <f ca="1">_xll.VisibleAlpha.UDF.VAData("BABA","FY-2021","EBITA operating - Market place based core")</f>
        <v>#NAME?</v>
      </c>
      <c r="BD131" s="709" t="e">
        <f ca="1">_xll.VisibleAlpha.UDF.VAData("BABA","FY-2022","EBITA operating - Market place based core")</f>
        <v>#NAME?</v>
      </c>
      <c r="BE131" s="709" t="e">
        <f ca="1">_xll.VisibleAlpha.UDF.VAData("BABA","FY-2021","EBITA operating - Market place based core")</f>
        <v>#NAME?</v>
      </c>
      <c r="BF131" s="709" t="e">
        <f ca="1">_xll.VisibleAlpha.UDF.VAData("BABA","FY-2022","EBITA operating - Market place based core")</f>
        <v>#NAME?</v>
      </c>
      <c r="BG131" s="709" t="e">
        <f ca="1">_xll.VisibleAlpha.UDF.VAData("BABA","FY-2021","EBITA operating - Market place based core")</f>
        <v>#NAME?</v>
      </c>
      <c r="BH131" s="709" t="e">
        <f ca="1">_xll.VisibleAlpha.UDF.VAData("BABA","FY-2022","EBITA operating - Market place based core")</f>
        <v>#NAME?</v>
      </c>
      <c r="BI131" s="709" t="e">
        <f ca="1">_xll.VisibleAlpha.UDF.VAData("BABA","FY-2021","EBITA operating - Market place based core")</f>
        <v>#NAME?</v>
      </c>
      <c r="BJ131" s="709" t="e">
        <f ca="1">_xll.VisibleAlpha.UDF.VAData("BABA","FY-2022","EBITA operating - Market place based core")</f>
        <v>#NAME?</v>
      </c>
      <c r="BL131" s="2745"/>
      <c r="BM131" s="2745"/>
      <c r="BN131" s="709">
        <v>55081.5289439361</v>
      </c>
      <c r="BO131" s="709">
        <v>54796.921495618401</v>
      </c>
    </row>
    <row r="132" spans="2:68" s="646" customFormat="1" ht="12" customHeight="1" x14ac:dyDescent="0.35">
      <c r="B132" s="2744"/>
      <c r="S132" s="2746"/>
      <c r="T132" s="2746"/>
      <c r="U132" s="2746"/>
      <c r="V132" s="2746"/>
      <c r="W132" s="566"/>
      <c r="X132" s="566"/>
      <c r="Y132" s="566"/>
      <c r="Z132" s="566"/>
      <c r="AA132" s="566"/>
      <c r="AB132" s="566"/>
      <c r="AC132" s="566"/>
      <c r="AD132" s="566"/>
      <c r="AQ132" s="656"/>
      <c r="AR132" s="657"/>
      <c r="AS132" s="565"/>
      <c r="BL132" s="566"/>
      <c r="BM132" s="566"/>
    </row>
    <row r="133" spans="2:68" s="646" customFormat="1" ht="12" customHeight="1" x14ac:dyDescent="0.35">
      <c r="B133" s="2747" t="s">
        <v>516</v>
      </c>
      <c r="S133" s="2748" t="s">
        <v>510</v>
      </c>
      <c r="T133" s="2748" t="s">
        <v>511</v>
      </c>
      <c r="U133" s="2748" t="s">
        <v>511</v>
      </c>
      <c r="V133" s="2748" t="s">
        <v>510</v>
      </c>
      <c r="W133" s="2748" t="s">
        <v>510</v>
      </c>
      <c r="X133" s="2748" t="s">
        <v>511</v>
      </c>
      <c r="Y133" s="2748" t="s">
        <v>511</v>
      </c>
      <c r="Z133" s="566"/>
      <c r="AA133" s="566"/>
      <c r="AB133" s="566"/>
      <c r="AC133" s="566"/>
      <c r="AD133" s="566"/>
      <c r="AQ133" s="656"/>
      <c r="AR133" s="657"/>
      <c r="AS133" s="565"/>
      <c r="AZ133" s="564"/>
      <c r="BA133" s="564"/>
      <c r="BB133" s="564"/>
      <c r="BC133" s="564"/>
      <c r="BD133" s="564"/>
      <c r="BE133" s="564"/>
      <c r="BF133" s="564"/>
      <c r="BG133" s="564"/>
      <c r="BH133" s="564"/>
      <c r="BI133" s="564"/>
      <c r="BJ133" s="564"/>
      <c r="BL133" s="566"/>
      <c r="BM133" s="566"/>
    </row>
    <row r="134" spans="2:68" s="648" customFormat="1" ht="12" customHeight="1" x14ac:dyDescent="0.35">
      <c r="B134" s="701" t="s">
        <v>517</v>
      </c>
      <c r="C134" s="709"/>
      <c r="D134" s="709"/>
      <c r="E134" s="709"/>
      <c r="F134" s="709"/>
      <c r="G134" s="709"/>
      <c r="H134" s="709"/>
      <c r="I134" s="709"/>
      <c r="J134" s="709"/>
      <c r="K134" s="709"/>
      <c r="L134" s="709"/>
      <c r="M134" s="709"/>
      <c r="N134" s="709"/>
      <c r="O134" s="709"/>
      <c r="P134" s="709"/>
      <c r="Q134" s="709"/>
      <c r="R134" s="709"/>
      <c r="T134" s="2749"/>
      <c r="U134" s="714"/>
      <c r="V134" s="703"/>
      <c r="W134" s="703"/>
      <c r="AE134" s="709"/>
      <c r="AF134" s="709"/>
      <c r="AG134" s="709"/>
      <c r="AH134" s="709"/>
      <c r="AI134" s="709"/>
      <c r="AJ134" s="709"/>
      <c r="AK134" s="709"/>
      <c r="AL134" s="709"/>
      <c r="AM134" s="709"/>
      <c r="AN134" s="709"/>
      <c r="AO134" s="709"/>
      <c r="AP134" s="709"/>
      <c r="AQ134" s="2741"/>
      <c r="AR134" s="729"/>
      <c r="AS134" s="730"/>
      <c r="AT134" s="709"/>
      <c r="AU134" s="709"/>
      <c r="AV134" s="709"/>
      <c r="AW134" s="709"/>
      <c r="BN134" s="709"/>
      <c r="BO134" s="709"/>
    </row>
    <row r="135" spans="2:68" s="648" customFormat="1" ht="12" customHeight="1" x14ac:dyDescent="0.35">
      <c r="B135" s="2750" t="s">
        <v>514</v>
      </c>
      <c r="C135" s="709"/>
      <c r="D135" s="709"/>
      <c r="E135" s="709"/>
      <c r="F135" s="709"/>
      <c r="G135" s="709"/>
      <c r="H135" s="709"/>
      <c r="I135" s="709"/>
      <c r="J135" s="709"/>
      <c r="K135" s="709"/>
      <c r="L135" s="709"/>
      <c r="M135" s="709"/>
      <c r="N135" s="709"/>
      <c r="O135" s="709"/>
      <c r="P135" s="709"/>
      <c r="Q135" s="709"/>
      <c r="R135" s="703"/>
      <c r="S135" s="709">
        <f t="shared" ref="S135:AP135" si="401">S136*S37</f>
        <v>-33.362250000000131</v>
      </c>
      <c r="T135" s="709">
        <f t="shared" si="401"/>
        <v>-65</v>
      </c>
      <c r="U135" s="709">
        <f t="shared" si="401"/>
        <v>0</v>
      </c>
      <c r="V135" s="709">
        <f t="shared" si="401"/>
        <v>36.869690068409966</v>
      </c>
      <c r="W135" s="709">
        <f t="shared" si="401"/>
        <v>60</v>
      </c>
      <c r="X135" s="709">
        <f t="shared" si="401"/>
        <v>72.15000000000002</v>
      </c>
      <c r="Y135" s="709">
        <f t="shared" si="401"/>
        <v>143.00000000000003</v>
      </c>
      <c r="Z135" s="709">
        <f t="shared" si="401"/>
        <v>102.58101145782028</v>
      </c>
      <c r="AA135" s="709">
        <f t="shared" si="401"/>
        <v>110</v>
      </c>
      <c r="AB135" s="709">
        <f t="shared" si="401"/>
        <v>79.365000000000023</v>
      </c>
      <c r="AC135" s="709">
        <f t="shared" si="401"/>
        <v>157.30000000000007</v>
      </c>
      <c r="AD135" s="709">
        <f t="shared" si="401"/>
        <v>83.619295359206177</v>
      </c>
      <c r="AE135" s="709">
        <f t="shared" si="401"/>
        <v>118.80000000000001</v>
      </c>
      <c r="AF135" s="709">
        <f t="shared" si="401"/>
        <v>83.333250000000021</v>
      </c>
      <c r="AG135" s="709">
        <f t="shared" si="401"/>
        <v>165.16500000000008</v>
      </c>
      <c r="AH135" s="709">
        <f t="shared" si="401"/>
        <v>108.70508396696803</v>
      </c>
      <c r="AI135" s="709">
        <f t="shared" si="401"/>
        <v>124.74000000000001</v>
      </c>
      <c r="AJ135" s="709">
        <f t="shared" si="401"/>
        <v>87.499912500000036</v>
      </c>
      <c r="AK135" s="709">
        <f t="shared" si="401"/>
        <v>173.42325000000008</v>
      </c>
      <c r="AL135" s="709">
        <f t="shared" si="401"/>
        <v>114.14033816531645</v>
      </c>
      <c r="AM135" s="709">
        <f t="shared" si="401"/>
        <v>130.97700000000003</v>
      </c>
      <c r="AN135" s="709">
        <f t="shared" si="401"/>
        <v>91.874908125000047</v>
      </c>
      <c r="AO135" s="709">
        <f t="shared" si="401"/>
        <v>182.09441250000009</v>
      </c>
      <c r="AP135" s="709">
        <f t="shared" si="401"/>
        <v>119.84735507358228</v>
      </c>
      <c r="AQ135" s="2741"/>
      <c r="AR135" s="729"/>
      <c r="AS135" s="730"/>
      <c r="AT135" s="709"/>
      <c r="AU135" s="709"/>
      <c r="AV135" s="709"/>
      <c r="AW135" s="709"/>
      <c r="AX135" s="709">
        <f>SUM(S135:V135)</f>
        <v>-61.492559931590165</v>
      </c>
      <c r="AY135" s="709">
        <f>SUM(W135:Z135)</f>
        <v>377.73101145782039</v>
      </c>
      <c r="AZ135" s="709">
        <f>SUM(AA135:AD135)</f>
        <v>430.28429535920623</v>
      </c>
      <c r="BA135" s="709">
        <f>SUM(AE135:AH135)</f>
        <v>476.00333396696817</v>
      </c>
      <c r="BB135" s="709">
        <f>SUM(AI135:AL135)</f>
        <v>499.80350066531656</v>
      </c>
      <c r="BC135" s="709">
        <f>SUM(AM135:AP135)</f>
        <v>524.79367569858243</v>
      </c>
      <c r="BD135" s="709">
        <f t="shared" ref="BD135:BJ135" si="402">BD136*BD37</f>
        <v>550.50856580781294</v>
      </c>
      <c r="BE135" s="709">
        <f t="shared" si="402"/>
        <v>576.94398713790406</v>
      </c>
      <c r="BF135" s="709">
        <f t="shared" si="402"/>
        <v>604.09474039501902</v>
      </c>
      <c r="BG135" s="709">
        <f t="shared" si="402"/>
        <v>631.95462810321078</v>
      </c>
      <c r="BH135" s="709">
        <f t="shared" si="402"/>
        <v>660.51647465203587</v>
      </c>
      <c r="BI135" s="709">
        <f t="shared" si="402"/>
        <v>689.77214897731858</v>
      </c>
      <c r="BJ135" s="709">
        <f t="shared" si="402"/>
        <v>719.71258970980216</v>
      </c>
      <c r="BL135" s="709">
        <v>85.223249999999993</v>
      </c>
      <c r="BM135" s="709">
        <v>113.77800000000001</v>
      </c>
      <c r="BN135" s="709">
        <v>41.674500000000002</v>
      </c>
      <c r="BO135" s="709">
        <v>83.333250000000021</v>
      </c>
    </row>
    <row r="136" spans="2:68" s="646" customFormat="1" ht="12" customHeight="1" x14ac:dyDescent="0.35">
      <c r="B136" s="672" t="s">
        <v>518</v>
      </c>
      <c r="S136" s="566">
        <v>-0.05</v>
      </c>
      <c r="T136" s="566">
        <v>-0.05</v>
      </c>
      <c r="U136" s="566">
        <v>0</v>
      </c>
      <c r="V136" s="566">
        <v>0.02</v>
      </c>
      <c r="W136" s="566">
        <v>0.03</v>
      </c>
      <c r="X136" s="566">
        <v>0.05</v>
      </c>
      <c r="Y136" s="566">
        <v>0.05</v>
      </c>
      <c r="Z136" s="566">
        <v>0.05</v>
      </c>
      <c r="AA136" s="566">
        <v>0.05</v>
      </c>
      <c r="AB136" s="566">
        <v>0.05</v>
      </c>
      <c r="AC136" s="566">
        <v>0.05</v>
      </c>
      <c r="AD136" s="566">
        <v>0.05</v>
      </c>
      <c r="AE136" s="566">
        <v>0.05</v>
      </c>
      <c r="AF136" s="566">
        <v>0.05</v>
      </c>
      <c r="AG136" s="566">
        <v>0.05</v>
      </c>
      <c r="AH136" s="566">
        <v>0.05</v>
      </c>
      <c r="AI136" s="566">
        <f>AH136</f>
        <v>0.05</v>
      </c>
      <c r="AJ136" s="566">
        <f t="shared" ref="AJ136:AP136" si="403">AI136</f>
        <v>0.05</v>
      </c>
      <c r="AK136" s="566">
        <f t="shared" si="403"/>
        <v>0.05</v>
      </c>
      <c r="AL136" s="566">
        <f t="shared" si="403"/>
        <v>0.05</v>
      </c>
      <c r="AM136" s="566">
        <f t="shared" si="403"/>
        <v>0.05</v>
      </c>
      <c r="AN136" s="566">
        <f t="shared" si="403"/>
        <v>0.05</v>
      </c>
      <c r="AO136" s="566">
        <f t="shared" si="403"/>
        <v>0.05</v>
      </c>
      <c r="AP136" s="566">
        <f t="shared" si="403"/>
        <v>0.05</v>
      </c>
      <c r="AQ136" s="656"/>
      <c r="AR136" s="657"/>
      <c r="AS136" s="565"/>
      <c r="AX136" s="646">
        <f>AX135/AX37</f>
        <v>-9.592131425726241E-3</v>
      </c>
      <c r="AY136" s="646">
        <f>AY135/AY37</f>
        <v>4.5212230011316884E-2</v>
      </c>
      <c r="AZ136" s="646">
        <f>AZ135/AZ37</f>
        <v>0.05</v>
      </c>
      <c r="BA136" s="646">
        <f t="shared" ref="BA136:BC136" si="404">BA135/BA37</f>
        <v>0.05</v>
      </c>
      <c r="BB136" s="646">
        <f t="shared" si="404"/>
        <v>0.05</v>
      </c>
      <c r="BC136" s="646">
        <f t="shared" si="404"/>
        <v>0.05</v>
      </c>
      <c r="BD136" s="566">
        <v>0.05</v>
      </c>
      <c r="BE136" s="566">
        <v>0.05</v>
      </c>
      <c r="BF136" s="566">
        <v>0.05</v>
      </c>
      <c r="BG136" s="566">
        <v>0.05</v>
      </c>
      <c r="BH136" s="566">
        <v>0.05</v>
      </c>
      <c r="BI136" s="566">
        <v>0.05</v>
      </c>
      <c r="BJ136" s="566">
        <v>0.05</v>
      </c>
      <c r="BL136" s="566">
        <v>0.05</v>
      </c>
      <c r="BM136" s="566">
        <v>0.05</v>
      </c>
      <c r="BN136" s="566">
        <v>0.05</v>
      </c>
      <c r="BO136" s="566">
        <v>0.05</v>
      </c>
    </row>
    <row r="137" spans="2:68" s="648" customFormat="1" ht="12" customHeight="1" x14ac:dyDescent="0.35">
      <c r="B137" s="701" t="s">
        <v>519</v>
      </c>
      <c r="C137" s="709"/>
      <c r="D137" s="709"/>
      <c r="E137" s="709"/>
      <c r="F137" s="709"/>
      <c r="G137" s="709"/>
      <c r="H137" s="709"/>
      <c r="I137" s="709"/>
      <c r="J137" s="709"/>
      <c r="K137" s="709"/>
      <c r="L137" s="709"/>
      <c r="M137" s="709"/>
      <c r="N137" s="709"/>
      <c r="O137" s="709"/>
      <c r="P137" s="709"/>
      <c r="Q137" s="709"/>
      <c r="R137" s="709"/>
      <c r="S137" s="709"/>
      <c r="T137" s="709"/>
      <c r="U137" s="709"/>
      <c r="V137" s="709"/>
      <c r="W137" s="709"/>
      <c r="X137" s="709"/>
      <c r="Y137" s="709"/>
      <c r="Z137" s="709"/>
      <c r="AA137" s="709"/>
      <c r="AB137" s="709"/>
      <c r="AC137" s="709"/>
      <c r="AD137" s="709"/>
      <c r="AE137" s="709"/>
      <c r="AF137" s="709"/>
      <c r="AG137" s="709"/>
      <c r="AH137" s="709"/>
      <c r="AI137" s="709"/>
      <c r="AJ137" s="709"/>
      <c r="AK137" s="709"/>
      <c r="AL137" s="709"/>
      <c r="AM137" s="709"/>
      <c r="AN137" s="709"/>
      <c r="AO137" s="709"/>
      <c r="AP137" s="709"/>
      <c r="AQ137" s="2741"/>
      <c r="AR137" s="729"/>
      <c r="AS137" s="730"/>
      <c r="AT137" s="709"/>
      <c r="AU137" s="709"/>
      <c r="AV137" s="709"/>
      <c r="AW137" s="709"/>
      <c r="AX137" s="709"/>
      <c r="AY137" s="709"/>
      <c r="AZ137" s="709"/>
      <c r="BA137" s="709"/>
      <c r="BB137" s="709"/>
      <c r="BC137" s="709"/>
      <c r="BD137" s="709"/>
      <c r="BE137" s="709"/>
      <c r="BF137" s="709"/>
      <c r="BG137" s="709"/>
      <c r="BH137" s="709"/>
      <c r="BI137" s="709"/>
      <c r="BJ137" s="709"/>
      <c r="BL137" s="709"/>
      <c r="BM137" s="709"/>
      <c r="BN137" s="709"/>
      <c r="BO137" s="709"/>
    </row>
    <row r="138" spans="2:68" s="648" customFormat="1" ht="12" customHeight="1" x14ac:dyDescent="0.35">
      <c r="B138" s="2750" t="s">
        <v>514</v>
      </c>
      <c r="C138" s="709"/>
      <c r="D138" s="709"/>
      <c r="E138" s="709"/>
      <c r="F138" s="709"/>
      <c r="G138" s="709"/>
      <c r="H138" s="709"/>
      <c r="I138" s="709"/>
      <c r="J138" s="709"/>
      <c r="K138" s="709"/>
      <c r="L138" s="709"/>
      <c r="M138" s="709"/>
      <c r="N138" s="709"/>
      <c r="O138" s="709"/>
      <c r="P138" s="709"/>
      <c r="Q138" s="709"/>
      <c r="R138" s="709"/>
      <c r="S138" s="709">
        <f t="shared" ref="S138:AP138" si="405">S139*S39</f>
        <v>-100.45166129250001</v>
      </c>
      <c r="T138" s="709">
        <f t="shared" si="405"/>
        <v>-297.809631126</v>
      </c>
      <c r="U138" s="709">
        <f t="shared" si="405"/>
        <v>-558.39305836124993</v>
      </c>
      <c r="V138" s="709">
        <f t="shared" si="405"/>
        <v>-615.47323766040006</v>
      </c>
      <c r="W138" s="709">
        <f t="shared" si="405"/>
        <v>-663.75976035157953</v>
      </c>
      <c r="X138" s="709">
        <f t="shared" si="405"/>
        <v>-1150.7498161042647</v>
      </c>
      <c r="Y138" s="709">
        <f t="shared" si="405"/>
        <v>-1807.0545063053689</v>
      </c>
      <c r="Z138" s="709">
        <f t="shared" si="405"/>
        <v>-2333.9987249316737</v>
      </c>
      <c r="AA138" s="709">
        <f t="shared" si="405"/>
        <v>-2502.6396983765321</v>
      </c>
      <c r="AB138" s="709">
        <f t="shared" si="405"/>
        <v>-2866.1810440354393</v>
      </c>
      <c r="AC138" s="709">
        <f t="shared" si="405"/>
        <v>-3520.5391332044924</v>
      </c>
      <c r="AD138" s="709">
        <f t="shared" si="405"/>
        <v>-4476.1688565010372</v>
      </c>
      <c r="AE138" s="709">
        <f t="shared" si="405"/>
        <v>-4389.7200755533895</v>
      </c>
      <c r="AF138" s="709">
        <f t="shared" si="405"/>
        <v>-5048.1780868863971</v>
      </c>
      <c r="AG138" s="709">
        <f t="shared" si="405"/>
        <v>-5805.4047999193563</v>
      </c>
      <c r="AH138" s="709">
        <f t="shared" si="405"/>
        <v>-6676.2155199072586</v>
      </c>
      <c r="AI138" s="709">
        <f t="shared" si="405"/>
        <v>-7677.6478478933477</v>
      </c>
      <c r="AJ138" s="709">
        <f t="shared" si="405"/>
        <v>-8829.2950250773483</v>
      </c>
      <c r="AK138" s="709">
        <f t="shared" si="405"/>
        <v>-10153.68927883895</v>
      </c>
      <c r="AL138" s="709">
        <f t="shared" si="405"/>
        <v>-11372.131992299626</v>
      </c>
      <c r="AM138" s="709">
        <f t="shared" si="405"/>
        <v>-12736.787831375583</v>
      </c>
      <c r="AN138" s="709">
        <f t="shared" si="405"/>
        <v>-14265.202371140653</v>
      </c>
      <c r="AO138" s="709">
        <f t="shared" si="405"/>
        <v>-15977.026655677531</v>
      </c>
      <c r="AP138" s="709">
        <f t="shared" si="405"/>
        <v>-17574.729321245286</v>
      </c>
      <c r="AQ138" s="2741"/>
      <c r="AR138" s="729"/>
      <c r="AS138" s="730"/>
      <c r="AT138" s="709"/>
      <c r="AU138" s="709"/>
      <c r="AV138" s="709"/>
      <c r="AW138" s="709">
        <f>AW139*AW39</f>
        <v>-123.57515099999999</v>
      </c>
      <c r="AX138" s="709">
        <f>SUM(S138:V138)</f>
        <v>-1572.12758844015</v>
      </c>
      <c r="AY138" s="709">
        <f>SUM(W138:Z138)</f>
        <v>-5955.562807692887</v>
      </c>
      <c r="AZ138" s="709">
        <f>SUM(AA138:AD138)</f>
        <v>-13365.528732117502</v>
      </c>
      <c r="BA138" s="709">
        <f>SUM(AE138:AH138)</f>
        <v>-21919.518482266401</v>
      </c>
      <c r="BB138" s="709">
        <f>SUM(AI138:AL138)</f>
        <v>-38032.764144109271</v>
      </c>
      <c r="BC138" s="709">
        <f>SUM(AM138:AP138)</f>
        <v>-60553.746179439055</v>
      </c>
      <c r="BD138" s="709">
        <f t="shared" ref="BD138:BJ138" si="406">BD139*BD39</f>
        <v>-79943.214243372844</v>
      </c>
      <c r="BE138" s="709">
        <f t="shared" si="406"/>
        <v>-36835.319582887132</v>
      </c>
      <c r="BF138" s="709">
        <f t="shared" si="406"/>
        <v>0</v>
      </c>
      <c r="BG138" s="709">
        <f t="shared" si="406"/>
        <v>15185.257833237058</v>
      </c>
      <c r="BH138" s="709">
        <f t="shared" si="406"/>
        <v>22262.035918517402</v>
      </c>
      <c r="BI138" s="709">
        <f t="shared" si="406"/>
        <v>29766.164350431951</v>
      </c>
      <c r="BJ138" s="709">
        <f t="shared" si="406"/>
        <v>31217.736374073036</v>
      </c>
      <c r="BL138" s="709">
        <v>-3309.5627739446199</v>
      </c>
      <c r="BM138" s="709">
        <v>-3805.9971900363098</v>
      </c>
      <c r="BN138" s="709">
        <v>-6127.6554759584596</v>
      </c>
      <c r="BO138" s="709">
        <v>-5048.1780868863971</v>
      </c>
    </row>
    <row r="139" spans="2:68" s="646" customFormat="1" ht="12" customHeight="1" x14ac:dyDescent="0.35">
      <c r="B139" s="672" t="s">
        <v>518</v>
      </c>
      <c r="O139" s="566"/>
      <c r="P139" s="566"/>
      <c r="Q139" s="566"/>
      <c r="R139" s="566"/>
      <c r="S139" s="566">
        <v>-0.3</v>
      </c>
      <c r="T139" s="566">
        <v>-0.3</v>
      </c>
      <c r="U139" s="566">
        <v>-0.3</v>
      </c>
      <c r="V139" s="566">
        <v>-0.3</v>
      </c>
      <c r="W139" s="566">
        <v>-0.25</v>
      </c>
      <c r="X139" s="566">
        <v>-0.3</v>
      </c>
      <c r="Y139" s="566">
        <v>-0.3</v>
      </c>
      <c r="Z139" s="566">
        <v>-0.3</v>
      </c>
      <c r="AA139" s="566">
        <v>-0.3</v>
      </c>
      <c r="AB139" s="566">
        <v>-0.3</v>
      </c>
      <c r="AC139" s="566">
        <v>-0.3</v>
      </c>
      <c r="AD139" s="566">
        <v>-0.3</v>
      </c>
      <c r="AE139" s="566">
        <v>-0.3</v>
      </c>
      <c r="AF139" s="566">
        <v>-0.3</v>
      </c>
      <c r="AG139" s="566">
        <v>-0.3</v>
      </c>
      <c r="AH139" s="566">
        <v>-0.3</v>
      </c>
      <c r="AI139" s="566">
        <f>AH139</f>
        <v>-0.3</v>
      </c>
      <c r="AJ139" s="566">
        <f t="shared" ref="AJ139:AP139" si="407">AI139</f>
        <v>-0.3</v>
      </c>
      <c r="AK139" s="566">
        <f t="shared" si="407"/>
        <v>-0.3</v>
      </c>
      <c r="AL139" s="566">
        <f t="shared" si="407"/>
        <v>-0.3</v>
      </c>
      <c r="AM139" s="566">
        <f t="shared" si="407"/>
        <v>-0.3</v>
      </c>
      <c r="AN139" s="566">
        <f t="shared" si="407"/>
        <v>-0.3</v>
      </c>
      <c r="AO139" s="566">
        <f t="shared" si="407"/>
        <v>-0.3</v>
      </c>
      <c r="AP139" s="566">
        <f t="shared" si="407"/>
        <v>-0.3</v>
      </c>
      <c r="AQ139" s="656"/>
      <c r="AR139" s="657"/>
      <c r="AS139" s="565"/>
      <c r="AW139" s="646">
        <v>-0.3</v>
      </c>
      <c r="AX139" s="646">
        <f>AX138/AX39</f>
        <v>-0.30000000000000004</v>
      </c>
      <c r="AY139" s="646">
        <f>AY138/AY39</f>
        <v>-0.29345868484259446</v>
      </c>
      <c r="AZ139" s="646">
        <f t="shared" ref="AZ139:BC139" si="408">AZ138/AZ39</f>
        <v>-0.3</v>
      </c>
      <c r="BA139" s="646">
        <f t="shared" si="408"/>
        <v>-0.3</v>
      </c>
      <c r="BB139" s="646">
        <f t="shared" si="408"/>
        <v>-0.3</v>
      </c>
      <c r="BC139" s="646">
        <f t="shared" si="408"/>
        <v>-0.3</v>
      </c>
      <c r="BD139" s="566">
        <v>-0.28000000000000003</v>
      </c>
      <c r="BE139" s="566">
        <v>-0.1</v>
      </c>
      <c r="BF139" s="566">
        <v>0</v>
      </c>
      <c r="BG139" s="566">
        <v>0.03</v>
      </c>
      <c r="BH139" s="566">
        <v>0.04</v>
      </c>
      <c r="BI139" s="566">
        <v>0.05</v>
      </c>
      <c r="BJ139" s="566">
        <v>0.05</v>
      </c>
      <c r="BL139" s="566">
        <v>-0.3</v>
      </c>
      <c r="BM139" s="566">
        <v>-0.3</v>
      </c>
      <c r="BN139" s="566">
        <v>-0.3</v>
      </c>
      <c r="BO139" s="566">
        <v>-0.3</v>
      </c>
    </row>
    <row r="140" spans="2:68" s="648" customFormat="1" ht="12" customHeight="1" x14ac:dyDescent="0.35">
      <c r="B140" s="701" t="s">
        <v>520</v>
      </c>
      <c r="C140" s="709"/>
      <c r="D140" s="709"/>
      <c r="E140" s="709"/>
      <c r="F140" s="709"/>
      <c r="G140" s="709"/>
      <c r="H140" s="709"/>
      <c r="I140" s="709"/>
      <c r="J140" s="709"/>
      <c r="K140" s="709"/>
      <c r="L140" s="709"/>
      <c r="M140" s="709"/>
      <c r="N140" s="709"/>
      <c r="O140" s="709"/>
      <c r="P140" s="709"/>
      <c r="Q140" s="709"/>
      <c r="R140" s="709"/>
      <c r="S140" s="709"/>
      <c r="T140" s="709"/>
      <c r="U140" s="709"/>
      <c r="V140" s="709"/>
      <c r="W140" s="709"/>
      <c r="X140" s="709"/>
      <c r="Y140" s="709"/>
      <c r="Z140" s="709"/>
      <c r="AA140" s="709"/>
      <c r="AB140" s="709"/>
      <c r="AC140" s="709"/>
      <c r="AD140" s="709"/>
      <c r="AE140" s="709"/>
      <c r="AF140" s="709"/>
      <c r="AG140" s="709"/>
      <c r="AH140" s="709"/>
      <c r="AI140" s="709"/>
      <c r="AJ140" s="709"/>
      <c r="AK140" s="709"/>
      <c r="AL140" s="709"/>
      <c r="AM140" s="709"/>
      <c r="AN140" s="709"/>
      <c r="AO140" s="709"/>
      <c r="AP140" s="709"/>
      <c r="AQ140" s="2741"/>
      <c r="AR140" s="729"/>
      <c r="AS140" s="730"/>
      <c r="AT140" s="709"/>
      <c r="AU140" s="709"/>
      <c r="AV140" s="709"/>
      <c r="AW140" s="709"/>
      <c r="AX140" s="709"/>
      <c r="AY140" s="709"/>
      <c r="AZ140" s="709"/>
      <c r="BA140" s="709"/>
      <c r="BB140" s="709"/>
      <c r="BC140" s="709"/>
      <c r="BD140" s="709"/>
      <c r="BE140" s="709"/>
      <c r="BF140" s="709"/>
      <c r="BG140" s="709"/>
      <c r="BH140" s="709"/>
      <c r="BI140" s="709"/>
      <c r="BJ140" s="709"/>
      <c r="BK140" s="712"/>
      <c r="BL140" s="709"/>
      <c r="BM140" s="709"/>
      <c r="BN140" s="709"/>
      <c r="BO140" s="709"/>
    </row>
    <row r="141" spans="2:68" s="648" customFormat="1" ht="12" customHeight="1" x14ac:dyDescent="0.35">
      <c r="B141" s="2750" t="s">
        <v>514</v>
      </c>
      <c r="C141" s="709"/>
      <c r="D141" s="709"/>
      <c r="E141" s="709"/>
      <c r="F141" s="709"/>
      <c r="G141" s="709"/>
      <c r="H141" s="709"/>
      <c r="I141" s="709"/>
      <c r="J141" s="709"/>
      <c r="K141" s="709"/>
      <c r="L141" s="709"/>
      <c r="M141" s="709"/>
      <c r="N141" s="709"/>
      <c r="O141" s="709"/>
      <c r="P141" s="709"/>
      <c r="Q141" s="709"/>
      <c r="R141" s="709"/>
      <c r="S141" s="709">
        <f t="shared" ref="S141:AP141" si="409">S41*S142</f>
        <v>-30.595806451249871</v>
      </c>
      <c r="T141" s="709">
        <f t="shared" si="409"/>
        <v>-46.665061479000002</v>
      </c>
      <c r="U141" s="709">
        <f t="shared" si="409"/>
        <v>0</v>
      </c>
      <c r="V141" s="709">
        <f t="shared" si="409"/>
        <v>38.598760754230035</v>
      </c>
      <c r="W141" s="709">
        <f t="shared" si="409"/>
        <v>75.118828757810448</v>
      </c>
      <c r="X141" s="709">
        <f t="shared" si="409"/>
        <v>140.80836398262255</v>
      </c>
      <c r="Y141" s="709">
        <f t="shared" si="409"/>
        <v>120.72424894910519</v>
      </c>
      <c r="Z141" s="709">
        <f t="shared" si="409"/>
        <v>185.0192010535674</v>
      </c>
      <c r="AA141" s="709">
        <f t="shared" si="409"/>
        <v>310.14338360391133</v>
      </c>
      <c r="AB141" s="709">
        <f t="shared" si="409"/>
        <v>279.26615932742743</v>
      </c>
      <c r="AC141" s="709">
        <f t="shared" si="409"/>
        <v>272.83047779925226</v>
      </c>
      <c r="AD141" s="709">
        <f t="shared" si="409"/>
        <v>295.30256189062101</v>
      </c>
      <c r="AE141" s="709">
        <f t="shared" si="409"/>
        <v>459.8799874077684</v>
      </c>
      <c r="AF141" s="709">
        <f t="shared" si="409"/>
        <v>427.27722377096399</v>
      </c>
      <c r="AG141" s="709">
        <f t="shared" si="409"/>
        <v>368.3211450289906</v>
      </c>
      <c r="AH141" s="709">
        <f t="shared" si="409"/>
        <v>383.89333045780734</v>
      </c>
      <c r="AI141" s="709">
        <f t="shared" si="409"/>
        <v>597.84398363009893</v>
      </c>
      <c r="AJ141" s="709">
        <f t="shared" si="409"/>
        <v>555.46039090225327</v>
      </c>
      <c r="AK141" s="709">
        <f t="shared" si="409"/>
        <v>478.81748853768778</v>
      </c>
      <c r="AL141" s="709">
        <f t="shared" si="409"/>
        <v>479.86666307225914</v>
      </c>
      <c r="AM141" s="709">
        <f t="shared" si="409"/>
        <v>747.30497953762369</v>
      </c>
      <c r="AN141" s="709">
        <f t="shared" si="409"/>
        <v>694.32548862781653</v>
      </c>
      <c r="AO141" s="709">
        <f t="shared" si="409"/>
        <v>598.52186067210971</v>
      </c>
      <c r="AP141" s="709">
        <f t="shared" si="409"/>
        <v>575.83999568671095</v>
      </c>
      <c r="AQ141" s="2741"/>
      <c r="AR141" s="729"/>
      <c r="AS141" s="730"/>
      <c r="AT141" s="709"/>
      <c r="AU141" s="709"/>
      <c r="AV141" s="709"/>
      <c r="AW141" s="709"/>
      <c r="AX141" s="709">
        <f>SUM(S141:V141)</f>
        <v>-38.662107176019838</v>
      </c>
      <c r="AY141" s="709">
        <f>SUM(W141:Z141)</f>
        <v>521.67064274310553</v>
      </c>
      <c r="AZ141" s="709">
        <f>SUM(AA141:AD141)</f>
        <v>1157.5425826212122</v>
      </c>
      <c r="BA141" s="709">
        <f>SUM(AE141:AH141)</f>
        <v>1639.3716866655304</v>
      </c>
      <c r="BB141" s="709">
        <f>SUM(AI141:AL141)</f>
        <v>2111.9885261422987</v>
      </c>
      <c r="BC141" s="709">
        <f>SUM(AM141:AP141)</f>
        <v>2615.9923245242608</v>
      </c>
      <c r="BD141" s="709">
        <f t="shared" ref="BD141:BJ141" si="410">BD41*BD142</f>
        <v>3146.6294676770135</v>
      </c>
      <c r="BE141" s="709">
        <f t="shared" si="410"/>
        <v>3689.1619083458681</v>
      </c>
      <c r="BF141" s="709">
        <f t="shared" si="410"/>
        <v>4229.8250304292533</v>
      </c>
      <c r="BG141" s="709">
        <f t="shared" si="410"/>
        <v>4756.7397861622612</v>
      </c>
      <c r="BH141" s="709">
        <f t="shared" si="410"/>
        <v>5260.4100112444294</v>
      </c>
      <c r="BI141" s="709">
        <f t="shared" si="410"/>
        <v>5733.8614110416756</v>
      </c>
      <c r="BJ141" s="709">
        <f t="shared" si="410"/>
        <v>6172.5152421448638</v>
      </c>
      <c r="BK141" s="712"/>
      <c r="BL141" s="709">
        <v>291.98336393995402</v>
      </c>
      <c r="BM141" s="709">
        <v>333.73280430946198</v>
      </c>
      <c r="BN141" s="709">
        <v>398.54071018197499</v>
      </c>
      <c r="BO141" s="709">
        <v>427.27722377096399</v>
      </c>
      <c r="BP141" s="685" t="s">
        <v>521</v>
      </c>
    </row>
    <row r="142" spans="2:68" s="646" customFormat="1" ht="12" customHeight="1" x14ac:dyDescent="0.35">
      <c r="B142" s="672" t="s">
        <v>518</v>
      </c>
      <c r="S142" s="566">
        <v>-0.05</v>
      </c>
      <c r="T142" s="566">
        <v>-0.05</v>
      </c>
      <c r="U142" s="566">
        <v>0</v>
      </c>
      <c r="V142" s="566">
        <v>0.02</v>
      </c>
      <c r="W142" s="566">
        <v>0.03</v>
      </c>
      <c r="X142" s="566">
        <v>0.05</v>
      </c>
      <c r="Y142" s="566">
        <v>0.05</v>
      </c>
      <c r="Z142" s="566">
        <v>0.05</v>
      </c>
      <c r="AA142" s="566">
        <v>0.05</v>
      </c>
      <c r="AB142" s="566">
        <v>0.05</v>
      </c>
      <c r="AC142" s="566">
        <v>0.05</v>
      </c>
      <c r="AD142" s="566">
        <v>0.05</v>
      </c>
      <c r="AE142" s="566">
        <v>0.05</v>
      </c>
      <c r="AF142" s="566">
        <v>0.05</v>
      </c>
      <c r="AG142" s="566">
        <v>0.05</v>
      </c>
      <c r="AH142" s="566">
        <v>0.05</v>
      </c>
      <c r="AI142" s="566">
        <f>AH142</f>
        <v>0.05</v>
      </c>
      <c r="AJ142" s="566">
        <f t="shared" ref="AJ142:AP142" si="411">AI142</f>
        <v>0.05</v>
      </c>
      <c r="AK142" s="566">
        <f t="shared" si="411"/>
        <v>0.05</v>
      </c>
      <c r="AL142" s="566">
        <f t="shared" si="411"/>
        <v>0.05</v>
      </c>
      <c r="AM142" s="566">
        <f t="shared" si="411"/>
        <v>0.05</v>
      </c>
      <c r="AN142" s="566">
        <f t="shared" si="411"/>
        <v>0.05</v>
      </c>
      <c r="AO142" s="566">
        <f t="shared" si="411"/>
        <v>0.05</v>
      </c>
      <c r="AP142" s="566">
        <f t="shared" si="411"/>
        <v>0.05</v>
      </c>
      <c r="AQ142" s="656"/>
      <c r="AR142" s="657"/>
      <c r="AS142" s="565"/>
      <c r="AY142" s="646">
        <f>AY141/AY41</f>
        <v>4.5620530715640067E-2</v>
      </c>
      <c r="AZ142" s="646">
        <f t="shared" ref="AZ142:BC142" si="412">AZ141/AZ41</f>
        <v>5.000000000000001E-2</v>
      </c>
      <c r="BA142" s="646">
        <f t="shared" si="412"/>
        <v>0.05</v>
      </c>
      <c r="BB142" s="646">
        <f t="shared" si="412"/>
        <v>4.9999999999999989E-2</v>
      </c>
      <c r="BC142" s="646">
        <f t="shared" si="412"/>
        <v>0.05</v>
      </c>
      <c r="BD142" s="566">
        <f>BC142</f>
        <v>0.05</v>
      </c>
      <c r="BE142" s="566">
        <f t="shared" ref="BE142:BJ142" si="413">BD142</f>
        <v>0.05</v>
      </c>
      <c r="BF142" s="566">
        <f t="shared" si="413"/>
        <v>0.05</v>
      </c>
      <c r="BG142" s="566">
        <f t="shared" si="413"/>
        <v>0.05</v>
      </c>
      <c r="BH142" s="566">
        <f t="shared" si="413"/>
        <v>0.05</v>
      </c>
      <c r="BI142" s="566">
        <f t="shared" si="413"/>
        <v>0.05</v>
      </c>
      <c r="BJ142" s="566">
        <f t="shared" si="413"/>
        <v>0.05</v>
      </c>
      <c r="BK142" s="564"/>
      <c r="BL142" s="566">
        <v>0.05</v>
      </c>
      <c r="BM142" s="566">
        <v>0.05</v>
      </c>
      <c r="BN142" s="566">
        <v>0.05</v>
      </c>
      <c r="BO142" s="566">
        <v>0.05</v>
      </c>
    </row>
    <row r="143" spans="2:68" s="646" customFormat="1" ht="12" customHeight="1" x14ac:dyDescent="0.35">
      <c r="B143" s="2751"/>
      <c r="S143" s="2748"/>
      <c r="T143" s="2748"/>
      <c r="U143" s="2748"/>
      <c r="V143" s="2748"/>
      <c r="W143" s="2748"/>
      <c r="X143" s="2748"/>
      <c r="Y143" s="2748"/>
      <c r="Z143" s="566"/>
      <c r="AA143" s="566"/>
      <c r="AB143" s="566"/>
      <c r="AC143" s="566"/>
      <c r="AD143" s="566"/>
      <c r="AQ143" s="656"/>
      <c r="AR143" s="657"/>
      <c r="AS143" s="565"/>
      <c r="AZ143" s="564"/>
      <c r="BA143" s="564"/>
      <c r="BB143" s="564"/>
      <c r="BC143" s="564"/>
      <c r="BD143" s="564"/>
      <c r="BE143" s="564"/>
      <c r="BF143" s="564"/>
      <c r="BG143" s="564"/>
      <c r="BH143" s="564"/>
      <c r="BI143" s="564"/>
      <c r="BJ143" s="564"/>
      <c r="BK143" s="2752">
        <v>1</v>
      </c>
      <c r="BL143" s="564"/>
      <c r="BM143" s="564"/>
    </row>
    <row r="144" spans="2:68" s="646" customFormat="1" ht="12" customHeight="1" x14ac:dyDescent="0.35">
      <c r="B144" s="2751"/>
      <c r="S144" s="2748"/>
      <c r="T144" s="2748"/>
      <c r="U144" s="2748"/>
      <c r="V144" s="2748"/>
      <c r="W144" s="2748"/>
      <c r="X144" s="2748"/>
      <c r="Y144" s="2748"/>
      <c r="Z144" s="566"/>
      <c r="AA144" s="566"/>
      <c r="AB144" s="566"/>
      <c r="AC144" s="566"/>
      <c r="AD144" s="566"/>
      <c r="AQ144" s="656"/>
      <c r="AR144" s="657"/>
      <c r="AS144" s="565"/>
      <c r="AZ144" s="564"/>
      <c r="BA144" s="564"/>
      <c r="BB144" s="564"/>
      <c r="BC144" s="564"/>
      <c r="BD144" s="564"/>
      <c r="BE144" s="564"/>
      <c r="BF144" s="564"/>
      <c r="BG144" s="564"/>
      <c r="BH144" s="564"/>
      <c r="BI144" s="564"/>
      <c r="BJ144" s="564"/>
      <c r="BK144" s="2752">
        <v>2</v>
      </c>
      <c r="BL144" s="2753"/>
      <c r="BM144" s="2753"/>
      <c r="BP144" s="646">
        <f>BM144/AY183</f>
        <v>0</v>
      </c>
    </row>
    <row r="145" spans="1:68" s="646" customFormat="1" ht="12" customHeight="1" x14ac:dyDescent="0.35">
      <c r="B145" s="2751"/>
      <c r="S145" s="2748"/>
      <c r="T145" s="2748"/>
      <c r="U145" s="2748"/>
      <c r="V145" s="2748"/>
      <c r="W145" s="2748"/>
      <c r="X145" s="2748"/>
      <c r="Y145" s="2748"/>
      <c r="Z145" s="566"/>
      <c r="AA145" s="566"/>
      <c r="AB145" s="566"/>
      <c r="AC145" s="566"/>
      <c r="AD145" s="566"/>
      <c r="AQ145" s="656"/>
      <c r="AR145" s="657"/>
      <c r="AS145" s="565"/>
      <c r="AZ145" s="564"/>
      <c r="BA145" s="564"/>
      <c r="BB145" s="564"/>
      <c r="BC145" s="564"/>
      <c r="BD145" s="564"/>
      <c r="BE145" s="564"/>
      <c r="BF145" s="564"/>
      <c r="BG145" s="564"/>
      <c r="BH145" s="564"/>
      <c r="BI145" s="564"/>
      <c r="BJ145" s="564"/>
      <c r="BK145" s="2752">
        <v>3</v>
      </c>
      <c r="BL145" s="564"/>
      <c r="BM145" s="564"/>
    </row>
    <row r="146" spans="1:68" s="646" customFormat="1" ht="12" customHeight="1" x14ac:dyDescent="0.35">
      <c r="B146" s="2754" t="s">
        <v>522</v>
      </c>
      <c r="S146" s="2748"/>
      <c r="T146" s="2748"/>
      <c r="U146" s="2748"/>
      <c r="V146" s="2748"/>
      <c r="W146" s="2755">
        <f>W151+W154+W157</f>
        <v>-3888.9500000000003</v>
      </c>
      <c r="X146" s="2755">
        <f>X151+X154+X157</f>
        <v>-6451.5</v>
      </c>
      <c r="Y146" s="2755">
        <f t="shared" ref="Y146:AR146" si="414">Y151+Y154+Y157+Y141</f>
        <v>-8801.9557510508948</v>
      </c>
      <c r="Z146" s="2755">
        <f t="shared" si="414"/>
        <v>-8317.4807989464334</v>
      </c>
      <c r="AA146" s="2755">
        <f t="shared" si="414"/>
        <v>-7897.5066163960882</v>
      </c>
      <c r="AB146" s="2755">
        <f t="shared" si="414"/>
        <v>-8003.3838406725718</v>
      </c>
      <c r="AC146" s="2755">
        <f t="shared" si="414"/>
        <v>-10014.369522200748</v>
      </c>
      <c r="AD146" s="2755">
        <f t="shared" si="414"/>
        <v>-7789.0474381093791</v>
      </c>
      <c r="AE146" s="2755">
        <f t="shared" si="414"/>
        <v>-9752.0200125922311</v>
      </c>
      <c r="AF146" s="2755">
        <f t="shared" si="414"/>
        <v>-10390.772776229036</v>
      </c>
      <c r="AG146" s="2755">
        <f t="shared" si="414"/>
        <v>-13021.742920765302</v>
      </c>
      <c r="AH146" s="2755">
        <f t="shared" si="414"/>
        <v>-9739.3705282804804</v>
      </c>
      <c r="AI146" s="2755"/>
      <c r="AJ146" s="2755"/>
      <c r="AK146" s="2755"/>
      <c r="AL146" s="2755"/>
      <c r="AM146" s="2755"/>
      <c r="AN146" s="2755"/>
      <c r="AO146" s="2755"/>
      <c r="AP146" s="2755"/>
      <c r="AQ146" s="2756">
        <f t="shared" si="414"/>
        <v>0</v>
      </c>
      <c r="AR146" s="2755">
        <f t="shared" si="414"/>
        <v>0</v>
      </c>
      <c r="AS146" s="565"/>
      <c r="AZ146" s="2757">
        <f>AZ151+AZ154+AZ157+AZ141</f>
        <v>-33704.30741737879</v>
      </c>
      <c r="BA146" s="2757">
        <f>BA151+BA154+BA157+BA141</f>
        <v>-42903.90623786705</v>
      </c>
      <c r="BB146" s="2757">
        <f>BB151+BB154+BB157+BB141</f>
        <v>-53130.358463720622</v>
      </c>
      <c r="BC146" s="2757">
        <f t="shared" ref="BC146:BJ146" si="415">BC151+BC154+BC157+BC141</f>
        <v>-65645.545964252757</v>
      </c>
      <c r="BD146" s="2757">
        <f t="shared" si="415"/>
        <v>-46742.796928362943</v>
      </c>
      <c r="BE146" s="2757">
        <f t="shared" si="415"/>
        <v>-8334.4217121992788</v>
      </c>
      <c r="BF146" s="2757">
        <f t="shared" si="415"/>
        <v>-1602.4347289076641</v>
      </c>
      <c r="BG146" s="2757">
        <f t="shared" si="415"/>
        <v>4658.1947770254401</v>
      </c>
      <c r="BH146" s="2757">
        <f t="shared" si="415"/>
        <v>11675.705542464573</v>
      </c>
      <c r="BI146" s="2757">
        <f t="shared" si="415"/>
        <v>17110.405996794947</v>
      </c>
      <c r="BJ146" s="2757">
        <f t="shared" si="415"/>
        <v>22814.81879388466</v>
      </c>
      <c r="BK146" s="2752">
        <v>4</v>
      </c>
      <c r="BL146" s="2758">
        <v>-7952.2916360600502</v>
      </c>
      <c r="BM146" s="2758">
        <v>-9500.8871956905405</v>
      </c>
      <c r="BN146" s="2755">
        <v>-8916.8167898180309</v>
      </c>
      <c r="BO146" s="2755">
        <v>-9035.266859338557</v>
      </c>
    </row>
    <row r="147" spans="1:68" s="2718" customFormat="1" ht="11.65" x14ac:dyDescent="0.35">
      <c r="A147" s="2824"/>
      <c r="B147" s="2759" t="s">
        <v>523</v>
      </c>
      <c r="S147" s="2718">
        <f>S135+S138+S141+S151+S154+S157</f>
        <v>-955.80971774374996</v>
      </c>
      <c r="T147" s="2718">
        <v>-1550</v>
      </c>
      <c r="U147" s="2718">
        <f t="shared" ref="U147:AA147" si="416">U151+U154+U157+U141</f>
        <v>-3568.75</v>
      </c>
      <c r="V147" s="2718">
        <f t="shared" si="416"/>
        <v>-3433.1012392457696</v>
      </c>
      <c r="W147" s="2718">
        <f t="shared" si="416"/>
        <v>-3813.8311712421896</v>
      </c>
      <c r="X147" s="2718">
        <f t="shared" si="416"/>
        <v>-6310.6916360173773</v>
      </c>
      <c r="Y147" s="2718">
        <f t="shared" si="416"/>
        <v>-8801.9557510508948</v>
      </c>
      <c r="Z147" s="2718">
        <f t="shared" si="416"/>
        <v>-8317.4807989464334</v>
      </c>
      <c r="AA147" s="2718">
        <f t="shared" si="416"/>
        <v>-7897.5066163960882</v>
      </c>
      <c r="AB147" s="2718">
        <f>AB151+AB154+AB157+AB141</f>
        <v>-8003.3838406725718</v>
      </c>
      <c r="AC147" s="2718">
        <f>AC151+AC154+AC157+AC141</f>
        <v>-10014.369522200748</v>
      </c>
      <c r="AD147" s="2718">
        <f>AD151+AD154+AD157+AD141</f>
        <v>-7789.0474381093791</v>
      </c>
      <c r="AE147" s="2718">
        <f t="shared" ref="AE147:AF147" si="417">AE151+AE154+AE157+AE141</f>
        <v>-9752.0200125922311</v>
      </c>
      <c r="AF147" s="2718">
        <f t="shared" si="417"/>
        <v>-10390.772776229036</v>
      </c>
      <c r="AG147" s="2718">
        <v>-8296</v>
      </c>
      <c r="AH147" s="2718">
        <v>-8296</v>
      </c>
      <c r="AQ147" s="2760" t="s">
        <v>458</v>
      </c>
      <c r="AR147" s="2761"/>
      <c r="AS147" s="2745"/>
      <c r="AX147" s="2718">
        <f>AX135+AX138+AX141+AX151+AX154+AX157</f>
        <v>-10367.53225554776</v>
      </c>
      <c r="AY147" s="2718">
        <f>AY135+AY138+AY141+AY151+AY154+AY157</f>
        <v>-32821.791153491962</v>
      </c>
      <c r="AZ147" s="2718">
        <f t="shared" ref="AZ147:BC147" si="418">AZ135+AZ138+AZ141+AZ151+AZ154+AZ157</f>
        <v>-46639.551854137084</v>
      </c>
      <c r="BA147" s="2718">
        <f t="shared" si="418"/>
        <v>-64347.421386166483</v>
      </c>
      <c r="BB147" s="2718">
        <f t="shared" si="418"/>
        <v>-90663.319107164571</v>
      </c>
      <c r="BC147" s="2718">
        <f t="shared" si="418"/>
        <v>-125674.49846799324</v>
      </c>
      <c r="BD147" s="2718">
        <f t="shared" ref="BD147:BJ147" si="419">BD151+BD154+BD157</f>
        <v>-49889.426396039955</v>
      </c>
      <c r="BE147" s="2718">
        <f t="shared" si="419"/>
        <v>-12023.583620545147</v>
      </c>
      <c r="BF147" s="2718">
        <f t="shared" si="419"/>
        <v>-5832.2597593369173</v>
      </c>
      <c r="BG147" s="2718">
        <f t="shared" si="419"/>
        <v>-98.545009136821136</v>
      </c>
      <c r="BH147" s="2718">
        <f t="shared" si="419"/>
        <v>6415.2955312201429</v>
      </c>
      <c r="BI147" s="2718">
        <f t="shared" si="419"/>
        <v>11376.544585753272</v>
      </c>
      <c r="BJ147" s="2718">
        <f t="shared" si="419"/>
        <v>16642.303551739795</v>
      </c>
      <c r="BK147" s="2762">
        <v>5</v>
      </c>
      <c r="BL147" s="2763">
        <v>-7952.2916360600502</v>
      </c>
      <c r="BM147" s="2763">
        <v>-9500.8871956905405</v>
      </c>
      <c r="BN147" s="2718">
        <v>-8296</v>
      </c>
      <c r="BO147" s="2718">
        <v>-8296</v>
      </c>
      <c r="BP147" s="2764">
        <f>BM147/AY183</f>
        <v>-7.7912526308935651E-2</v>
      </c>
    </row>
    <row r="148" spans="1:68" s="646" customFormat="1" ht="12" customHeight="1" x14ac:dyDescent="0.35">
      <c r="B148" s="2744" t="s">
        <v>515</v>
      </c>
      <c r="S148" s="564">
        <f t="shared" ref="S148:AH148" si="420">S147/(S37+S39+S41+S77+S66+S80)</f>
        <v>-0.31148273348504463</v>
      </c>
      <c r="T148" s="564">
        <f t="shared" si="420"/>
        <v>-0.32137439309669158</v>
      </c>
      <c r="U148" s="564">
        <f t="shared" si="420"/>
        <v>-0.31498006810542034</v>
      </c>
      <c r="V148" s="564">
        <f t="shared" si="420"/>
        <v>-0.29665099733326988</v>
      </c>
      <c r="W148" s="564">
        <f t="shared" si="420"/>
        <v>-0.24493504240772976</v>
      </c>
      <c r="X148" s="564">
        <f t="shared" si="420"/>
        <v>-0.33149682024284843</v>
      </c>
      <c r="Y148" s="564">
        <f t="shared" si="420"/>
        <v>-0.36547276376066445</v>
      </c>
      <c r="Z148" s="564">
        <f t="shared" si="420"/>
        <v>-0.32695749067927182</v>
      </c>
      <c r="AA148" s="564">
        <f t="shared" si="420"/>
        <v>-0.25766688164769591</v>
      </c>
      <c r="AB148" s="564">
        <f t="shared" si="420"/>
        <v>-0.25453817938624929</v>
      </c>
      <c r="AC148" s="564">
        <f t="shared" si="420"/>
        <v>-0.25443379696313323</v>
      </c>
      <c r="AD148" s="564">
        <f t="shared" si="420"/>
        <v>-0.21652232907119803</v>
      </c>
      <c r="AE148" s="564">
        <f t="shared" si="420"/>
        <v>-0.22021504136177905</v>
      </c>
      <c r="AF148" s="564">
        <f t="shared" si="420"/>
        <v>-0.21644185627874687</v>
      </c>
      <c r="AG148" s="564">
        <f t="shared" si="420"/>
        <v>-0.14740293072228886</v>
      </c>
      <c r="AH148" s="564">
        <f t="shared" si="420"/>
        <v>-0.16111181810120345</v>
      </c>
      <c r="AI148" s="564"/>
      <c r="AJ148" s="564"/>
      <c r="AK148" s="564"/>
      <c r="AL148" s="564"/>
      <c r="AM148" s="564"/>
      <c r="AN148" s="564"/>
      <c r="AO148" s="564"/>
      <c r="AP148" s="564"/>
      <c r="AQ148" s="656"/>
      <c r="AR148" s="657"/>
      <c r="AS148" s="565"/>
      <c r="AY148" s="646">
        <f>AY147/(AY37+AY39+AY41+AY77+AY66+AY80)</f>
        <v>-0.39012938959598736</v>
      </c>
      <c r="AZ148" s="646">
        <f t="shared" ref="AZ148:BC148" si="421">AZ147/(AZ37+AZ39+AZ41+AZ77+AZ66+AZ80)</f>
        <v>-0.33938019370743761</v>
      </c>
      <c r="BA148" s="646">
        <f t="shared" si="421"/>
        <v>-0.32163322542966288</v>
      </c>
      <c r="BB148" s="646">
        <f t="shared" si="421"/>
        <v>-0.32334127733945822</v>
      </c>
      <c r="BC148" s="646">
        <f t="shared" si="421"/>
        <v>-0.31776910135833158</v>
      </c>
      <c r="BD148" s="564">
        <f t="shared" ref="BD148:BJ148" si="422">BD147/(BD37+BD39+BD41+BD77+BD66+BD80)</f>
        <v>-9.6076514942341387E-2</v>
      </c>
      <c r="BE148" s="564">
        <f t="shared" si="422"/>
        <v>-1.8764284651274117E-2</v>
      </c>
      <c r="BF148" s="564">
        <f t="shared" si="422"/>
        <v>-7.7580550754563016E-3</v>
      </c>
      <c r="BG148" s="564">
        <f t="shared" si="422"/>
        <v>-1.1622371065249056E-4</v>
      </c>
      <c r="BH148" s="564">
        <f t="shared" si="422"/>
        <v>6.9126644945559645E-3</v>
      </c>
      <c r="BI148" s="564">
        <f t="shared" si="422"/>
        <v>1.1448237782914263E-2</v>
      </c>
      <c r="BJ148" s="564">
        <f t="shared" si="422"/>
        <v>1.58984925540143E-2</v>
      </c>
      <c r="BK148" s="2752">
        <v>6</v>
      </c>
      <c r="BL148" s="2753">
        <v>-0.235222649090539</v>
      </c>
      <c r="BM148" s="2753">
        <v>-0.23775414837480699</v>
      </c>
      <c r="BN148" s="564">
        <v>-0.17421590913011001</v>
      </c>
      <c r="BO148" s="564">
        <v>-0.18278247240138554</v>
      </c>
    </row>
    <row r="149" spans="1:68" s="646" customFormat="1" ht="12" customHeight="1" x14ac:dyDescent="0.35">
      <c r="B149" s="2744"/>
      <c r="S149" s="564"/>
      <c r="T149" s="564"/>
      <c r="U149" s="564"/>
      <c r="V149" s="564"/>
      <c r="W149" s="564"/>
      <c r="X149" s="564"/>
      <c r="Y149" s="564"/>
      <c r="Z149" s="564"/>
      <c r="AA149" s="564"/>
      <c r="AB149" s="564"/>
      <c r="AC149" s="564"/>
      <c r="AD149" s="564"/>
      <c r="AQ149" s="656"/>
      <c r="AR149" s="657"/>
      <c r="AS149" s="565"/>
      <c r="AZ149" s="566"/>
      <c r="BA149" s="566"/>
      <c r="BB149" s="566"/>
      <c r="BC149" s="566"/>
      <c r="BD149" s="566"/>
      <c r="BE149" s="566"/>
      <c r="BF149" s="566"/>
      <c r="BG149" s="566"/>
      <c r="BH149" s="566"/>
      <c r="BI149" s="566"/>
      <c r="BJ149" s="566"/>
      <c r="BK149" s="2752"/>
      <c r="BL149" s="564"/>
      <c r="BM149" s="564"/>
    </row>
    <row r="150" spans="1:68" s="648" customFormat="1" ht="12" customHeight="1" x14ac:dyDescent="0.35">
      <c r="B150" s="2765" t="s">
        <v>524</v>
      </c>
      <c r="C150" s="709"/>
      <c r="D150" s="709"/>
      <c r="E150" s="709"/>
      <c r="F150" s="709"/>
      <c r="G150" s="709"/>
      <c r="H150" s="709"/>
      <c r="I150" s="709"/>
      <c r="J150" s="709"/>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09"/>
      <c r="AG150" s="709"/>
      <c r="AH150" s="709"/>
      <c r="AI150" s="709"/>
      <c r="AJ150" s="709"/>
      <c r="AK150" s="709"/>
      <c r="AL150" s="709"/>
      <c r="AM150" s="709"/>
      <c r="AN150" s="709"/>
      <c r="AO150" s="709"/>
      <c r="AP150" s="709"/>
      <c r="AQ150" s="2741"/>
      <c r="AR150" s="729"/>
      <c r="AS150" s="730"/>
      <c r="AT150" s="709"/>
      <c r="AU150" s="709"/>
      <c r="AV150" s="709"/>
      <c r="AW150" s="709"/>
      <c r="AX150" s="709"/>
      <c r="AY150" s="709"/>
      <c r="AZ150" s="709"/>
      <c r="BA150" s="709"/>
      <c r="BB150" s="709"/>
      <c r="BC150" s="709"/>
      <c r="BD150" s="709"/>
      <c r="BE150" s="709"/>
      <c r="BF150" s="709"/>
      <c r="BG150" s="709"/>
      <c r="BH150" s="709"/>
      <c r="BI150" s="709"/>
      <c r="BJ150" s="709"/>
      <c r="BK150" s="712">
        <v>7</v>
      </c>
      <c r="BL150" s="2766"/>
      <c r="BM150" s="2766"/>
      <c r="BN150" s="709"/>
      <c r="BO150" s="709"/>
    </row>
    <row r="151" spans="1:68" s="648" customFormat="1" ht="12" customHeight="1" x14ac:dyDescent="0.35">
      <c r="B151" s="701" t="s">
        <v>514</v>
      </c>
      <c r="C151" s="709"/>
      <c r="D151" s="709"/>
      <c r="E151" s="709"/>
      <c r="F151" s="709"/>
      <c r="G151" s="709"/>
      <c r="H151" s="709"/>
      <c r="I151" s="709"/>
      <c r="J151" s="709"/>
      <c r="K151" s="709"/>
      <c r="L151" s="709"/>
      <c r="M151" s="709"/>
      <c r="N151" s="709"/>
      <c r="O151" s="709"/>
      <c r="P151" s="709"/>
      <c r="Q151" s="709"/>
      <c r="R151" s="709"/>
      <c r="S151" s="709"/>
      <c r="T151" s="709"/>
      <c r="U151" s="709">
        <f>U152*U77</f>
        <v>-2148.8500000000004</v>
      </c>
      <c r="V151" s="709">
        <f t="shared" ref="V151:AP151" si="423">V152*V77</f>
        <v>-2281.6</v>
      </c>
      <c r="W151" s="709">
        <f t="shared" si="423"/>
        <v>-2162.5500000000002</v>
      </c>
      <c r="X151" s="709">
        <f t="shared" si="423"/>
        <v>-1442.7</v>
      </c>
      <c r="Y151" s="709">
        <f t="shared" si="423"/>
        <v>-2155.6799999999998</v>
      </c>
      <c r="Z151" s="709">
        <f t="shared" si="423"/>
        <v>-1930.5</v>
      </c>
      <c r="AA151" s="709">
        <f t="shared" si="423"/>
        <v>-2502.5</v>
      </c>
      <c r="AB151" s="709">
        <f t="shared" si="423"/>
        <v>-2379.5</v>
      </c>
      <c r="AC151" s="709">
        <f t="shared" si="423"/>
        <v>-3759</v>
      </c>
      <c r="AD151" s="709">
        <f t="shared" si="423"/>
        <v>-2475.5</v>
      </c>
      <c r="AE151" s="709">
        <f t="shared" si="423"/>
        <v>-3856.5</v>
      </c>
      <c r="AF151" s="709">
        <f t="shared" si="423"/>
        <v>-4113</v>
      </c>
      <c r="AG151" s="709">
        <f t="shared" si="423"/>
        <v>-5826.45</v>
      </c>
      <c r="AH151" s="709">
        <f t="shared" si="423"/>
        <v>-3837.0250000000001</v>
      </c>
      <c r="AI151" s="709">
        <f t="shared" si="423"/>
        <v>-5399.0999999999995</v>
      </c>
      <c r="AJ151" s="709">
        <f t="shared" si="423"/>
        <v>-5758.2</v>
      </c>
      <c r="AK151" s="709">
        <f t="shared" si="423"/>
        <v>-8157.0299999999988</v>
      </c>
      <c r="AL151" s="709">
        <f t="shared" si="423"/>
        <v>-5179.9837500000003</v>
      </c>
      <c r="AM151" s="709">
        <f t="shared" si="423"/>
        <v>-7288.7849999999999</v>
      </c>
      <c r="AN151" s="709">
        <f t="shared" si="423"/>
        <v>-7773.5700000000006</v>
      </c>
      <c r="AO151" s="709">
        <f t="shared" si="423"/>
        <v>-11011.9905</v>
      </c>
      <c r="AP151" s="709">
        <f t="shared" si="423"/>
        <v>-6733.9788750000007</v>
      </c>
      <c r="AQ151" s="2741"/>
      <c r="AR151" s="729"/>
      <c r="AS151" s="730"/>
      <c r="AT151" s="709"/>
      <c r="AU151" s="709"/>
      <c r="AV151" s="709"/>
      <c r="AW151" s="709"/>
      <c r="AX151" s="709">
        <f>SUM(S151:V151)</f>
        <v>-4430.4500000000007</v>
      </c>
      <c r="AY151" s="709">
        <f>SUM(W151:Z151)</f>
        <v>-7691.43</v>
      </c>
      <c r="AZ151" s="709">
        <f>SUM(AA151:AD151)</f>
        <v>-11116.5</v>
      </c>
      <c r="BA151" s="709">
        <f>SUM(AE151:AH151)</f>
        <v>-17632.975000000002</v>
      </c>
      <c r="BB151" s="709">
        <f>SUM(AI151:AL151)</f>
        <v>-24494.313749999998</v>
      </c>
      <c r="BC151" s="709">
        <f>SUM(AM151:AP151)</f>
        <v>-32808.324374999997</v>
      </c>
      <c r="BD151" s="709">
        <f t="shared" ref="BD151:BJ151" si="424">BD152*BD77</f>
        <v>-33373.701577796761</v>
      </c>
      <c r="BE151" s="709">
        <f t="shared" si="424"/>
        <v>0</v>
      </c>
      <c r="BF151" s="709">
        <f t="shared" si="424"/>
        <v>2384.1688067034147</v>
      </c>
      <c r="BG151" s="709">
        <f t="shared" si="424"/>
        <v>4073.4559432168912</v>
      </c>
      <c r="BH151" s="709">
        <f t="shared" si="424"/>
        <v>6035.3581191764306</v>
      </c>
      <c r="BI151" s="709">
        <f t="shared" si="424"/>
        <v>8215.4692567028887</v>
      </c>
      <c r="BJ151" s="709">
        <f t="shared" si="424"/>
        <v>10560.323461140282</v>
      </c>
      <c r="BK151" s="712">
        <v>8</v>
      </c>
      <c r="BL151" s="2767">
        <v>-2164.0500000000002</v>
      </c>
      <c r="BM151" s="2767">
        <v>-3143.7</v>
      </c>
      <c r="BN151" s="709">
        <v>-3453.45</v>
      </c>
      <c r="BO151" s="709">
        <v>-3140.94</v>
      </c>
      <c r="BP151" s="674">
        <f>BM151/AY183</f>
        <v>-2.5780077577228704E-2</v>
      </c>
    </row>
    <row r="152" spans="1:68" s="646" customFormat="1" ht="12" customHeight="1" x14ac:dyDescent="0.35">
      <c r="B152" s="672" t="s">
        <v>518</v>
      </c>
      <c r="U152" s="566">
        <v>-0.55000000000000004</v>
      </c>
      <c r="V152" s="566">
        <v>-0.8</v>
      </c>
      <c r="W152" s="566">
        <v>-0.65</v>
      </c>
      <c r="X152" s="566">
        <v>-0.45</v>
      </c>
      <c r="Y152" s="566">
        <v>-0.48</v>
      </c>
      <c r="Z152" s="566">
        <v>-0.5</v>
      </c>
      <c r="AA152" s="566">
        <v>-0.5</v>
      </c>
      <c r="AB152" s="566">
        <v>-0.5</v>
      </c>
      <c r="AC152" s="566">
        <v>-0.5</v>
      </c>
      <c r="AD152" s="566">
        <v>-0.5</v>
      </c>
      <c r="AE152" s="566">
        <v>-0.5</v>
      </c>
      <c r="AF152" s="566">
        <v>-0.5</v>
      </c>
      <c r="AG152" s="566">
        <v>-0.5</v>
      </c>
      <c r="AH152" s="566">
        <v>-0.5</v>
      </c>
      <c r="AI152" s="566">
        <f>AH152</f>
        <v>-0.5</v>
      </c>
      <c r="AJ152" s="566">
        <f t="shared" ref="AJ152:AP152" si="425">AI152</f>
        <v>-0.5</v>
      </c>
      <c r="AK152" s="566">
        <f t="shared" si="425"/>
        <v>-0.5</v>
      </c>
      <c r="AL152" s="566">
        <f t="shared" si="425"/>
        <v>-0.5</v>
      </c>
      <c r="AM152" s="566">
        <f t="shared" si="425"/>
        <v>-0.5</v>
      </c>
      <c r="AN152" s="566">
        <f t="shared" si="425"/>
        <v>-0.5</v>
      </c>
      <c r="AO152" s="566">
        <f t="shared" si="425"/>
        <v>-0.5</v>
      </c>
      <c r="AP152" s="566">
        <f t="shared" si="425"/>
        <v>-0.5</v>
      </c>
      <c r="AQ152" s="656"/>
      <c r="AR152" s="657"/>
      <c r="AS152" s="565"/>
      <c r="AX152" s="646">
        <f>AX151/AX77</f>
        <v>-0.65548897765941716</v>
      </c>
      <c r="AY152" s="646">
        <f>AY151/AY77</f>
        <v>-0.51672354719516289</v>
      </c>
      <c r="AZ152" s="646">
        <f t="shared" ref="AZ152:BC152" si="426">AZ151/AZ77</f>
        <v>-0.5</v>
      </c>
      <c r="BA152" s="646">
        <f t="shared" si="426"/>
        <v>-0.5</v>
      </c>
      <c r="BB152" s="646">
        <f t="shared" si="426"/>
        <v>-0.5</v>
      </c>
      <c r="BC152" s="646">
        <f t="shared" si="426"/>
        <v>-0.5</v>
      </c>
      <c r="BD152" s="566">
        <v>-0.4</v>
      </c>
      <c r="BE152" s="566">
        <v>0</v>
      </c>
      <c r="BF152" s="566">
        <v>0.02</v>
      </c>
      <c r="BG152" s="566">
        <v>0.03</v>
      </c>
      <c r="BH152" s="566">
        <v>0.04</v>
      </c>
      <c r="BI152" s="566">
        <v>0.05</v>
      </c>
      <c r="BJ152" s="566">
        <v>0.06</v>
      </c>
      <c r="BK152" s="2752">
        <v>9</v>
      </c>
      <c r="BL152" s="564">
        <v>-0.5</v>
      </c>
      <c r="BM152" s="564">
        <v>-0.5</v>
      </c>
      <c r="BN152" s="566">
        <v>-0.5</v>
      </c>
      <c r="BO152" s="566">
        <v>-0.5</v>
      </c>
    </row>
    <row r="153" spans="1:68" s="648" customFormat="1" ht="12" customHeight="1" x14ac:dyDescent="0.35">
      <c r="B153" s="2765" t="s">
        <v>525</v>
      </c>
      <c r="C153" s="709"/>
      <c r="D153" s="709"/>
      <c r="E153" s="709"/>
      <c r="F153" s="709"/>
      <c r="G153" s="709"/>
      <c r="H153" s="709"/>
      <c r="I153" s="709"/>
      <c r="J153" s="709"/>
      <c r="K153" s="709"/>
      <c r="L153" s="709"/>
      <c r="M153" s="709"/>
      <c r="N153" s="709"/>
      <c r="O153" s="709"/>
      <c r="P153" s="709"/>
      <c r="Q153" s="709"/>
      <c r="R153" s="709"/>
      <c r="S153" s="709"/>
      <c r="T153" s="709"/>
      <c r="U153" s="709"/>
      <c r="V153" s="709"/>
      <c r="W153" s="709"/>
      <c r="X153" s="709"/>
      <c r="Y153" s="709"/>
      <c r="Z153" s="709"/>
      <c r="AA153" s="709"/>
      <c r="AB153" s="709"/>
      <c r="AC153" s="709"/>
      <c r="AD153" s="709"/>
      <c r="AE153" s="709"/>
      <c r="AF153" s="709"/>
      <c r="AG153" s="709"/>
      <c r="AH153" s="709"/>
      <c r="AI153" s="709"/>
      <c r="AJ153" s="709"/>
      <c r="AK153" s="709"/>
      <c r="AL153" s="709"/>
      <c r="AM153" s="709"/>
      <c r="AN153" s="709"/>
      <c r="AO153" s="709"/>
      <c r="AP153" s="709"/>
      <c r="AQ153" s="2741"/>
      <c r="AR153" s="729"/>
      <c r="AS153" s="730"/>
      <c r="AT153" s="709"/>
      <c r="AU153" s="709"/>
      <c r="AV153" s="709"/>
      <c r="AW153" s="709"/>
      <c r="AX153" s="709"/>
      <c r="AY153" s="709"/>
      <c r="AZ153" s="709"/>
      <c r="BA153" s="709"/>
      <c r="BB153" s="709"/>
      <c r="BC153" s="709"/>
      <c r="BD153" s="709"/>
      <c r="BE153" s="709"/>
      <c r="BF153" s="709"/>
      <c r="BG153" s="709"/>
      <c r="BH153" s="709"/>
      <c r="BI153" s="709"/>
      <c r="BJ153" s="709"/>
      <c r="BK153" s="712">
        <v>10</v>
      </c>
      <c r="BL153" s="2766"/>
      <c r="BM153" s="2766"/>
      <c r="BN153" s="709"/>
      <c r="BO153" s="709"/>
    </row>
    <row r="154" spans="1:68" s="648" customFormat="1" ht="12" customHeight="1" x14ac:dyDescent="0.35">
      <c r="B154" s="701" t="s">
        <v>514</v>
      </c>
      <c r="C154" s="709"/>
      <c r="D154" s="709"/>
      <c r="E154" s="709"/>
      <c r="F154" s="709"/>
      <c r="G154" s="709"/>
      <c r="H154" s="709"/>
      <c r="I154" s="709"/>
      <c r="J154" s="709"/>
      <c r="K154" s="709"/>
      <c r="L154" s="709"/>
      <c r="M154" s="709"/>
      <c r="N154" s="709"/>
      <c r="O154" s="709"/>
      <c r="P154" s="709"/>
      <c r="Q154" s="709"/>
      <c r="R154" s="709"/>
      <c r="S154" s="709"/>
      <c r="T154" s="709"/>
      <c r="U154" s="709"/>
      <c r="V154" s="709"/>
      <c r="W154" s="709">
        <f>W155</f>
        <v>0</v>
      </c>
      <c r="X154" s="709">
        <v>-3000</v>
      </c>
      <c r="Y154" s="709">
        <v>-3850</v>
      </c>
      <c r="Z154" s="709">
        <v>-4100</v>
      </c>
      <c r="AA154" s="709">
        <v>-3200</v>
      </c>
      <c r="AB154" s="709">
        <v>-3200</v>
      </c>
      <c r="AC154" s="709">
        <v>-3200</v>
      </c>
      <c r="AD154" s="709">
        <v>-3200</v>
      </c>
      <c r="AE154" s="709">
        <v>-3200</v>
      </c>
      <c r="AF154" s="709">
        <v>-3200</v>
      </c>
      <c r="AG154" s="709">
        <v>-3200</v>
      </c>
      <c r="AH154" s="709">
        <v>-3200</v>
      </c>
      <c r="AI154" s="709">
        <v>-3200</v>
      </c>
      <c r="AJ154" s="709">
        <v>-3200</v>
      </c>
      <c r="AK154" s="709">
        <v>-3200</v>
      </c>
      <c r="AL154" s="709">
        <v>-3200</v>
      </c>
      <c r="AM154" s="709">
        <v>-3200</v>
      </c>
      <c r="AN154" s="709">
        <v>-3200</v>
      </c>
      <c r="AO154" s="709">
        <v>-3200</v>
      </c>
      <c r="AP154" s="709">
        <v>-3200</v>
      </c>
      <c r="AQ154" s="2741"/>
      <c r="AR154" s="729"/>
      <c r="AS154" s="730"/>
      <c r="AT154" s="709"/>
      <c r="AU154" s="709"/>
      <c r="AV154" s="709"/>
      <c r="AW154" s="709"/>
      <c r="AX154" s="709"/>
      <c r="AY154" s="709">
        <f>SUM(W154:Z154)</f>
        <v>-10950</v>
      </c>
      <c r="AZ154" s="709">
        <f>SUM(AA154:AD154)</f>
        <v>-12800</v>
      </c>
      <c r="BA154" s="709">
        <f>SUM(AE154:AH154)</f>
        <v>-12800</v>
      </c>
      <c r="BB154" s="709">
        <f>SUM(AI154:AL154)</f>
        <v>-12800</v>
      </c>
      <c r="BC154" s="709">
        <f>SUM(AM154:AP154)</f>
        <v>-12800</v>
      </c>
      <c r="BD154" s="709">
        <f t="shared" ref="BD154:BJ154" si="427">BD155*BD80</f>
        <v>-3662.0051348096317</v>
      </c>
      <c r="BE154" s="709">
        <f t="shared" si="427"/>
        <v>0</v>
      </c>
      <c r="BF154" s="709">
        <f t="shared" si="427"/>
        <v>1108.2899453931632</v>
      </c>
      <c r="BG154" s="709">
        <f t="shared" si="427"/>
        <v>1758.6598916956609</v>
      </c>
      <c r="BH154" s="709">
        <f t="shared" si="427"/>
        <v>2439.8882073984519</v>
      </c>
      <c r="BI154" s="709">
        <f t="shared" si="427"/>
        <v>3161.075329050384</v>
      </c>
      <c r="BJ154" s="709">
        <f t="shared" si="427"/>
        <v>3917.7826398048223</v>
      </c>
      <c r="BK154" s="712"/>
      <c r="BL154" s="2766">
        <v>-3200</v>
      </c>
      <c r="BM154" s="2766">
        <v>-3200</v>
      </c>
      <c r="BN154" s="709">
        <v>-3200</v>
      </c>
      <c r="BO154" s="709">
        <v>-3200</v>
      </c>
    </row>
    <row r="155" spans="1:68" s="646" customFormat="1" ht="12" customHeight="1" x14ac:dyDescent="0.35">
      <c r="B155" s="672" t="s">
        <v>518</v>
      </c>
      <c r="U155" s="566"/>
      <c r="V155" s="566"/>
      <c r="W155" s="566"/>
      <c r="X155" s="566">
        <v>-0.65</v>
      </c>
      <c r="Y155" s="566">
        <f t="shared" ref="Y155:AH155" si="428">Y154/Y80</f>
        <v>-0.74626865671641796</v>
      </c>
      <c r="Z155" s="566">
        <f t="shared" si="428"/>
        <v>-0.77857956703380171</v>
      </c>
      <c r="AA155" s="566">
        <f t="shared" si="428"/>
        <v>-0.51779935275080902</v>
      </c>
      <c r="AB155" s="566">
        <f t="shared" si="428"/>
        <v>-0.46817849305047549</v>
      </c>
      <c r="AC155" s="566">
        <f t="shared" si="428"/>
        <v>-0.4219409282700422</v>
      </c>
      <c r="AD155" s="566">
        <f t="shared" si="428"/>
        <v>-0.66102045032018175</v>
      </c>
      <c r="AE155" s="566">
        <f t="shared" si="428"/>
        <v>-0.45064075482326432</v>
      </c>
      <c r="AF155" s="566">
        <f t="shared" si="428"/>
        <v>-0.36203190406154545</v>
      </c>
      <c r="AG155" s="566">
        <f t="shared" si="428"/>
        <v>-0.32964135021097046</v>
      </c>
      <c r="AH155" s="566">
        <f t="shared" si="428"/>
        <v>-0.45012730162749148</v>
      </c>
      <c r="AI155" s="566">
        <f>AH155</f>
        <v>-0.45012730162749148</v>
      </c>
      <c r="AJ155" s="566">
        <f t="shared" ref="AJ155:AP155" si="429">AI155</f>
        <v>-0.45012730162749148</v>
      </c>
      <c r="AK155" s="566">
        <f t="shared" si="429"/>
        <v>-0.45012730162749148</v>
      </c>
      <c r="AL155" s="566">
        <f t="shared" si="429"/>
        <v>-0.45012730162749148</v>
      </c>
      <c r="AM155" s="566">
        <f t="shared" si="429"/>
        <v>-0.45012730162749148</v>
      </c>
      <c r="AN155" s="566">
        <f t="shared" si="429"/>
        <v>-0.45012730162749148</v>
      </c>
      <c r="AO155" s="566">
        <f t="shared" si="429"/>
        <v>-0.45012730162749148</v>
      </c>
      <c r="AP155" s="566">
        <f t="shared" si="429"/>
        <v>-0.45012730162749148</v>
      </c>
      <c r="AQ155" s="656"/>
      <c r="AR155" s="657"/>
      <c r="AS155" s="565"/>
      <c r="AY155" s="566">
        <f>AY154/AY80</f>
        <v>-0.60637944401373356</v>
      </c>
      <c r="AZ155" s="566">
        <v>-0.55000000000000004</v>
      </c>
      <c r="BA155" s="566">
        <v>-0.39</v>
      </c>
      <c r="BB155" s="566">
        <v>-0.25</v>
      </c>
      <c r="BC155" s="566">
        <v>-0.11</v>
      </c>
      <c r="BD155" s="566">
        <v>-0.08</v>
      </c>
      <c r="BE155" s="566">
        <v>0</v>
      </c>
      <c r="BF155" s="566">
        <v>0.02</v>
      </c>
      <c r="BG155" s="566">
        <v>0.03</v>
      </c>
      <c r="BH155" s="566">
        <v>0.04</v>
      </c>
      <c r="BI155" s="566">
        <v>0.05</v>
      </c>
      <c r="BJ155" s="566">
        <v>0.06</v>
      </c>
      <c r="BK155" s="564"/>
      <c r="BL155" s="564">
        <v>-0.49024864798614998</v>
      </c>
      <c r="BM155" s="564">
        <v>-0.47713480549301401</v>
      </c>
      <c r="BN155" s="566">
        <v>-0.45026030673983403</v>
      </c>
      <c r="BO155" s="566">
        <v>-0.37756330084715767</v>
      </c>
    </row>
    <row r="156" spans="1:68" s="648" customFormat="1" ht="12" customHeight="1" x14ac:dyDescent="0.35">
      <c r="B156" s="2765" t="s">
        <v>526</v>
      </c>
      <c r="C156" s="709"/>
      <c r="D156" s="709"/>
      <c r="E156" s="709"/>
      <c r="F156" s="709"/>
      <c r="G156" s="709"/>
      <c r="H156" s="709"/>
      <c r="I156" s="709"/>
      <c r="J156" s="709"/>
      <c r="K156" s="709"/>
      <c r="L156" s="709"/>
      <c r="M156" s="709"/>
      <c r="N156" s="709"/>
      <c r="O156" s="709"/>
      <c r="P156" s="709"/>
      <c r="Q156" s="709"/>
      <c r="R156" s="709"/>
      <c r="S156" s="709"/>
      <c r="T156" s="709"/>
      <c r="U156" s="709"/>
      <c r="V156" s="709"/>
      <c r="W156" s="709"/>
      <c r="X156" s="709"/>
      <c r="Y156" s="709"/>
      <c r="Z156" s="709"/>
      <c r="AA156" s="709"/>
      <c r="AB156" s="709"/>
      <c r="AC156" s="709"/>
      <c r="AD156" s="709"/>
      <c r="AE156" s="709"/>
      <c r="AF156" s="709"/>
      <c r="AG156" s="709"/>
      <c r="AH156" s="709"/>
      <c r="AI156" s="709"/>
      <c r="AJ156" s="709"/>
      <c r="AK156" s="709"/>
      <c r="AL156" s="709"/>
      <c r="AM156" s="709"/>
      <c r="AN156" s="709"/>
      <c r="AO156" s="709"/>
      <c r="AP156" s="709"/>
      <c r="AQ156" s="2741"/>
      <c r="AR156" s="729"/>
      <c r="AS156" s="730"/>
      <c r="AT156" s="709"/>
      <c r="AU156" s="709"/>
      <c r="AV156" s="709"/>
      <c r="AW156" s="709"/>
      <c r="AX156" s="709"/>
      <c r="AY156" s="709"/>
      <c r="AZ156" s="709"/>
      <c r="BA156" s="709"/>
      <c r="BB156" s="709"/>
      <c r="BC156" s="709"/>
      <c r="BD156" s="709"/>
      <c r="BE156" s="709"/>
      <c r="BF156" s="709"/>
      <c r="BG156" s="709"/>
      <c r="BH156" s="709"/>
      <c r="BI156" s="709"/>
      <c r="BJ156" s="709"/>
      <c r="BK156" s="712"/>
      <c r="BL156" s="2766"/>
      <c r="BM156" s="2766"/>
      <c r="BN156" s="709"/>
      <c r="BO156" s="709"/>
    </row>
    <row r="157" spans="1:68" s="648" customFormat="1" ht="12" customHeight="1" x14ac:dyDescent="0.35">
      <c r="B157" s="701" t="s">
        <v>514</v>
      </c>
      <c r="C157" s="709"/>
      <c r="D157" s="709"/>
      <c r="E157" s="709"/>
      <c r="F157" s="709"/>
      <c r="G157" s="709"/>
      <c r="H157" s="709"/>
      <c r="I157" s="709"/>
      <c r="J157" s="709"/>
      <c r="K157" s="709"/>
      <c r="L157" s="709"/>
      <c r="M157" s="709"/>
      <c r="N157" s="709"/>
      <c r="O157" s="709"/>
      <c r="P157" s="709"/>
      <c r="Q157" s="709"/>
      <c r="R157" s="709"/>
      <c r="S157" s="709">
        <f t="shared" ref="S157:AP157" si="430">S158*S61</f>
        <v>-791.4</v>
      </c>
      <c r="T157" s="709">
        <f t="shared" si="430"/>
        <v>-863.4</v>
      </c>
      <c r="U157" s="709">
        <f t="shared" si="430"/>
        <v>-1419.8999999999999</v>
      </c>
      <c r="V157" s="709">
        <f t="shared" si="430"/>
        <v>-1190.0999999999999</v>
      </c>
      <c r="W157" s="709">
        <f t="shared" si="430"/>
        <v>-1726.4</v>
      </c>
      <c r="X157" s="709">
        <f t="shared" si="430"/>
        <v>-2008.8</v>
      </c>
      <c r="Y157" s="709">
        <f t="shared" si="430"/>
        <v>-2917</v>
      </c>
      <c r="Z157" s="709">
        <f t="shared" si="430"/>
        <v>-2472</v>
      </c>
      <c r="AA157" s="709">
        <f t="shared" si="430"/>
        <v>-2505.15</v>
      </c>
      <c r="AB157" s="709">
        <f t="shared" si="430"/>
        <v>-2703.15</v>
      </c>
      <c r="AC157" s="709">
        <f t="shared" si="430"/>
        <v>-3328.2000000000003</v>
      </c>
      <c r="AD157" s="709">
        <f t="shared" si="430"/>
        <v>-2408.85</v>
      </c>
      <c r="AE157" s="709">
        <f t="shared" si="430"/>
        <v>-3155.4</v>
      </c>
      <c r="AF157" s="709">
        <f t="shared" si="430"/>
        <v>-3505.05</v>
      </c>
      <c r="AG157" s="709">
        <f t="shared" si="430"/>
        <v>-4363.6140657942915</v>
      </c>
      <c r="AH157" s="709">
        <f t="shared" si="430"/>
        <v>-3086.2388587382879</v>
      </c>
      <c r="AI157" s="709">
        <f t="shared" si="430"/>
        <v>-4028.578250705948</v>
      </c>
      <c r="AJ157" s="709">
        <f t="shared" si="430"/>
        <v>-4468.7530194345009</v>
      </c>
      <c r="AK157" s="709">
        <f t="shared" si="430"/>
        <v>-5562.4569710106043</v>
      </c>
      <c r="AL157" s="709">
        <f t="shared" si="430"/>
        <v>-3888.2449987118666</v>
      </c>
      <c r="AM157" s="709">
        <f t="shared" si="430"/>
        <v>-5101.4988489330735</v>
      </c>
      <c r="AN157" s="709">
        <f t="shared" si="430"/>
        <v>-5654.1448794520347</v>
      </c>
      <c r="AO157" s="709">
        <f t="shared" si="430"/>
        <v>-7037.2639370020925</v>
      </c>
      <c r="AP157" s="709">
        <f t="shared" si="430"/>
        <v>-4860.3062483898329</v>
      </c>
      <c r="AQ157" s="2741"/>
      <c r="AR157" s="729"/>
      <c r="AS157" s="730"/>
      <c r="AT157" s="709"/>
      <c r="AU157" s="709"/>
      <c r="AV157" s="709"/>
      <c r="AW157" s="709">
        <v>-1281</v>
      </c>
      <c r="AX157" s="709">
        <f>SUM(S157:V157)</f>
        <v>-4264.7999999999993</v>
      </c>
      <c r="AY157" s="709">
        <f>SUM(W157:Z157)</f>
        <v>-9124.2000000000007</v>
      </c>
      <c r="AZ157" s="709">
        <f>SUM(AA157:AD157)</f>
        <v>-10945.35</v>
      </c>
      <c r="BA157" s="709">
        <f>SUM(AE157:AH157)</f>
        <v>-14110.302924532582</v>
      </c>
      <c r="BB157" s="709">
        <f>SUM(AI157:AL157)</f>
        <v>-17948.033239862918</v>
      </c>
      <c r="BC157" s="709">
        <f>SUM(AM157:AP157)</f>
        <v>-22653.213913777032</v>
      </c>
      <c r="BD157" s="709">
        <f t="shared" ref="BD157:BJ157" si="431">BD158*BD66</f>
        <v>-12853.719683433563</v>
      </c>
      <c r="BE157" s="709">
        <f t="shared" si="431"/>
        <v>-12023.583620545147</v>
      </c>
      <c r="BF157" s="709">
        <f t="shared" si="431"/>
        <v>-9324.7185114334952</v>
      </c>
      <c r="BG157" s="709">
        <f t="shared" si="431"/>
        <v>-5930.6608440493737</v>
      </c>
      <c r="BH157" s="709">
        <f t="shared" si="431"/>
        <v>-2059.9507953547395</v>
      </c>
      <c r="BI157" s="709">
        <f t="shared" si="431"/>
        <v>0</v>
      </c>
      <c r="BJ157" s="709">
        <f t="shared" si="431"/>
        <v>2164.1974507946898</v>
      </c>
      <c r="BK157" s="712"/>
      <c r="BL157" s="2766">
        <v>-2880.2249999999999</v>
      </c>
      <c r="BM157" s="2766">
        <v>-3490.92</v>
      </c>
      <c r="BN157" s="709">
        <v>-2661.9074999999998</v>
      </c>
      <c r="BO157" s="709">
        <v>-3121.6040831095197</v>
      </c>
    </row>
    <row r="158" spans="1:68" s="646" customFormat="1" ht="12" customHeight="1" x14ac:dyDescent="0.35">
      <c r="B158" s="672" t="s">
        <v>518</v>
      </c>
      <c r="S158" s="566">
        <v>-0.3</v>
      </c>
      <c r="T158" s="566">
        <v>-0.3</v>
      </c>
      <c r="U158" s="566">
        <v>-0.3</v>
      </c>
      <c r="V158" s="566">
        <v>-0.3</v>
      </c>
      <c r="W158" s="566">
        <v>-0.4</v>
      </c>
      <c r="X158" s="566">
        <v>-0.45</v>
      </c>
      <c r="Y158" s="566">
        <v>-0.5</v>
      </c>
      <c r="Z158" s="566">
        <v>-0.5</v>
      </c>
      <c r="AA158" s="566">
        <v>-0.45</v>
      </c>
      <c r="AB158" s="566">
        <v>-0.45</v>
      </c>
      <c r="AC158" s="566">
        <v>-0.45</v>
      </c>
      <c r="AD158" s="566">
        <v>-0.45</v>
      </c>
      <c r="AE158" s="566">
        <v>-0.45</v>
      </c>
      <c r="AF158" s="566">
        <v>-0.45</v>
      </c>
      <c r="AG158" s="566">
        <v>-0.45</v>
      </c>
      <c r="AH158" s="566">
        <v>-0.45</v>
      </c>
      <c r="AI158" s="566">
        <f>AH158</f>
        <v>-0.45</v>
      </c>
      <c r="AJ158" s="566">
        <f t="shared" ref="AJ158:AP158" si="432">AI158</f>
        <v>-0.45</v>
      </c>
      <c r="AK158" s="566">
        <f t="shared" si="432"/>
        <v>-0.45</v>
      </c>
      <c r="AL158" s="566">
        <f t="shared" si="432"/>
        <v>-0.45</v>
      </c>
      <c r="AM158" s="566">
        <f t="shared" si="432"/>
        <v>-0.45</v>
      </c>
      <c r="AN158" s="566">
        <f t="shared" si="432"/>
        <v>-0.45</v>
      </c>
      <c r="AO158" s="566">
        <f t="shared" si="432"/>
        <v>-0.45</v>
      </c>
      <c r="AP158" s="566">
        <f t="shared" si="432"/>
        <v>-0.45</v>
      </c>
      <c r="AQ158" s="656"/>
      <c r="AR158" s="657"/>
      <c r="AS158" s="565"/>
      <c r="AW158" s="646">
        <f>AW157/AW66</f>
        <v>-0.27490652136118593</v>
      </c>
      <c r="AX158" s="646">
        <f>AX157/AX66</f>
        <v>-0.51466471677154046</v>
      </c>
      <c r="AY158" s="646">
        <f>AY157/AY61</f>
        <v>-0.46652009407914924</v>
      </c>
      <c r="AZ158" s="646">
        <f>AZ157/AZ61</f>
        <v>-0.45</v>
      </c>
      <c r="BA158" s="646">
        <f t="shared" ref="BA158:BC158" si="433">BA157/BA61</f>
        <v>-0.45</v>
      </c>
      <c r="BB158" s="646">
        <f t="shared" si="433"/>
        <v>-0.45</v>
      </c>
      <c r="BC158" s="646">
        <f t="shared" si="433"/>
        <v>-0.44999999999999996</v>
      </c>
      <c r="BD158" s="2717">
        <v>-0.42</v>
      </c>
      <c r="BE158" s="2717">
        <v>-0.35</v>
      </c>
      <c r="BF158" s="2717">
        <v>-0.25</v>
      </c>
      <c r="BG158" s="2717">
        <v>-0.15</v>
      </c>
      <c r="BH158" s="2717">
        <v>-0.05</v>
      </c>
      <c r="BI158" s="2717">
        <v>0</v>
      </c>
      <c r="BJ158" s="2717">
        <v>0.05</v>
      </c>
      <c r="BK158" s="564"/>
      <c r="BL158" s="564">
        <v>-0.45</v>
      </c>
      <c r="BM158" s="564">
        <v>-0.45</v>
      </c>
      <c r="BN158" s="566">
        <v>-0.45</v>
      </c>
      <c r="BO158" s="566">
        <v>-0.45</v>
      </c>
    </row>
    <row r="159" spans="1:68" s="565" customFormat="1" ht="12" customHeight="1" x14ac:dyDescent="0.35">
      <c r="B159" s="2768" t="s">
        <v>527</v>
      </c>
      <c r="P159" s="2769"/>
      <c r="Q159" s="646"/>
      <c r="R159" s="2826"/>
      <c r="S159" s="2774">
        <f t="shared" ref="S159:AP159" si="434">S161-S164</f>
        <v>458.19028225625152</v>
      </c>
      <c r="T159" s="2774">
        <f t="shared" si="434"/>
        <v>0</v>
      </c>
      <c r="U159" s="2774">
        <f t="shared" si="434"/>
        <v>-663.75</v>
      </c>
      <c r="V159" s="2774">
        <f t="shared" si="434"/>
        <v>-482.86935518779865</v>
      </c>
      <c r="W159" s="2774">
        <f t="shared" si="434"/>
        <v>345.1688287578072</v>
      </c>
      <c r="X159" s="2774">
        <f t="shared" si="434"/>
        <v>-475.69163601737819</v>
      </c>
      <c r="Y159" s="2774">
        <f t="shared" si="434"/>
        <v>-577.95575105089665</v>
      </c>
      <c r="Z159" s="2774">
        <f t="shared" si="434"/>
        <v>-1113.4807989464316</v>
      </c>
      <c r="AA159" s="2774">
        <f t="shared" si="434"/>
        <v>1225</v>
      </c>
      <c r="AB159" s="2774">
        <f t="shared" si="434"/>
        <v>-967.38384067256993</v>
      </c>
      <c r="AC159" s="2774">
        <f t="shared" si="434"/>
        <v>-1718.3695222007518</v>
      </c>
      <c r="AD159" s="2774">
        <f t="shared" si="434"/>
        <v>-1925.0474381093809</v>
      </c>
      <c r="AE159" s="2774">
        <f t="shared" si="434"/>
        <v>-5513.0200125922274</v>
      </c>
      <c r="AF159" s="2774">
        <f t="shared" si="434"/>
        <v>-10390.772776229038</v>
      </c>
      <c r="AG159" s="2774">
        <f t="shared" si="434"/>
        <v>-6011.5403515705111</v>
      </c>
      <c r="AH159" s="2774">
        <f t="shared" si="434"/>
        <v>-5328.8569291440217</v>
      </c>
      <c r="AI159" s="2774">
        <f t="shared" si="434"/>
        <v>4395.4726148900008</v>
      </c>
      <c r="AJ159" s="2774">
        <f t="shared" si="434"/>
        <v>270.00641005484795</v>
      </c>
      <c r="AK159" s="2774">
        <f t="shared" si="434"/>
        <v>2241.4308489424293</v>
      </c>
      <c r="AL159" s="2774">
        <f t="shared" si="434"/>
        <v>3462.7698203291802</v>
      </c>
      <c r="AM159" s="2774">
        <f t="shared" si="434"/>
        <v>3475.1840597061091</v>
      </c>
      <c r="AN159" s="2774">
        <f t="shared" si="434"/>
        <v>-1905.5754734164657</v>
      </c>
      <c r="AO159" s="2774">
        <f t="shared" si="434"/>
        <v>-601.10484344883298</v>
      </c>
      <c r="AP159" s="2774">
        <f t="shared" si="434"/>
        <v>1902.5279112386415</v>
      </c>
      <c r="AQ159" s="2771"/>
      <c r="AR159" s="657"/>
      <c r="AV159" s="2769"/>
      <c r="AW159" s="2769"/>
      <c r="AX159" s="2772">
        <f>AX161-AX164</f>
        <v>-688.42907293153985</v>
      </c>
      <c r="AY159" s="2772">
        <f>AY161-AY164</f>
        <v>-1821.9593572568847</v>
      </c>
      <c r="AZ159" s="2772">
        <f t="shared" ref="AZ159" si="435">AZ161-AZ164</f>
        <v>-19668.551854137098</v>
      </c>
      <c r="BA159" s="2772">
        <f>BA161-BA164</f>
        <v>-54856.818666881009</v>
      </c>
      <c r="BB159" s="2772">
        <f>BB161-BB164</f>
        <v>-80293.639412948134</v>
      </c>
      <c r="BC159" s="2772">
        <f>BC161-BC164</f>
        <v>-122803.46681391378</v>
      </c>
      <c r="BD159" s="2774">
        <f>BD161-BD164</f>
        <v>-50817.887481953017</v>
      </c>
      <c r="BE159" s="2774">
        <f t="shared" ref="BE159:BJ159" si="436">BE161-BE164</f>
        <v>-17429.92451156606</v>
      </c>
      <c r="BF159" s="2774">
        <f t="shared" si="436"/>
        <v>-16657.242022535705</v>
      </c>
      <c r="BG159" s="2774">
        <f t="shared" si="436"/>
        <v>-17284.434263597068</v>
      </c>
      <c r="BH159" s="2774">
        <f t="shared" si="436"/>
        <v>-17888.385407034308</v>
      </c>
      <c r="BI159" s="2774">
        <f t="shared" si="436"/>
        <v>-20712.73900017573</v>
      </c>
      <c r="BJ159" s="2774">
        <f t="shared" si="436"/>
        <v>-23589.828343675938</v>
      </c>
      <c r="BK159" s="564"/>
      <c r="BL159" s="2773">
        <v>-600</v>
      </c>
      <c r="BM159" s="2773">
        <v>-600</v>
      </c>
      <c r="BN159" s="2769">
        <v>-600</v>
      </c>
      <c r="BO159" s="2769">
        <v>-600</v>
      </c>
      <c r="BP159" s="564"/>
    </row>
    <row r="160" spans="1:68" s="565" customFormat="1" ht="12" customHeight="1" x14ac:dyDescent="0.35">
      <c r="B160" s="2768"/>
      <c r="P160" s="2769"/>
      <c r="R160" s="2770"/>
      <c r="S160" s="2769"/>
      <c r="T160" s="2769"/>
      <c r="U160" s="2769"/>
      <c r="V160" s="2769"/>
      <c r="W160" s="2769"/>
      <c r="X160" s="2769"/>
      <c r="Y160" s="2769"/>
      <c r="Z160" s="2769"/>
      <c r="AA160" s="2769"/>
      <c r="AB160" s="2769"/>
      <c r="AC160" s="2769"/>
      <c r="AD160" s="2769"/>
      <c r="AQ160" s="2771"/>
      <c r="AR160" s="657"/>
      <c r="AV160" s="2769"/>
      <c r="AW160" s="2769"/>
      <c r="AX160" s="2772"/>
      <c r="AY160" s="2772"/>
      <c r="AZ160" s="2769"/>
      <c r="BK160" s="564"/>
      <c r="BL160" s="2769"/>
      <c r="BM160" s="2769"/>
    </row>
    <row r="161" spans="2:67" s="648" customFormat="1" ht="12" customHeight="1" x14ac:dyDescent="0.35">
      <c r="B161" s="701" t="s">
        <v>528</v>
      </c>
      <c r="C161" s="709"/>
      <c r="D161" s="709"/>
      <c r="E161" s="709"/>
      <c r="F161" s="709"/>
      <c r="G161" s="709"/>
      <c r="H161" s="709"/>
      <c r="I161" s="709"/>
      <c r="J161" s="709"/>
      <c r="K161" s="709">
        <f>K162*K84</f>
        <v>12049.391605839417</v>
      </c>
      <c r="L161" s="709">
        <f t="shared" ref="L161:R161" si="437">L162*L84</f>
        <v>12543.499280583939</v>
      </c>
      <c r="M161" s="709">
        <f t="shared" si="437"/>
        <v>20872.208500000001</v>
      </c>
      <c r="N161" s="709">
        <f t="shared" si="437"/>
        <v>12658.41106</v>
      </c>
      <c r="O161" s="709">
        <f t="shared" si="437"/>
        <v>16617.009999999998</v>
      </c>
      <c r="P161" s="709">
        <f t="shared" si="437"/>
        <v>17293.66</v>
      </c>
      <c r="Q161" s="709">
        <f t="shared" si="437"/>
        <v>29808.51584</v>
      </c>
      <c r="R161" s="709">
        <f t="shared" si="437"/>
        <v>18317.252560188786</v>
      </c>
      <c r="S161" s="702">
        <f t="shared" ref="S161:Z161" si="438">S127+S147</f>
        <v>27428.190282256252</v>
      </c>
      <c r="T161" s="702">
        <f t="shared" si="438"/>
        <v>26414</v>
      </c>
      <c r="U161" s="702">
        <f t="shared" si="438"/>
        <v>37866.25</v>
      </c>
      <c r="V161" s="702">
        <f t="shared" si="438"/>
        <v>21703.130644812201</v>
      </c>
      <c r="W161" s="702">
        <f t="shared" si="438"/>
        <v>33142.168828757807</v>
      </c>
      <c r="X161" s="702">
        <f t="shared" si="438"/>
        <v>29331.308363982622</v>
      </c>
      <c r="Y161" s="702">
        <f t="shared" si="438"/>
        <v>45501.044248949103</v>
      </c>
      <c r="Z161" s="702">
        <f t="shared" si="438"/>
        <v>26370.519201053568</v>
      </c>
      <c r="AA161" s="702">
        <v>42250</v>
      </c>
      <c r="AB161" s="702">
        <f t="shared" ref="AB161:AP161" si="439">AB127+AB147</f>
        <v>37606.61615932743</v>
      </c>
      <c r="AC161" s="702">
        <f t="shared" si="439"/>
        <v>56356.630477799248</v>
      </c>
      <c r="AD161" s="702">
        <f t="shared" si="439"/>
        <v>26200.952561890619</v>
      </c>
      <c r="AE161" s="702">
        <f t="shared" si="439"/>
        <v>45723.979987407773</v>
      </c>
      <c r="AF161" s="702">
        <f t="shared" si="439"/>
        <v>35567.227223770962</v>
      </c>
      <c r="AG161" s="702">
        <f t="shared" si="439"/>
        <v>66103.516068616183</v>
      </c>
      <c r="AH161" s="702">
        <f t="shared" si="439"/>
        <v>32436.290276885193</v>
      </c>
      <c r="AI161" s="702">
        <f t="shared" si="439"/>
        <v>67277.285357026456</v>
      </c>
      <c r="AJ161" s="702">
        <f t="shared" si="439"/>
        <v>58952.642917853875</v>
      </c>
      <c r="AK161" s="702">
        <f t="shared" si="439"/>
        <v>90618.391276058232</v>
      </c>
      <c r="AL161" s="702">
        <f t="shared" si="439"/>
        <v>49104.970490232459</v>
      </c>
      <c r="AM161" s="702">
        <f t="shared" si="439"/>
        <v>80206.494216452498</v>
      </c>
      <c r="AN161" s="702">
        <f t="shared" si="439"/>
        <v>70724.232383631534</v>
      </c>
      <c r="AO161" s="702">
        <f t="shared" si="439"/>
        <v>106951.55040206377</v>
      </c>
      <c r="AP161" s="702">
        <f t="shared" si="439"/>
        <v>57717.859920427145</v>
      </c>
      <c r="AQ161" s="2741"/>
      <c r="AR161" s="729" t="s">
        <v>465</v>
      </c>
      <c r="AS161" s="730"/>
      <c r="AT161" s="709"/>
      <c r="AU161" s="709"/>
      <c r="AV161" s="709">
        <f>SUM(K161:N161)</f>
        <v>58123.510446423359</v>
      </c>
      <c r="AW161" s="709">
        <f>SUM(O161:R161)</f>
        <v>82036.438400188781</v>
      </c>
      <c r="AX161" s="709">
        <f>SUM(S161:V161)</f>
        <v>113411.57092706846</v>
      </c>
      <c r="AY161" s="709">
        <f>SUM(W161:Z161)</f>
        <v>134345.04064274312</v>
      </c>
      <c r="AZ161" s="709">
        <f>AZ127+AZ147</f>
        <v>146131.4481458629</v>
      </c>
      <c r="BA161" s="709">
        <f>BA127+BA147</f>
        <v>152218.38495933492</v>
      </c>
      <c r="BB161" s="709">
        <f>BB127+BB147</f>
        <v>175289.97093400644</v>
      </c>
      <c r="BC161" s="709">
        <f t="shared" ref="BC161" si="440">BC127+BC147</f>
        <v>189925.63845458173</v>
      </c>
      <c r="BD161" s="709">
        <f>BD127+BD147</f>
        <v>323640.90480312833</v>
      </c>
      <c r="BE161" s="709">
        <f t="shared" ref="BE161:BJ161" si="441">BE127+BE147</f>
        <v>416994.62806961784</v>
      </c>
      <c r="BF161" s="709">
        <f t="shared" si="441"/>
        <v>472859.06734709378</v>
      </c>
      <c r="BG161" s="709">
        <f t="shared" si="441"/>
        <v>520814.76650288311</v>
      </c>
      <c r="BH161" s="709">
        <f t="shared" si="441"/>
        <v>561886.59344779304</v>
      </c>
      <c r="BI161" s="709">
        <f t="shared" si="441"/>
        <v>594388.33562660799</v>
      </c>
      <c r="BJ161" s="709">
        <f t="shared" si="441"/>
        <v>621192.53566718823</v>
      </c>
      <c r="BK161" s="712"/>
      <c r="BL161" s="709">
        <v>38600.185093566201</v>
      </c>
      <c r="BM161" s="709">
        <v>58965.196347634403</v>
      </c>
      <c r="BN161" s="702">
        <v>48729.885421789098</v>
      </c>
      <c r="BO161" s="702">
        <v>49883.659403953323</v>
      </c>
    </row>
    <row r="162" spans="2:67" s="646" customFormat="1" ht="12" customHeight="1" x14ac:dyDescent="0.35">
      <c r="B162" s="672" t="s">
        <v>518</v>
      </c>
      <c r="K162" s="646">
        <v>0.65</v>
      </c>
      <c r="L162" s="646">
        <v>0.62</v>
      </c>
      <c r="M162" s="646">
        <v>0.65</v>
      </c>
      <c r="N162" s="646">
        <v>0.59</v>
      </c>
      <c r="O162" s="646">
        <v>0.61</v>
      </c>
      <c r="P162" s="646">
        <f>17293.66/28493</f>
        <v>0.60694416172393217</v>
      </c>
      <c r="Q162" s="646">
        <v>0.64</v>
      </c>
      <c r="R162" s="646">
        <f>18317.14/31570</f>
        <v>0.58020715869496353</v>
      </c>
      <c r="S162" s="646">
        <f t="shared" ref="S162:AP162" si="442">S161/S84</f>
        <v>0.63746462180157226</v>
      </c>
      <c r="T162" s="646">
        <f t="shared" si="442"/>
        <v>0.56850759760664626</v>
      </c>
      <c r="U162" s="646">
        <f t="shared" si="442"/>
        <v>0.5169877396100705</v>
      </c>
      <c r="V162" s="646">
        <f t="shared" si="442"/>
        <v>0.42317021164841384</v>
      </c>
      <c r="W162" s="646">
        <f t="shared" si="442"/>
        <v>0.47901614194307984</v>
      </c>
      <c r="X162" s="646">
        <f t="shared" si="442"/>
        <v>0.40470932547751115</v>
      </c>
      <c r="Y162" s="646">
        <f t="shared" si="442"/>
        <v>0.44243209794491706</v>
      </c>
      <c r="Z162" s="646">
        <f t="shared" si="442"/>
        <v>0.33425253125780879</v>
      </c>
      <c r="AA162" s="646">
        <f t="shared" si="442"/>
        <v>0.42443542554046454</v>
      </c>
      <c r="AB162" s="646">
        <f t="shared" si="442"/>
        <v>0.37153345346104949</v>
      </c>
      <c r="AC162" s="646">
        <f t="shared" si="442"/>
        <v>0.39835045398691815</v>
      </c>
      <c r="AD162" s="646">
        <f t="shared" si="442"/>
        <v>0.27913442243531261</v>
      </c>
      <c r="AE162" s="646">
        <f t="shared" si="442"/>
        <v>0.34296929137406629</v>
      </c>
      <c r="AF162" s="646">
        <f t="shared" si="442"/>
        <v>0.27166730743321188</v>
      </c>
      <c r="AG162" s="646">
        <f t="shared" si="442"/>
        <v>0.37251462096847243</v>
      </c>
      <c r="AH162" s="646">
        <f t="shared" si="442"/>
        <v>0.25478829874628234</v>
      </c>
      <c r="AI162" s="646">
        <f t="shared" si="442"/>
        <v>0.40296227101461196</v>
      </c>
      <c r="AJ162" s="646">
        <f t="shared" si="442"/>
        <v>0.34559561827219243</v>
      </c>
      <c r="AK162" s="646">
        <f t="shared" si="442"/>
        <v>0.40836458704463996</v>
      </c>
      <c r="AL162" s="646">
        <f t="shared" si="442"/>
        <v>0.31276952933057001</v>
      </c>
      <c r="AM162" s="646">
        <f t="shared" si="442"/>
        <v>0.38975625525461072</v>
      </c>
      <c r="AN162" s="646">
        <f t="shared" si="442"/>
        <v>0.33163709881151826</v>
      </c>
      <c r="AO162" s="646">
        <f t="shared" si="442"/>
        <v>0.39207750756959686</v>
      </c>
      <c r="AP162" s="646">
        <f t="shared" si="442"/>
        <v>0.29761681193980077</v>
      </c>
      <c r="AQ162" s="656"/>
      <c r="AR162" s="657"/>
      <c r="AS162" s="565"/>
      <c r="AT162" s="2774">
        <v>32797</v>
      </c>
      <c r="AV162" s="646">
        <f t="shared" ref="AV162:BB162" si="443">AV161/AV84</f>
        <v>0.62948514048219373</v>
      </c>
      <c r="AW162" s="646">
        <f t="shared" si="443"/>
        <v>0.6127609680324827</v>
      </c>
      <c r="AX162" s="646">
        <f t="shared" si="443"/>
        <v>0.52991108740803883</v>
      </c>
      <c r="AY162" s="646">
        <f t="shared" si="443"/>
        <v>0.41541447323049818</v>
      </c>
      <c r="AZ162" s="646">
        <f t="shared" si="443"/>
        <v>0.33508394361405286</v>
      </c>
      <c r="BA162" s="646">
        <f t="shared" si="443"/>
        <v>0.26751961566507099</v>
      </c>
      <c r="BB162" s="646">
        <f t="shared" si="443"/>
        <v>0.24466612400968699</v>
      </c>
      <c r="BC162" s="646">
        <f t="shared" ref="BC162:BD162" si="444">BC161/BC84</f>
        <v>0.21442127182855794</v>
      </c>
      <c r="BD162" s="646">
        <f t="shared" si="444"/>
        <v>0.30453870081299012</v>
      </c>
      <c r="BE162" s="646">
        <f t="shared" ref="BE162:BJ162" si="445">BE161/BE84</f>
        <v>0.33754350464851696</v>
      </c>
      <c r="BF162" s="646">
        <f t="shared" si="445"/>
        <v>0.33900706900653843</v>
      </c>
      <c r="BG162" s="646">
        <f t="shared" si="445"/>
        <v>0.33899686529534157</v>
      </c>
      <c r="BH162" s="646">
        <f t="shared" si="445"/>
        <v>0.33876183969331031</v>
      </c>
      <c r="BI162" s="646">
        <f t="shared" si="445"/>
        <v>0.33710066954788842</v>
      </c>
      <c r="BJ162" s="646">
        <f t="shared" si="445"/>
        <v>0.33541265344778937</v>
      </c>
      <c r="BL162" s="646">
        <v>0.380920154410962</v>
      </c>
      <c r="BM162" s="646">
        <v>0.40633512350345002</v>
      </c>
      <c r="BN162" s="646">
        <v>0.38013202452467898</v>
      </c>
      <c r="BO162" s="646">
        <v>0.38141551100857124</v>
      </c>
    </row>
    <row r="163" spans="2:67" s="646" customFormat="1" ht="12" customHeight="1" x14ac:dyDescent="0.35">
      <c r="B163" s="672" t="s">
        <v>529</v>
      </c>
      <c r="W163" s="647"/>
      <c r="X163" s="647"/>
      <c r="Y163" s="647"/>
      <c r="Z163" s="647"/>
      <c r="AA163" s="647"/>
      <c r="AB163" s="647"/>
      <c r="AC163" s="647"/>
      <c r="AD163" s="647"/>
      <c r="AQ163" s="656"/>
      <c r="AR163" s="657"/>
      <c r="AS163" s="565"/>
      <c r="AY163" s="646">
        <f>AY161/AX161-1</f>
        <v>0.18457966453119967</v>
      </c>
      <c r="AZ163" s="646">
        <f>AZ161/AY161-1</f>
        <v>8.7732360247392949E-2</v>
      </c>
      <c r="BA163" s="646">
        <f>BA161/AZ161-1</f>
        <v>4.1653845840193604E-2</v>
      </c>
      <c r="BB163" s="646">
        <f>BB161/BA161-1</f>
        <v>0.15156898413312625</v>
      </c>
      <c r="BC163" s="646">
        <f t="shared" ref="BC163:BD163" si="446">BC161/BB161-1</f>
        <v>8.3494038150564442E-2</v>
      </c>
      <c r="BD163" s="646">
        <f t="shared" si="446"/>
        <v>0.70404010451976395</v>
      </c>
      <c r="BE163" s="646">
        <f t="shared" ref="BE163" si="447">BE161/BD161-1</f>
        <v>0.28844846829011561</v>
      </c>
      <c r="BF163" s="646">
        <f t="shared" ref="BF163" si="448">BF161/BE161-1</f>
        <v>0.13396920611684537</v>
      </c>
      <c r="BG163" s="646">
        <f t="shared" ref="BG163" si="449">BG161/BF161-1</f>
        <v>0.10141647367541817</v>
      </c>
      <c r="BH163" s="646">
        <f t="shared" ref="BH163" si="450">BH161/BG161-1</f>
        <v>7.8860718985936273E-2</v>
      </c>
      <c r="BI163" s="646">
        <f t="shared" ref="BI163" si="451">BI161/BH161-1</f>
        <v>5.784395384730745E-2</v>
      </c>
      <c r="BJ163" s="646">
        <f t="shared" ref="BJ163" si="452">BJ161/BI161-1</f>
        <v>4.5095434136208423E-2</v>
      </c>
      <c r="BL163" s="647"/>
      <c r="BM163" s="647"/>
    </row>
    <row r="164" spans="2:67" s="648" customFormat="1" ht="12" customHeight="1" x14ac:dyDescent="0.35">
      <c r="B164" s="2765" t="s">
        <v>530</v>
      </c>
      <c r="C164" s="650"/>
      <c r="D164" s="650"/>
      <c r="E164" s="650"/>
      <c r="F164" s="650"/>
      <c r="G164" s="650"/>
      <c r="H164" s="650"/>
      <c r="I164" s="650"/>
      <c r="J164" s="650"/>
      <c r="K164" s="650">
        <v>12049.7</v>
      </c>
      <c r="L164" s="650">
        <v>12543.22</v>
      </c>
      <c r="M164" s="650">
        <v>20872.150000000001</v>
      </c>
      <c r="N164" s="650">
        <v>12658.45</v>
      </c>
      <c r="O164" s="650">
        <v>16266.26</v>
      </c>
      <c r="P164" s="650">
        <v>17293.66</v>
      </c>
      <c r="Q164" s="650">
        <v>29808.639999999999</v>
      </c>
      <c r="R164" s="650">
        <v>18317.14</v>
      </c>
      <c r="S164" s="650">
        <v>26970</v>
      </c>
      <c r="T164" s="650">
        <v>26414</v>
      </c>
      <c r="U164" s="650">
        <v>38530</v>
      </c>
      <c r="V164" s="650">
        <v>22186</v>
      </c>
      <c r="W164" s="650">
        <v>32797</v>
      </c>
      <c r="X164" s="650">
        <v>29807</v>
      </c>
      <c r="Y164" s="650">
        <v>46079</v>
      </c>
      <c r="Z164" s="650">
        <v>27484</v>
      </c>
      <c r="AA164" s="650">
        <v>41025</v>
      </c>
      <c r="AB164" s="650">
        <v>38574</v>
      </c>
      <c r="AC164" s="650">
        <v>58075</v>
      </c>
      <c r="AD164" s="650">
        <v>28126</v>
      </c>
      <c r="AE164" s="650">
        <v>51237</v>
      </c>
      <c r="AF164" s="650">
        <v>45958</v>
      </c>
      <c r="AG164" s="709">
        <f t="shared" ref="AG164:AP164" si="453">AG166*AG84</f>
        <v>72115.056420186695</v>
      </c>
      <c r="AH164" s="709">
        <f t="shared" si="453"/>
        <v>37765.147206029214</v>
      </c>
      <c r="AI164" s="709">
        <f t="shared" si="453"/>
        <v>62881.812742136455</v>
      </c>
      <c r="AJ164" s="709">
        <f t="shared" si="453"/>
        <v>58682.636507799027</v>
      </c>
      <c r="AK164" s="709">
        <f t="shared" si="453"/>
        <v>88376.960427115802</v>
      </c>
      <c r="AL164" s="709">
        <f t="shared" si="453"/>
        <v>45642.200669903279</v>
      </c>
      <c r="AM164" s="709">
        <f t="shared" si="453"/>
        <v>76731.310156746389</v>
      </c>
      <c r="AN164" s="709">
        <f t="shared" si="453"/>
        <v>72629.807857047999</v>
      </c>
      <c r="AO164" s="709">
        <f t="shared" si="453"/>
        <v>107552.65524551261</v>
      </c>
      <c r="AP164" s="709">
        <f t="shared" si="453"/>
        <v>55815.332009188503</v>
      </c>
      <c r="AQ164" s="649">
        <f t="shared" ref="AQ164" si="454">AQ161-AQ159</f>
        <v>0</v>
      </c>
      <c r="AR164" s="650"/>
      <c r="AS164" s="730"/>
      <c r="AT164" s="709"/>
      <c r="AU164" s="709"/>
      <c r="AV164" s="709">
        <f>SUM(K164:N164)</f>
        <v>58123.520000000004</v>
      </c>
      <c r="AW164" s="709">
        <f>SUM(O164:R164)</f>
        <v>81685.7</v>
      </c>
      <c r="AX164" s="709">
        <f>SUM(S164:V164)</f>
        <v>114100</v>
      </c>
      <c r="AY164" s="709">
        <f>SUM(W164:Z164)</f>
        <v>136167</v>
      </c>
      <c r="AZ164" s="709">
        <f>SUM(AA164:AD164)</f>
        <v>165800</v>
      </c>
      <c r="BA164" s="709">
        <f>SUM(AE164:AH164)</f>
        <v>207075.20362621592</v>
      </c>
      <c r="BB164" s="709">
        <f>SUM(AI164:AL164)</f>
        <v>255583.61034695458</v>
      </c>
      <c r="BC164" s="709">
        <f>SUM(AM164:AP164)</f>
        <v>312729.10526849551</v>
      </c>
      <c r="BD164" s="709">
        <f>BD166*BD84</f>
        <v>374458.79228508135</v>
      </c>
      <c r="BE164" s="709">
        <f t="shared" ref="BE164:BJ164" si="455">BE166*BE84</f>
        <v>434424.5525811839</v>
      </c>
      <c r="BF164" s="709">
        <f t="shared" si="455"/>
        <v>489516.30936962948</v>
      </c>
      <c r="BG164" s="709">
        <f t="shared" si="455"/>
        <v>538099.20076648018</v>
      </c>
      <c r="BH164" s="709">
        <f t="shared" si="455"/>
        <v>579774.97885482735</v>
      </c>
      <c r="BI164" s="709">
        <f t="shared" si="455"/>
        <v>615101.07462678372</v>
      </c>
      <c r="BJ164" s="709">
        <f t="shared" si="455"/>
        <v>644782.36401086417</v>
      </c>
      <c r="BL164" s="650">
        <v>39200.185093566201</v>
      </c>
      <c r="BM164" s="650">
        <v>59565.196347634403</v>
      </c>
      <c r="BN164" s="650">
        <v>49329.885421789098</v>
      </c>
      <c r="BO164" s="650">
        <v>50483.659403953323</v>
      </c>
    </row>
    <row r="165" spans="2:67" s="648" customFormat="1" ht="12" customHeight="1" x14ac:dyDescent="0.35">
      <c r="B165" s="672" t="s">
        <v>529</v>
      </c>
      <c r="C165" s="709"/>
      <c r="D165" s="709"/>
      <c r="E165" s="709"/>
      <c r="F165" s="709"/>
      <c r="G165" s="709"/>
      <c r="H165" s="709"/>
      <c r="I165" s="709"/>
      <c r="J165" s="709"/>
      <c r="K165" s="709"/>
      <c r="L165" s="709"/>
      <c r="M165" s="709"/>
      <c r="N165" s="709"/>
      <c r="O165" s="709"/>
      <c r="P165" s="674">
        <f t="shared" ref="P165:AH165" si="456">P164/L164-1</f>
        <v>0.3787257179575898</v>
      </c>
      <c r="Q165" s="674">
        <f t="shared" si="456"/>
        <v>0.42815378386989345</v>
      </c>
      <c r="R165" s="674">
        <f t="shared" si="456"/>
        <v>0.44702866464693525</v>
      </c>
      <c r="S165" s="674">
        <f t="shared" si="456"/>
        <v>0.65803325411004132</v>
      </c>
      <c r="T165" s="674">
        <f t="shared" si="456"/>
        <v>0.52738055449222432</v>
      </c>
      <c r="U165" s="674">
        <f t="shared" si="456"/>
        <v>0.29257825918928204</v>
      </c>
      <c r="V165" s="674">
        <f t="shared" si="456"/>
        <v>0.21121528797617972</v>
      </c>
      <c r="W165" s="674">
        <f t="shared" si="456"/>
        <v>0.2160548757879126</v>
      </c>
      <c r="X165" s="674">
        <f t="shared" si="456"/>
        <v>0.12845460740516401</v>
      </c>
      <c r="Y165" s="674">
        <f t="shared" si="456"/>
        <v>0.19592525304957187</v>
      </c>
      <c r="Z165" s="674">
        <f t="shared" si="456"/>
        <v>0.23879924276570819</v>
      </c>
      <c r="AA165" s="674">
        <f t="shared" si="456"/>
        <v>0.25087660456749084</v>
      </c>
      <c r="AB165" s="674">
        <f t="shared" si="456"/>
        <v>0.29412554098030674</v>
      </c>
      <c r="AC165" s="674">
        <f t="shared" si="456"/>
        <v>0.26033551075327166</v>
      </c>
      <c r="AD165" s="674">
        <f t="shared" si="456"/>
        <v>2.3359045262698386E-2</v>
      </c>
      <c r="AE165" s="674">
        <f t="shared" si="456"/>
        <v>0.24892138939670927</v>
      </c>
      <c r="AF165" s="674">
        <f t="shared" si="456"/>
        <v>0.19142427541867568</v>
      </c>
      <c r="AG165" s="674">
        <f t="shared" si="456"/>
        <v>0.24175732105358061</v>
      </c>
      <c r="AH165" s="674">
        <f t="shared" si="456"/>
        <v>0.34271304863930929</v>
      </c>
      <c r="AI165" s="674">
        <f t="shared" ref="AI165" si="457">AI164/AE164-1</f>
        <v>0.22727350824865722</v>
      </c>
      <c r="AJ165" s="674">
        <f t="shared" ref="AJ165" si="458">AJ164/AF164-1</f>
        <v>0.27687533199440861</v>
      </c>
      <c r="AK165" s="674">
        <f t="shared" ref="AK165" si="459">AK164/AG164-1</f>
        <v>0.2254994284713201</v>
      </c>
      <c r="AL165" s="674">
        <f t="shared" ref="AL165" si="460">AL164/AH164-1</f>
        <v>0.20857997509980564</v>
      </c>
      <c r="AM165" s="674">
        <f t="shared" ref="AM165" si="461">AM164/AI164-1</f>
        <v>0.22024647208253145</v>
      </c>
      <c r="AN165" s="674">
        <f t="shared" ref="AN165" si="462">AN164/AJ164-1</f>
        <v>0.23767117803910143</v>
      </c>
      <c r="AO165" s="674">
        <f t="shared" ref="AO165" si="463">AO164/AK164-1</f>
        <v>0.21697617485058163</v>
      </c>
      <c r="AP165" s="674">
        <f>AP164/AL164-1</f>
        <v>0.22288871241901886</v>
      </c>
      <c r="AQ165" s="2741"/>
      <c r="AR165" s="709"/>
      <c r="AS165" s="730"/>
      <c r="AT165" s="709"/>
      <c r="AU165" s="709"/>
      <c r="AV165" s="709"/>
      <c r="AW165" s="709"/>
      <c r="AX165" s="709"/>
      <c r="AY165" s="2822">
        <f>AY164/AX164-1</f>
        <v>0.19340052585451351</v>
      </c>
      <c r="AZ165" s="2822">
        <f>AZ164/AY164-1</f>
        <v>0.21762247828034686</v>
      </c>
      <c r="BA165" s="2822">
        <f t="shared" ref="BA165:BD165" si="464">BA164/AZ164-1</f>
        <v>0.24894573960323241</v>
      </c>
      <c r="BB165" s="2822">
        <f t="shared" si="464"/>
        <v>0.23425502364010442</v>
      </c>
      <c r="BC165" s="2822">
        <f t="shared" si="464"/>
        <v>0.22358826078075178</v>
      </c>
      <c r="BD165" s="2822">
        <f t="shared" si="464"/>
        <v>0.19739028435996531</v>
      </c>
      <c r="BE165" s="2822">
        <f t="shared" ref="BE165" si="465">BE164/BD164-1</f>
        <v>0.160139811193029</v>
      </c>
      <c r="BF165" s="2822">
        <f t="shared" ref="BF165" si="466">BF164/BE164-1</f>
        <v>0.12681547684427952</v>
      </c>
      <c r="BG165" s="2822">
        <f t="shared" ref="BG165" si="467">BG164/BF164-1</f>
        <v>9.9246726752399539E-2</v>
      </c>
      <c r="BH165" s="2822">
        <f t="shared" ref="BH165" si="468">BH164/BG164-1</f>
        <v>7.7449990687559644E-2</v>
      </c>
      <c r="BI165" s="2822">
        <f t="shared" ref="BI165" si="469">BI164/BH164-1</f>
        <v>6.0930700806945071E-2</v>
      </c>
      <c r="BJ165" s="2822">
        <f t="shared" ref="BJ165" si="470">BJ164/BI164-1</f>
        <v>4.825432861109813E-2</v>
      </c>
      <c r="BL165" s="703">
        <v>0.31513352882095502</v>
      </c>
      <c r="BM165" s="703">
        <v>0.29267554303770599</v>
      </c>
      <c r="BN165" s="674">
        <v>0.20243474519900401</v>
      </c>
      <c r="BO165" s="674">
        <v>0.30874836428561525</v>
      </c>
    </row>
    <row r="166" spans="2:67" s="646" customFormat="1" ht="12" customHeight="1" x14ac:dyDescent="0.35">
      <c r="B166" s="672" t="s">
        <v>531</v>
      </c>
      <c r="K166" s="646">
        <v>0.65</v>
      </c>
      <c r="L166" s="646">
        <v>0.62</v>
      </c>
      <c r="M166" s="646">
        <v>0.65</v>
      </c>
      <c r="N166" s="646">
        <v>0.59</v>
      </c>
      <c r="O166" s="646">
        <v>0.61</v>
      </c>
      <c r="P166" s="646">
        <f>17293.66/28493</f>
        <v>0.60694416172393217</v>
      </c>
      <c r="Q166" s="646">
        <v>0.64</v>
      </c>
      <c r="R166" s="646">
        <f>18317.14/31570</f>
        <v>0.58020715869496353</v>
      </c>
      <c r="S166" s="674">
        <f t="shared" ref="S166:AE166" si="471">S164/S84</f>
        <v>0.62681572036163336</v>
      </c>
      <c r="T166" s="2775">
        <f t="shared" si="471"/>
        <v>0.56850759760664626</v>
      </c>
      <c r="U166" s="2775">
        <f t="shared" si="471"/>
        <v>0.52604991535142809</v>
      </c>
      <c r="V166" s="674">
        <f t="shared" si="471"/>
        <v>0.43258525552284205</v>
      </c>
      <c r="W166" s="674">
        <f t="shared" si="471"/>
        <v>0.47402728796901195</v>
      </c>
      <c r="X166" s="2764">
        <f t="shared" si="471"/>
        <v>0.41127285270783026</v>
      </c>
      <c r="Y166" s="2764">
        <f t="shared" si="471"/>
        <v>0.44805188491195319</v>
      </c>
      <c r="Z166" s="652">
        <f t="shared" si="471"/>
        <v>0.34836616219230865</v>
      </c>
      <c r="AA166" s="652">
        <f t="shared" si="471"/>
        <v>0.41212930965201316</v>
      </c>
      <c r="AB166" s="652">
        <f t="shared" si="471"/>
        <v>0.3810906935388263</v>
      </c>
      <c r="AC166" s="652">
        <f t="shared" si="471"/>
        <v>0.41049655416151265</v>
      </c>
      <c r="AD166" s="652">
        <f t="shared" si="471"/>
        <v>0.29964310445853087</v>
      </c>
      <c r="AE166" s="652">
        <f t="shared" si="471"/>
        <v>0.38432169699515445</v>
      </c>
      <c r="AF166" s="652">
        <f>AF164/AF84</f>
        <v>0.35103343975802387</v>
      </c>
      <c r="AG166" s="2825">
        <f>AC166*0.99</f>
        <v>0.40639158861989749</v>
      </c>
      <c r="AH166" s="2825">
        <f t="shared" ref="AH166:AP166" si="472">AD166*0.99</f>
        <v>0.29664667341394557</v>
      </c>
      <c r="AI166" s="2825">
        <f>AE166*0.98</f>
        <v>0.37663526305525136</v>
      </c>
      <c r="AJ166" s="2825">
        <f t="shared" ref="AJ166:AL166" si="473">AF166*0.98</f>
        <v>0.34401277096286337</v>
      </c>
      <c r="AK166" s="2825">
        <f t="shared" si="473"/>
        <v>0.39826375684749954</v>
      </c>
      <c r="AL166" s="2825">
        <f t="shared" si="473"/>
        <v>0.29071373994566668</v>
      </c>
      <c r="AM166" s="2825">
        <f t="shared" si="472"/>
        <v>0.37286891042469883</v>
      </c>
      <c r="AN166" s="2825">
        <f t="shared" si="472"/>
        <v>0.34057264325323472</v>
      </c>
      <c r="AO166" s="2825">
        <f t="shared" si="472"/>
        <v>0.39428111927902454</v>
      </c>
      <c r="AP166" s="2825">
        <f t="shared" si="472"/>
        <v>0.28780660254620999</v>
      </c>
      <c r="AQ166" s="656"/>
      <c r="AR166" s="657"/>
      <c r="AS166" s="565"/>
      <c r="AT166" s="2774">
        <v>32797</v>
      </c>
      <c r="AV166" s="646">
        <f>AV164/AV84</f>
        <v>0.62948524394866523</v>
      </c>
      <c r="AW166" s="646">
        <f t="shared" ref="AW166:BB166" si="474">AW164/AW84</f>
        <v>0.61014117119808786</v>
      </c>
      <c r="AX166" s="646">
        <f t="shared" si="474"/>
        <v>0.53312774507055416</v>
      </c>
      <c r="AY166" s="2780">
        <f t="shared" si="474"/>
        <v>0.42104823747680892</v>
      </c>
      <c r="AZ166" s="2779">
        <f t="shared" si="474"/>
        <v>0.38018454313649958</v>
      </c>
      <c r="BA166" s="2779">
        <f t="shared" si="474"/>
        <v>0.36392896234348304</v>
      </c>
      <c r="BB166" s="2779">
        <f t="shared" si="474"/>
        <v>0.35673832890036783</v>
      </c>
      <c r="BC166" s="2779">
        <f t="shared" ref="BC166" si="475">BC164/BC84</f>
        <v>0.35306329906329792</v>
      </c>
      <c r="BD166" s="2717">
        <f>BC166*0.998</f>
        <v>0.35235717246517134</v>
      </c>
      <c r="BE166" s="2717">
        <f t="shared" ref="BE166:BJ166" si="476">BD166*0.998</f>
        <v>0.35165245812024098</v>
      </c>
      <c r="BF166" s="2717">
        <f t="shared" si="476"/>
        <v>0.3509491532040005</v>
      </c>
      <c r="BG166" s="2717">
        <f t="shared" si="476"/>
        <v>0.35024725489759251</v>
      </c>
      <c r="BH166" s="2717">
        <f t="shared" si="476"/>
        <v>0.34954676038779731</v>
      </c>
      <c r="BI166" s="2717">
        <f t="shared" si="476"/>
        <v>0.34884766686702173</v>
      </c>
      <c r="BJ166" s="2717">
        <f t="shared" si="476"/>
        <v>0.34814997153328769</v>
      </c>
      <c r="BL166" s="652">
        <v>0.38684116468831098</v>
      </c>
      <c r="BM166" s="652">
        <v>0.41046978410331803</v>
      </c>
      <c r="BN166" s="652">
        <v>0.38481250371605502</v>
      </c>
      <c r="BO166" s="652">
        <v>0.38600317176441001</v>
      </c>
    </row>
    <row r="167" spans="2:67" s="646" customFormat="1" ht="12" customHeight="1" x14ac:dyDescent="0.35">
      <c r="B167" s="672" t="s">
        <v>532</v>
      </c>
      <c r="P167" s="646">
        <f t="shared" ref="P167:AH167" si="477">P166-L166</f>
        <v>-1.3055838276067822E-2</v>
      </c>
      <c r="Q167" s="646">
        <f t="shared" si="477"/>
        <v>-1.0000000000000009E-2</v>
      </c>
      <c r="R167" s="646">
        <f t="shared" si="477"/>
        <v>-9.7928413050364371E-3</v>
      </c>
      <c r="S167" s="646">
        <f t="shared" si="477"/>
        <v>1.6815720361633368E-2</v>
      </c>
      <c r="T167" s="646">
        <f t="shared" si="477"/>
        <v>-3.843656411728591E-2</v>
      </c>
      <c r="U167" s="646">
        <f t="shared" si="477"/>
        <v>-0.11395008464857193</v>
      </c>
      <c r="V167" s="646">
        <f t="shared" si="477"/>
        <v>-0.14762190317212148</v>
      </c>
      <c r="W167" s="646">
        <f t="shared" si="477"/>
        <v>-0.15278843239262141</v>
      </c>
      <c r="X167" s="646">
        <f t="shared" si="477"/>
        <v>-0.157234744898816</v>
      </c>
      <c r="Y167" s="646">
        <f t="shared" si="477"/>
        <v>-7.7998030439474897E-2</v>
      </c>
      <c r="Z167" s="646">
        <f t="shared" si="477"/>
        <v>-8.4219093330533401E-2</v>
      </c>
      <c r="AA167" s="646">
        <f t="shared" si="477"/>
        <v>-6.1897978316998781E-2</v>
      </c>
      <c r="AB167" s="646">
        <f t="shared" si="477"/>
        <v>-3.0182159169003964E-2</v>
      </c>
      <c r="AC167" s="646">
        <f t="shared" si="477"/>
        <v>-3.7555330750440541E-2</v>
      </c>
      <c r="AD167" s="646">
        <f t="shared" si="477"/>
        <v>-4.8723057733777775E-2</v>
      </c>
      <c r="AE167" s="646">
        <f t="shared" si="477"/>
        <v>-2.7807612656858716E-2</v>
      </c>
      <c r="AF167" s="646">
        <f t="shared" si="477"/>
        <v>-3.0057253780802429E-2</v>
      </c>
      <c r="AG167" s="646">
        <f t="shared" si="477"/>
        <v>-4.1049655416151576E-3</v>
      </c>
      <c r="AH167" s="646">
        <f t="shared" si="477"/>
        <v>-2.9964310445853015E-3</v>
      </c>
      <c r="AI167" s="646">
        <f t="shared" ref="AI167" si="478">AI166-AE166</f>
        <v>-7.6864339399030923E-3</v>
      </c>
      <c r="AJ167" s="646">
        <f t="shared" ref="AJ167" si="479">AJ166-AF166</f>
        <v>-7.0206687951605007E-3</v>
      </c>
      <c r="AK167" s="646">
        <f t="shared" ref="AK167" si="480">AK166-AG166</f>
        <v>-8.1278317723979532E-3</v>
      </c>
      <c r="AL167" s="646">
        <f t="shared" ref="AL167" si="481">AL166-AH166</f>
        <v>-5.9329334682788892E-3</v>
      </c>
      <c r="AM167" s="646">
        <f t="shared" ref="AM167" si="482">AM166-AI166</f>
        <v>-3.7663526305525274E-3</v>
      </c>
      <c r="AN167" s="646">
        <f t="shared" ref="AN167" si="483">AN166-AJ166</f>
        <v>-3.4401277096286487E-3</v>
      </c>
      <c r="AO167" s="646">
        <f t="shared" ref="AO167" si="484">AO166-AK166</f>
        <v>-3.9826375684750004E-3</v>
      </c>
      <c r="AP167" s="646">
        <f t="shared" ref="AP167" si="485">AP166-AL166</f>
        <v>-2.907137399456694E-3</v>
      </c>
      <c r="AQ167" s="656"/>
      <c r="AR167" s="657"/>
      <c r="AS167" s="2748"/>
      <c r="AY167" s="646">
        <f>AY164/AX164-1</f>
        <v>0.19340052585451351</v>
      </c>
      <c r="AZ167" s="646">
        <f>AZ164/AY164-1</f>
        <v>0.21762247828034686</v>
      </c>
      <c r="BA167" s="646">
        <f>BA164/AZ164-1</f>
        <v>0.24894573960323241</v>
      </c>
      <c r="BB167" s="646">
        <f>BB164/BA164-1</f>
        <v>0.23425502364010442</v>
      </c>
      <c r="BC167" s="646">
        <f t="shared" ref="BC167:BJ167" si="486">BC164/BB164-1</f>
        <v>0.22358826078075178</v>
      </c>
      <c r="BD167" s="646">
        <f t="shared" si="486"/>
        <v>0.19739028435996531</v>
      </c>
      <c r="BE167" s="646">
        <f t="shared" si="486"/>
        <v>0.160139811193029</v>
      </c>
      <c r="BF167" s="646">
        <f t="shared" si="486"/>
        <v>0.12681547684427952</v>
      </c>
      <c r="BG167" s="646">
        <f t="shared" si="486"/>
        <v>9.9246726752399539E-2</v>
      </c>
      <c r="BH167" s="646">
        <f t="shared" si="486"/>
        <v>7.7449990687559644E-2</v>
      </c>
      <c r="BI167" s="646">
        <f t="shared" si="486"/>
        <v>6.0930700806945071E-2</v>
      </c>
      <c r="BJ167" s="646">
        <f t="shared" si="486"/>
        <v>4.825432861109813E-2</v>
      </c>
      <c r="BL167" s="646">
        <v>-2.44316880195188E-2</v>
      </c>
      <c r="BM167" s="646">
        <v>-3.7582100808634999E-2</v>
      </c>
      <c r="BN167" s="646">
        <v>-2.7316805935958002E-2</v>
      </c>
      <c r="BO167" s="646">
        <v>4.9124782255837163E-3</v>
      </c>
    </row>
    <row r="168" spans="2:67" s="646" customFormat="1" ht="12" customHeight="1" x14ac:dyDescent="0.35">
      <c r="B168" s="2776"/>
      <c r="W168" s="647"/>
      <c r="X168" s="647"/>
      <c r="Y168" s="647"/>
      <c r="Z168" s="647"/>
      <c r="AA168" s="647"/>
      <c r="AB168" s="647"/>
      <c r="AC168" s="647"/>
      <c r="AD168" s="647"/>
      <c r="AQ168" s="656"/>
      <c r="AR168" s="657"/>
      <c r="AS168" s="565"/>
      <c r="BL168" s="647"/>
      <c r="BM168" s="647"/>
    </row>
    <row r="169" spans="2:67" s="646" customFormat="1" ht="12" customHeight="1" x14ac:dyDescent="0.35">
      <c r="B169" s="653" t="s">
        <v>533</v>
      </c>
      <c r="AA169" s="654"/>
      <c r="AB169" s="654"/>
      <c r="AC169" s="654"/>
      <c r="AD169" s="654"/>
      <c r="AE169" s="655" t="e">
        <f ca="1">_xll.VisibleAlpha.UDF.VAData("BABA","1QFY-2021","EBITA operating - Core")</f>
        <v>#NAME?</v>
      </c>
      <c r="AF169" s="655" t="e">
        <f ca="1">_xll.VisibleAlpha.UDF.VAData("BABA","2QFY-2021","EBITA operating - Core")</f>
        <v>#NAME?</v>
      </c>
      <c r="AG169" s="655" t="e">
        <f ca="1">_xll.VisibleAlpha.UDF.VAData("BABA","3QFY-2021","EBITA operating - Core")</f>
        <v>#NAME?</v>
      </c>
      <c r="AH169" s="655" t="e">
        <f ca="1">_xll.VisibleAlpha.UDF.VAData("BABA","4QFY-2021","EBITA operating - Core")</f>
        <v>#NAME?</v>
      </c>
      <c r="AI169" s="655" t="e">
        <f ca="1">_xll.VisibleAlpha.UDF.VAData("BABA",AI2,"EBITA operating - Core")</f>
        <v>#NAME?</v>
      </c>
      <c r="AJ169" s="655" t="e">
        <f ca="1">_xll.VisibleAlpha.UDF.VAData("BABA",AJ2,"EBITA operating - Core")</f>
        <v>#NAME?</v>
      </c>
      <c r="AK169" s="655" t="e">
        <f ca="1">_xll.VisibleAlpha.UDF.VAData("BABA",AK2,"EBITA operating - Core")</f>
        <v>#NAME?</v>
      </c>
      <c r="AL169" s="655" t="e">
        <f ca="1">_xll.VisibleAlpha.UDF.VAData("BABA",AL2,"EBITA operating - Core")</f>
        <v>#NAME?</v>
      </c>
      <c r="AM169" s="655" t="e">
        <f ca="1">_xll.VisibleAlpha.UDF.VAData("BABA",AM2,"EBITA operating - Core")</f>
        <v>#NAME?</v>
      </c>
      <c r="AN169" s="655" t="e">
        <f ca="1">_xll.VisibleAlpha.UDF.VAData("BABA",AN2,"EBITA operating - Core")</f>
        <v>#NAME?</v>
      </c>
      <c r="AO169" s="655" t="e">
        <f ca="1">_xll.VisibleAlpha.UDF.VAData("BABA",AO2,"EBITA operating - Core")</f>
        <v>#NAME?</v>
      </c>
      <c r="AP169" s="655" t="e">
        <f ca="1">_xll.VisibleAlpha.UDF.VAData("BABA",AP2,"EBITA operating - Core")</f>
        <v>#NAME?</v>
      </c>
      <c r="AQ169" s="656"/>
      <c r="AR169" s="657"/>
      <c r="AS169" s="565"/>
      <c r="AZ169" s="655" t="e">
        <f ca="1">_xll.VisibleAlpha.UDF.VAData("BABA","FY-2020","EBITA operating - Core")</f>
        <v>#NAME?</v>
      </c>
      <c r="BA169" s="655" t="e">
        <f ca="1">_xll.VisibleAlpha.UDF.VAData("BABA","FY-2021","EBITA operating - Core")</f>
        <v>#NAME?</v>
      </c>
      <c r="BB169" s="655" t="e">
        <f ca="1">_xll.VisibleAlpha.UDF.VAData("BABA","FY-2022","EBITA operating - Core")</f>
        <v>#NAME?</v>
      </c>
      <c r="BC169" s="655" t="e">
        <f ca="1">_xll.VisibleAlpha.UDF.VAData("BABA","FY-2021","EBITA operating - Core")</f>
        <v>#NAME?</v>
      </c>
      <c r="BD169" s="655" t="e">
        <f ca="1">_xll.VisibleAlpha.UDF.VAData("BABA","FY-2022","EBITA operating - Core")</f>
        <v>#NAME?</v>
      </c>
      <c r="BE169" s="655" t="e">
        <f ca="1">_xll.VisibleAlpha.UDF.VAData("BABA","FY-2021","EBITA operating - Core")</f>
        <v>#NAME?</v>
      </c>
      <c r="BF169" s="655" t="e">
        <f ca="1">_xll.VisibleAlpha.UDF.VAData("BABA","FY-2022","EBITA operating - Core")</f>
        <v>#NAME?</v>
      </c>
      <c r="BG169" s="655" t="e">
        <f ca="1">_xll.VisibleAlpha.UDF.VAData("BABA","FY-2021","EBITA operating - Core")</f>
        <v>#NAME?</v>
      </c>
      <c r="BH169" s="655" t="e">
        <f ca="1">_xll.VisibleAlpha.UDF.VAData("BABA","FY-2022","EBITA operating - Core")</f>
        <v>#NAME?</v>
      </c>
      <c r="BI169" s="655" t="e">
        <f ca="1">_xll.VisibleAlpha.UDF.VAData("BABA","FY-2021","EBITA operating - Core")</f>
        <v>#NAME?</v>
      </c>
      <c r="BJ169" s="655" t="e">
        <f ca="1">_xll.VisibleAlpha.UDF.VAData("BABA","FY-2022","EBITA operating - Core")</f>
        <v>#NAME?</v>
      </c>
      <c r="BL169" s="658">
        <v>35159</v>
      </c>
      <c r="BM169" s="658"/>
      <c r="BN169" s="655">
        <v>48201.488857471799</v>
      </c>
      <c r="BO169" s="655">
        <v>49255.956439256501</v>
      </c>
    </row>
    <row r="170" spans="2:67" s="646" customFormat="1" ht="12" customHeight="1" x14ac:dyDescent="0.35">
      <c r="B170" s="2776"/>
      <c r="W170" s="647"/>
      <c r="X170" s="647"/>
      <c r="Y170" s="647"/>
      <c r="Z170" s="647"/>
      <c r="AA170" s="647"/>
      <c r="AB170" s="647"/>
      <c r="AC170" s="647"/>
      <c r="AD170" s="647"/>
      <c r="AQ170" s="656"/>
      <c r="AR170" s="657"/>
      <c r="AS170" s="565"/>
      <c r="BL170" s="647"/>
      <c r="BM170" s="647"/>
    </row>
    <row r="171" spans="2:67" s="648" customFormat="1" ht="12" customHeight="1" x14ac:dyDescent="0.35">
      <c r="B171" s="701" t="s">
        <v>498</v>
      </c>
      <c r="C171" s="709"/>
      <c r="D171" s="709"/>
      <c r="E171" s="709"/>
      <c r="F171" s="709"/>
      <c r="G171" s="709"/>
      <c r="H171" s="709"/>
      <c r="I171" s="709"/>
      <c r="J171" s="709"/>
      <c r="K171" s="709">
        <f>K172*K93</f>
        <v>-368.6</v>
      </c>
      <c r="L171" s="709">
        <f>L172*L93</f>
        <v>-382.90999999999997</v>
      </c>
      <c r="M171" s="709">
        <f>M172*M93</f>
        <v>-335.78999999999996</v>
      </c>
      <c r="N171" s="709">
        <f>N172*N93</f>
        <v>-170.56</v>
      </c>
      <c r="O171" s="709">
        <v>-158</v>
      </c>
      <c r="P171" s="709">
        <f>P172*P93</f>
        <v>-59.72</v>
      </c>
      <c r="Q171" s="709">
        <f>Q172*Q93</f>
        <v>-88.2</v>
      </c>
      <c r="R171" s="709">
        <f>R172*R93</f>
        <v>-173.04</v>
      </c>
      <c r="S171" s="709">
        <v>-103</v>
      </c>
      <c r="T171" s="709">
        <f>T172*T93</f>
        <v>-161.99999999999989</v>
      </c>
      <c r="U171" s="709">
        <f>U172*U93</f>
        <v>-181.00000000000006</v>
      </c>
      <c r="V171" s="709">
        <f>V172*V93</f>
        <v>-353.00000000000006</v>
      </c>
      <c r="W171" s="709">
        <v>-488</v>
      </c>
      <c r="X171" s="709">
        <v>-232</v>
      </c>
      <c r="Y171" s="709">
        <v>-274</v>
      </c>
      <c r="Z171" s="709">
        <v>-164</v>
      </c>
      <c r="AA171" s="709">
        <v>-358</v>
      </c>
      <c r="AB171" s="709">
        <v>-521</v>
      </c>
      <c r="AC171" s="709">
        <v>-356</v>
      </c>
      <c r="AD171" s="709">
        <v>-179</v>
      </c>
      <c r="AE171" s="709">
        <f>-498 -AF171</f>
        <v>-342</v>
      </c>
      <c r="AF171" s="709">
        <v>-156</v>
      </c>
      <c r="AG171" s="709">
        <f>AG93*AG172</f>
        <v>0</v>
      </c>
      <c r="AH171" s="709">
        <f t="shared" ref="AH171:AP171" si="487">AH93*AH172</f>
        <v>183.255</v>
      </c>
      <c r="AI171" s="709">
        <f t="shared" si="487"/>
        <v>370.35</v>
      </c>
      <c r="AJ171" s="709">
        <f t="shared" si="487"/>
        <v>670.45499999999993</v>
      </c>
      <c r="AK171" s="709">
        <f t="shared" si="487"/>
        <v>1029.2160000000001</v>
      </c>
      <c r="AL171" s="709">
        <f t="shared" si="487"/>
        <v>1236.9712500000003</v>
      </c>
      <c r="AM171" s="709">
        <f t="shared" si="487"/>
        <v>1249.9312500000001</v>
      </c>
      <c r="AN171" s="709">
        <f t="shared" si="487"/>
        <v>1508.5237500000003</v>
      </c>
      <c r="AO171" s="709">
        <f t="shared" si="487"/>
        <v>1736.8020000000001</v>
      </c>
      <c r="AP171" s="709">
        <f t="shared" si="487"/>
        <v>1608.0626250000005</v>
      </c>
      <c r="AQ171" s="2741" t="s">
        <v>458</v>
      </c>
      <c r="AR171" s="729" t="s">
        <v>465</v>
      </c>
      <c r="AS171" s="730"/>
      <c r="AT171" s="709"/>
      <c r="AU171" s="709"/>
      <c r="AV171" s="709">
        <f>SUM(K171:N171)</f>
        <v>-1257.8599999999999</v>
      </c>
      <c r="AW171" s="709">
        <f>SUM(O171:R171)</f>
        <v>-478.96000000000004</v>
      </c>
      <c r="AX171" s="709">
        <f>SUM(S171:V171)</f>
        <v>-799</v>
      </c>
      <c r="AY171" s="709">
        <f>SUM(W171:Z171)</f>
        <v>-1158</v>
      </c>
      <c r="AZ171" s="709">
        <f>SUM(AA171:AD171)</f>
        <v>-1414</v>
      </c>
      <c r="BA171" s="709">
        <f>SUM(AE171:AH171)</f>
        <v>-314.745</v>
      </c>
      <c r="BB171" s="709">
        <f>SUM(AI171:AL171)</f>
        <v>3306.9922500000002</v>
      </c>
      <c r="BC171" s="709">
        <f>SUM(AM171:AP171)</f>
        <v>6103.319625000001</v>
      </c>
      <c r="BD171" s="709">
        <f t="shared" ref="BD171:BJ171" si="488">BD172*BD93</f>
        <v>8030.9878948425894</v>
      </c>
      <c r="BE171" s="709">
        <f t="shared" si="488"/>
        <v>12774.592083277797</v>
      </c>
      <c r="BF171" s="709">
        <f t="shared" si="488"/>
        <v>19884.883278815352</v>
      </c>
      <c r="BG171" s="709">
        <f t="shared" si="488"/>
        <v>30343.073285456183</v>
      </c>
      <c r="BH171" s="709">
        <f t="shared" si="488"/>
        <v>45464.332524108075</v>
      </c>
      <c r="BI171" s="709">
        <f t="shared" si="488"/>
        <v>66992.090954656043</v>
      </c>
      <c r="BJ171" s="709">
        <f t="shared" si="488"/>
        <v>97216.099247503415</v>
      </c>
      <c r="BL171" s="709">
        <v>-470.36099999999999</v>
      </c>
      <c r="BM171" s="709">
        <v>-535.49099999999999</v>
      </c>
      <c r="BN171" s="709"/>
      <c r="BO171" s="709"/>
    </row>
    <row r="172" spans="2:67" s="646" customFormat="1" ht="12" customHeight="1" x14ac:dyDescent="0.35">
      <c r="B172" s="672" t="s">
        <v>518</v>
      </c>
      <c r="K172" s="646">
        <v>-0.76</v>
      </c>
      <c r="L172" s="646">
        <v>-0.59</v>
      </c>
      <c r="M172" s="646">
        <v>-0.41</v>
      </c>
      <c r="N172" s="646">
        <v>-0.16</v>
      </c>
      <c r="O172" s="646">
        <f>O171/O93</f>
        <v>-0.12711182622687048</v>
      </c>
      <c r="P172" s="646">
        <v>-0.04</v>
      </c>
      <c r="Q172" s="646">
        <v>-0.05</v>
      </c>
      <c r="R172" s="646">
        <v>-0.08</v>
      </c>
      <c r="S172" s="646">
        <f>S171/S93</f>
        <v>-4.2369395310571781E-2</v>
      </c>
      <c r="T172" s="646">
        <v>-5.4453781512605E-2</v>
      </c>
      <c r="U172" s="646">
        <v>-5.02917477076966E-2</v>
      </c>
      <c r="V172" s="646">
        <v>-8.0501710376282801E-2</v>
      </c>
      <c r="W172" s="646">
        <f t="shared" ref="W172:AE172" si="489">W171/W93</f>
        <v>-0.1038739889314602</v>
      </c>
      <c r="X172" s="564">
        <f t="shared" si="489"/>
        <v>-4.0938768307746606E-2</v>
      </c>
      <c r="Y172" s="2779">
        <f t="shared" si="489"/>
        <v>-4.1446074723944938E-2</v>
      </c>
      <c r="Z172" s="2779">
        <f t="shared" si="489"/>
        <v>-2.1227025627750452E-2</v>
      </c>
      <c r="AA172" s="646">
        <f t="shared" si="489"/>
        <v>-4.5974059329651984E-2</v>
      </c>
      <c r="AB172" s="2779">
        <f t="shared" si="489"/>
        <v>-5.6075772252717683E-2</v>
      </c>
      <c r="AC172" s="2779">
        <f t="shared" si="489"/>
        <v>-3.3205857662531479E-2</v>
      </c>
      <c r="AD172" s="2779">
        <f t="shared" si="489"/>
        <v>-1.465171482360645E-2</v>
      </c>
      <c r="AE172" s="2779">
        <f t="shared" si="489"/>
        <v>-2.7703523693803158E-2</v>
      </c>
      <c r="AF172" s="2779">
        <f>AF171/AF93</f>
        <v>-1.0470501375931271E-2</v>
      </c>
      <c r="AG172" s="566">
        <v>0</v>
      </c>
      <c r="AH172" s="566">
        <v>0.01</v>
      </c>
      <c r="AI172" s="566">
        <v>0.02</v>
      </c>
      <c r="AJ172" s="566">
        <v>0.03</v>
      </c>
      <c r="AK172" s="566">
        <v>0.04</v>
      </c>
      <c r="AL172" s="566">
        <v>0.05</v>
      </c>
      <c r="AM172" s="566">
        <v>0.05</v>
      </c>
      <c r="AN172" s="566">
        <v>0.05</v>
      </c>
      <c r="AO172" s="566">
        <v>0.05</v>
      </c>
      <c r="AP172" s="566">
        <v>0.05</v>
      </c>
      <c r="AQ172" s="656"/>
      <c r="AR172" s="657"/>
      <c r="AS172" s="565"/>
      <c r="AV172" s="646">
        <f>AV171/AV93</f>
        <v>-0.41664789665452134</v>
      </c>
      <c r="AW172" s="2780">
        <f>AW171/AW93</f>
        <v>-7.1883535944769622E-2</v>
      </c>
      <c r="AX172" s="2780">
        <f>AX171/AX93</f>
        <v>-5.9671396564600451E-2</v>
      </c>
      <c r="AY172" s="2780">
        <f>AY171/AY93</f>
        <v>-4.6878795239251883E-2</v>
      </c>
      <c r="AZ172" s="2780">
        <f>AZ171/AZ93</f>
        <v>-3.5335865653738502E-2</v>
      </c>
      <c r="BA172" s="2780">
        <f t="shared" ref="BA172:BC172" si="490">BA171/BA93</f>
        <v>-5.0180077196439587E-3</v>
      </c>
      <c r="BB172" s="2780">
        <f t="shared" si="490"/>
        <v>3.6206956580290377E-2</v>
      </c>
      <c r="BC172" s="2780">
        <f t="shared" si="490"/>
        <v>0.05</v>
      </c>
      <c r="BD172" s="2717">
        <f>BC172*1.01</f>
        <v>5.0500000000000003E-2</v>
      </c>
      <c r="BE172" s="2717">
        <f>BD172*1.25</f>
        <v>6.3125000000000001E-2</v>
      </c>
      <c r="BF172" s="2717">
        <f t="shared" ref="BF172:BJ172" si="491">BE172*1.25</f>
        <v>7.8906249999999997E-2</v>
      </c>
      <c r="BG172" s="2717">
        <f t="shared" si="491"/>
        <v>9.86328125E-2</v>
      </c>
      <c r="BH172" s="2717">
        <f t="shared" si="491"/>
        <v>0.123291015625</v>
      </c>
      <c r="BI172" s="2717">
        <f t="shared" si="491"/>
        <v>0.15411376953125</v>
      </c>
      <c r="BJ172" s="2717">
        <f t="shared" si="491"/>
        <v>0.1926422119140625</v>
      </c>
      <c r="BL172" s="2717">
        <v>-0.05</v>
      </c>
      <c r="BM172" s="2717">
        <v>-0.05</v>
      </c>
    </row>
    <row r="173" spans="2:67" s="646" customFormat="1" ht="12" customHeight="1" x14ac:dyDescent="0.35">
      <c r="B173" s="2776"/>
      <c r="O173" s="646">
        <f t="shared" ref="O173:AF173" si="492">O171/K171-1</f>
        <v>-0.57135105805751496</v>
      </c>
      <c r="P173" s="646">
        <f t="shared" si="492"/>
        <v>-0.84403645765323443</v>
      </c>
      <c r="Q173" s="646">
        <f t="shared" si="492"/>
        <v>-0.73733583489681043</v>
      </c>
      <c r="R173" s="646">
        <f t="shared" si="492"/>
        <v>1.4540337711069329E-2</v>
      </c>
      <c r="S173" s="646">
        <f t="shared" si="492"/>
        <v>-0.34810126582278478</v>
      </c>
      <c r="T173" s="646">
        <f t="shared" si="492"/>
        <v>1.7126590756865352</v>
      </c>
      <c r="U173" s="646">
        <f t="shared" si="492"/>
        <v>1.0521541950113384</v>
      </c>
      <c r="V173" s="646">
        <f t="shared" si="492"/>
        <v>1.0399907535829871</v>
      </c>
      <c r="W173" s="646">
        <f t="shared" si="492"/>
        <v>3.7378640776699026</v>
      </c>
      <c r="X173" s="646">
        <f t="shared" si="492"/>
        <v>0.4320987654320998</v>
      </c>
      <c r="Y173" s="646">
        <f t="shared" si="492"/>
        <v>0.51381215469613206</v>
      </c>
      <c r="Z173" s="646">
        <f t="shared" si="492"/>
        <v>-0.53541076487252126</v>
      </c>
      <c r="AA173" s="646">
        <f t="shared" si="492"/>
        <v>-0.26639344262295084</v>
      </c>
      <c r="AB173" s="646">
        <f t="shared" si="492"/>
        <v>1.2456896551724137</v>
      </c>
      <c r="AC173" s="646">
        <f t="shared" si="492"/>
        <v>0.2992700729927007</v>
      </c>
      <c r="AD173" s="646">
        <f t="shared" si="492"/>
        <v>9.1463414634146423E-2</v>
      </c>
      <c r="AE173" s="646">
        <f t="shared" si="492"/>
        <v>-4.4692737430167551E-2</v>
      </c>
      <c r="AF173" s="646">
        <f t="shared" si="492"/>
        <v>-0.70057581573896355</v>
      </c>
      <c r="AQ173" s="656"/>
      <c r="AR173" s="657"/>
      <c r="AS173" s="565"/>
      <c r="BL173" s="646">
        <v>1.0274181034482801</v>
      </c>
      <c r="BM173" s="646">
        <v>0.95434671532846704</v>
      </c>
    </row>
    <row r="174" spans="2:67" s="648" customFormat="1" ht="12" customHeight="1" x14ac:dyDescent="0.35">
      <c r="B174" s="701" t="s">
        <v>502</v>
      </c>
      <c r="C174" s="709"/>
      <c r="D174" s="709"/>
      <c r="E174" s="709"/>
      <c r="F174" s="709"/>
      <c r="G174" s="709"/>
      <c r="H174" s="709"/>
      <c r="I174" s="709"/>
      <c r="J174" s="709"/>
      <c r="K174" s="709">
        <v>-544.04</v>
      </c>
      <c r="L174" s="709">
        <v>-646.55999999999995</v>
      </c>
      <c r="M174" s="709">
        <v>-413.44</v>
      </c>
      <c r="N174" s="709">
        <v>-199.58</v>
      </c>
      <c r="O174" s="709">
        <v>-996</v>
      </c>
      <c r="P174" s="709">
        <v>-1407.12</v>
      </c>
      <c r="Q174" s="709">
        <v>-2437.8000000000002</v>
      </c>
      <c r="R174" s="709">
        <v>-1727.88</v>
      </c>
      <c r="S174" s="709">
        <v>-1748</v>
      </c>
      <c r="T174" s="709">
        <v>-1749</v>
      </c>
      <c r="U174" s="709">
        <v>-2213</v>
      </c>
      <c r="V174" s="709">
        <v>-2595</v>
      </c>
      <c r="W174" s="709">
        <v>-3132</v>
      </c>
      <c r="X174" s="709">
        <v>-3802</v>
      </c>
      <c r="Y174" s="709">
        <v>-6034</v>
      </c>
      <c r="Z174" s="709">
        <v>-2828</v>
      </c>
      <c r="AA174" s="709">
        <v>-2233</v>
      </c>
      <c r="AB174" s="709">
        <v>-2207</v>
      </c>
      <c r="AC174" s="709">
        <v>-3298</v>
      </c>
      <c r="AD174" s="709">
        <v>-3378</v>
      </c>
      <c r="AE174" s="709">
        <f>-2031-AF174</f>
        <v>-1321</v>
      </c>
      <c r="AF174" s="709">
        <v>-710</v>
      </c>
      <c r="AG174" s="709">
        <f>AG100*AG175</f>
        <v>-3354.8256000000001</v>
      </c>
      <c r="AH174" s="709">
        <f t="shared" ref="AH174:AP174" si="493">AH100*AH175</f>
        <v>-2746.1280000000002</v>
      </c>
      <c r="AI174" s="709">
        <f t="shared" si="493"/>
        <v>-2266.056</v>
      </c>
      <c r="AJ174" s="709">
        <f t="shared" si="493"/>
        <v>-2177.8200000000002</v>
      </c>
      <c r="AK174" s="709">
        <f t="shared" si="493"/>
        <v>-1725.3388800000002</v>
      </c>
      <c r="AL174" s="709">
        <f t="shared" si="493"/>
        <v>-1039.6056000000001</v>
      </c>
      <c r="AM174" s="709">
        <f t="shared" si="493"/>
        <v>-800.67312000000015</v>
      </c>
      <c r="AN174" s="709">
        <f t="shared" si="493"/>
        <v>-461.6978400000001</v>
      </c>
      <c r="AO174" s="709">
        <f t="shared" si="493"/>
        <v>0</v>
      </c>
      <c r="AP174" s="709">
        <f t="shared" si="493"/>
        <v>363.86196000000007</v>
      </c>
      <c r="AQ174" s="2741" t="s">
        <v>458</v>
      </c>
      <c r="AR174" s="729" t="s">
        <v>465</v>
      </c>
      <c r="AS174" s="730"/>
      <c r="AT174" s="709"/>
      <c r="AU174" s="709"/>
      <c r="AV174" s="709">
        <f>SUM(K174:N174)</f>
        <v>-1803.62</v>
      </c>
      <c r="AW174" s="709">
        <f>SUM(O174:R174)</f>
        <v>-6568.8</v>
      </c>
      <c r="AX174" s="709">
        <f>SUM(S174:V174)</f>
        <v>-8305</v>
      </c>
      <c r="AY174" s="709">
        <f>SUM(W174:Z174)</f>
        <v>-15796</v>
      </c>
      <c r="AZ174" s="709">
        <f>SUM(AA174:AD174)</f>
        <v>-11116</v>
      </c>
      <c r="BA174" s="709">
        <f>SUM(AE174:AH174)</f>
        <v>-8131.9536000000007</v>
      </c>
      <c r="BB174" s="709">
        <f>SUM(AI174:AL174)</f>
        <v>-7208.8204800000003</v>
      </c>
      <c r="BC174" s="709">
        <f>SUM(AM174:AP174)</f>
        <v>-898.50900000000013</v>
      </c>
      <c r="BD174" s="709">
        <f t="shared" ref="BD174:BJ174" si="494">BD100*BD175</f>
        <v>-1086.6165669619202</v>
      </c>
      <c r="BE174" s="709">
        <f t="shared" si="494"/>
        <v>388.35676103219032</v>
      </c>
      <c r="BF174" s="709">
        <f t="shared" si="494"/>
        <v>829.98830254277652</v>
      </c>
      <c r="BG174" s="709">
        <f t="shared" si="494"/>
        <v>1326.1061329959225</v>
      </c>
      <c r="BH174" s="709">
        <f t="shared" si="494"/>
        <v>1877.593846321399</v>
      </c>
      <c r="BI174" s="709">
        <f t="shared" si="494"/>
        <v>2485.0127089335751</v>
      </c>
      <c r="BJ174" s="709">
        <f t="shared" si="494"/>
        <v>3148.6114480881561</v>
      </c>
      <c r="BL174" s="709">
        <v>-3281.85</v>
      </c>
      <c r="BM174" s="709">
        <v>-3570.05</v>
      </c>
      <c r="BN174" s="709"/>
      <c r="BO174" s="709"/>
    </row>
    <row r="175" spans="2:67" s="646" customFormat="1" ht="12" customHeight="1" x14ac:dyDescent="0.35">
      <c r="B175" s="672" t="s">
        <v>518</v>
      </c>
      <c r="K175" s="646">
        <v>-0.67</v>
      </c>
      <c r="L175" s="646">
        <v>-0.72</v>
      </c>
      <c r="M175" s="646">
        <v>-0.38</v>
      </c>
      <c r="N175" s="646">
        <v>-0.17</v>
      </c>
      <c r="O175" s="646">
        <f>O174/O100</f>
        <v>-0.31770334928229665</v>
      </c>
      <c r="P175" s="646">
        <v>-0.39</v>
      </c>
      <c r="Q175" s="646">
        <v>-0.6</v>
      </c>
      <c r="R175" s="646">
        <v>-0.44</v>
      </c>
      <c r="S175" s="646">
        <f>S174/S100</f>
        <v>-0.42832639059054156</v>
      </c>
      <c r="T175" s="646">
        <v>-0.364526886202584</v>
      </c>
      <c r="U175" s="646">
        <v>-0.40883059301681102</v>
      </c>
      <c r="V175" s="646">
        <v>-0.49222306525037901</v>
      </c>
      <c r="W175" s="646">
        <f t="shared" ref="W175:AF175" si="495">W174/W100</f>
        <v>-0.52418410041841002</v>
      </c>
      <c r="X175" s="564">
        <f t="shared" si="495"/>
        <v>-0.64006734006734012</v>
      </c>
      <c r="Y175" s="646">
        <f t="shared" si="495"/>
        <v>-0.92959482360191037</v>
      </c>
      <c r="Z175" s="564">
        <f t="shared" si="495"/>
        <v>-0.49867748192558631</v>
      </c>
      <c r="AA175" s="646">
        <f t="shared" si="495"/>
        <v>-0.34749455337690632</v>
      </c>
      <c r="AB175" s="564">
        <f t="shared" si="495"/>
        <v>-0.29656006449879063</v>
      </c>
      <c r="AC175" s="564">
        <f t="shared" si="495"/>
        <v>-0.44591671173607356</v>
      </c>
      <c r="AD175" s="564">
        <f t="shared" si="495"/>
        <v>-0.56830417227456254</v>
      </c>
      <c r="AE175" s="564">
        <f t="shared" si="495"/>
        <v>-0.18887617958249928</v>
      </c>
      <c r="AF175" s="564">
        <f t="shared" si="495"/>
        <v>-8.80238036201339E-2</v>
      </c>
      <c r="AG175" s="566">
        <v>-0.42</v>
      </c>
      <c r="AH175" s="566">
        <v>-0.42</v>
      </c>
      <c r="AI175" s="566">
        <v>-0.3</v>
      </c>
      <c r="AJ175" s="566">
        <v>-0.25</v>
      </c>
      <c r="AK175" s="566">
        <v>-0.2</v>
      </c>
      <c r="AL175" s="566">
        <v>-0.15</v>
      </c>
      <c r="AM175" s="566">
        <v>-0.1</v>
      </c>
      <c r="AN175" s="566">
        <v>-0.05</v>
      </c>
      <c r="AO175" s="566">
        <v>0</v>
      </c>
      <c r="AP175" s="566">
        <v>0.05</v>
      </c>
      <c r="AQ175" s="2781"/>
      <c r="AR175" s="657"/>
      <c r="AS175" s="565"/>
      <c r="AV175" s="646">
        <f>AV174/AV100</f>
        <v>-0.45408358509566965</v>
      </c>
      <c r="AW175" s="646">
        <f>AW174/AW100</f>
        <v>-0.44585624109142741</v>
      </c>
      <c r="AX175" s="646">
        <f>AX174/AX100</f>
        <v>-0.42450419137190759</v>
      </c>
      <c r="AY175" s="646">
        <f>AY174/AY100</f>
        <v>-0.65606180171948336</v>
      </c>
      <c r="AZ175" s="646">
        <f>AZ174/AZ100</f>
        <v>-0.40855630696853867</v>
      </c>
      <c r="BA175" s="646">
        <f t="shared" ref="BA175:BC175" si="496">BA174/BA100</f>
        <v>-0.27485741943508568</v>
      </c>
      <c r="BB175" s="646">
        <f t="shared" si="496"/>
        <v>-0.22653433271285239</v>
      </c>
      <c r="BC175" s="646">
        <f t="shared" si="496"/>
        <v>-2.6691908997018288E-2</v>
      </c>
      <c r="BD175" s="566">
        <v>-0.03</v>
      </c>
      <c r="BE175" s="566">
        <v>0.01</v>
      </c>
      <c r="BF175" s="566">
        <v>0.02</v>
      </c>
      <c r="BG175" s="566">
        <v>0.03</v>
      </c>
      <c r="BH175" s="566">
        <v>0.04</v>
      </c>
      <c r="BI175" s="566">
        <v>0.05</v>
      </c>
      <c r="BJ175" s="566">
        <v>0.06</v>
      </c>
      <c r="BL175" s="566">
        <v>-0.65</v>
      </c>
      <c r="BM175" s="566">
        <v>-0.5</v>
      </c>
      <c r="BN175" s="566">
        <v>-0.42</v>
      </c>
      <c r="BO175" s="566">
        <v>-0.42</v>
      </c>
    </row>
    <row r="176" spans="2:67" s="646" customFormat="1" ht="12" customHeight="1" x14ac:dyDescent="0.35">
      <c r="B176" s="2776"/>
      <c r="AQ176" s="656"/>
      <c r="AR176" s="657"/>
      <c r="AS176" s="565"/>
    </row>
    <row r="177" spans="1:67" s="648" customFormat="1" ht="12" customHeight="1" x14ac:dyDescent="0.35">
      <c r="B177" s="701" t="s">
        <v>534</v>
      </c>
      <c r="C177" s="709"/>
      <c r="D177" s="709"/>
      <c r="E177" s="709"/>
      <c r="F177" s="709"/>
      <c r="G177" s="709"/>
      <c r="H177" s="709"/>
      <c r="I177" s="709"/>
      <c r="J177" s="709"/>
      <c r="K177" s="709">
        <f>K103*K178</f>
        <v>-619.1</v>
      </c>
      <c r="L177" s="709">
        <f>L103*L178</f>
        <v>-860.67</v>
      </c>
      <c r="M177" s="709">
        <f>M103*M178</f>
        <v>-960.75</v>
      </c>
      <c r="N177" s="709">
        <f>N103*N178</f>
        <v>-1026.9000000000001</v>
      </c>
      <c r="O177" s="709">
        <f>-887</f>
        <v>-887</v>
      </c>
      <c r="P177" s="709">
        <f>P103*P178</f>
        <v>-767.80000000000007</v>
      </c>
      <c r="Q177" s="709">
        <f>Q103*Q178</f>
        <v>-785.85</v>
      </c>
      <c r="R177" s="709">
        <f>R103*R178</f>
        <v>-680.06</v>
      </c>
      <c r="S177" s="709">
        <v>-634</v>
      </c>
      <c r="T177" s="709">
        <f>T103*T178</f>
        <v>-496.00000000000034</v>
      </c>
      <c r="U177" s="709">
        <f>U103*U178</f>
        <v>-1006.0000000000035</v>
      </c>
      <c r="V177" s="709">
        <f>V103*V178</f>
        <v>-860.00000000000034</v>
      </c>
      <c r="W177" s="709">
        <v>-1202</v>
      </c>
      <c r="X177" s="709">
        <v>-1241</v>
      </c>
      <c r="Y177" s="709">
        <v>-1596</v>
      </c>
      <c r="Z177" s="709">
        <v>-1932</v>
      </c>
      <c r="AA177" s="709">
        <v>-1965</v>
      </c>
      <c r="AB177" s="709">
        <v>-1917</v>
      </c>
      <c r="AC177" s="709">
        <v>-1870</v>
      </c>
      <c r="AD177" s="709">
        <v>-3063</v>
      </c>
      <c r="AE177" s="709">
        <f>-5086-AF177</f>
        <v>-2705</v>
      </c>
      <c r="AF177" s="709">
        <v>-2381</v>
      </c>
      <c r="AG177" s="709">
        <f>AG103*AG178</f>
        <v>-3690.7200000000003</v>
      </c>
      <c r="AH177" s="709">
        <f t="shared" ref="AH177:AP177" si="497">AH103*AH178</f>
        <v>-4026.8800000000006</v>
      </c>
      <c r="AI177" s="709">
        <f t="shared" si="497"/>
        <v>-1654.1279999999999</v>
      </c>
      <c r="AJ177" s="709">
        <f t="shared" si="497"/>
        <v>-1518.912</v>
      </c>
      <c r="AK177" s="709">
        <f t="shared" si="497"/>
        <v>-2214.4320000000002</v>
      </c>
      <c r="AL177" s="709">
        <f t="shared" si="497"/>
        <v>-2134.2464000000004</v>
      </c>
      <c r="AM177" s="709">
        <f t="shared" si="497"/>
        <v>-751.44672000000003</v>
      </c>
      <c r="AN177" s="709">
        <f t="shared" si="497"/>
        <v>-536.68223999999998</v>
      </c>
      <c r="AO177" s="709">
        <f t="shared" si="497"/>
        <v>-469.45958400000012</v>
      </c>
      <c r="AP177" s="709">
        <f t="shared" si="497"/>
        <v>0</v>
      </c>
      <c r="AQ177" s="2741" t="s">
        <v>458</v>
      </c>
      <c r="AR177" s="729" t="s">
        <v>465</v>
      </c>
      <c r="AS177" s="730"/>
      <c r="AT177" s="709"/>
      <c r="AU177" s="709"/>
      <c r="AV177" s="709">
        <f>SUM(K177:N177)</f>
        <v>-3467.42</v>
      </c>
      <c r="AW177" s="709">
        <f>SUM(O177:R177)</f>
        <v>-3120.71</v>
      </c>
      <c r="AX177" s="709">
        <f>SUM(S177:V177)</f>
        <v>-2996.0000000000045</v>
      </c>
      <c r="AY177" s="709">
        <f>SUM(W177:Z177)</f>
        <v>-5971</v>
      </c>
      <c r="AZ177" s="709">
        <f>SUM(AA177:AD177)</f>
        <v>-8815</v>
      </c>
      <c r="BA177" s="709">
        <f>SUM(AE177:AH177)</f>
        <v>-12803.600000000002</v>
      </c>
      <c r="BB177" s="709">
        <f>SUM(AI177:AL177)</f>
        <v>-7521.7183999999997</v>
      </c>
      <c r="BC177" s="709">
        <f>SUM(AM177:AP177)</f>
        <v>-1757.5885440000002</v>
      </c>
      <c r="BD177" s="709">
        <f t="shared" ref="BD177:BJ177" si="498">BD178*BD103</f>
        <v>-1631.4338978667492</v>
      </c>
      <c r="BE177" s="709">
        <f t="shared" si="498"/>
        <v>-857.2084478546235</v>
      </c>
      <c r="BF177" s="709">
        <f t="shared" si="498"/>
        <v>-449.31515819449527</v>
      </c>
      <c r="BG177" s="709">
        <f t="shared" si="498"/>
        <v>0</v>
      </c>
      <c r="BH177" s="709">
        <f t="shared" si="498"/>
        <v>490.43564222404495</v>
      </c>
      <c r="BI177" s="709">
        <f t="shared" si="498"/>
        <v>1021.5086999938336</v>
      </c>
      <c r="BJ177" s="709">
        <f t="shared" si="498"/>
        <v>1592.5705038956262</v>
      </c>
      <c r="BL177" s="709">
        <v>-1496.664</v>
      </c>
      <c r="BM177" s="709">
        <v>-1686.2449999999999</v>
      </c>
      <c r="BN177" s="709"/>
      <c r="BO177" s="709"/>
    </row>
    <row r="178" spans="1:67" s="646" customFormat="1" ht="12" customHeight="1" x14ac:dyDescent="0.35">
      <c r="B178" s="672" t="s">
        <v>518</v>
      </c>
      <c r="K178" s="646">
        <v>-1.51</v>
      </c>
      <c r="L178" s="646">
        <v>-2.19</v>
      </c>
      <c r="M178" s="646">
        <v>-1.83</v>
      </c>
      <c r="N178" s="646">
        <v>-2.1</v>
      </c>
      <c r="O178" s="646">
        <f>O177/O103</f>
        <v>-1.6579439252336448</v>
      </c>
      <c r="P178" s="646">
        <v>-1.1000000000000001</v>
      </c>
      <c r="Q178" s="646">
        <v>-0.93</v>
      </c>
      <c r="R178" s="646">
        <v>-0.74</v>
      </c>
      <c r="S178" s="646">
        <f>S177/S103</f>
        <v>-0.98294573643410854</v>
      </c>
      <c r="T178" s="646">
        <v>-0.55918827508455504</v>
      </c>
      <c r="U178" s="646">
        <v>-1.3031088082901601</v>
      </c>
      <c r="V178" s="646">
        <v>-0.87044534412955499</v>
      </c>
      <c r="W178" s="646">
        <f t="shared" ref="W178:AF178" si="499">W177/W103</f>
        <v>-1.1350330500472143</v>
      </c>
      <c r="X178" s="564">
        <f t="shared" si="499"/>
        <v>-1.1641651031894935</v>
      </c>
      <c r="Y178" s="646">
        <f t="shared" si="499"/>
        <v>-1.1972993248312078</v>
      </c>
      <c r="Z178" s="564">
        <f t="shared" si="499"/>
        <v>-1.6006628003314001</v>
      </c>
      <c r="AA178" s="646">
        <f t="shared" si="499"/>
        <v>-1.6838046272493574</v>
      </c>
      <c r="AB178" s="564">
        <f t="shared" si="499"/>
        <v>-1.8016917293233083</v>
      </c>
      <c r="AC178" s="564">
        <f t="shared" si="499"/>
        <v>-1.0032188841201717</v>
      </c>
      <c r="AD178" s="564">
        <f t="shared" si="499"/>
        <v>-1.3387237762237763</v>
      </c>
      <c r="AE178" s="564">
        <f t="shared" si="499"/>
        <v>-2.4725776965265083</v>
      </c>
      <c r="AF178" s="564">
        <f t="shared" si="499"/>
        <v>-2.031569965870307</v>
      </c>
      <c r="AG178" s="566">
        <v>-1.8</v>
      </c>
      <c r="AH178" s="566">
        <v>-1.6</v>
      </c>
      <c r="AI178" s="566">
        <v>-1.4</v>
      </c>
      <c r="AJ178" s="566">
        <v>-1.2</v>
      </c>
      <c r="AK178" s="566">
        <v>-1</v>
      </c>
      <c r="AL178" s="566">
        <v>-0.8</v>
      </c>
      <c r="AM178" s="566">
        <v>-0.6</v>
      </c>
      <c r="AN178" s="566">
        <v>-0.4</v>
      </c>
      <c r="AO178" s="566">
        <v>-0.2</v>
      </c>
      <c r="AP178" s="566">
        <v>0</v>
      </c>
      <c r="AQ178" s="656"/>
      <c r="AR178" s="657"/>
      <c r="AS178" s="565"/>
      <c r="AV178" s="646">
        <f>AV177/AV103</f>
        <v>-1.9083214089157954</v>
      </c>
      <c r="AW178" s="646">
        <f>AW177/AW103</f>
        <v>-1.0412779446112779</v>
      </c>
      <c r="AX178" s="646">
        <f>AX177/AX103</f>
        <v>-0.91008505467800871</v>
      </c>
      <c r="AY178" s="646">
        <f>AY177/AY103</f>
        <v>-1.2799571275455519</v>
      </c>
      <c r="AZ178" s="646">
        <f>AZ177/AZ103</f>
        <v>-1.3810120632931224</v>
      </c>
      <c r="BA178" s="646">
        <f t="shared" ref="BA178:BC178" si="500">BA177/BA103</f>
        <v>-1.8737341216413983</v>
      </c>
      <c r="BB178" s="646">
        <f t="shared" si="500"/>
        <v>-1.0262225084316572</v>
      </c>
      <c r="BC178" s="646">
        <f t="shared" si="500"/>
        <v>-0.2270019845702945</v>
      </c>
      <c r="BD178" s="566">
        <v>-0.2</v>
      </c>
      <c r="BE178" s="566">
        <v>-0.1</v>
      </c>
      <c r="BF178" s="566">
        <v>-0.05</v>
      </c>
      <c r="BG178" s="566">
        <v>0</v>
      </c>
      <c r="BH178" s="566">
        <v>0.05</v>
      </c>
      <c r="BI178" s="566">
        <v>0.1</v>
      </c>
      <c r="BJ178" s="566">
        <v>0.15</v>
      </c>
      <c r="BL178" s="566">
        <v>-1.08</v>
      </c>
      <c r="BM178" s="566">
        <v>-1.1000000000000001</v>
      </c>
    </row>
    <row r="179" spans="1:67" s="646" customFormat="1" ht="12" customHeight="1" x14ac:dyDescent="0.35">
      <c r="B179" s="2776"/>
      <c r="AC179" s="564"/>
      <c r="AD179" s="564"/>
      <c r="AQ179" s="656"/>
      <c r="AR179" s="657"/>
      <c r="AS179" s="565"/>
    </row>
    <row r="180" spans="1:67" s="648" customFormat="1" ht="12" customHeight="1" x14ac:dyDescent="0.35">
      <c r="B180" s="701" t="s">
        <v>535</v>
      </c>
      <c r="C180" s="709"/>
      <c r="D180" s="709"/>
      <c r="E180" s="709"/>
      <c r="F180" s="709"/>
      <c r="G180" s="709"/>
      <c r="H180" s="709"/>
      <c r="I180" s="709"/>
      <c r="J180" s="709"/>
      <c r="K180" s="2782">
        <f t="shared" ref="K180:R180" si="501">K183-K164-K171-K174-K177</f>
        <v>67.039999999999168</v>
      </c>
      <c r="L180" s="2782">
        <f t="shared" si="501"/>
        <v>492.92000000000053</v>
      </c>
      <c r="M180" s="2782">
        <f t="shared" si="501"/>
        <v>-506.17000000000144</v>
      </c>
      <c r="N180" s="2782">
        <f t="shared" si="501"/>
        <v>236.58999999999935</v>
      </c>
      <c r="O180" s="2782">
        <f t="shared" si="501"/>
        <v>737.73999999999978</v>
      </c>
      <c r="P180" s="2782">
        <f t="shared" si="501"/>
        <v>815.98000000000013</v>
      </c>
      <c r="Q180" s="2782">
        <f t="shared" si="501"/>
        <v>524.2100000000006</v>
      </c>
      <c r="R180" s="2782">
        <f t="shared" si="501"/>
        <v>860.8400000000006</v>
      </c>
      <c r="S180" s="2782">
        <f t="shared" ref="S180:Y180" si="502">S183-S182</f>
        <v>639</v>
      </c>
      <c r="T180" s="2782">
        <f t="shared" si="502"/>
        <v>1024</v>
      </c>
      <c r="U180" s="2782">
        <f t="shared" si="502"/>
        <v>559</v>
      </c>
      <c r="V180" s="2782">
        <f t="shared" si="502"/>
        <v>1076</v>
      </c>
      <c r="W180" s="2782">
        <f t="shared" si="502"/>
        <v>1384</v>
      </c>
      <c r="X180" s="2782">
        <f t="shared" si="502"/>
        <v>2178</v>
      </c>
      <c r="Y180" s="2782">
        <f t="shared" si="502"/>
        <v>2533</v>
      </c>
      <c r="Z180" s="2782">
        <v>-1803</v>
      </c>
      <c r="AA180" s="2783">
        <v>-1803</v>
      </c>
      <c r="AB180" s="2782">
        <v>-1838</v>
      </c>
      <c r="AC180" s="2784">
        <v>-1899</v>
      </c>
      <c r="AD180" s="2784">
        <v>-1679</v>
      </c>
      <c r="AE180" s="709">
        <f>-2992-AF180</f>
        <v>-1497</v>
      </c>
      <c r="AF180" s="709">
        <v>-1495</v>
      </c>
      <c r="AG180" s="2719">
        <v>-1500</v>
      </c>
      <c r="AH180" s="2719">
        <v>-1500</v>
      </c>
      <c r="AI180" s="2719">
        <v>-1500</v>
      </c>
      <c r="AJ180" s="2719">
        <v>-1500</v>
      </c>
      <c r="AK180" s="2719">
        <v>-1500</v>
      </c>
      <c r="AL180" s="2719">
        <v>-1500</v>
      </c>
      <c r="AM180" s="2719">
        <v>-1500</v>
      </c>
      <c r="AN180" s="2719">
        <v>-1500</v>
      </c>
      <c r="AO180" s="2719">
        <v>-1500</v>
      </c>
      <c r="AP180" s="2719">
        <v>-1500</v>
      </c>
      <c r="AQ180" s="2741" t="s">
        <v>458</v>
      </c>
      <c r="AR180" s="729" t="s">
        <v>465</v>
      </c>
      <c r="AS180" s="730"/>
      <c r="AT180" s="709"/>
      <c r="AU180" s="709"/>
      <c r="AV180" s="2782">
        <f>AV183-AV164-AV171-AV174-AV177</f>
        <v>290.37999999999556</v>
      </c>
      <c r="AW180" s="2782">
        <f>AW183-AW164-AW171-AW174-AW177</f>
        <v>2938.7700000000032</v>
      </c>
      <c r="AX180" s="2782">
        <f>AX183-AX164-AX171-AX174-AX177</f>
        <v>3298.0000000000045</v>
      </c>
      <c r="AY180" s="2782">
        <f>SUM(W180:Z180)</f>
        <v>4292</v>
      </c>
      <c r="AZ180" s="709">
        <f>SUM(AA180:AD180)</f>
        <v>-7219</v>
      </c>
      <c r="BA180" s="709">
        <f>SUM(AE180:AH180)</f>
        <v>-5992</v>
      </c>
      <c r="BB180" s="709">
        <f>SUM(AI180:AL180)</f>
        <v>-6000</v>
      </c>
      <c r="BC180" s="709">
        <f>SUM(AM180:AP180)</f>
        <v>-6000</v>
      </c>
      <c r="BD180" s="2785">
        <f>BC180</f>
        <v>-6000</v>
      </c>
      <c r="BE180" s="2785">
        <f t="shared" ref="BE180:BJ180" si="503">BD180</f>
        <v>-6000</v>
      </c>
      <c r="BF180" s="2785">
        <f t="shared" si="503"/>
        <v>-6000</v>
      </c>
      <c r="BG180" s="2785">
        <f t="shared" si="503"/>
        <v>-6000</v>
      </c>
      <c r="BH180" s="2785">
        <f t="shared" si="503"/>
        <v>-6000</v>
      </c>
      <c r="BI180" s="2785">
        <f t="shared" si="503"/>
        <v>-6000</v>
      </c>
      <c r="BJ180" s="2785">
        <f t="shared" si="503"/>
        <v>-6000</v>
      </c>
      <c r="BL180" s="2785">
        <v>-1803</v>
      </c>
      <c r="BM180" s="2785">
        <v>-1803</v>
      </c>
      <c r="BN180" s="709"/>
      <c r="BO180" s="709"/>
    </row>
    <row r="181" spans="1:67" s="648" customFormat="1" ht="12" customHeight="1" x14ac:dyDescent="0.35">
      <c r="B181" s="701"/>
      <c r="C181" s="709"/>
      <c r="D181" s="709"/>
      <c r="E181" s="709"/>
      <c r="F181" s="709"/>
      <c r="G181" s="709"/>
      <c r="H181" s="709"/>
      <c r="I181" s="709"/>
      <c r="J181" s="709"/>
      <c r="K181" s="2782"/>
      <c r="L181" s="2782"/>
      <c r="M181" s="2782"/>
      <c r="N181" s="2782"/>
      <c r="O181" s="2782"/>
      <c r="P181" s="2782"/>
      <c r="Q181" s="2782"/>
      <c r="R181" s="2782"/>
      <c r="S181" s="2782"/>
      <c r="T181" s="2782"/>
      <c r="U181" s="2782"/>
      <c r="V181" s="2782"/>
      <c r="W181" s="2782"/>
      <c r="X181" s="2784"/>
      <c r="Y181" s="2782"/>
      <c r="Z181" s="2785"/>
      <c r="AA181" s="2785"/>
      <c r="AB181" s="2785"/>
      <c r="AC181" s="2785"/>
      <c r="AD181" s="2785"/>
      <c r="AE181" s="709"/>
      <c r="AF181" s="709"/>
      <c r="AG181" s="709"/>
      <c r="AH181" s="709"/>
      <c r="AI181" s="709"/>
      <c r="AJ181" s="709"/>
      <c r="AK181" s="709"/>
      <c r="AL181" s="709"/>
      <c r="AM181" s="709"/>
      <c r="AN181" s="709"/>
      <c r="AO181" s="709"/>
      <c r="AP181" s="709"/>
      <c r="AQ181" s="2741"/>
      <c r="AR181" s="729"/>
      <c r="AS181" s="730"/>
      <c r="AT181" s="709"/>
      <c r="AU181" s="709"/>
      <c r="AV181" s="2782"/>
      <c r="AW181" s="2782"/>
      <c r="AX181" s="2782"/>
      <c r="AY181" s="2782"/>
      <c r="AZ181" s="2785"/>
      <c r="BA181" s="2785"/>
      <c r="BB181" s="2785"/>
      <c r="BC181" s="2785"/>
      <c r="BD181" s="2785"/>
      <c r="BE181" s="2785"/>
      <c r="BF181" s="2785"/>
      <c r="BG181" s="2785"/>
      <c r="BH181" s="2785"/>
      <c r="BI181" s="2785"/>
      <c r="BJ181" s="2785"/>
      <c r="BL181" s="2785"/>
      <c r="BM181" s="2785"/>
      <c r="BN181" s="709"/>
      <c r="BO181" s="709"/>
    </row>
    <row r="182" spans="1:67" s="648" customFormat="1" ht="12" customHeight="1" x14ac:dyDescent="0.35">
      <c r="B182" s="701"/>
      <c r="C182" s="709"/>
      <c r="D182" s="709"/>
      <c r="E182" s="709"/>
      <c r="F182" s="709"/>
      <c r="G182" s="709"/>
      <c r="H182" s="709"/>
      <c r="I182" s="709"/>
      <c r="J182" s="709"/>
      <c r="K182" s="2782"/>
      <c r="L182" s="2782"/>
      <c r="M182" s="2782"/>
      <c r="N182" s="2782"/>
      <c r="O182" s="2782"/>
      <c r="P182" s="2782"/>
      <c r="Q182" s="2782"/>
      <c r="R182" s="2782"/>
      <c r="S182" s="702">
        <f t="shared" ref="S182:Y182" si="504">S164+S171+S174+S177</f>
        <v>24485</v>
      </c>
      <c r="T182" s="702">
        <f t="shared" si="504"/>
        <v>24007</v>
      </c>
      <c r="U182" s="702">
        <f t="shared" si="504"/>
        <v>35130</v>
      </c>
      <c r="V182" s="702">
        <f t="shared" si="504"/>
        <v>18378</v>
      </c>
      <c r="W182" s="702">
        <f t="shared" si="504"/>
        <v>27975</v>
      </c>
      <c r="X182" s="702">
        <f t="shared" si="504"/>
        <v>24532</v>
      </c>
      <c r="Y182" s="702">
        <f t="shared" si="504"/>
        <v>38175</v>
      </c>
      <c r="Z182" s="702"/>
      <c r="AA182" s="702"/>
      <c r="AB182" s="702"/>
      <c r="AC182" s="702"/>
      <c r="AD182" s="702"/>
      <c r="AE182" s="709"/>
      <c r="AF182" s="709"/>
      <c r="AG182" s="709"/>
      <c r="AH182" s="709"/>
      <c r="AI182" s="709"/>
      <c r="AJ182" s="709"/>
      <c r="AK182" s="709"/>
      <c r="AL182" s="709"/>
      <c r="AM182" s="709"/>
      <c r="AN182" s="709"/>
      <c r="AO182" s="709"/>
      <c r="AP182" s="709"/>
      <c r="AQ182" s="2741"/>
      <c r="AR182" s="729"/>
      <c r="AS182" s="730"/>
      <c r="AT182" s="709"/>
      <c r="AU182" s="709"/>
      <c r="AV182" s="2782"/>
      <c r="AW182" s="2782"/>
      <c r="AX182" s="2782"/>
      <c r="AY182" s="702">
        <f>AY164+AY171+AY174+AY177</f>
        <v>113242</v>
      </c>
      <c r="AZ182" s="702">
        <f>AZ164+AZ171+AZ174+AZ177</f>
        <v>144455</v>
      </c>
      <c r="BA182" s="702">
        <f>BA164+BA171+BA174+BA177</f>
        <v>185824.90502621591</v>
      </c>
      <c r="BB182" s="702">
        <f>BB164+BB171+BB174+BB177</f>
        <v>244160.06371695458</v>
      </c>
      <c r="BC182" s="702">
        <f t="shared" ref="BC182:BD182" si="505">BC164+BC171+BC174+BC177</f>
        <v>316176.32734949549</v>
      </c>
      <c r="BD182" s="702">
        <f t="shared" si="505"/>
        <v>379771.72971509525</v>
      </c>
      <c r="BE182" s="702">
        <f t="shared" ref="BE182:BJ182" si="506">BE164+BE171+BE174+BE177</f>
        <v>446730.2929776393</v>
      </c>
      <c r="BF182" s="702">
        <f t="shared" si="506"/>
        <v>509781.86579279311</v>
      </c>
      <c r="BG182" s="702">
        <f t="shared" si="506"/>
        <v>569768.38018493226</v>
      </c>
      <c r="BH182" s="702">
        <f t="shared" si="506"/>
        <v>627607.34086748096</v>
      </c>
      <c r="BI182" s="702">
        <f t="shared" si="506"/>
        <v>685599.68699036713</v>
      </c>
      <c r="BJ182" s="702">
        <f t="shared" si="506"/>
        <v>746739.64521035145</v>
      </c>
      <c r="BL182" s="702">
        <v>33951.310093566201</v>
      </c>
      <c r="BM182" s="702">
        <v>53773.410347634403</v>
      </c>
      <c r="BN182" s="709"/>
      <c r="BO182" s="709"/>
    </row>
    <row r="183" spans="1:67" s="2846" customFormat="1" ht="12" customHeight="1" x14ac:dyDescent="0.35">
      <c r="B183" s="2847" t="s">
        <v>536</v>
      </c>
      <c r="C183" s="2848">
        <v>6094</v>
      </c>
      <c r="D183" s="2848">
        <v>6461</v>
      </c>
      <c r="E183" s="2848">
        <v>9977</v>
      </c>
      <c r="F183" s="2848">
        <v>6886</v>
      </c>
      <c r="G183" s="2848">
        <v>8574</v>
      </c>
      <c r="H183" s="2848">
        <v>8493</v>
      </c>
      <c r="I183" s="2848">
        <v>14928</v>
      </c>
      <c r="J183" s="2848">
        <v>8583</v>
      </c>
      <c r="K183" s="2848">
        <v>10585</v>
      </c>
      <c r="L183" s="2848">
        <v>11146</v>
      </c>
      <c r="M183" s="2848">
        <v>18656</v>
      </c>
      <c r="N183" s="2848">
        <v>11498</v>
      </c>
      <c r="O183" s="2848">
        <v>14963</v>
      </c>
      <c r="P183" s="2848">
        <v>15875</v>
      </c>
      <c r="Q183" s="2848">
        <v>27021</v>
      </c>
      <c r="R183" s="2848">
        <v>16597</v>
      </c>
      <c r="S183" s="2848">
        <v>25124</v>
      </c>
      <c r="T183" s="2848">
        <v>25031</v>
      </c>
      <c r="U183" s="2848">
        <v>35689</v>
      </c>
      <c r="V183" s="2848">
        <v>19454</v>
      </c>
      <c r="W183" s="2848">
        <v>29359</v>
      </c>
      <c r="X183" s="2848">
        <v>26710</v>
      </c>
      <c r="Y183" s="2848">
        <v>40708</v>
      </c>
      <c r="Z183" s="2848">
        <v>25166</v>
      </c>
      <c r="AA183" s="2848">
        <v>39238</v>
      </c>
      <c r="AB183" s="2848">
        <v>36525</v>
      </c>
      <c r="AC183" s="2848">
        <v>55880</v>
      </c>
      <c r="AD183" s="2848">
        <v>25440</v>
      </c>
      <c r="AE183" s="2848">
        <v>51039</v>
      </c>
      <c r="AF183" s="2848">
        <v>41216</v>
      </c>
      <c r="AG183" s="2848">
        <f>AG184*AG118</f>
        <v>70827.324912460565</v>
      </c>
      <c r="AH183" s="2848">
        <f t="shared" ref="AH183:AP183" si="507">AH184*AH118</f>
        <v>34424.923696964492</v>
      </c>
      <c r="AI183" s="2848">
        <f t="shared" si="507"/>
        <v>61890.717866953775</v>
      </c>
      <c r="AJ183" s="2848">
        <f t="shared" si="507"/>
        <v>51777.352088484367</v>
      </c>
      <c r="AK183" s="2848">
        <f t="shared" si="507"/>
        <v>85880.698690671226</v>
      </c>
      <c r="AL183" s="2848">
        <f t="shared" si="507"/>
        <v>40878.139927432421</v>
      </c>
      <c r="AM183" s="2848">
        <f t="shared" si="507"/>
        <v>74967.404884731994</v>
      </c>
      <c r="AN183" s="2848">
        <f t="shared" si="507"/>
        <v>63519.459931249054</v>
      </c>
      <c r="AO183" s="2848">
        <f t="shared" si="507"/>
        <v>103873.04021745475</v>
      </c>
      <c r="AP183" s="2848">
        <f t="shared" si="507"/>
        <v>49447.635329783006</v>
      </c>
      <c r="AQ183" s="2849"/>
      <c r="AR183" s="2848"/>
      <c r="AS183" s="2850"/>
      <c r="AT183" s="2848">
        <f>C183+D183+E183+F183</f>
        <v>29418</v>
      </c>
      <c r="AU183" s="2848">
        <f>G183+H183+I183+J183</f>
        <v>40578</v>
      </c>
      <c r="AV183" s="2848">
        <f>K183+L183+M183+N183</f>
        <v>51885</v>
      </c>
      <c r="AW183" s="2848">
        <f>O183+P183+Q183+R183</f>
        <v>74456</v>
      </c>
      <c r="AX183" s="2848">
        <f>S183+T183+U183+V183</f>
        <v>105298</v>
      </c>
      <c r="AY183" s="2848">
        <f>W183+X183+Y183+Z183</f>
        <v>121943</v>
      </c>
      <c r="AZ183" s="2848">
        <f>SUM(AA183:AD183)</f>
        <v>157083</v>
      </c>
      <c r="BA183" s="2848">
        <f>SUM(AE183:AH183)</f>
        <v>197507.24860942506</v>
      </c>
      <c r="BB183" s="2848">
        <f>SUM(AI183:AL183)</f>
        <v>240426.90857354179</v>
      </c>
      <c r="BC183" s="2848">
        <f>SUM(AM183:AP183)</f>
        <v>291807.54036321881</v>
      </c>
      <c r="BD183" s="2848">
        <f>BD164+BD171+BD174+BD177+BD180</f>
        <v>373771.72971509525</v>
      </c>
      <c r="BE183" s="2848">
        <f t="shared" ref="BE183:BJ183" si="508">BE164+BE171+BE174+BE177+BE180</f>
        <v>440730.2929776393</v>
      </c>
      <c r="BF183" s="2848">
        <f t="shared" si="508"/>
        <v>503781.86579279311</v>
      </c>
      <c r="BG183" s="2848">
        <f t="shared" si="508"/>
        <v>563768.38018493226</v>
      </c>
      <c r="BH183" s="2848">
        <f t="shared" si="508"/>
        <v>621607.34086748096</v>
      </c>
      <c r="BI183" s="2848">
        <f t="shared" si="508"/>
        <v>679599.68699036713</v>
      </c>
      <c r="BJ183" s="2848">
        <f t="shared" si="508"/>
        <v>740739.64521035145</v>
      </c>
      <c r="BL183" s="2848">
        <v>32148.310093566201</v>
      </c>
      <c r="BM183" s="2848">
        <v>51970.410347634403</v>
      </c>
      <c r="BN183" s="2848">
        <v>0</v>
      </c>
      <c r="BO183" s="2848">
        <v>0</v>
      </c>
    </row>
    <row r="184" spans="1:67" s="646" customFormat="1" ht="12" customHeight="1" x14ac:dyDescent="0.35">
      <c r="B184" s="672" t="s">
        <v>518</v>
      </c>
      <c r="C184" s="646">
        <f t="shared" ref="C184" si="509">C183/C118</f>
        <v>0.56541102245314534</v>
      </c>
      <c r="D184" s="646">
        <f>D183/D118</f>
        <v>0.59004566210045661</v>
      </c>
      <c r="E184" s="646">
        <f>E183/E118</f>
        <v>0.53224859962656712</v>
      </c>
      <c r="F184" s="646">
        <f t="shared" ref="F184:AD184" si="510">F183/F118</f>
        <v>0.57235475022857618</v>
      </c>
      <c r="G184" s="646">
        <f t="shared" si="510"/>
        <v>0.54365607761080459</v>
      </c>
      <c r="H184" s="646">
        <f t="shared" si="510"/>
        <v>0.50466456711628738</v>
      </c>
      <c r="I184" s="646">
        <f t="shared" si="510"/>
        <v>0.57022804537988458</v>
      </c>
      <c r="J184" s="646">
        <f t="shared" si="510"/>
        <v>0.49256814921090386</v>
      </c>
      <c r="K184" s="646">
        <f t="shared" si="510"/>
        <v>0.52284514694986417</v>
      </c>
      <c r="L184" s="646">
        <f t="shared" si="510"/>
        <v>0.50272878986062874</v>
      </c>
      <c r="M184" s="646">
        <f t="shared" si="510"/>
        <v>0.54008047940248383</v>
      </c>
      <c r="N184" s="646">
        <f t="shared" si="510"/>
        <v>0.47543830631822692</v>
      </c>
      <c r="O184" s="646">
        <f t="shared" si="510"/>
        <v>0.4653542327548672</v>
      </c>
      <c r="P184" s="646">
        <f t="shared" si="510"/>
        <v>0.46293596174034762</v>
      </c>
      <c r="Q184" s="646">
        <f t="shared" si="510"/>
        <v>0.50745567908653844</v>
      </c>
      <c r="R184" s="646">
        <f t="shared" si="510"/>
        <v>0.43020814432722465</v>
      </c>
      <c r="S184" s="646">
        <f t="shared" si="510"/>
        <v>0.50063765343535793</v>
      </c>
      <c r="T184" s="646">
        <f t="shared" si="510"/>
        <v>0.45410181052937121</v>
      </c>
      <c r="U184" s="646">
        <f t="shared" si="510"/>
        <v>0.42984294454882688</v>
      </c>
      <c r="V184" s="646">
        <f t="shared" si="510"/>
        <v>0.31411871084415166</v>
      </c>
      <c r="W184" s="646">
        <f t="shared" si="510"/>
        <v>0.36281512605042016</v>
      </c>
      <c r="X184" s="646">
        <f t="shared" si="510"/>
        <v>0.31368910602715272</v>
      </c>
      <c r="Y184" s="646">
        <f t="shared" si="510"/>
        <v>0.34710687426456793</v>
      </c>
      <c r="Z184" s="2780">
        <f t="shared" si="510"/>
        <v>0.26916083766497678</v>
      </c>
      <c r="AA184" s="2780">
        <f t="shared" si="510"/>
        <v>0.34142563781281543</v>
      </c>
      <c r="AB184" s="2780">
        <f t="shared" si="510"/>
        <v>0.30688893183326754</v>
      </c>
      <c r="AC184" s="2780">
        <f t="shared" si="510"/>
        <v>0.34610048558121098</v>
      </c>
      <c r="AD184" s="2780">
        <f t="shared" si="510"/>
        <v>0.22254492013226726</v>
      </c>
      <c r="AE184" s="2780">
        <f>AE183/AE118</f>
        <v>0.33195881652802256</v>
      </c>
      <c r="AF184" s="2780">
        <f>AF183/AF118</f>
        <v>0.26580849870049467</v>
      </c>
      <c r="AG184" s="2717">
        <f>AC184</f>
        <v>0.34610048558121098</v>
      </c>
      <c r="AH184" s="2717">
        <f t="shared" ref="AH184:AP184" si="511">AD184</f>
        <v>0.22254492013226726</v>
      </c>
      <c r="AI184" s="2717">
        <f>AE184*0.96</f>
        <v>0.31868046386690163</v>
      </c>
      <c r="AJ184" s="2717">
        <f t="shared" ref="AJ184:AL184" si="512">AF184*0.96</f>
        <v>0.25517615875247485</v>
      </c>
      <c r="AK184" s="2717">
        <f t="shared" si="512"/>
        <v>0.3322564661579625</v>
      </c>
      <c r="AL184" s="2717">
        <f t="shared" si="512"/>
        <v>0.21364312332697658</v>
      </c>
      <c r="AM184" s="2717">
        <f t="shared" ref="AJ184:AP184" si="513">AI184*0.98</f>
        <v>0.31230685458956359</v>
      </c>
      <c r="AN184" s="2717">
        <f t="shared" si="513"/>
        <v>0.25007263557742532</v>
      </c>
      <c r="AO184" s="2717">
        <f t="shared" si="513"/>
        <v>0.32561133683480326</v>
      </c>
      <c r="AP184" s="2717">
        <f t="shared" si="513"/>
        <v>0.20937026086043703</v>
      </c>
      <c r="AQ184" s="656"/>
      <c r="AR184" s="657"/>
      <c r="AS184" s="565"/>
      <c r="AT184" s="674">
        <f t="shared" ref="AT184:BB184" si="514">AT183/AT118</f>
        <v>0.56030016760627765</v>
      </c>
      <c r="AU184" s="674">
        <f t="shared" si="514"/>
        <v>0.53249173271744266</v>
      </c>
      <c r="AV184" s="652">
        <f t="shared" si="514"/>
        <v>0.51298656357830008</v>
      </c>
      <c r="AW184" s="652">
        <f t="shared" si="514"/>
        <v>0.47042767875758973</v>
      </c>
      <c r="AX184" s="652">
        <f t="shared" si="514"/>
        <v>0.4207443280349708</v>
      </c>
      <c r="AY184" s="652">
        <f t="shared" si="514"/>
        <v>0.32359013278704185</v>
      </c>
      <c r="AZ184" s="652">
        <f t="shared" si="514"/>
        <v>0.3081805179797964</v>
      </c>
      <c r="BA184" s="652">
        <f t="shared" si="514"/>
        <v>0.29560698421559733</v>
      </c>
      <c r="BB184" s="652">
        <f t="shared" si="514"/>
        <v>0.28387943849077629</v>
      </c>
      <c r="BC184" s="652">
        <f t="shared" ref="BC184:BD184" si="515">BC183/BC118</f>
        <v>0.27811575119044579</v>
      </c>
      <c r="BD184" s="652">
        <f t="shared" si="515"/>
        <v>0.29520749933870799</v>
      </c>
      <c r="BE184" s="652">
        <f t="shared" ref="BE184:BJ184" si="516">BE183/BE118</f>
        <v>0.29675651576169931</v>
      </c>
      <c r="BF184" s="652">
        <f t="shared" si="516"/>
        <v>0.29680886111328947</v>
      </c>
      <c r="BG184" s="652">
        <f t="shared" si="516"/>
        <v>0.29709860703084556</v>
      </c>
      <c r="BH184" s="652">
        <f t="shared" si="516"/>
        <v>0.29825422888651282</v>
      </c>
      <c r="BI184" s="652">
        <f t="shared" si="516"/>
        <v>0.30099488034344174</v>
      </c>
      <c r="BJ184" s="652">
        <f t="shared" si="516"/>
        <v>0.30612053614601548</v>
      </c>
      <c r="BL184" s="2780">
        <v>0.27435898683094401</v>
      </c>
      <c r="BM184" s="2780">
        <v>0.31593422829862899</v>
      </c>
    </row>
    <row r="185" spans="1:67" s="646" customFormat="1" ht="15.4" x14ac:dyDescent="0.45">
      <c r="B185" s="672" t="s">
        <v>529</v>
      </c>
      <c r="G185" s="646">
        <f>G183/C183-2</f>
        <v>-0.59304233672464712</v>
      </c>
      <c r="H185" s="646">
        <f>H183/D183-2</f>
        <v>-0.68549760099055868</v>
      </c>
      <c r="I185" s="646">
        <f>I183/E183-2</f>
        <v>-0.50375864488323141</v>
      </c>
      <c r="J185" s="646">
        <f t="shared" ref="J185:K185" si="517">J183/F183-2</f>
        <v>-0.75355794365379025</v>
      </c>
      <c r="K185" s="646">
        <f t="shared" si="517"/>
        <v>-0.76545369722416612</v>
      </c>
      <c r="L185" s="646">
        <f t="shared" ref="L185:Z185" si="518">L183/H183-1</f>
        <v>0.31237489697397858</v>
      </c>
      <c r="M185" s="646">
        <f t="shared" si="518"/>
        <v>0.24973204715969999</v>
      </c>
      <c r="N185" s="646">
        <f t="shared" si="518"/>
        <v>0.33962483979960378</v>
      </c>
      <c r="O185" s="646">
        <f t="shared" si="518"/>
        <v>0.41360415682569673</v>
      </c>
      <c r="P185" s="646">
        <f t="shared" si="518"/>
        <v>0.42427776780907944</v>
      </c>
      <c r="Q185" s="646">
        <f t="shared" si="518"/>
        <v>0.44838121783876494</v>
      </c>
      <c r="R185" s="646">
        <f t="shared" si="518"/>
        <v>0.44346842929205077</v>
      </c>
      <c r="S185" s="646">
        <f t="shared" si="518"/>
        <v>0.67907505179442618</v>
      </c>
      <c r="T185" s="646">
        <f t="shared" si="518"/>
        <v>0.576755905511811</v>
      </c>
      <c r="U185" s="646">
        <f t="shared" si="518"/>
        <v>0.32078753562044326</v>
      </c>
      <c r="V185" s="646">
        <f t="shared" si="518"/>
        <v>0.17213954329095627</v>
      </c>
      <c r="W185" s="646">
        <f t="shared" si="518"/>
        <v>0.16856392294220668</v>
      </c>
      <c r="X185" s="2786">
        <f t="shared" si="518"/>
        <v>6.707682473732568E-2</v>
      </c>
      <c r="Y185" s="2786">
        <f t="shared" si="518"/>
        <v>0.14063156714954195</v>
      </c>
      <c r="Z185" s="2786">
        <f t="shared" si="518"/>
        <v>0.29361570885165</v>
      </c>
      <c r="AA185" s="2786">
        <f>AA183/W183-1</f>
        <v>0.33648966245444334</v>
      </c>
      <c r="AB185" s="2786">
        <f t="shared" ref="AB185:AD185" si="519">AB183/X183-1</f>
        <v>0.36746536877573943</v>
      </c>
      <c r="AC185" s="646">
        <f t="shared" si="519"/>
        <v>0.37270315417117028</v>
      </c>
      <c r="AD185" s="646">
        <f t="shared" si="519"/>
        <v>1.0887705634586409E-2</v>
      </c>
      <c r="AE185" s="646">
        <f>AE183/AA183-1</f>
        <v>0.30075437076303579</v>
      </c>
      <c r="AF185" s="646">
        <f>AF183/AB183-1</f>
        <v>0.12843258042436689</v>
      </c>
      <c r="AG185" s="646">
        <f t="shared" ref="AG185:AP185" si="520">AG183/AC183-1</f>
        <v>0.26748970852649534</v>
      </c>
      <c r="AH185" s="646">
        <f t="shared" si="520"/>
        <v>0.3531809629309941</v>
      </c>
      <c r="AI185" s="646">
        <f t="shared" si="520"/>
        <v>0.21261619285161881</v>
      </c>
      <c r="AJ185" s="646">
        <f t="shared" si="520"/>
        <v>0.2562439850660998</v>
      </c>
      <c r="AK185" s="646">
        <f t="shared" si="520"/>
        <v>0.21253624638253621</v>
      </c>
      <c r="AL185" s="646">
        <f t="shared" si="520"/>
        <v>0.18745767709681105</v>
      </c>
      <c r="AM185" s="646">
        <f t="shared" si="520"/>
        <v>0.21128672389758218</v>
      </c>
      <c r="AN185" s="646">
        <f t="shared" si="520"/>
        <v>0.22678077130514773</v>
      </c>
      <c r="AO185" s="646">
        <f t="shared" si="520"/>
        <v>0.20950390251934392</v>
      </c>
      <c r="AP185" s="646">
        <f t="shared" si="520"/>
        <v>0.20963515995501014</v>
      </c>
      <c r="AQ185" s="656"/>
      <c r="AR185" s="657"/>
      <c r="AS185" s="565"/>
      <c r="AU185" s="646">
        <f>AU183/AT183-1</f>
        <v>0.37935957576993684</v>
      </c>
      <c r="AV185" s="646">
        <f t="shared" ref="AV185:BB185" si="521">AV183/AU183-1</f>
        <v>0.27864852875942625</v>
      </c>
      <c r="AW185" s="646">
        <f t="shared" si="521"/>
        <v>0.43501975522790781</v>
      </c>
      <c r="AX185" s="646">
        <f t="shared" si="521"/>
        <v>0.41423122381003541</v>
      </c>
      <c r="AY185" s="646">
        <f t="shared" si="521"/>
        <v>0.15807517711637442</v>
      </c>
      <c r="AZ185" s="2764">
        <f t="shared" si="521"/>
        <v>0.2881674224842754</v>
      </c>
      <c r="BA185" s="2764">
        <f t="shared" si="521"/>
        <v>0.25734324280428211</v>
      </c>
      <c r="BB185" s="2764">
        <f t="shared" si="521"/>
        <v>0.21730675844202207</v>
      </c>
      <c r="BC185" s="2764">
        <f t="shared" ref="BC185" si="522">BC183/BB183-1</f>
        <v>0.21370582891290946</v>
      </c>
      <c r="BD185" s="2764">
        <f t="shared" ref="BD185" si="523">BD183/BC183-1</f>
        <v>0.28088441186219493</v>
      </c>
      <c r="BE185" s="2764">
        <f t="shared" ref="BE185" si="524">BE183/BD183-1</f>
        <v>0.17914293120451541</v>
      </c>
      <c r="BF185" s="2764">
        <f t="shared" ref="BF185" si="525">BF183/BE183-1</f>
        <v>0.14306158169697847</v>
      </c>
      <c r="BG185" s="2764">
        <f t="shared" ref="BG185" si="526">BG183/BF183-1</f>
        <v>0.11907239713311113</v>
      </c>
      <c r="BH185" s="2764">
        <f t="shared" ref="BH185" si="527">BH183/BG183-1</f>
        <v>0.10259348114482014</v>
      </c>
      <c r="BI185" s="2764">
        <f t="shared" ref="BI185" si="528">BI183/BH183-1</f>
        <v>9.3294178350524781E-2</v>
      </c>
      <c r="BJ185" s="2764">
        <f t="shared" ref="BJ185" si="529">BJ183/BI183-1</f>
        <v>8.9964665067379546E-2</v>
      </c>
      <c r="BL185" s="646">
        <v>0.38839603081693902</v>
      </c>
      <c r="BM185" s="646">
        <v>0.42123801098352098</v>
      </c>
    </row>
    <row r="186" spans="1:67" s="668" customFormat="1" ht="12" customHeight="1" x14ac:dyDescent="0.35">
      <c r="B186" s="667"/>
      <c r="E186" s="650"/>
      <c r="F186" s="650"/>
      <c r="G186" s="650"/>
      <c r="H186" s="650"/>
      <c r="I186" s="650"/>
      <c r="J186" s="650"/>
      <c r="K186" s="650"/>
      <c r="L186" s="650"/>
      <c r="M186" s="650"/>
      <c r="N186" s="650"/>
      <c r="O186" s="650"/>
      <c r="P186" s="650"/>
      <c r="Q186" s="650"/>
      <c r="R186" s="650"/>
      <c r="S186" s="650"/>
      <c r="T186" s="650"/>
      <c r="U186" s="650"/>
      <c r="V186" s="650"/>
      <c r="W186" s="650"/>
      <c r="X186" s="650"/>
      <c r="Y186" s="650"/>
      <c r="Z186" s="650"/>
      <c r="AA186" s="650"/>
      <c r="AB186" s="650"/>
      <c r="AC186" s="650"/>
      <c r="AD186" s="650"/>
      <c r="AE186" s="650"/>
      <c r="AF186" s="650"/>
      <c r="AG186" s="650"/>
      <c r="AH186" s="650"/>
      <c r="AI186" s="650"/>
      <c r="AJ186" s="650"/>
      <c r="AK186" s="650"/>
      <c r="AL186" s="650"/>
      <c r="AM186" s="650"/>
      <c r="AN186" s="650"/>
      <c r="AO186" s="650"/>
      <c r="AP186" s="650"/>
      <c r="AQ186" s="649"/>
      <c r="AR186" s="729"/>
      <c r="AS186" s="730"/>
      <c r="AT186" s="650"/>
      <c r="AU186" s="650"/>
      <c r="AV186" s="650"/>
      <c r="AW186" s="650"/>
      <c r="AX186" s="650"/>
      <c r="AY186" s="650"/>
      <c r="AZ186" s="650"/>
      <c r="BA186" s="650"/>
      <c r="BB186" s="650"/>
      <c r="BC186" s="650"/>
      <c r="BD186" s="650"/>
      <c r="BE186" s="650"/>
      <c r="BF186" s="650"/>
      <c r="BG186" s="650"/>
      <c r="BH186" s="650"/>
      <c r="BI186" s="650"/>
      <c r="BJ186" s="650"/>
      <c r="BL186" s="650"/>
      <c r="BM186" s="650"/>
      <c r="BN186" s="650"/>
      <c r="BO186" s="650"/>
    </row>
    <row r="187" spans="1:67" s="648" customFormat="1" ht="12" customHeight="1" x14ac:dyDescent="0.35">
      <c r="B187" s="2787" t="s">
        <v>460</v>
      </c>
      <c r="C187" s="709"/>
      <c r="D187" s="709"/>
      <c r="E187" s="709"/>
      <c r="F187" s="709"/>
      <c r="G187" s="709"/>
      <c r="H187" s="709"/>
      <c r="I187" s="709"/>
      <c r="J187" s="709"/>
      <c r="K187" s="709"/>
      <c r="L187" s="709"/>
      <c r="M187" s="709"/>
      <c r="N187" s="709"/>
      <c r="O187" s="709"/>
      <c r="P187" s="709"/>
      <c r="Q187" s="709"/>
      <c r="R187" s="709"/>
      <c r="S187" s="709"/>
      <c r="T187" s="709"/>
      <c r="U187" s="709"/>
      <c r="V187" s="709"/>
      <c r="X187" s="709"/>
      <c r="Y187" s="709"/>
      <c r="AC187" s="2788"/>
      <c r="AD187" s="2788"/>
      <c r="AE187" s="2789" t="e">
        <f ca="1">_xll.VisibleAlpha.UDF.VAData("BABA","1QFY-2021","EBITA - Operating")</f>
        <v>#NAME?</v>
      </c>
      <c r="AF187" s="2789" t="e">
        <f ca="1">_xll.VisibleAlpha.UDF.VAData("BABA","2QFY-2021","EBITA - Operating")</f>
        <v>#NAME?</v>
      </c>
      <c r="AG187" s="2789" t="e">
        <f ca="1">_xll.VisibleAlpha.UDF.VAData("BABA","3QFY-2021","EBITA - Operating")</f>
        <v>#NAME?</v>
      </c>
      <c r="AH187" s="2789" t="e">
        <f ca="1">_xll.VisibleAlpha.UDF.VAData("BABA","4QFY-2021","EBITA - Operating")</f>
        <v>#NAME?</v>
      </c>
      <c r="AI187" s="2789" t="e">
        <f ca="1">_xll.VisibleAlpha.UDF.VAData("BABA",AI2,"EBITA - Operating")</f>
        <v>#NAME?</v>
      </c>
      <c r="AJ187" s="2789" t="e">
        <f ca="1">_xll.VisibleAlpha.UDF.VAData("BABA",AJ2,"EBITA - Operating")</f>
        <v>#NAME?</v>
      </c>
      <c r="AK187" s="2789" t="e">
        <f ca="1">_xll.VisibleAlpha.UDF.VAData("BABA",AK2,"EBITA - Operating")</f>
        <v>#NAME?</v>
      </c>
      <c r="AL187" s="2789" t="e">
        <f ca="1">_xll.VisibleAlpha.UDF.VAData("BABA",AL2,"EBITA - Operating")</f>
        <v>#NAME?</v>
      </c>
      <c r="AM187" s="2789" t="e">
        <f ca="1">_xll.VisibleAlpha.UDF.VAData("BABA",AM2,"EBITA - Operating")</f>
        <v>#NAME?</v>
      </c>
      <c r="AN187" s="2789" t="e">
        <f ca="1">_xll.VisibleAlpha.UDF.VAData("BABA",AN2,"EBITA - Operating")</f>
        <v>#NAME?</v>
      </c>
      <c r="AO187" s="2789" t="e">
        <f ca="1">_xll.VisibleAlpha.UDF.VAData("BABA",AO2,"EBITA - Operating")</f>
        <v>#NAME?</v>
      </c>
      <c r="AP187" s="2789" t="e">
        <f ca="1">_xll.VisibleAlpha.UDF.VAData("BABA",AP2,"EBITA - Operating")</f>
        <v>#NAME?</v>
      </c>
      <c r="AQ187" s="2741"/>
      <c r="AR187" s="729"/>
      <c r="AS187" s="730"/>
      <c r="AT187" s="709"/>
      <c r="AU187" s="709"/>
      <c r="AV187" s="709"/>
      <c r="AW187" s="709"/>
      <c r="AX187" s="709"/>
      <c r="AY187" s="709"/>
      <c r="AZ187" s="2789" t="e">
        <f ca="1">_xll.VisibleAlpha.UDF.VAData("BABA","FY-2020","EBITA - Operating")</f>
        <v>#NAME?</v>
      </c>
      <c r="BA187" s="2789" t="e">
        <f ca="1">_xll.VisibleAlpha.UDF.VAData("BABA","FY-2021","EBITA - Operating")</f>
        <v>#NAME?</v>
      </c>
      <c r="BB187" s="2789" t="e">
        <f ca="1">_xll.VisibleAlpha.UDF.VAData("BABA","FY-2022","EBITA - Operating")</f>
        <v>#NAME?</v>
      </c>
      <c r="BC187" s="2789" t="e">
        <f ca="1">_xll.VisibleAlpha.UDF.VAData("BABA","FY-2021","EBITA - Operating")</f>
        <v>#NAME?</v>
      </c>
      <c r="BD187" s="2789" t="e">
        <f ca="1">_xll.VisibleAlpha.UDF.VAData("BABA","FY-2022","EBITA - Operating")</f>
        <v>#NAME?</v>
      </c>
      <c r="BE187" s="2789" t="e">
        <f ca="1">_xll.VisibleAlpha.UDF.VAData("BABA","FY-2021","EBITA - Operating")</f>
        <v>#NAME?</v>
      </c>
      <c r="BF187" s="2789" t="e">
        <f ca="1">_xll.VisibleAlpha.UDF.VAData("BABA","FY-2022","EBITA - Operating")</f>
        <v>#NAME?</v>
      </c>
      <c r="BG187" s="2789" t="e">
        <f ca="1">_xll.VisibleAlpha.UDF.VAData("BABA","FY-2021","EBITA - Operating")</f>
        <v>#NAME?</v>
      </c>
      <c r="BH187" s="2789" t="e">
        <f ca="1">_xll.VisibleAlpha.UDF.VAData("BABA","FY-2022","EBITA - Operating")</f>
        <v>#NAME?</v>
      </c>
      <c r="BI187" s="2789" t="e">
        <f ca="1">_xll.VisibleAlpha.UDF.VAData("BABA","FY-2021","EBITA - Operating")</f>
        <v>#NAME?</v>
      </c>
      <c r="BJ187" s="2789" t="e">
        <f ca="1">_xll.VisibleAlpha.UDF.VAData("BABA","FY-2022","EBITA - Operating")</f>
        <v>#NAME?</v>
      </c>
      <c r="BL187" s="652"/>
      <c r="BM187" s="652"/>
      <c r="BN187" s="2789">
        <v>40272.319816203402</v>
      </c>
      <c r="BO187" s="2789">
        <v>41714.4804592773</v>
      </c>
    </row>
    <row r="188" spans="1:67" s="648" customFormat="1" ht="12" customHeight="1" x14ac:dyDescent="0.35">
      <c r="B188" s="672" t="s">
        <v>529</v>
      </c>
      <c r="C188" s="709"/>
      <c r="D188" s="709"/>
      <c r="E188" s="709"/>
      <c r="F188" s="709"/>
      <c r="G188" s="709"/>
      <c r="H188" s="709"/>
      <c r="I188" s="709"/>
      <c r="J188" s="709"/>
      <c r="K188" s="709"/>
      <c r="L188" s="709"/>
      <c r="M188" s="709"/>
      <c r="N188" s="709"/>
      <c r="O188" s="709"/>
      <c r="P188" s="709"/>
      <c r="Q188" s="709"/>
      <c r="R188" s="709"/>
      <c r="S188" s="709"/>
      <c r="T188" s="709"/>
      <c r="U188" s="709"/>
      <c r="V188" s="709"/>
      <c r="X188" s="709"/>
      <c r="Y188" s="709"/>
      <c r="Z188" s="652"/>
      <c r="AA188" s="652"/>
      <c r="AB188" s="652"/>
      <c r="AC188" s="652"/>
      <c r="AD188" s="652"/>
      <c r="AE188" s="646" t="e">
        <f ca="1">_xll.VisibleAlpha.UDF.VAData("BABA","1QFY-2021","EBITA - Operating","Consensus","CD","IMPL","2020/8/12","YoY%")</f>
        <v>#NAME?</v>
      </c>
      <c r="AF188" s="646" t="e">
        <f ca="1">_xll.VisibleAlpha.UDF.VAData("BABA","2QFY-2021","EBITA - Operating","Consensus","CD","IMPL","2020/8/12","YoY%")</f>
        <v>#NAME?</v>
      </c>
      <c r="AG188" s="646" t="e">
        <f ca="1">_xll.VisibleAlpha.UDF.VAData("BABA","3QFY-2021","EBITA - Operating","Consensus","CD","IMPL","2020/8/12","YoY%")</f>
        <v>#NAME?</v>
      </c>
      <c r="AH188" s="646" t="e">
        <f ca="1">_xll.VisibleAlpha.UDF.VAData("BABA","4QFY-2021","EBITA - Operating","Consensus","CD","IMPL","2020/8/12","YoY%")</f>
        <v>#NAME?</v>
      </c>
      <c r="AI188" s="646" t="e">
        <f ca="1">_xll.VisibleAlpha.UDF.VAData("BABA",AI2,"EBITA - Operating","Consensus","CD","IMPL","2020/8/12","YoY%")</f>
        <v>#NAME?</v>
      </c>
      <c r="AJ188" s="646" t="e">
        <f ca="1">_xll.VisibleAlpha.UDF.VAData("BABA",AJ2,"EBITA - Operating","Consensus","CD","IMPL","2020/8/12","YoY%")</f>
        <v>#NAME?</v>
      </c>
      <c r="AK188" s="646" t="e">
        <f ca="1">_xll.VisibleAlpha.UDF.VAData("BABA",AK2,"EBITA - Operating","Consensus","CD","IMPL","2020/8/12","YoY%")</f>
        <v>#NAME?</v>
      </c>
      <c r="AL188" s="646" t="e">
        <f ca="1">_xll.VisibleAlpha.UDF.VAData("BABA",AL2,"EBITA - Operating","Consensus","CD","IMPL","2020/8/12","YoY%")</f>
        <v>#NAME?</v>
      </c>
      <c r="AM188" s="646" t="e">
        <f ca="1">_xll.VisibleAlpha.UDF.VAData("BABA",AM2,"EBITA - Operating","Consensus","CD","IMPL","2020/8/12","YoY%")</f>
        <v>#NAME?</v>
      </c>
      <c r="AN188" s="646" t="e">
        <f ca="1">_xll.VisibleAlpha.UDF.VAData("BABA",AN2,"EBITA - Operating","Consensus","CD","IMPL","2020/8/12","YoY%")</f>
        <v>#NAME?</v>
      </c>
      <c r="AO188" s="646" t="e">
        <f ca="1">_xll.VisibleAlpha.UDF.VAData("BABA",AO2,"EBITA - Operating","Consensus","CD","IMPL","2020/8/12","YoY%")</f>
        <v>#NAME?</v>
      </c>
      <c r="AP188" s="646" t="e">
        <f ca="1">_xll.VisibleAlpha.UDF.VAData("BABA",AP2,"EBITA - Operating","Consensus","CD","IMPL","2020/8/12","YoY%")</f>
        <v>#NAME?</v>
      </c>
      <c r="AQ188" s="2741"/>
      <c r="AR188" s="729"/>
      <c r="AS188" s="730"/>
      <c r="AT188" s="709"/>
      <c r="AU188" s="709"/>
      <c r="AV188" s="709"/>
      <c r="AW188" s="709"/>
      <c r="AX188" s="709"/>
      <c r="AY188" s="709"/>
      <c r="AZ188" s="646" t="e">
        <f ca="1">_xll.VisibleAlpha.UDF.VAData("BABA","FY-2020","EBITA - Operating","Consensus","CD","IMPL","2020/8/12","YoY%")</f>
        <v>#NAME?</v>
      </c>
      <c r="BA188" s="646" t="e">
        <f ca="1">_xll.VisibleAlpha.UDF.VAData("BABA","FY-2021","EBITA - Operating","Consensus","CD","IMPL","2020/8/12","YoY%")</f>
        <v>#NAME?</v>
      </c>
      <c r="BB188" s="646" t="e">
        <f ca="1">_xll.VisibleAlpha.UDF.VAData("BABA","FY-2022","EBITA - Operating","Consensus","CD","IMPL","2020/8/12","YoY%")</f>
        <v>#NAME?</v>
      </c>
      <c r="BC188" s="646" t="e">
        <f ca="1">_xll.VisibleAlpha.UDF.VAData("BABA","FY-2021","EBITA - Operating","Consensus","CD","IMPL","2020/8/12","YoY%")</f>
        <v>#NAME?</v>
      </c>
      <c r="BD188" s="646" t="e">
        <f ca="1">_xll.VisibleAlpha.UDF.VAData("BABA","FY-2022","EBITA - Operating","Consensus","CD","IMPL","2020/8/12","YoY%")</f>
        <v>#NAME?</v>
      </c>
      <c r="BE188" s="646" t="e">
        <f ca="1">_xll.VisibleAlpha.UDF.VAData("BABA","FY-2021","EBITA - Operating","Consensus","CD","IMPL","2020/8/12","YoY%")</f>
        <v>#NAME?</v>
      </c>
      <c r="BF188" s="646" t="e">
        <f ca="1">_xll.VisibleAlpha.UDF.VAData("BABA","FY-2022","EBITA - Operating","Consensus","CD","IMPL","2020/8/12","YoY%")</f>
        <v>#NAME?</v>
      </c>
      <c r="BG188" s="646" t="e">
        <f ca="1">_xll.VisibleAlpha.UDF.VAData("BABA","FY-2021","EBITA - Operating","Consensus","CD","IMPL","2020/8/12","YoY%")</f>
        <v>#NAME?</v>
      </c>
      <c r="BH188" s="646" t="e">
        <f ca="1">_xll.VisibleAlpha.UDF.VAData("BABA","FY-2022","EBITA - Operating","Consensus","CD","IMPL","2020/8/12","YoY%")</f>
        <v>#NAME?</v>
      </c>
      <c r="BI188" s="646" t="e">
        <f ca="1">_xll.VisibleAlpha.UDF.VAData("BABA","FY-2021","EBITA - Operating","Consensus","CD","IMPL","2020/8/12","YoY%")</f>
        <v>#NAME?</v>
      </c>
      <c r="BJ188" s="646" t="e">
        <f ca="1">_xll.VisibleAlpha.UDF.VAData("BABA","FY-2022","EBITA - Operating","Consensus","CD","IMPL","2020/8/12","YoY%")</f>
        <v>#NAME?</v>
      </c>
      <c r="BL188" s="652"/>
      <c r="BM188" s="652"/>
      <c r="BN188" s="646">
        <v>0.16542191851497401</v>
      </c>
      <c r="BO188" s="646">
        <v>0.232458889045879</v>
      </c>
    </row>
    <row r="189" spans="1:67" ht="12" customHeight="1" x14ac:dyDescent="0.35">
      <c r="C189" s="578"/>
      <c r="D189" s="578"/>
      <c r="E189" s="578"/>
      <c r="F189" s="578"/>
      <c r="G189" s="578"/>
      <c r="H189" s="578"/>
      <c r="I189" s="578"/>
      <c r="J189" s="578"/>
      <c r="K189" s="578"/>
      <c r="L189" s="578"/>
      <c r="M189" s="578"/>
      <c r="N189" s="578"/>
      <c r="O189" s="578"/>
      <c r="P189" s="578"/>
      <c r="Q189" s="578"/>
      <c r="R189" s="578"/>
      <c r="S189" s="578"/>
      <c r="T189" s="578"/>
      <c r="U189" s="578"/>
      <c r="V189" s="578"/>
      <c r="X189" s="578"/>
      <c r="Y189" s="578"/>
      <c r="Z189" s="554"/>
      <c r="AA189" s="554"/>
      <c r="AB189" s="554"/>
      <c r="AC189" s="554"/>
      <c r="AD189" s="554"/>
      <c r="AE189" s="578"/>
      <c r="AF189" s="578"/>
      <c r="AG189" s="578"/>
      <c r="AH189" s="578"/>
      <c r="AI189" s="578"/>
      <c r="AJ189" s="578"/>
      <c r="AK189" s="578"/>
      <c r="AL189" s="578"/>
      <c r="AM189" s="578"/>
      <c r="AN189" s="578"/>
      <c r="AO189" s="578"/>
      <c r="AP189" s="578"/>
      <c r="AQ189" s="507"/>
      <c r="AR189" s="508"/>
      <c r="AS189" s="509"/>
      <c r="AT189" s="578"/>
      <c r="AU189" s="578"/>
      <c r="AV189" s="578"/>
      <c r="AW189" s="578"/>
      <c r="AX189" s="578"/>
      <c r="AY189" s="578"/>
      <c r="AZ189" s="578"/>
      <c r="BA189" s="578"/>
      <c r="BB189" s="578"/>
      <c r="BC189" s="578"/>
      <c r="BD189" s="578"/>
      <c r="BE189" s="578"/>
      <c r="BF189" s="578"/>
      <c r="BG189" s="578"/>
      <c r="BH189" s="578"/>
      <c r="BI189" s="578"/>
      <c r="BJ189" s="578"/>
      <c r="BL189" s="554"/>
      <c r="BM189" s="554"/>
      <c r="BN189" s="578"/>
      <c r="BO189" s="578"/>
    </row>
    <row r="190" spans="1:67" ht="12" customHeight="1" x14ac:dyDescent="0.35">
      <c r="C190" s="578"/>
      <c r="D190" s="578"/>
      <c r="E190" s="578"/>
      <c r="F190" s="578"/>
      <c r="G190" s="578"/>
      <c r="H190" s="578"/>
      <c r="I190" s="578"/>
      <c r="J190" s="578"/>
      <c r="K190" s="578"/>
      <c r="L190" s="578"/>
      <c r="M190" s="578"/>
      <c r="N190" s="578"/>
      <c r="O190" s="578"/>
      <c r="P190" s="578"/>
      <c r="Q190" s="578"/>
      <c r="R190" s="578"/>
      <c r="S190" s="578"/>
      <c r="T190" s="578"/>
      <c r="U190" s="578"/>
      <c r="V190" s="578"/>
      <c r="X190" s="578"/>
      <c r="Y190" s="578"/>
      <c r="Z190" s="578"/>
      <c r="AA190" s="578"/>
      <c r="AB190" s="578"/>
      <c r="AC190" s="578"/>
      <c r="AD190" s="578"/>
      <c r="AE190" s="578"/>
      <c r="AF190" s="578"/>
      <c r="AG190" s="578"/>
      <c r="AH190" s="578"/>
      <c r="AI190" s="578"/>
      <c r="AJ190" s="578"/>
      <c r="AK190" s="578"/>
      <c r="AL190" s="578"/>
      <c r="AM190" s="578"/>
      <c r="AN190" s="578"/>
      <c r="AO190" s="578"/>
      <c r="AP190" s="578"/>
      <c r="AQ190" s="507"/>
      <c r="AR190" s="508"/>
      <c r="AS190" s="509"/>
      <c r="AT190" s="578"/>
      <c r="AU190" s="578"/>
      <c r="AV190" s="578"/>
      <c r="AW190" s="578"/>
      <c r="AX190" s="578"/>
      <c r="AY190" s="578"/>
      <c r="AZ190" s="578"/>
      <c r="BA190" s="578"/>
      <c r="BB190" s="578"/>
      <c r="BC190" s="578"/>
      <c r="BD190" s="578"/>
      <c r="BE190" s="578"/>
      <c r="BF190" s="578"/>
      <c r="BG190" s="578"/>
      <c r="BH190" s="578"/>
      <c r="BI190" s="578"/>
      <c r="BJ190" s="578"/>
      <c r="BL190" s="578"/>
      <c r="BM190" s="578"/>
      <c r="BN190" s="578"/>
      <c r="BO190" s="578"/>
    </row>
    <row r="191" spans="1:67" s="663" customFormat="1" ht="12" customHeight="1" x14ac:dyDescent="0.35">
      <c r="A191" s="660" t="s">
        <v>537</v>
      </c>
      <c r="B191" s="661" t="s">
        <v>538</v>
      </c>
      <c r="C191" s="662"/>
      <c r="D191" s="662"/>
      <c r="E191" s="662">
        <f>E246</f>
        <v>8801</v>
      </c>
      <c r="F191" s="662">
        <f t="shared" ref="F191:U191" si="530">F246</f>
        <v>5451</v>
      </c>
      <c r="G191" s="662">
        <f t="shared" si="530"/>
        <v>6844</v>
      </c>
      <c r="H191" s="662">
        <f t="shared" si="530"/>
        <v>4345</v>
      </c>
      <c r="I191" s="662">
        <f t="shared" si="530"/>
        <v>9347</v>
      </c>
      <c r="J191" s="662">
        <f t="shared" si="530"/>
        <v>2599</v>
      </c>
      <c r="K191" s="662">
        <f t="shared" si="530"/>
        <v>5161</v>
      </c>
      <c r="L191" s="662">
        <f t="shared" si="530"/>
        <v>6395</v>
      </c>
      <c r="M191" s="662">
        <f t="shared" si="530"/>
        <v>12434</v>
      </c>
      <c r="N191" s="662">
        <f t="shared" si="530"/>
        <v>5112</v>
      </c>
      <c r="O191" s="662">
        <f t="shared" si="530"/>
        <v>8814</v>
      </c>
      <c r="P191" s="662">
        <f t="shared" si="530"/>
        <v>9045</v>
      </c>
      <c r="Q191" s="662">
        <f t="shared" si="530"/>
        <v>20664</v>
      </c>
      <c r="R191" s="662">
        <f t="shared" si="530"/>
        <v>9532</v>
      </c>
      <c r="S191" s="662">
        <f t="shared" si="530"/>
        <v>17513</v>
      </c>
      <c r="T191" s="662">
        <f t="shared" si="530"/>
        <v>16584</v>
      </c>
      <c r="U191" s="662">
        <f t="shared" si="530"/>
        <v>25996</v>
      </c>
      <c r="V191" s="662">
        <f>V246</f>
        <v>9221</v>
      </c>
      <c r="W191" s="662">
        <f>W183-W273-W266</f>
        <v>10877</v>
      </c>
      <c r="X191" s="662">
        <f t="shared" ref="X191:AD191" si="531">X183-X273-X266</f>
        <v>17056</v>
      </c>
      <c r="Y191" s="662">
        <f t="shared" si="531"/>
        <v>30939</v>
      </c>
      <c r="Z191" s="662">
        <f t="shared" ca="1" si="531"/>
        <v>-97620</v>
      </c>
      <c r="AA191" s="662">
        <f t="shared" si="531"/>
        <v>29057</v>
      </c>
      <c r="AB191" s="662">
        <f t="shared" si="531"/>
        <v>25374</v>
      </c>
      <c r="AC191" s="662">
        <f t="shared" si="531"/>
        <v>44778</v>
      </c>
      <c r="AD191" s="662">
        <f t="shared" si="531"/>
        <v>14530.310039245949</v>
      </c>
      <c r="AE191" s="662">
        <f>AE183-AE273-AE266</f>
        <v>40372</v>
      </c>
      <c r="AF191" s="662">
        <f>AF183-AF273-AF266</f>
        <v>13634</v>
      </c>
      <c r="AG191" s="662">
        <f t="shared" ref="AG191:AP191" si="532">AG183-AG273-AG266</f>
        <v>57829.369383053359</v>
      </c>
      <c r="AH191" s="662">
        <f t="shared" si="532"/>
        <v>21179.682430004221</v>
      </c>
      <c r="AI191" s="662">
        <f t="shared" si="532"/>
        <v>49388.481148939987</v>
      </c>
      <c r="AJ191" s="662">
        <f t="shared" si="532"/>
        <v>17221.377934444965</v>
      </c>
      <c r="AK191" s="662">
        <f t="shared" si="532"/>
        <v>70569.936047016352</v>
      </c>
      <c r="AL191" s="662">
        <f t="shared" si="532"/>
        <v>25617.61845595454</v>
      </c>
      <c r="AM191" s="662">
        <f t="shared" si="532"/>
        <v>60447.329938122675</v>
      </c>
      <c r="AN191" s="662">
        <f t="shared" si="532"/>
        <v>21781.798172885115</v>
      </c>
      <c r="AO191" s="662">
        <f t="shared" si="532"/>
        <v>86040.109818450088</v>
      </c>
      <c r="AP191" s="662">
        <f t="shared" si="532"/>
        <v>31773.684578146371</v>
      </c>
      <c r="AQ191" s="507"/>
      <c r="AR191" s="508"/>
      <c r="AS191" s="509"/>
      <c r="AT191" s="662">
        <f>AT246</f>
        <v>24920</v>
      </c>
      <c r="AU191" s="662">
        <f>AU246</f>
        <v>23135</v>
      </c>
      <c r="AV191" s="662">
        <f>AV246</f>
        <v>29102</v>
      </c>
      <c r="AW191" s="662">
        <f>AW246</f>
        <v>48055</v>
      </c>
      <c r="AX191" s="662">
        <f>AX246</f>
        <v>69314</v>
      </c>
      <c r="AY191" s="662">
        <f ca="1">AY183-AY273-AY266</f>
        <v>-38748</v>
      </c>
      <c r="AZ191" s="662">
        <f>AZ183-AZ273-AZ266</f>
        <v>113739.31003924595</v>
      </c>
      <c r="BA191" s="662">
        <f>BA183-BA273-BA266</f>
        <v>133015.05181305759</v>
      </c>
      <c r="BB191" s="662">
        <f>BB183-BB273-BB266</f>
        <v>162797.41358635586</v>
      </c>
      <c r="BC191" s="662">
        <f t="shared" ref="BC191:BJ191" si="533">BC183-BC273-BC266</f>
        <v>200042.92250760426</v>
      </c>
      <c r="BD191" s="662">
        <f t="shared" si="533"/>
        <v>267599.91470703518</v>
      </c>
      <c r="BE191" s="662">
        <f t="shared" si="533"/>
        <v>320605.72521414893</v>
      </c>
      <c r="BF191" s="662">
        <f t="shared" si="533"/>
        <v>370785.25052251824</v>
      </c>
      <c r="BG191" s="662">
        <f t="shared" si="533"/>
        <v>419284.13363219652</v>
      </c>
      <c r="BH191" s="662">
        <f t="shared" si="533"/>
        <v>467072.93508024322</v>
      </c>
      <c r="BI191" s="662">
        <f t="shared" si="533"/>
        <v>516327.85098948225</v>
      </c>
      <c r="BJ191" s="662">
        <f t="shared" si="533"/>
        <v>569905.0865892279</v>
      </c>
      <c r="BK191" s="493"/>
      <c r="BL191" s="662">
        <v>21557.0088303214</v>
      </c>
      <c r="BM191" s="662">
        <v>41256.959960855202</v>
      </c>
      <c r="BN191" s="662"/>
      <c r="BO191" s="662"/>
    </row>
    <row r="192" spans="1:67" s="663" customFormat="1" ht="12" customHeight="1" x14ac:dyDescent="0.35">
      <c r="A192" s="660" t="s">
        <v>539</v>
      </c>
      <c r="B192" s="661" t="s">
        <v>540</v>
      </c>
      <c r="V192" s="662"/>
      <c r="W192" s="662">
        <f>W246</f>
        <v>8020</v>
      </c>
      <c r="X192" s="662">
        <f>X246</f>
        <v>13501</v>
      </c>
      <c r="Y192" s="662">
        <f>Y246</f>
        <v>26798</v>
      </c>
      <c r="Z192" s="662">
        <f>Z246</f>
        <v>8765</v>
      </c>
      <c r="AA192" s="662">
        <f>AA246</f>
        <v>24375</v>
      </c>
      <c r="AB192" s="662">
        <f>AB246+AB274</f>
        <v>20940</v>
      </c>
      <c r="AC192" s="662">
        <f t="shared" ref="AC192:AE192" si="534">AC246</f>
        <v>39560</v>
      </c>
      <c r="AD192" s="662">
        <f t="shared" si="534"/>
        <v>7131</v>
      </c>
      <c r="AE192" s="662">
        <f t="shared" si="534"/>
        <v>34705</v>
      </c>
      <c r="AF192" s="662">
        <f>AF246</f>
        <v>13634</v>
      </c>
      <c r="AG192" s="662">
        <f t="shared" ref="AG192:AP192" si="535">AG246</f>
        <v>45500.573037598646</v>
      </c>
      <c r="AH192" s="662">
        <f t="shared" si="535"/>
        <v>12801.742187002332</v>
      </c>
      <c r="AI192" s="662">
        <f t="shared" si="535"/>
        <v>39468.661751898646</v>
      </c>
      <c r="AJ192" s="662">
        <f t="shared" si="535"/>
        <v>12816.345314935839</v>
      </c>
      <c r="AK192" s="662">
        <f t="shared" si="535"/>
        <v>51287.203194889051</v>
      </c>
      <c r="AL192" s="662">
        <f t="shared" si="535"/>
        <v>13223.415905090471</v>
      </c>
      <c r="AM192" s="662">
        <f t="shared" si="535"/>
        <v>45456.208856046833</v>
      </c>
      <c r="AN192" s="662">
        <f t="shared" si="535"/>
        <v>11813.161179994335</v>
      </c>
      <c r="AO192" s="662">
        <f t="shared" si="535"/>
        <v>58463.753932402804</v>
      </c>
      <c r="AP192" s="662">
        <f t="shared" si="535"/>
        <v>12780.085676780509</v>
      </c>
      <c r="AQ192" s="555"/>
      <c r="AR192" s="556"/>
      <c r="AS192" s="514"/>
      <c r="AY192" s="662">
        <f>AY246</f>
        <v>57084</v>
      </c>
      <c r="AZ192" s="662">
        <f>AZ246</f>
        <v>91430</v>
      </c>
      <c r="BA192" s="662">
        <f>BA246</f>
        <v>106641.31522460098</v>
      </c>
      <c r="BB192" s="662">
        <f>BB246</f>
        <v>116795.62616681401</v>
      </c>
      <c r="BC192" s="662">
        <f t="shared" ref="BC192:BJ192" si="536">BC246</f>
        <v>128513.20964522449</v>
      </c>
      <c r="BD192" s="662">
        <f t="shared" si="536"/>
        <v>154018.8018664337</v>
      </c>
      <c r="BE192" s="662">
        <f t="shared" si="536"/>
        <v>178480.90390188084</v>
      </c>
      <c r="BF192" s="662">
        <f t="shared" si="536"/>
        <v>200738.7996292921</v>
      </c>
      <c r="BG192" s="662">
        <f t="shared" si="536"/>
        <v>220222.37274575717</v>
      </c>
      <c r="BH192" s="662">
        <f t="shared" si="536"/>
        <v>236819.36866504897</v>
      </c>
      <c r="BI192" s="662">
        <f t="shared" si="536"/>
        <v>250739.56469986262</v>
      </c>
      <c r="BJ192" s="662">
        <f t="shared" si="536"/>
        <v>262219.29938808421</v>
      </c>
      <c r="BK192" s="493"/>
      <c r="BL192" s="662">
        <v>19912.345222496198</v>
      </c>
      <c r="BM192" s="662">
        <v>46388.950071347303</v>
      </c>
    </row>
    <row r="193" spans="2:67" s="645" customFormat="1" ht="12" customHeight="1" x14ac:dyDescent="0.35">
      <c r="B193" s="664" t="s">
        <v>541</v>
      </c>
      <c r="V193" s="604"/>
      <c r="W193" s="604">
        <f>W191-W192</f>
        <v>2857</v>
      </c>
      <c r="X193" s="604">
        <f>X191-X192</f>
        <v>3555</v>
      </c>
      <c r="Y193" s="604">
        <f>Y191-Y192</f>
        <v>4141</v>
      </c>
      <c r="Z193" s="604">
        <f ca="1">Z191-Z192</f>
        <v>-106385</v>
      </c>
      <c r="AA193" s="604">
        <f t="shared" ref="AA193:AP193" si="537">AA191-AA192</f>
        <v>4682</v>
      </c>
      <c r="AB193" s="604">
        <f t="shared" si="537"/>
        <v>4434</v>
      </c>
      <c r="AC193" s="604">
        <f t="shared" si="537"/>
        <v>5218</v>
      </c>
      <c r="AD193" s="604">
        <f t="shared" si="537"/>
        <v>7399.3100392459492</v>
      </c>
      <c r="AE193" s="604">
        <f t="shared" si="537"/>
        <v>5667</v>
      </c>
      <c r="AF193" s="604">
        <f t="shared" si="537"/>
        <v>0</v>
      </c>
      <c r="AG193" s="604">
        <f t="shared" si="537"/>
        <v>12328.796345454713</v>
      </c>
      <c r="AH193" s="604">
        <f t="shared" si="537"/>
        <v>8377.940243001889</v>
      </c>
      <c r="AI193" s="604">
        <f t="shared" si="537"/>
        <v>9919.8193970413413</v>
      </c>
      <c r="AJ193" s="604">
        <f t="shared" si="537"/>
        <v>4405.0326195091257</v>
      </c>
      <c r="AK193" s="604">
        <f t="shared" si="537"/>
        <v>19282.732852127301</v>
      </c>
      <c r="AL193" s="604">
        <f t="shared" si="537"/>
        <v>12394.202550864069</v>
      </c>
      <c r="AM193" s="604">
        <f t="shared" si="537"/>
        <v>14991.121082075842</v>
      </c>
      <c r="AN193" s="604">
        <f t="shared" si="537"/>
        <v>9968.6369928907807</v>
      </c>
      <c r="AO193" s="604">
        <f t="shared" si="537"/>
        <v>27576.355886047284</v>
      </c>
      <c r="AP193" s="604">
        <f t="shared" si="537"/>
        <v>18993.598901365862</v>
      </c>
      <c r="AQ193" s="644"/>
      <c r="AR193" s="556"/>
      <c r="AS193" s="514"/>
      <c r="AY193" s="604">
        <f ca="1">AY191-AY192</f>
        <v>-95832</v>
      </c>
      <c r="AZ193" s="604">
        <f>AZ191-AZ192</f>
        <v>22309.310039245946</v>
      </c>
      <c r="BA193" s="604">
        <f>BA191-BA192</f>
        <v>26373.73658845661</v>
      </c>
      <c r="BB193" s="604">
        <f>BB191-BB192</f>
        <v>46001.787419541855</v>
      </c>
      <c r="BC193" s="604">
        <f t="shared" ref="BC193:BJ193" si="538">BC191-BC192</f>
        <v>71529.712862379776</v>
      </c>
      <c r="BD193" s="604">
        <f t="shared" si="538"/>
        <v>113581.11284060148</v>
      </c>
      <c r="BE193" s="604">
        <f t="shared" si="538"/>
        <v>142124.82131226809</v>
      </c>
      <c r="BF193" s="604">
        <f t="shared" si="538"/>
        <v>170046.45089322614</v>
      </c>
      <c r="BG193" s="604">
        <f t="shared" si="538"/>
        <v>199061.76088643936</v>
      </c>
      <c r="BH193" s="604">
        <f t="shared" si="538"/>
        <v>230253.56641519425</v>
      </c>
      <c r="BI193" s="604">
        <f t="shared" si="538"/>
        <v>265588.28628961963</v>
      </c>
      <c r="BJ193" s="604">
        <f t="shared" si="538"/>
        <v>307685.78720114368</v>
      </c>
      <c r="BL193" s="604">
        <v>1644.66360782518</v>
      </c>
      <c r="BM193" s="604">
        <v>-5131.99011049208</v>
      </c>
    </row>
    <row r="194" spans="2:67" ht="12" customHeight="1" x14ac:dyDescent="0.35">
      <c r="W194" s="578"/>
      <c r="X194" s="578"/>
      <c r="Y194" s="578"/>
      <c r="Z194" s="578"/>
      <c r="AA194" s="578"/>
      <c r="AB194" s="578"/>
      <c r="AC194" s="578"/>
      <c r="AD194" s="578"/>
      <c r="AY194" s="578"/>
      <c r="AZ194" s="578"/>
      <c r="BA194" s="578"/>
      <c r="BB194" s="578"/>
      <c r="BC194" s="578"/>
      <c r="BD194" s="578"/>
      <c r="BE194" s="578"/>
      <c r="BF194" s="578"/>
      <c r="BG194" s="578"/>
      <c r="BH194" s="578"/>
      <c r="BI194" s="578"/>
      <c r="BJ194" s="578"/>
      <c r="BL194" s="578"/>
      <c r="BM194" s="578"/>
    </row>
    <row r="195" spans="2:67" ht="12" customHeight="1" x14ac:dyDescent="0.35">
      <c r="B195" s="598" t="s">
        <v>542</v>
      </c>
      <c r="E195" s="578">
        <v>2343</v>
      </c>
      <c r="F195" s="578">
        <v>2363</v>
      </c>
      <c r="G195" s="578">
        <v>2438</v>
      </c>
      <c r="H195" s="578">
        <v>2438</v>
      </c>
      <c r="I195" s="578">
        <v>2588</v>
      </c>
      <c r="J195" s="578">
        <v>2585</v>
      </c>
      <c r="K195" s="578">
        <v>2588</v>
      </c>
      <c r="L195" s="578">
        <v>2564</v>
      </c>
      <c r="M195" s="578">
        <v>2550</v>
      </c>
      <c r="N195" s="578">
        <v>2546</v>
      </c>
      <c r="O195" s="578">
        <v>2568</v>
      </c>
      <c r="P195" s="578">
        <v>2566</v>
      </c>
      <c r="Q195" s="578">
        <v>2571</v>
      </c>
      <c r="R195" s="578">
        <v>2581</v>
      </c>
      <c r="S195" s="578">
        <v>2599</v>
      </c>
      <c r="T195" s="578">
        <v>2607</v>
      </c>
      <c r="U195" s="578">
        <v>2615</v>
      </c>
      <c r="V195" s="578">
        <v>2619</v>
      </c>
      <c r="W195" s="578">
        <v>2627</v>
      </c>
      <c r="X195" s="604">
        <v>2628</v>
      </c>
      <c r="Y195" s="578">
        <v>2614</v>
      </c>
      <c r="Z195" s="604">
        <v>2625</v>
      </c>
      <c r="AA195" s="604">
        <f>Z195*1.004</f>
        <v>2635.5</v>
      </c>
      <c r="AB195" s="604">
        <v>2637</v>
      </c>
      <c r="AC195" s="604">
        <v>2674</v>
      </c>
      <c r="AD195" s="604">
        <v>2728</v>
      </c>
      <c r="AE195" s="604">
        <v>2741</v>
      </c>
      <c r="AF195" s="604">
        <v>2745</v>
      </c>
      <c r="AG195" s="525">
        <f>AF195*1.004</f>
        <v>2755.98</v>
      </c>
      <c r="AH195" s="525">
        <f>AG195*1.004</f>
        <v>2767.0039200000001</v>
      </c>
      <c r="AI195" s="525">
        <f t="shared" ref="AI195:AP195" si="539">AH195*1.004</f>
        <v>2778.07193568</v>
      </c>
      <c r="AJ195" s="525">
        <f t="shared" si="539"/>
        <v>2789.1842234227202</v>
      </c>
      <c r="AK195" s="525">
        <f t="shared" si="539"/>
        <v>2800.3409603164109</v>
      </c>
      <c r="AL195" s="525">
        <f t="shared" si="539"/>
        <v>2811.5423241576764</v>
      </c>
      <c r="AM195" s="525">
        <f t="shared" si="539"/>
        <v>2822.7884934543072</v>
      </c>
      <c r="AN195" s="525">
        <f t="shared" si="539"/>
        <v>2834.0796474281242</v>
      </c>
      <c r="AO195" s="525">
        <f t="shared" si="539"/>
        <v>2845.4159660178366</v>
      </c>
      <c r="AP195" s="525">
        <f t="shared" si="539"/>
        <v>2856.7976298819081</v>
      </c>
      <c r="AQ195" s="665"/>
      <c r="AR195" s="508" t="s">
        <v>465</v>
      </c>
      <c r="AS195" s="509"/>
      <c r="AT195" s="578">
        <v>2332</v>
      </c>
      <c r="AU195" s="578">
        <v>2500</v>
      </c>
      <c r="AV195" s="578">
        <v>2562</v>
      </c>
      <c r="AW195" s="578">
        <v>2573</v>
      </c>
      <c r="AX195" s="578">
        <v>2610</v>
      </c>
      <c r="AY195" s="604">
        <v>2623</v>
      </c>
      <c r="AZ195" s="604">
        <f>AD195</f>
        <v>2728</v>
      </c>
      <c r="BA195" s="604">
        <f>AH195</f>
        <v>2767.0039200000001</v>
      </c>
      <c r="BB195" s="604">
        <f>BA195*AZ195/AY195</f>
        <v>2877.7684688372092</v>
      </c>
      <c r="BC195" s="604">
        <f t="shared" ref="BC195" si="540">AJ195</f>
        <v>2789.1842234227202</v>
      </c>
      <c r="BD195" s="604">
        <f t="shared" ref="BD195" si="541">BC195*BB195/BA195</f>
        <v>2900.8366608834081</v>
      </c>
      <c r="BE195" s="604">
        <f t="shared" ref="BE195" si="542">AL195</f>
        <v>2811.5423241576764</v>
      </c>
      <c r="BF195" s="604">
        <f t="shared" ref="BF195" si="543">BE195*BD195/BC195</f>
        <v>2924.0897675570491</v>
      </c>
      <c r="BG195" s="604">
        <f t="shared" ref="BG195" si="544">AN195</f>
        <v>2834.0796474281242</v>
      </c>
      <c r="BH195" s="604">
        <f t="shared" ref="BH195" si="545">BG195*BF195/BE195</f>
        <v>2947.5292711337861</v>
      </c>
      <c r="BI195" s="604">
        <f t="shared" ref="BI195" si="546">AP195</f>
        <v>2856.7976298819081</v>
      </c>
      <c r="BJ195" s="604">
        <f t="shared" ref="BJ195" si="547">BI195*BH195/BG195</f>
        <v>2971.1566657711942</v>
      </c>
      <c r="BL195" s="604">
        <v>2646.0419999999999</v>
      </c>
      <c r="BM195" s="604">
        <v>2647.5479999999998</v>
      </c>
      <c r="BN195" s="525">
        <v>2738.9119999999998</v>
      </c>
      <c r="BO195" s="525">
        <v>2749.8676479999999</v>
      </c>
    </row>
    <row r="196" spans="2:67" ht="12" customHeight="1" x14ac:dyDescent="0.35">
      <c r="E196" s="578"/>
      <c r="F196" s="578"/>
      <c r="G196" s="578"/>
      <c r="H196" s="578"/>
      <c r="I196" s="578"/>
      <c r="J196" s="578"/>
      <c r="K196" s="578"/>
      <c r="L196" s="578"/>
      <c r="M196" s="578"/>
      <c r="N196" s="578"/>
      <c r="O196" s="578"/>
      <c r="P196" s="578"/>
      <c r="Q196" s="578"/>
      <c r="R196" s="578"/>
      <c r="S196" s="553"/>
      <c r="T196" s="578"/>
      <c r="U196" s="578"/>
      <c r="V196" s="578"/>
      <c r="W196" s="525"/>
      <c r="X196" s="525"/>
      <c r="Y196" s="525"/>
      <c r="Z196" s="525"/>
      <c r="AA196" s="525"/>
      <c r="AB196" s="525"/>
      <c r="AC196" s="525"/>
      <c r="AD196" s="525"/>
      <c r="AE196" s="525"/>
      <c r="AF196" s="525"/>
      <c r="AG196" s="525"/>
      <c r="AH196" s="525"/>
      <c r="AI196" s="525"/>
      <c r="AJ196" s="525"/>
      <c r="AK196" s="525"/>
      <c r="AL196" s="525"/>
      <c r="AM196" s="525"/>
      <c r="AN196" s="525"/>
      <c r="AO196" s="525"/>
      <c r="AP196" s="525"/>
      <c r="AQ196" s="665"/>
      <c r="AR196" s="508"/>
      <c r="AS196" s="509"/>
      <c r="AT196" s="578"/>
      <c r="AU196" s="578"/>
      <c r="AV196" s="578"/>
      <c r="AW196" s="578"/>
      <c r="AX196" s="578"/>
      <c r="AY196" s="525"/>
      <c r="AZ196" s="525"/>
      <c r="BA196" s="525"/>
      <c r="BB196" s="525"/>
      <c r="BC196" s="525"/>
      <c r="BD196" s="525"/>
      <c r="BE196" s="525"/>
      <c r="BF196" s="525"/>
      <c r="BG196" s="525"/>
      <c r="BH196" s="525"/>
      <c r="BI196" s="525"/>
      <c r="BJ196" s="525"/>
      <c r="BL196" s="525"/>
      <c r="BM196" s="525"/>
      <c r="BN196" s="525"/>
      <c r="BO196" s="525"/>
    </row>
    <row r="197" spans="2:67" ht="12" customHeight="1" x14ac:dyDescent="0.35">
      <c r="AY197" s="578"/>
      <c r="AZ197" s="578"/>
      <c r="BA197" s="578"/>
      <c r="BB197" s="578"/>
      <c r="BC197" s="578"/>
      <c r="BD197" s="578"/>
      <c r="BE197" s="578"/>
      <c r="BF197" s="578"/>
      <c r="BG197" s="578"/>
      <c r="BH197" s="578"/>
      <c r="BI197" s="578"/>
      <c r="BJ197" s="578"/>
    </row>
    <row r="198" spans="2:67" ht="12" customHeight="1" x14ac:dyDescent="0.35">
      <c r="B198" s="666" t="s">
        <v>543</v>
      </c>
    </row>
    <row r="199" spans="2:67" s="668" customFormat="1" ht="12" customHeight="1" x14ac:dyDescent="0.35">
      <c r="B199" s="667" t="s">
        <v>544</v>
      </c>
      <c r="E199" s="650">
        <f>E302</f>
        <v>10424</v>
      </c>
      <c r="F199" s="650">
        <f t="shared" ref="F199:R199" si="548">F302</f>
        <v>6605</v>
      </c>
      <c r="G199" s="650">
        <f t="shared" si="548"/>
        <v>7275</v>
      </c>
      <c r="H199" s="650">
        <f t="shared" si="548"/>
        <v>6799</v>
      </c>
      <c r="I199" s="650">
        <f t="shared" si="548"/>
        <v>13068</v>
      </c>
      <c r="J199" s="650">
        <f t="shared" si="548"/>
        <v>7765</v>
      </c>
      <c r="K199" s="650">
        <f t="shared" si="548"/>
        <v>9523</v>
      </c>
      <c r="L199" s="650">
        <f t="shared" si="548"/>
        <v>9303</v>
      </c>
      <c r="M199" s="650">
        <f t="shared" si="548"/>
        <v>16400</v>
      </c>
      <c r="N199" s="650">
        <f t="shared" si="548"/>
        <v>7686</v>
      </c>
      <c r="O199" s="650">
        <f t="shared" si="548"/>
        <v>12595</v>
      </c>
      <c r="P199" s="650">
        <f t="shared" si="548"/>
        <v>13494</v>
      </c>
      <c r="Q199" s="650">
        <f t="shared" si="548"/>
        <v>23186</v>
      </c>
      <c r="R199" s="650">
        <f t="shared" si="548"/>
        <v>11235</v>
      </c>
      <c r="S199" s="650">
        <f t="shared" ref="S199:AP199" si="549">S292</f>
        <v>20019</v>
      </c>
      <c r="T199" s="650">
        <f t="shared" si="549"/>
        <v>22089</v>
      </c>
      <c r="U199" s="650">
        <f t="shared" si="549"/>
        <v>27007</v>
      </c>
      <c r="V199" s="650">
        <f t="shared" si="549"/>
        <v>14099</v>
      </c>
      <c r="W199" s="650">
        <f t="shared" si="549"/>
        <v>20101</v>
      </c>
      <c r="X199" s="650">
        <f t="shared" si="549"/>
        <v>23453</v>
      </c>
      <c r="Y199" s="650">
        <f t="shared" si="549"/>
        <v>29797</v>
      </c>
      <c r="Z199" s="650">
        <f t="shared" ca="1" si="549"/>
        <v>132529</v>
      </c>
      <c r="AA199" s="650">
        <f t="shared" si="549"/>
        <v>30949</v>
      </c>
      <c r="AB199" s="650">
        <f t="shared" si="549"/>
        <v>32750</v>
      </c>
      <c r="AC199" s="650">
        <f t="shared" si="549"/>
        <v>46493</v>
      </c>
      <c r="AD199" s="650">
        <f t="shared" si="549"/>
        <v>11257.689960754051</v>
      </c>
      <c r="AE199" s="650">
        <f t="shared" si="549"/>
        <v>39474</v>
      </c>
      <c r="AF199" s="650">
        <f t="shared" si="549"/>
        <v>47088</v>
      </c>
      <c r="AG199" s="650">
        <f t="shared" si="549"/>
        <v>57222.342611366053</v>
      </c>
      <c r="AH199" s="650">
        <f t="shared" si="549"/>
        <v>10863.722125912253</v>
      </c>
      <c r="AI199" s="650">
        <f t="shared" si="549"/>
        <v>55846.549207127639</v>
      </c>
      <c r="AJ199" s="650">
        <f t="shared" si="549"/>
        <v>48986.317671734869</v>
      </c>
      <c r="AK199" s="650">
        <f t="shared" si="549"/>
        <v>65697.785359310568</v>
      </c>
      <c r="AL199" s="650">
        <f t="shared" si="549"/>
        <v>14047.424990804782</v>
      </c>
      <c r="AM199" s="650">
        <f t="shared" si="549"/>
        <v>63049.802474249133</v>
      </c>
      <c r="AN199" s="650">
        <f t="shared" si="549"/>
        <v>55538.298761359125</v>
      </c>
      <c r="AO199" s="650">
        <f t="shared" si="549"/>
        <v>75401.021241547045</v>
      </c>
      <c r="AP199" s="650">
        <f t="shared" si="549"/>
        <v>16487.023576900068</v>
      </c>
      <c r="AQ199" s="669"/>
      <c r="AR199" s="670" t="s">
        <v>545</v>
      </c>
      <c r="AS199" s="671"/>
      <c r="AT199" s="650">
        <v>27610</v>
      </c>
      <c r="AU199" s="650">
        <v>34981</v>
      </c>
      <c r="AV199" s="650">
        <v>42741</v>
      </c>
      <c r="AW199" s="650">
        <v>57871</v>
      </c>
      <c r="AX199" s="650">
        <v>85766</v>
      </c>
      <c r="AY199" s="650">
        <f ca="1">SUM(W199:Z199)</f>
        <v>205880</v>
      </c>
      <c r="AZ199" s="650">
        <f>AZ183-AZ262+AZ297-AZ256-AZ257-AZ260+AZ264-AZ261-AZ274</f>
        <v>219016</v>
      </c>
      <c r="BA199" s="650">
        <f>BA183/0.96</f>
        <v>205736.71730148446</v>
      </c>
      <c r="BB199" s="650">
        <f>BB183/0.96</f>
        <v>250444.69643077272</v>
      </c>
      <c r="BC199" s="650">
        <f t="shared" ref="BC199:BJ199" si="550">BC183/0.96</f>
        <v>303966.18787835294</v>
      </c>
      <c r="BD199" s="650">
        <f t="shared" si="550"/>
        <v>389345.55178655754</v>
      </c>
      <c r="BE199" s="650">
        <f t="shared" si="550"/>
        <v>459094.05518504092</v>
      </c>
      <c r="BF199" s="650">
        <f t="shared" si="550"/>
        <v>524772.77686749282</v>
      </c>
      <c r="BG199" s="650">
        <f t="shared" si="550"/>
        <v>587258.72935930442</v>
      </c>
      <c r="BH199" s="650">
        <f t="shared" si="550"/>
        <v>647507.64673695934</v>
      </c>
      <c r="BI199" s="650">
        <f t="shared" si="550"/>
        <v>707916.34061496577</v>
      </c>
      <c r="BJ199" s="650">
        <f t="shared" si="550"/>
        <v>771603.7970941161</v>
      </c>
      <c r="BL199" s="650">
        <v>33487.8230141315</v>
      </c>
      <c r="BM199" s="650">
        <v>50677.588598378701</v>
      </c>
    </row>
    <row r="200" spans="2:67" s="668" customFormat="1" ht="12" customHeight="1" x14ac:dyDescent="0.35">
      <c r="B200" s="672" t="s">
        <v>529</v>
      </c>
      <c r="E200" s="650"/>
      <c r="F200" s="650"/>
      <c r="G200" s="650"/>
      <c r="H200" s="650"/>
      <c r="I200" s="650"/>
      <c r="J200" s="650"/>
      <c r="K200" s="650"/>
      <c r="L200" s="650"/>
      <c r="M200" s="650"/>
      <c r="N200" s="650"/>
      <c r="O200" s="650"/>
      <c r="P200" s="650"/>
      <c r="Q200" s="650"/>
      <c r="R200" s="650"/>
      <c r="S200" s="650"/>
      <c r="T200" s="650"/>
      <c r="U200" s="650"/>
      <c r="V200" s="650"/>
      <c r="W200" s="650"/>
      <c r="X200" s="650"/>
      <c r="Y200" s="650"/>
      <c r="Z200" s="650"/>
      <c r="AA200" s="650"/>
      <c r="AB200" s="650"/>
      <c r="AC200" s="650"/>
      <c r="AD200" s="650"/>
      <c r="AQ200" s="669"/>
      <c r="AR200" s="673"/>
      <c r="AS200" s="671"/>
      <c r="AT200" s="650"/>
      <c r="AU200" s="650"/>
      <c r="AV200" s="650"/>
      <c r="AW200" s="650"/>
      <c r="AX200" s="650"/>
      <c r="AY200" s="650"/>
      <c r="AZ200" s="674">
        <f ca="1">AZ199/AY199-1</f>
        <v>6.3804157761802927E-2</v>
      </c>
      <c r="BA200" s="674">
        <f>BA199/AZ199-1</f>
        <v>-6.063156435381678E-2</v>
      </c>
      <c r="BB200" s="674">
        <f>BB199/BA199-1</f>
        <v>0.21730675844202207</v>
      </c>
      <c r="BC200" s="674">
        <f t="shared" ref="BC200:BJ200" si="551">BC199/BB199-1</f>
        <v>0.21370582891290923</v>
      </c>
      <c r="BD200" s="674">
        <f t="shared" si="551"/>
        <v>0.28088441186219493</v>
      </c>
      <c r="BE200" s="674">
        <f t="shared" si="551"/>
        <v>0.17914293120451541</v>
      </c>
      <c r="BF200" s="674">
        <f t="shared" si="551"/>
        <v>0.14306158169697847</v>
      </c>
      <c r="BG200" s="674">
        <f t="shared" si="551"/>
        <v>0.11907239713311113</v>
      </c>
      <c r="BH200" s="674">
        <f t="shared" si="551"/>
        <v>0.10259348114482036</v>
      </c>
      <c r="BI200" s="674">
        <f t="shared" si="551"/>
        <v>9.3294178350524781E-2</v>
      </c>
      <c r="BJ200" s="674">
        <f t="shared" si="551"/>
        <v>8.9964665067379546E-2</v>
      </c>
      <c r="BL200" s="650"/>
      <c r="BM200" s="650"/>
    </row>
    <row r="201" spans="2:67" s="668" customFormat="1" ht="12" customHeight="1" x14ac:dyDescent="0.35">
      <c r="B201" s="675"/>
      <c r="E201" s="650"/>
      <c r="F201" s="650"/>
      <c r="G201" s="650"/>
      <c r="H201" s="650"/>
      <c r="I201" s="650"/>
      <c r="J201" s="650"/>
      <c r="K201" s="650"/>
      <c r="L201" s="650"/>
      <c r="M201" s="650"/>
      <c r="N201" s="650"/>
      <c r="O201" s="650"/>
      <c r="P201" s="650"/>
      <c r="Q201" s="650"/>
      <c r="R201" s="650"/>
      <c r="S201" s="650"/>
      <c r="T201" s="650"/>
      <c r="U201" s="650"/>
      <c r="V201" s="650"/>
      <c r="W201" s="650"/>
      <c r="X201" s="650"/>
      <c r="Y201" s="650"/>
      <c r="Z201" s="650"/>
      <c r="AA201" s="650"/>
      <c r="AB201" s="650"/>
      <c r="AC201" s="650"/>
      <c r="AD201" s="650"/>
      <c r="AQ201" s="669"/>
      <c r="AR201" s="673"/>
      <c r="AS201" s="671"/>
      <c r="AT201" s="650"/>
      <c r="AU201" s="650"/>
      <c r="AV201" s="650"/>
      <c r="AW201" s="650"/>
      <c r="AX201" s="650"/>
      <c r="AY201" s="2873">
        <f ca="1">AY199/+AY5</f>
        <v>0.42968662634316307</v>
      </c>
      <c r="AZ201" s="2873">
        <f>AZ199/+AZ5</f>
        <v>0.42968662634316307</v>
      </c>
      <c r="BA201" s="2873">
        <f>BA199/+BA5</f>
        <v>0.30792394189124722</v>
      </c>
      <c r="BB201" s="2873">
        <f>BB199/+BB5</f>
        <v>0.29570774842789199</v>
      </c>
      <c r="BC201" s="2873">
        <f>BC199/+BC5</f>
        <v>0.28970390749004771</v>
      </c>
      <c r="BD201" s="2873">
        <f t="shared" ref="BD201:BJ201" si="552">BD199/+BD5</f>
        <v>0.30750781181115416</v>
      </c>
      <c r="BE201" s="2873">
        <f t="shared" si="552"/>
        <v>0.30912137058510342</v>
      </c>
      <c r="BF201" s="2873">
        <f t="shared" si="552"/>
        <v>0.30917589699300985</v>
      </c>
      <c r="BG201" s="2873">
        <f t="shared" si="552"/>
        <v>0.30947771565713078</v>
      </c>
      <c r="BH201" s="2873">
        <f t="shared" si="552"/>
        <v>0.31068148842345084</v>
      </c>
      <c r="BI201" s="2873">
        <f t="shared" si="552"/>
        <v>0.31353633369108513</v>
      </c>
      <c r="BJ201" s="2873">
        <f t="shared" si="552"/>
        <v>0.31887555848543281</v>
      </c>
      <c r="BL201" s="650"/>
      <c r="BM201" s="650"/>
    </row>
    <row r="202" spans="2:67" s="648" customFormat="1" ht="12" customHeight="1" x14ac:dyDescent="0.35">
      <c r="B202" s="676" t="s">
        <v>546</v>
      </c>
      <c r="C202" s="677"/>
      <c r="D202" s="677"/>
      <c r="E202" s="678"/>
      <c r="F202" s="678"/>
      <c r="G202" s="678"/>
      <c r="H202" s="678"/>
      <c r="I202" s="678"/>
      <c r="J202" s="678"/>
      <c r="K202" s="678"/>
      <c r="L202" s="678"/>
      <c r="M202" s="678"/>
      <c r="N202" s="678"/>
      <c r="O202" s="678"/>
      <c r="P202" s="678"/>
      <c r="Q202" s="678"/>
      <c r="R202" s="678"/>
      <c r="S202" s="678"/>
      <c r="T202" s="678"/>
      <c r="U202" s="678"/>
      <c r="V202" s="678"/>
      <c r="W202" s="678"/>
      <c r="X202" s="678"/>
      <c r="Y202" s="678"/>
      <c r="Z202" s="678"/>
      <c r="AA202" s="678"/>
      <c r="AB202" s="678"/>
      <c r="AC202" s="679"/>
      <c r="AD202" s="679"/>
      <c r="AE202" s="680" t="e">
        <f ca="1">_xll.VisibleAlpha.UDF.VAData("BABA","1QFY-2021","EPS Diluted - Operating")</f>
        <v>#NAME?</v>
      </c>
      <c r="AF202" s="680" t="e">
        <f ca="1">_xll.VisibleAlpha.UDF.VAData("BABA","2QFY-2021","EPS Diluted - Operating")</f>
        <v>#NAME?</v>
      </c>
      <c r="AG202" s="680" t="e">
        <f ca="1">_xll.VisibleAlpha.UDF.VAData("BABA","3QFY-2021","EPS Diluted - Operating")</f>
        <v>#NAME?</v>
      </c>
      <c r="AH202" s="680" t="e">
        <f ca="1">_xll.VisibleAlpha.UDF.VAData("BABA","4QFY-2021","EPS Diluted - Operating")</f>
        <v>#NAME?</v>
      </c>
      <c r="AI202" s="680" t="e">
        <f ca="1">_xll.VisibleAlpha.UDF.VAData("BABA",AI2,"EPS Diluted - Operating")</f>
        <v>#NAME?</v>
      </c>
      <c r="AJ202" s="680" t="e">
        <f ca="1">_xll.VisibleAlpha.UDF.VAData("BABA",AJ2,"EPS Diluted - Operating")</f>
        <v>#NAME?</v>
      </c>
      <c r="AK202" s="680" t="e">
        <f ca="1">_xll.VisibleAlpha.UDF.VAData("BABA",AK2,"EPS Diluted - Operating")</f>
        <v>#NAME?</v>
      </c>
      <c r="AL202" s="680" t="e">
        <f ca="1">_xll.VisibleAlpha.UDF.VAData("BABA",AL2,"EPS Diluted - Operating")</f>
        <v>#NAME?</v>
      </c>
      <c r="AM202" s="680" t="e">
        <f ca="1">_xll.VisibleAlpha.UDF.VAData("BABA",AM2,"EPS Diluted - Operating")</f>
        <v>#NAME?</v>
      </c>
      <c r="AN202" s="680" t="e">
        <f ca="1">_xll.VisibleAlpha.UDF.VAData("BABA",AN2,"EPS Diluted - Operating")</f>
        <v>#NAME?</v>
      </c>
      <c r="AO202" s="680" t="e">
        <f ca="1">_xll.VisibleAlpha.UDF.VAData("BABA",AO2,"EPS Diluted - Operating")</f>
        <v>#NAME?</v>
      </c>
      <c r="AP202" s="680" t="e">
        <f ca="1">_xll.VisibleAlpha.UDF.VAData("BABA",AP2,"EPS Diluted - Operating")</f>
        <v>#NAME?</v>
      </c>
      <c r="AQ202" s="681"/>
      <c r="AR202" s="673"/>
      <c r="AS202" s="671"/>
      <c r="AT202" s="678"/>
      <c r="AU202" s="678"/>
      <c r="AV202" s="678"/>
      <c r="AW202" s="678"/>
      <c r="AX202" s="678"/>
      <c r="AY202" s="678"/>
      <c r="AZ202" s="680" t="e">
        <f ca="1">_xll.VisibleAlpha.UDF.VAData("BABA","FY-2020","EPS Diluted - Operating")</f>
        <v>#NAME?</v>
      </c>
      <c r="BA202" s="680" t="e">
        <f ca="1">_xll.VisibleAlpha.UDF.VAData("BABA","FY-2021","EPS Diluted - Operating")</f>
        <v>#NAME?</v>
      </c>
      <c r="BB202" s="680" t="e">
        <f ca="1">_xll.VisibleAlpha.UDF.VAData("BABA","FY-2022","EPS Diluted - Operating")</f>
        <v>#NAME?</v>
      </c>
      <c r="BC202" s="680" t="e">
        <f ca="1">_xll.VisibleAlpha.UDF.VAData("BABA","FY-2021","EPS Diluted - Operating")</f>
        <v>#NAME?</v>
      </c>
      <c r="BD202" s="680" t="e">
        <f ca="1">_xll.VisibleAlpha.UDF.VAData("BABA","FY-2022","EPS Diluted - Operating")</f>
        <v>#NAME?</v>
      </c>
      <c r="BE202" s="680" t="e">
        <f ca="1">_xll.VisibleAlpha.UDF.VAData("BABA","FY-2021","EPS Diluted - Operating")</f>
        <v>#NAME?</v>
      </c>
      <c r="BF202" s="680" t="e">
        <f ca="1">_xll.VisibleAlpha.UDF.VAData("BABA","FY-2022","EPS Diluted - Operating")</f>
        <v>#NAME?</v>
      </c>
      <c r="BG202" s="680" t="e">
        <f ca="1">_xll.VisibleAlpha.UDF.VAData("BABA","FY-2021","EPS Diluted - Operating")</f>
        <v>#NAME?</v>
      </c>
      <c r="BH202" s="680" t="e">
        <f ca="1">_xll.VisibleAlpha.UDF.VAData("BABA","FY-2022","EPS Diluted - Operating")</f>
        <v>#NAME?</v>
      </c>
      <c r="BI202" s="680" t="e">
        <f ca="1">_xll.VisibleAlpha.UDF.VAData("BABA","FY-2021","EPS Diluted - Operating")</f>
        <v>#NAME?</v>
      </c>
      <c r="BJ202" s="680" t="e">
        <f ca="1">_xll.VisibleAlpha.UDF.VAData("BABA","FY-2022","EPS Diluted - Operating")</f>
        <v>#NAME?</v>
      </c>
      <c r="BK202" s="682"/>
      <c r="BL202" s="678"/>
      <c r="BM202" s="678">
        <v>13.1</v>
      </c>
      <c r="BN202" s="680">
        <v>13.5975213345891</v>
      </c>
      <c r="BO202" s="680">
        <v>14.3972421063279</v>
      </c>
    </row>
    <row r="203" spans="2:67" s="648" customFormat="1" ht="12" customHeight="1" x14ac:dyDescent="0.35">
      <c r="B203" s="683" t="s">
        <v>547</v>
      </c>
      <c r="E203" s="684"/>
      <c r="F203" s="684"/>
      <c r="G203" s="684"/>
      <c r="H203" s="684"/>
      <c r="I203" s="684"/>
      <c r="J203" s="684"/>
      <c r="K203" s="684"/>
      <c r="L203" s="684"/>
      <c r="M203" s="684"/>
      <c r="N203" s="684"/>
      <c r="O203" s="684"/>
      <c r="P203" s="684"/>
      <c r="Q203" s="684"/>
      <c r="R203" s="684"/>
      <c r="S203" s="684"/>
      <c r="T203" s="684"/>
      <c r="U203" s="684"/>
      <c r="V203" s="684"/>
      <c r="W203" s="684"/>
      <c r="X203" s="684"/>
      <c r="Y203" s="684"/>
      <c r="Z203" s="684"/>
      <c r="AA203" s="684"/>
      <c r="AB203" s="684"/>
      <c r="AC203" s="684"/>
      <c r="AD203" s="684"/>
      <c r="AE203" s="680" t="e">
        <f ca="1">_xll.VisibleAlpha.UDF.VAData("BABA","1QFY-2021","EPS Diluted - Operating ($)")</f>
        <v>#NAME?</v>
      </c>
      <c r="AF203" s="680" t="e">
        <f ca="1">_xll.VisibleAlpha.UDF.VAData("BABA","2QFY-2021","EPS Diluted - Operating ($)")</f>
        <v>#NAME?</v>
      </c>
      <c r="AG203" s="680" t="e">
        <f ca="1">_xll.VisibleAlpha.UDF.VAData("BABA","3QFY-2021","EPS Diluted - Operating ($)")</f>
        <v>#NAME?</v>
      </c>
      <c r="AH203" s="680" t="e">
        <f ca="1">_xll.VisibleAlpha.UDF.VAData("BABA","4QFY-2021","EPS Diluted - Operating ($)")</f>
        <v>#NAME?</v>
      </c>
      <c r="AI203" s="680" t="e">
        <f ca="1">_xll.VisibleAlpha.UDF.VAData("BABA",AI2,"EPS Diluted - Operating ($)")</f>
        <v>#NAME?</v>
      </c>
      <c r="AJ203" s="680" t="e">
        <f ca="1">_xll.VisibleAlpha.UDF.VAData("BABA",AJ2,"EPS Diluted - Operating ($)")</f>
        <v>#NAME?</v>
      </c>
      <c r="AK203" s="680" t="e">
        <f ca="1">_xll.VisibleAlpha.UDF.VAData("BABA",AK2,"EPS Diluted - Operating ($)")</f>
        <v>#NAME?</v>
      </c>
      <c r="AL203" s="680" t="e">
        <f ca="1">_xll.VisibleAlpha.UDF.VAData("BABA",AL2,"EPS Diluted - Operating ($)")</f>
        <v>#NAME?</v>
      </c>
      <c r="AM203" s="680" t="e">
        <f ca="1">_xll.VisibleAlpha.UDF.VAData("BABA",AM2,"EPS Diluted - Operating ($)")</f>
        <v>#NAME?</v>
      </c>
      <c r="AN203" s="680" t="e">
        <f ca="1">_xll.VisibleAlpha.UDF.VAData("BABA",AN2,"EPS Diluted - Operating ($)")</f>
        <v>#NAME?</v>
      </c>
      <c r="AO203" s="680" t="e">
        <f ca="1">_xll.VisibleAlpha.UDF.VAData("BABA",AO2,"EPS Diluted - Operating ($)")</f>
        <v>#NAME?</v>
      </c>
      <c r="AP203" s="680" t="e">
        <f ca="1">_xll.VisibleAlpha.UDF.VAData("BABA",AP2,"EPS Diluted - Operating ($)")</f>
        <v>#NAME?</v>
      </c>
      <c r="AQ203" s="685"/>
      <c r="AR203" s="673"/>
      <c r="AS203" s="671"/>
      <c r="AT203" s="684"/>
      <c r="AU203" s="684"/>
      <c r="AV203" s="684"/>
      <c r="AW203" s="684"/>
      <c r="AX203" s="684"/>
      <c r="AY203" s="684"/>
      <c r="AZ203" s="680" t="e">
        <f ca="1">_xll.VisibleAlpha.UDF.VAData("BABA","FY-2020","EPS Diluted - Operating ($)")</f>
        <v>#NAME?</v>
      </c>
      <c r="BA203" s="680" t="e">
        <f ca="1">_xll.VisibleAlpha.UDF.VAData("BABA","FY-2021","EPS Diluted - Operating ($)")</f>
        <v>#NAME?</v>
      </c>
      <c r="BB203" s="680" t="e">
        <f ca="1">_xll.VisibleAlpha.UDF.VAData("BABA","FY-2022","EPS Diluted - Operating ($)")</f>
        <v>#NAME?</v>
      </c>
      <c r="BC203" s="680" t="e">
        <f ca="1">_xll.VisibleAlpha.UDF.VAData("BABA","FY-2021","EPS Diluted - Operating ($)")</f>
        <v>#NAME?</v>
      </c>
      <c r="BD203" s="680" t="e">
        <f ca="1">_xll.VisibleAlpha.UDF.VAData("BABA","FY-2022","EPS Diluted - Operating ($)")</f>
        <v>#NAME?</v>
      </c>
      <c r="BE203" s="680" t="e">
        <f ca="1">_xll.VisibleAlpha.UDF.VAData("BABA","FY-2021","EPS Diluted - Operating ($)")</f>
        <v>#NAME?</v>
      </c>
      <c r="BF203" s="680" t="e">
        <f ca="1">_xll.VisibleAlpha.UDF.VAData("BABA","FY-2022","EPS Diluted - Operating ($)")</f>
        <v>#NAME?</v>
      </c>
      <c r="BG203" s="680" t="e">
        <f ca="1">_xll.VisibleAlpha.UDF.VAData("BABA","FY-2021","EPS Diluted - Operating ($)")</f>
        <v>#NAME?</v>
      </c>
      <c r="BH203" s="680" t="e">
        <f ca="1">_xll.VisibleAlpha.UDF.VAData("BABA","FY-2022","EPS Diluted - Operating ($)")</f>
        <v>#NAME?</v>
      </c>
      <c r="BI203" s="680" t="e">
        <f ca="1">_xll.VisibleAlpha.UDF.VAData("BABA","FY-2021","EPS Diluted - Operating ($)")</f>
        <v>#NAME?</v>
      </c>
      <c r="BJ203" s="680" t="e">
        <f ca="1">_xll.VisibleAlpha.UDF.VAData("BABA","FY-2022","EPS Diluted - Operating ($)")</f>
        <v>#NAME?</v>
      </c>
      <c r="BK203" s="682"/>
      <c r="BL203" s="684"/>
      <c r="BM203" s="684">
        <v>1.8714285714285701</v>
      </c>
      <c r="BN203" s="680">
        <v>1.92906541985041</v>
      </c>
      <c r="BO203" s="680">
        <v>2.0783418547095298</v>
      </c>
    </row>
    <row r="204" spans="2:67" s="648" customFormat="1" ht="12" customHeight="1" x14ac:dyDescent="0.35">
      <c r="B204" s="686"/>
      <c r="E204" s="684"/>
      <c r="F204" s="684"/>
      <c r="G204" s="684"/>
      <c r="H204" s="684"/>
      <c r="I204" s="684"/>
      <c r="J204" s="684"/>
      <c r="K204" s="684"/>
      <c r="L204" s="684"/>
      <c r="M204" s="684"/>
      <c r="N204" s="684"/>
      <c r="O204" s="684"/>
      <c r="P204" s="684"/>
      <c r="Q204" s="684"/>
      <c r="R204" s="684"/>
      <c r="S204" s="684"/>
      <c r="T204" s="684"/>
      <c r="U204" s="684"/>
      <c r="V204" s="684"/>
      <c r="W204" s="684"/>
      <c r="X204" s="684"/>
      <c r="Y204" s="684"/>
      <c r="Z204" s="684"/>
      <c r="AA204" s="684"/>
      <c r="AB204" s="684"/>
      <c r="AC204" s="684"/>
      <c r="AD204" s="684"/>
      <c r="AQ204" s="685"/>
      <c r="AR204" s="673"/>
      <c r="AS204" s="671"/>
      <c r="AT204" s="684"/>
      <c r="AU204" s="684"/>
      <c r="AV204" s="684"/>
      <c r="AW204" s="684"/>
      <c r="AX204" s="684"/>
      <c r="AY204" s="684"/>
      <c r="AZ204" s="687"/>
      <c r="BA204" s="687"/>
      <c r="BC204" s="687"/>
      <c r="BE204" s="687"/>
      <c r="BG204" s="687"/>
      <c r="BI204" s="687"/>
      <c r="BK204" s="682"/>
      <c r="BL204" s="684"/>
      <c r="BM204" s="684"/>
    </row>
    <row r="205" spans="2:67" s="688" customFormat="1" ht="12" customHeight="1" x14ac:dyDescent="0.35">
      <c r="B205" s="688" t="s">
        <v>548</v>
      </c>
      <c r="E205" s="688">
        <f>E199/E195</f>
        <v>4.4489970123772942</v>
      </c>
      <c r="F205" s="688">
        <f t="shared" ref="F205:AF205" si="553">F199/F195</f>
        <v>2.7951756242065171</v>
      </c>
      <c r="G205" s="688">
        <f t="shared" si="553"/>
        <v>2.9840032813781789</v>
      </c>
      <c r="H205" s="688">
        <f t="shared" si="553"/>
        <v>2.7887612797374897</v>
      </c>
      <c r="I205" s="688">
        <f t="shared" si="553"/>
        <v>5.0494590417310663</v>
      </c>
      <c r="J205" s="688">
        <f t="shared" si="553"/>
        <v>3.0038684719535782</v>
      </c>
      <c r="K205" s="688">
        <f t="shared" si="553"/>
        <v>3.6796754250386399</v>
      </c>
      <c r="L205" s="688">
        <f t="shared" si="553"/>
        <v>3.6283151326053042</v>
      </c>
      <c r="M205" s="688">
        <f t="shared" si="553"/>
        <v>6.4313725490196081</v>
      </c>
      <c r="N205" s="688">
        <f t="shared" si="553"/>
        <v>3.0188531029065202</v>
      </c>
      <c r="O205" s="688">
        <f t="shared" si="553"/>
        <v>4.9045950155763238</v>
      </c>
      <c r="P205" s="688">
        <f t="shared" si="553"/>
        <v>5.2587685113016365</v>
      </c>
      <c r="Q205" s="688">
        <f t="shared" si="553"/>
        <v>9.0182808245818755</v>
      </c>
      <c r="R205" s="688">
        <f t="shared" si="553"/>
        <v>4.3529639674544747</v>
      </c>
      <c r="S205" s="688">
        <f t="shared" si="553"/>
        <v>7.7025779145825322</v>
      </c>
      <c r="T205" s="688">
        <f t="shared" si="553"/>
        <v>8.4729574223245105</v>
      </c>
      <c r="U205" s="688">
        <f t="shared" si="553"/>
        <v>10.327724665391969</v>
      </c>
      <c r="V205" s="688">
        <f t="shared" si="553"/>
        <v>5.3833524245895381</v>
      </c>
      <c r="W205" s="688">
        <f t="shared" si="553"/>
        <v>7.651693947468595</v>
      </c>
      <c r="X205" s="688">
        <f t="shared" si="553"/>
        <v>8.9242770167427707</v>
      </c>
      <c r="Y205" s="688">
        <f t="shared" si="553"/>
        <v>11.399005355776588</v>
      </c>
      <c r="Z205" s="688">
        <f t="shared" ca="1" si="553"/>
        <v>50.487238095238098</v>
      </c>
      <c r="AA205" s="688">
        <f t="shared" si="553"/>
        <v>11.743122747106812</v>
      </c>
      <c r="AB205" s="688">
        <f t="shared" si="553"/>
        <v>12.419416003033751</v>
      </c>
      <c r="AC205" s="688">
        <f t="shared" si="553"/>
        <v>17.387060583395662</v>
      </c>
      <c r="AD205" s="688">
        <f t="shared" si="553"/>
        <v>4.1267191938247985</v>
      </c>
      <c r="AE205" s="688">
        <f t="shared" si="553"/>
        <v>14.401313389273987</v>
      </c>
      <c r="AF205" s="688">
        <f t="shared" si="553"/>
        <v>17.154098360655738</v>
      </c>
      <c r="AG205" s="688">
        <f t="shared" ref="AG205:AP205" si="554">AG199/AG195</f>
        <v>20.762974554012022</v>
      </c>
      <c r="AH205" s="688">
        <f t="shared" si="554"/>
        <v>3.9261679563909877</v>
      </c>
      <c r="AI205" s="688">
        <f t="shared" si="554"/>
        <v>20.102628909592237</v>
      </c>
      <c r="AJ205" s="688">
        <f t="shared" si="554"/>
        <v>17.56295523987361</v>
      </c>
      <c r="AK205" s="688">
        <f t="shared" si="554"/>
        <v>23.460637933134887</v>
      </c>
      <c r="AL205" s="688">
        <f t="shared" si="554"/>
        <v>4.9963412857436955</v>
      </c>
      <c r="AM205" s="688">
        <f t="shared" si="554"/>
        <v>22.335999533955068</v>
      </c>
      <c r="AN205" s="688">
        <f t="shared" si="554"/>
        <v>19.596590664542234</v>
      </c>
      <c r="AO205" s="688">
        <f t="shared" si="554"/>
        <v>26.499120740884461</v>
      </c>
      <c r="AP205" s="688">
        <f t="shared" si="554"/>
        <v>5.7711555779964696</v>
      </c>
      <c r="AQ205" s="689"/>
      <c r="AR205" s="670" t="s">
        <v>549</v>
      </c>
      <c r="AS205" s="690"/>
      <c r="AT205" s="688">
        <v>11.839622641509401</v>
      </c>
      <c r="AU205" s="688">
        <v>13.9924</v>
      </c>
      <c r="AV205" s="688">
        <f>(AV199-AV262-AV297-AV256-AV257-AV260+AV264-AV261-AV274)/AV195</f>
        <v>14.407494145199063</v>
      </c>
      <c r="AW205" s="688">
        <f>(AW199-AW262-AW297-AW256-AW257-AW260+AW264-AW261-AW274)/AW195</f>
        <v>18.175670423630002</v>
      </c>
      <c r="AX205" s="688">
        <f>(AX199-AX262-AX297-AX256-AX257-AX260+AX264-AX261-AX274)/AX195</f>
        <v>28.637931034482758</v>
      </c>
      <c r="AY205" s="688">
        <f ca="1">AY199/AY195</f>
        <v>78.490278307281741</v>
      </c>
      <c r="AZ205" s="688">
        <f>AZ199/AZ195</f>
        <v>80.284457478005862</v>
      </c>
      <c r="BA205" s="688">
        <f>BA199/BA195</f>
        <v>74.353605289248904</v>
      </c>
      <c r="BB205" s="688">
        <f>BB199/BB195</f>
        <v>87.027396103192203</v>
      </c>
      <c r="BC205" s="688">
        <f t="shared" ref="BC205:BJ205" si="555">BC199/BC195</f>
        <v>108.98031952344252</v>
      </c>
      <c r="BD205" s="688">
        <f t="shared" si="555"/>
        <v>134.21836432113622</v>
      </c>
      <c r="BE205" s="688">
        <f t="shared" si="555"/>
        <v>163.28904290017513</v>
      </c>
      <c r="BF205" s="688">
        <f t="shared" si="555"/>
        <v>179.46534428931633</v>
      </c>
      <c r="BG205" s="688">
        <f t="shared" si="555"/>
        <v>207.21320584346705</v>
      </c>
      <c r="BH205" s="688">
        <f t="shared" si="555"/>
        <v>219.67810568608581</v>
      </c>
      <c r="BI205" s="688">
        <f t="shared" si="555"/>
        <v>247.800660855431</v>
      </c>
      <c r="BJ205" s="688">
        <f t="shared" si="555"/>
        <v>259.69811891216392</v>
      </c>
      <c r="BL205" s="688">
        <v>12.655816882019099</v>
      </c>
      <c r="BM205" s="688">
        <v>19.141329486142901</v>
      </c>
    </row>
    <row r="206" spans="2:67" s="648" customFormat="1" ht="12" customHeight="1" x14ac:dyDescent="0.35">
      <c r="B206" s="691" t="s">
        <v>550</v>
      </c>
      <c r="C206" s="692"/>
      <c r="D206" s="692"/>
      <c r="E206" s="693">
        <f t="shared" ref="E206:AF206" si="556">E205/E3</f>
        <v>0.71568705559122547</v>
      </c>
      <c r="F206" s="693">
        <f t="shared" si="556"/>
        <v>0.44964539350854466</v>
      </c>
      <c r="G206" s="693">
        <f t="shared" si="556"/>
        <v>0.48101155480336888</v>
      </c>
      <c r="H206" s="693">
        <f t="shared" si="556"/>
        <v>0.454343642837649</v>
      </c>
      <c r="I206" s="693">
        <f t="shared" si="556"/>
        <v>0.82265543201874658</v>
      </c>
      <c r="J206" s="693">
        <f t="shared" si="556"/>
        <v>0.4893888028598205</v>
      </c>
      <c r="K206" s="693">
        <f t="shared" si="556"/>
        <v>0.59349603629655479</v>
      </c>
      <c r="L206" s="693">
        <f t="shared" si="556"/>
        <v>0.55820232809312376</v>
      </c>
      <c r="M206" s="693">
        <f t="shared" si="556"/>
        <v>0.97445038621509217</v>
      </c>
      <c r="N206" s="693">
        <f t="shared" si="556"/>
        <v>0.45740198528886672</v>
      </c>
      <c r="O206" s="693">
        <f t="shared" si="556"/>
        <v>0.74312045690550366</v>
      </c>
      <c r="P206" s="693">
        <f t="shared" si="556"/>
        <v>0.78859841213190918</v>
      </c>
      <c r="Q206" s="693">
        <f t="shared" si="556"/>
        <v>1.2989026104827706</v>
      </c>
      <c r="R206" s="693">
        <f t="shared" si="556"/>
        <v>0.63240410963715632</v>
      </c>
      <c r="S206" s="693">
        <f t="shared" si="556"/>
        <v>1.1361907445580712</v>
      </c>
      <c r="T206" s="693">
        <f t="shared" si="556"/>
        <v>1.2734969747831169</v>
      </c>
      <c r="U206" s="693">
        <f t="shared" si="556"/>
        <v>1.5873422168347553</v>
      </c>
      <c r="V206" s="693">
        <f t="shared" si="556"/>
        <v>0.82740611785339402</v>
      </c>
      <c r="W206" s="693">
        <f t="shared" si="556"/>
        <v>1.1563690414793102</v>
      </c>
      <c r="X206" s="693">
        <f t="shared" si="556"/>
        <v>1.2994220234600564</v>
      </c>
      <c r="Y206" s="693">
        <f t="shared" si="556"/>
        <v>1.6580906899114374</v>
      </c>
      <c r="Z206" s="693">
        <f t="shared" ca="1" si="556"/>
        <v>7.479590828924163</v>
      </c>
      <c r="AA206" s="693">
        <f t="shared" si="556"/>
        <v>1.7068492364980832</v>
      </c>
      <c r="AB206" s="693">
        <f t="shared" si="556"/>
        <v>1.737530738184587</v>
      </c>
      <c r="AC206" s="693">
        <f t="shared" si="556"/>
        <v>2.4838657976279519</v>
      </c>
      <c r="AD206" s="693">
        <f t="shared" si="556"/>
        <v>0.58953131340354259</v>
      </c>
      <c r="AE206" s="693">
        <f t="shared" si="556"/>
        <v>2.0573304841819984</v>
      </c>
      <c r="AF206" s="693">
        <f t="shared" si="556"/>
        <v>2.4505854800936766</v>
      </c>
      <c r="AG206" s="693">
        <f t="shared" ref="AG206:AP206" si="557">AG205/AG3</f>
        <v>3.1943037775403109</v>
      </c>
      <c r="AH206" s="693">
        <f t="shared" si="557"/>
        <v>0.60402583944476729</v>
      </c>
      <c r="AI206" s="693">
        <f t="shared" si="557"/>
        <v>3.0927121399372672</v>
      </c>
      <c r="AJ206" s="693">
        <f t="shared" si="557"/>
        <v>2.7019931138267093</v>
      </c>
      <c r="AK206" s="693">
        <f t="shared" si="557"/>
        <v>3.6093289127899828</v>
      </c>
      <c r="AL206" s="693">
        <f t="shared" si="557"/>
        <v>0.76866789011441472</v>
      </c>
      <c r="AM206" s="693">
        <f t="shared" si="557"/>
        <v>3.4363076206084719</v>
      </c>
      <c r="AN206" s="693">
        <f t="shared" si="557"/>
        <v>3.0148601022372667</v>
      </c>
      <c r="AO206" s="693">
        <f t="shared" si="557"/>
        <v>4.076787806289917</v>
      </c>
      <c r="AP206" s="693">
        <f t="shared" si="557"/>
        <v>0.88787008892253383</v>
      </c>
      <c r="AQ206" s="685"/>
      <c r="AR206" s="673"/>
      <c r="AS206" s="671"/>
      <c r="AT206" s="693">
        <f t="shared" ref="AT206:BB206" si="558">AT205/AT3</f>
        <v>1.9045786373961457</v>
      </c>
      <c r="AU206" s="693">
        <f t="shared" si="558"/>
        <v>2.273560379565839</v>
      </c>
      <c r="AV206" s="693">
        <f t="shared" si="558"/>
        <v>2.2250956208801642</v>
      </c>
      <c r="AW206" s="693">
        <f t="shared" si="558"/>
        <v>2.6832805565117903</v>
      </c>
      <c r="AX206" s="693">
        <f t="shared" si="558"/>
        <v>4.3316641257366566</v>
      </c>
      <c r="AY206" s="693">
        <f t="shared" ca="1" si="558"/>
        <v>11.581152787783239</v>
      </c>
      <c r="AZ206" s="693">
        <f t="shared" si="558"/>
        <v>11.469208211143695</v>
      </c>
      <c r="BA206" s="693">
        <f>BA205/BA3</f>
        <v>11.265697771098319</v>
      </c>
      <c r="BB206" s="693">
        <f t="shared" si="558"/>
        <v>13.388830169721878</v>
      </c>
      <c r="BC206" s="693">
        <f t="shared" ref="BC206:BJ206" si="559">BC205/BC3</f>
        <v>16.766203003606542</v>
      </c>
      <c r="BD206" s="693">
        <f t="shared" si="559"/>
        <v>20.648979126328648</v>
      </c>
      <c r="BE206" s="693">
        <f t="shared" si="559"/>
        <v>25.12139121541156</v>
      </c>
      <c r="BF206" s="693">
        <f t="shared" si="559"/>
        <v>27.61005296758713</v>
      </c>
      <c r="BG206" s="693">
        <f t="shared" si="559"/>
        <v>31.878954745148778</v>
      </c>
      <c r="BH206" s="693">
        <f t="shared" si="559"/>
        <v>33.796631644013203</v>
      </c>
      <c r="BI206" s="693">
        <f t="shared" si="559"/>
        <v>38.12317859314323</v>
      </c>
      <c r="BJ206" s="693">
        <f t="shared" si="559"/>
        <v>39.953556755717528</v>
      </c>
      <c r="BL206" s="693">
        <v>1.83950826773533</v>
      </c>
      <c r="BM206" s="693">
        <v>2.7344756408775601</v>
      </c>
      <c r="BN206" s="692"/>
      <c r="BO206" s="692"/>
    </row>
    <row r="207" spans="2:67" s="694" customFormat="1" ht="12" customHeight="1" x14ac:dyDescent="0.35">
      <c r="B207" s="672" t="s">
        <v>529</v>
      </c>
      <c r="S207" s="695">
        <f>S206/O206-1</f>
        <v>0.52894558883412768</v>
      </c>
      <c r="T207" s="695">
        <f t="shared" ref="T207:AF207" si="560">T206/P206-1</f>
        <v>0.6148865572025759</v>
      </c>
      <c r="U207" s="695">
        <f t="shared" si="560"/>
        <v>0.22206407472287615</v>
      </c>
      <c r="V207" s="695">
        <f t="shared" si="560"/>
        <v>0.30835031784995937</v>
      </c>
      <c r="W207" s="695">
        <f t="shared" si="560"/>
        <v>1.7759603321788608E-2</v>
      </c>
      <c r="X207" s="695">
        <f t="shared" si="560"/>
        <v>2.0357369660304547E-2</v>
      </c>
      <c r="Y207" s="695">
        <f t="shared" si="560"/>
        <v>4.4570397187418287E-2</v>
      </c>
      <c r="Z207" s="695">
        <f t="shared" ca="1" si="560"/>
        <v>8.0398060487261862</v>
      </c>
      <c r="AA207" s="695">
        <f t="shared" si="560"/>
        <v>0.47604196867339099</v>
      </c>
      <c r="AB207" s="695">
        <f t="shared" si="560"/>
        <v>0.33715660256238356</v>
      </c>
      <c r="AC207" s="695">
        <f t="shared" si="560"/>
        <v>0.49802770906374327</v>
      </c>
      <c r="AD207" s="695">
        <f t="shared" ca="1" si="560"/>
        <v>-0.92118134174883215</v>
      </c>
      <c r="AE207" s="695">
        <f t="shared" si="560"/>
        <v>0.20533814011774831</v>
      </c>
      <c r="AF207" s="695">
        <f t="shared" si="560"/>
        <v>0.41038395824531193</v>
      </c>
      <c r="AG207" s="695">
        <f t="shared" ref="AG207" si="561">AG206/AC206-1</f>
        <v>0.28602108076483623</v>
      </c>
      <c r="AH207" s="695">
        <f t="shared" ref="AH207" si="562">AH206/AD206-1</f>
        <v>2.4586524433356072E-2</v>
      </c>
      <c r="AI207" s="695">
        <f t="shared" ref="AI207" si="563">AI206/AE206-1</f>
        <v>0.50326462555039631</v>
      </c>
      <c r="AJ207" s="695">
        <f t="shared" ref="AJ207" si="564">AJ206/AF206-1</f>
        <v>0.10259084442278765</v>
      </c>
      <c r="AK207" s="695">
        <f t="shared" ref="AK207" si="565">AK206/AG206-1</f>
        <v>0.12992663320495179</v>
      </c>
      <c r="AL207" s="695">
        <f t="shared" ref="AL207" si="566">AL206/AH206-1</f>
        <v>0.2725745157210322</v>
      </c>
      <c r="AM207" s="695">
        <f t="shared" ref="AM207" si="567">AM206/AI206-1</f>
        <v>0.11109843565271937</v>
      </c>
      <c r="AN207" s="695">
        <f t="shared" ref="AN207" si="568">AN206/AJ206-1</f>
        <v>0.11579118644290642</v>
      </c>
      <c r="AO207" s="695">
        <f t="shared" ref="AO207" si="569">AO206/AK206-1</f>
        <v>0.12951407444288376</v>
      </c>
      <c r="AP207" s="695">
        <f t="shared" ref="AP207" si="570">AP206/AL206-1</f>
        <v>0.15507633444968816</v>
      </c>
      <c r="AQ207" s="696"/>
      <c r="AR207" s="697"/>
      <c r="AS207" s="698"/>
      <c r="AT207" s="699"/>
      <c r="AU207" s="695">
        <f>AU206/AT206-1</f>
        <v>0.19373405483227968</v>
      </c>
      <c r="AV207" s="695">
        <f t="shared" ref="AV207:BB207" si="571">AV206/AU206-1</f>
        <v>-2.1316679830130414E-2</v>
      </c>
      <c r="AW207" s="695">
        <f t="shared" si="571"/>
        <v>0.20591696434618179</v>
      </c>
      <c r="AX207" s="695">
        <f t="shared" si="571"/>
        <v>0.61431651834712775</v>
      </c>
      <c r="AY207" s="700">
        <f t="shared" ca="1" si="571"/>
        <v>1.6736035970502932</v>
      </c>
      <c r="AZ207" s="700">
        <f t="shared" ca="1" si="571"/>
        <v>-9.6660996267687871E-3</v>
      </c>
      <c r="BA207" s="700">
        <f t="shared" si="571"/>
        <v>-1.7744070584370553E-2</v>
      </c>
      <c r="BB207" s="700">
        <f t="shared" si="571"/>
        <v>0.18845991094048054</v>
      </c>
      <c r="BC207" s="700">
        <f t="shared" ref="BC207" si="572">BC206/BB206-1</f>
        <v>0.25225301920121534</v>
      </c>
      <c r="BD207" s="700">
        <f t="shared" ref="BD207" si="573">BD206/BC206-1</f>
        <v>0.23158350891295365</v>
      </c>
      <c r="BE207" s="700">
        <f t="shared" ref="BE207" si="574">BE206/BD206-1</f>
        <v>0.21659240690404524</v>
      </c>
      <c r="BF207" s="700">
        <f t="shared" ref="BF207" si="575">BF206/BE206-1</f>
        <v>9.9065443105269546E-2</v>
      </c>
      <c r="BG207" s="700">
        <f t="shared" ref="BG207" si="576">BG206/BF206-1</f>
        <v>0.15461403795831652</v>
      </c>
      <c r="BH207" s="700">
        <f t="shared" ref="BH207" si="577">BH206/BG206-1</f>
        <v>6.0154949062633634E-2</v>
      </c>
      <c r="BI207" s="700">
        <f t="shared" ref="BI207" si="578">BI206/BH206-1</f>
        <v>0.12801710521635479</v>
      </c>
      <c r="BJ207" s="700">
        <f t="shared" ref="BJ207" si="579">BJ206/BI206-1</f>
        <v>4.8012212782895025E-2</v>
      </c>
      <c r="BL207" s="695">
        <v>0.41563574768199602</v>
      </c>
      <c r="BM207" s="695">
        <v>0.64917133756032097</v>
      </c>
    </row>
    <row r="208" spans="2:67" s="2839" customFormat="1" ht="12" customHeight="1" x14ac:dyDescent="0.35">
      <c r="B208" s="2838"/>
      <c r="S208" s="2840"/>
      <c r="T208" s="2840"/>
      <c r="U208" s="2840"/>
      <c r="V208" s="2840"/>
      <c r="W208" s="2840"/>
      <c r="X208" s="2840"/>
      <c r="Y208" s="2840"/>
      <c r="Z208" s="2840"/>
      <c r="AA208" s="2840"/>
      <c r="AB208" s="2840"/>
      <c r="AC208" s="2840"/>
      <c r="AD208" s="2840"/>
      <c r="AQ208" s="2841"/>
      <c r="AT208" s="2842"/>
      <c r="AU208" s="2840"/>
      <c r="AV208" s="2840"/>
      <c r="AW208" s="2840"/>
      <c r="AX208" s="2840"/>
      <c r="AY208" s="2840"/>
      <c r="AZ208" s="2840" t="e">
        <f ca="1">AZ206/AZ203-1</f>
        <v>#NAME?</v>
      </c>
      <c r="BA208" s="2840" t="e">
        <f ca="1">BA206/BA203-1</f>
        <v>#NAME?</v>
      </c>
      <c r="BB208" s="2840" t="e">
        <f t="shared" ref="BB208:BJ208" ca="1" si="580">BB206/BB203-1</f>
        <v>#NAME?</v>
      </c>
      <c r="BC208" s="2840" t="e">
        <f t="shared" ca="1" si="580"/>
        <v>#NAME?</v>
      </c>
      <c r="BD208" s="2840" t="e">
        <f t="shared" ca="1" si="580"/>
        <v>#NAME?</v>
      </c>
      <c r="BE208" s="2840" t="e">
        <f t="shared" ca="1" si="580"/>
        <v>#NAME?</v>
      </c>
      <c r="BF208" s="2840" t="e">
        <f t="shared" ca="1" si="580"/>
        <v>#NAME?</v>
      </c>
      <c r="BG208" s="2840" t="e">
        <f t="shared" ca="1" si="580"/>
        <v>#NAME?</v>
      </c>
      <c r="BH208" s="2840" t="e">
        <f t="shared" ca="1" si="580"/>
        <v>#NAME?</v>
      </c>
      <c r="BI208" s="2840" t="e">
        <f t="shared" ca="1" si="580"/>
        <v>#NAME?</v>
      </c>
      <c r="BJ208" s="2840" t="e">
        <f t="shared" ca="1" si="580"/>
        <v>#NAME?</v>
      </c>
      <c r="BL208" s="2840"/>
      <c r="BM208" s="2840"/>
    </row>
    <row r="209" spans="2:67" s="2839" customFormat="1" ht="12" customHeight="1" x14ac:dyDescent="0.35">
      <c r="B209" s="2838"/>
      <c r="S209" s="2840"/>
      <c r="T209" s="2840"/>
      <c r="U209" s="2840"/>
      <c r="V209" s="2840"/>
      <c r="W209" s="2840"/>
      <c r="X209" s="2840"/>
      <c r="Y209" s="2840"/>
      <c r="Z209" s="2840"/>
      <c r="AA209" s="2840"/>
      <c r="AB209" s="2840"/>
      <c r="AC209" s="2840"/>
      <c r="AD209" s="2840"/>
      <c r="AQ209" s="2841"/>
      <c r="AT209" s="2842"/>
      <c r="AU209" s="2840"/>
      <c r="AV209" s="2840"/>
      <c r="AW209" s="2840"/>
      <c r="AX209" s="2840"/>
      <c r="AY209" s="2840"/>
      <c r="AZ209" s="2840"/>
      <c r="BA209" s="2840"/>
      <c r="BB209" s="2840"/>
      <c r="BC209" s="2840"/>
      <c r="BD209" s="2840"/>
      <c r="BE209" s="2840"/>
      <c r="BF209" s="2840"/>
      <c r="BG209" s="2840"/>
      <c r="BH209" s="2840"/>
      <c r="BI209" s="2840"/>
      <c r="BJ209" s="2840"/>
      <c r="BL209" s="2840"/>
      <c r="BM209" s="2840"/>
    </row>
    <row r="210" spans="2:67" s="2839" customFormat="1" ht="12" customHeight="1" x14ac:dyDescent="0.35">
      <c r="B210" s="711" t="s">
        <v>1339</v>
      </c>
      <c r="S210" s="2840"/>
      <c r="T210" s="2840"/>
      <c r="U210" s="2840"/>
      <c r="V210" s="2840"/>
      <c r="W210" s="2840"/>
      <c r="X210" s="2840"/>
      <c r="Y210" s="2840"/>
      <c r="Z210" s="2840"/>
      <c r="AA210" s="2840"/>
      <c r="AB210" s="2840"/>
      <c r="AC210" s="2840"/>
      <c r="AD210" s="2840"/>
      <c r="AQ210" s="2841"/>
      <c r="AT210" s="2842"/>
      <c r="AU210" s="2840"/>
      <c r="AV210" s="2840"/>
      <c r="AW210" s="2840"/>
      <c r="AX210" s="2840"/>
      <c r="AY210" s="2766">
        <v>35</v>
      </c>
      <c r="AZ210" s="2766">
        <v>20</v>
      </c>
      <c r="BA210" s="712">
        <v>20</v>
      </c>
      <c r="BB210" s="712">
        <v>18</v>
      </c>
      <c r="BC210" s="2766">
        <f>BB210*0.9</f>
        <v>16.2</v>
      </c>
      <c r="BD210" s="2766">
        <f t="shared" ref="BD210:BF210" si="581">BC210*0.9</f>
        <v>14.58</v>
      </c>
      <c r="BE210" s="2766">
        <f t="shared" si="581"/>
        <v>13.122</v>
      </c>
      <c r="BF210" s="2766">
        <f t="shared" si="581"/>
        <v>11.809800000000001</v>
      </c>
      <c r="BG210" s="2766">
        <f>BF210*0.99</f>
        <v>11.691702000000001</v>
      </c>
      <c r="BH210" s="2766">
        <f t="shared" ref="BH210:BJ210" si="582">BG210*0.99</f>
        <v>11.57478498</v>
      </c>
      <c r="BI210" s="2766">
        <f t="shared" si="582"/>
        <v>11.4590371302</v>
      </c>
      <c r="BJ210" s="2766">
        <f t="shared" si="582"/>
        <v>11.344446758898</v>
      </c>
      <c r="BK210" s="2839" t="s">
        <v>551</v>
      </c>
      <c r="BL210" s="2840"/>
      <c r="BM210" s="2840"/>
    </row>
    <row r="211" spans="2:67" s="2839" customFormat="1" ht="12" customHeight="1" x14ac:dyDescent="0.35">
      <c r="B211" s="711" t="s">
        <v>552</v>
      </c>
      <c r="S211" s="2840"/>
      <c r="T211" s="2840"/>
      <c r="U211" s="2840"/>
      <c r="V211" s="2840"/>
      <c r="W211" s="2840"/>
      <c r="X211" s="2840"/>
      <c r="Y211" s="2840"/>
      <c r="Z211" s="2840"/>
      <c r="AA211" s="2840"/>
      <c r="AB211" s="2840"/>
      <c r="AC211" s="2840"/>
      <c r="AD211" s="2840"/>
      <c r="AQ211" s="2841"/>
      <c r="AT211" s="2842"/>
      <c r="AU211" s="2840"/>
      <c r="AV211" s="2840"/>
      <c r="AW211" s="2840"/>
      <c r="AX211" s="2840"/>
      <c r="AY211" s="2843">
        <f ca="1">AY206*AY210</f>
        <v>405.34034757241335</v>
      </c>
      <c r="AZ211" s="2843">
        <f>AZ206*AZ210</f>
        <v>229.38416422287389</v>
      </c>
      <c r="BA211" s="2843">
        <f>BA206*BA210</f>
        <v>225.31395542196637</v>
      </c>
      <c r="BB211" s="2843">
        <f>BB206*BB210</f>
        <v>240.99894305499379</v>
      </c>
      <c r="BC211" s="2843">
        <f t="shared" ref="BC211:BJ211" si="583">BC206*BC210</f>
        <v>271.61248865842595</v>
      </c>
      <c r="BD211" s="2843">
        <f t="shared" si="583"/>
        <v>301.0621156618717</v>
      </c>
      <c r="BE211" s="2843">
        <f t="shared" si="583"/>
        <v>329.6428955286305</v>
      </c>
      <c r="BF211" s="2843">
        <f t="shared" si="583"/>
        <v>326.06920353661053</v>
      </c>
      <c r="BG211" s="2843">
        <f t="shared" si="583"/>
        <v>372.71923895176548</v>
      </c>
      <c r="BH211" s="2843">
        <f t="shared" si="583"/>
        <v>391.18874432771673</v>
      </c>
      <c r="BI211" s="2843">
        <f t="shared" si="583"/>
        <v>436.85491902007408</v>
      </c>
      <c r="BJ211" s="2843">
        <f t="shared" si="583"/>
        <v>453.25099744384698</v>
      </c>
      <c r="BL211" s="2840"/>
      <c r="BM211" s="2840"/>
    </row>
    <row r="212" spans="2:67" s="2839" customFormat="1" ht="12" customHeight="1" x14ac:dyDescent="0.35">
      <c r="B212" s="711"/>
      <c r="S212" s="2840"/>
      <c r="T212" s="2840"/>
      <c r="U212" s="2840"/>
      <c r="V212" s="2840"/>
      <c r="W212" s="2840"/>
      <c r="X212" s="2840"/>
      <c r="Y212" s="2840"/>
      <c r="Z212" s="2840"/>
      <c r="AA212" s="2840"/>
      <c r="AB212" s="2840"/>
      <c r="AC212" s="2840"/>
      <c r="AD212" s="2840"/>
      <c r="AQ212" s="2841"/>
      <c r="AT212" s="2842"/>
      <c r="AU212" s="2840"/>
      <c r="AV212" s="2840"/>
      <c r="AW212" s="2840"/>
      <c r="AX212" s="2840"/>
      <c r="AY212" s="2840"/>
      <c r="AZ212" s="2840"/>
      <c r="BA212" s="2840"/>
      <c r="BB212" s="2840"/>
      <c r="BC212" s="2840"/>
      <c r="BD212" s="2840"/>
      <c r="BE212" s="2840"/>
      <c r="BF212" s="2840"/>
      <c r="BG212" s="2840"/>
      <c r="BH212" s="2840"/>
      <c r="BI212" s="2840"/>
      <c r="BJ212" s="2840"/>
      <c r="BL212" s="2840"/>
      <c r="BM212" s="2840"/>
    </row>
    <row r="213" spans="2:67" s="712" customFormat="1" ht="12" customHeight="1" x14ac:dyDescent="0.35">
      <c r="B213" s="711" t="s">
        <v>553</v>
      </c>
      <c r="W213" s="713"/>
      <c r="X213" s="713"/>
      <c r="Y213" s="713"/>
      <c r="Z213" s="713"/>
      <c r="AA213" s="713"/>
      <c r="AB213" s="713"/>
      <c r="AC213" s="713"/>
      <c r="AD213" s="713"/>
      <c r="AQ213" s="714"/>
      <c r="AT213" s="715"/>
      <c r="AU213" s="715"/>
      <c r="AV213" s="715"/>
      <c r="AW213" s="715"/>
      <c r="AX213" s="715"/>
      <c r="AY213" s="2766">
        <v>35</v>
      </c>
      <c r="AZ213" s="2766">
        <v>25</v>
      </c>
      <c r="BA213" s="712">
        <v>25</v>
      </c>
      <c r="BB213" s="712">
        <v>25</v>
      </c>
      <c r="BC213" s="2766">
        <f>BB213*0.9</f>
        <v>22.5</v>
      </c>
      <c r="BD213" s="2766">
        <f t="shared" ref="BD213:BF213" si="584">BC213*0.9</f>
        <v>20.25</v>
      </c>
      <c r="BE213" s="2766">
        <f t="shared" si="584"/>
        <v>18.225000000000001</v>
      </c>
      <c r="BF213" s="2766">
        <f t="shared" si="584"/>
        <v>16.402500000000003</v>
      </c>
      <c r="BG213" s="2766">
        <f>BF213*0.99</f>
        <v>16.238475000000005</v>
      </c>
      <c r="BH213" s="2766">
        <f t="shared" ref="BH213:BJ213" si="585">BG213*0.99</f>
        <v>16.076090250000004</v>
      </c>
      <c r="BI213" s="2766">
        <f t="shared" si="585"/>
        <v>15.915329347500004</v>
      </c>
      <c r="BJ213" s="2766">
        <f t="shared" si="585"/>
        <v>15.756176054025003</v>
      </c>
      <c r="BL213" s="713"/>
      <c r="BM213" s="713"/>
    </row>
    <row r="214" spans="2:67" s="712" customFormat="1" ht="12" customHeight="1" x14ac:dyDescent="0.35">
      <c r="B214" s="711" t="s">
        <v>552</v>
      </c>
      <c r="W214" s="713"/>
      <c r="X214" s="713"/>
      <c r="Y214" s="713"/>
      <c r="Z214" s="713"/>
      <c r="AA214" s="713"/>
      <c r="AB214" s="713"/>
      <c r="AC214" s="713"/>
      <c r="AD214" s="713"/>
      <c r="AQ214" s="714"/>
      <c r="AT214" s="715"/>
      <c r="AU214" s="715"/>
      <c r="AV214" s="715"/>
      <c r="AW214" s="715"/>
      <c r="AX214" s="715"/>
      <c r="AY214" s="2843">
        <f ca="1">AY206*AY213</f>
        <v>405.34034757241335</v>
      </c>
      <c r="AZ214" s="2843">
        <f>AZ206*AZ213</f>
        <v>286.73020527859239</v>
      </c>
      <c r="BA214" s="2843">
        <f>BA206*BA213</f>
        <v>281.64244427745797</v>
      </c>
      <c r="BB214" s="2843">
        <f>BB206*BB213</f>
        <v>334.72075424304694</v>
      </c>
      <c r="BC214" s="2843">
        <f t="shared" ref="BC214:BJ214" si="586">BC206*BC213</f>
        <v>377.23956758114718</v>
      </c>
      <c r="BD214" s="2843">
        <f t="shared" si="586"/>
        <v>418.14182730815514</v>
      </c>
      <c r="BE214" s="2843">
        <f t="shared" si="586"/>
        <v>457.83735490087571</v>
      </c>
      <c r="BF214" s="2843">
        <f t="shared" si="586"/>
        <v>452.87389380084801</v>
      </c>
      <c r="BG214" s="2843">
        <f t="shared" si="586"/>
        <v>517.66560965523001</v>
      </c>
      <c r="BH214" s="2843">
        <f t="shared" si="586"/>
        <v>543.31770045516225</v>
      </c>
      <c r="BI214" s="2843">
        <f t="shared" si="586"/>
        <v>606.74294308343633</v>
      </c>
      <c r="BJ214" s="2843">
        <f t="shared" si="586"/>
        <v>629.51527422756544</v>
      </c>
      <c r="BL214" s="713"/>
      <c r="BM214" s="713"/>
    </row>
    <row r="215" spans="2:67" s="712" customFormat="1" ht="12" customHeight="1" x14ac:dyDescent="0.35">
      <c r="B215" s="711"/>
      <c r="W215" s="713"/>
      <c r="X215" s="713"/>
      <c r="Y215" s="713"/>
      <c r="Z215" s="713"/>
      <c r="AA215" s="713"/>
      <c r="AB215" s="713"/>
      <c r="AC215" s="713"/>
      <c r="AD215" s="713"/>
      <c r="AQ215" s="714"/>
      <c r="AT215" s="715"/>
      <c r="AU215" s="715"/>
      <c r="AV215" s="715"/>
      <c r="AW215" s="715"/>
      <c r="AX215" s="715"/>
      <c r="AY215" s="2843"/>
      <c r="AZ215" s="2843"/>
      <c r="BA215" s="2843"/>
      <c r="BB215" s="2844"/>
      <c r="BC215" s="2844"/>
      <c r="BD215" s="2844"/>
      <c r="BE215" s="2844"/>
      <c r="BF215" s="2844"/>
      <c r="BG215" s="2844"/>
      <c r="BH215" s="2844"/>
      <c r="BI215" s="2844"/>
      <c r="BJ215" s="2844"/>
      <c r="BL215" s="713"/>
      <c r="BM215" s="713"/>
    </row>
    <row r="216" spans="2:67" s="712" customFormat="1" ht="12" customHeight="1" x14ac:dyDescent="0.35">
      <c r="B216" s="711" t="s">
        <v>554</v>
      </c>
      <c r="W216" s="713"/>
      <c r="X216" s="713"/>
      <c r="Y216" s="713"/>
      <c r="Z216" s="713"/>
      <c r="AA216" s="713"/>
      <c r="AB216" s="713"/>
      <c r="AC216" s="713"/>
      <c r="AD216" s="713"/>
      <c r="AQ216" s="714"/>
      <c r="AT216" s="715"/>
      <c r="AU216" s="715"/>
      <c r="AV216" s="715"/>
      <c r="AW216" s="715"/>
      <c r="AX216" s="715"/>
      <c r="AY216" s="2843"/>
      <c r="AZ216" s="2843"/>
      <c r="BA216" s="2843"/>
      <c r="BB216" s="2843">
        <f>500000/BB195/3</f>
        <v>57.915245257381663</v>
      </c>
      <c r="BC216" s="2843"/>
      <c r="BD216" s="2843"/>
      <c r="BE216" s="2843"/>
      <c r="BF216" s="2843"/>
      <c r="BG216" s="2843"/>
      <c r="BH216" s="2843"/>
      <c r="BI216" s="2843"/>
      <c r="BJ216" s="2843"/>
      <c r="BL216" s="713"/>
      <c r="BM216" s="713"/>
    </row>
    <row r="217" spans="2:67" s="712" customFormat="1" ht="12" customHeight="1" x14ac:dyDescent="0.35">
      <c r="B217" s="2845"/>
      <c r="S217" s="713"/>
      <c r="T217" s="713"/>
      <c r="U217" s="713"/>
      <c r="V217" s="713"/>
      <c r="W217" s="713"/>
      <c r="X217" s="713"/>
      <c r="Y217" s="713"/>
      <c r="Z217" s="713"/>
      <c r="AA217" s="713"/>
      <c r="AB217" s="713"/>
      <c r="AC217" s="713"/>
      <c r="AD217" s="713"/>
      <c r="AQ217" s="714"/>
      <c r="AT217" s="715"/>
      <c r="AU217" s="713"/>
      <c r="AV217" s="713"/>
      <c r="AW217" s="713"/>
      <c r="AX217" s="713"/>
      <c r="AY217" s="713"/>
      <c r="AZ217" s="713"/>
      <c r="BA217" s="713"/>
      <c r="BB217" s="713"/>
      <c r="BC217" s="713"/>
      <c r="BD217" s="713"/>
      <c r="BE217" s="713"/>
      <c r="BF217" s="713"/>
      <c r="BG217" s="713"/>
      <c r="BH217" s="713"/>
      <c r="BI217" s="713"/>
      <c r="BJ217" s="713"/>
      <c r="BL217" s="713"/>
      <c r="BM217" s="713"/>
    </row>
    <row r="218" spans="2:67" s="668" customFormat="1" ht="12" customHeight="1" x14ac:dyDescent="0.35">
      <c r="B218" s="667" t="s">
        <v>555</v>
      </c>
      <c r="K218" s="650"/>
      <c r="L218" s="650"/>
      <c r="M218" s="650"/>
      <c r="N218" s="650"/>
      <c r="O218" s="650"/>
      <c r="P218" s="650"/>
      <c r="Q218" s="650"/>
      <c r="R218" s="650"/>
      <c r="S218" s="650">
        <f t="shared" ref="S218:AF218" si="587">S127-S262+S297-S256-S257-S260+S264-S261-S274</f>
        <v>25534</v>
      </c>
      <c r="T218" s="650">
        <f t="shared" si="587"/>
        <v>27292</v>
      </c>
      <c r="U218" s="650">
        <f t="shared" si="587"/>
        <v>35517</v>
      </c>
      <c r="V218" s="650">
        <f t="shared" si="587"/>
        <v>23339.231884057972</v>
      </c>
      <c r="W218" s="650">
        <f t="shared" si="587"/>
        <v>29482</v>
      </c>
      <c r="X218" s="650">
        <f>X127-X262+X297-X256-X257-X260+X264-X261-X274</f>
        <v>37720</v>
      </c>
      <c r="Y218" s="650">
        <f t="shared" si="587"/>
        <v>49605</v>
      </c>
      <c r="Z218" s="650">
        <f t="shared" si="587"/>
        <v>38106</v>
      </c>
      <c r="AA218" s="650">
        <f t="shared" si="587"/>
        <v>40660</v>
      </c>
      <c r="AB218" s="650">
        <f t="shared" si="587"/>
        <v>117282</v>
      </c>
      <c r="AC218" s="650">
        <f t="shared" si="587"/>
        <v>66683</v>
      </c>
      <c r="AD218" s="650">
        <f t="shared" si="587"/>
        <v>30079</v>
      </c>
      <c r="AE218" s="650">
        <f t="shared" si="587"/>
        <v>48527</v>
      </c>
      <c r="AF218" s="650">
        <f t="shared" si="587"/>
        <v>54062</v>
      </c>
      <c r="AG218" s="650">
        <f t="shared" ref="AG218:AP218" si="588">AG127-AG262+AG297-AG256-AG257-AG260+AG264-AG261-AG274</f>
        <v>75165.330112976386</v>
      </c>
      <c r="AH218" s="650">
        <f t="shared" si="588"/>
        <v>28421.028948834843</v>
      </c>
      <c r="AI218" s="650">
        <f t="shared" si="588"/>
        <v>70056.936094241653</v>
      </c>
      <c r="AJ218" s="650">
        <f t="shared" si="588"/>
        <v>62918.641120613494</v>
      </c>
      <c r="AK218" s="650">
        <f t="shared" si="588"/>
        <v>91760.210796824875</v>
      </c>
      <c r="AL218" s="650">
        <f t="shared" si="588"/>
        <v>37540.458104468889</v>
      </c>
      <c r="AM218" s="650">
        <f t="shared" si="588"/>
        <v>82184.012888045472</v>
      </c>
      <c r="AN218" s="650">
        <f t="shared" si="588"/>
        <v>75063.708206632378</v>
      </c>
      <c r="AO218" s="650">
        <f t="shared" si="588"/>
        <v>108097.88731220335</v>
      </c>
      <c r="AP218" s="650">
        <f t="shared" si="588"/>
        <v>46622.847068910065</v>
      </c>
      <c r="AQ218" s="669"/>
      <c r="AR218" s="673"/>
      <c r="AS218" s="671"/>
      <c r="AT218" s="650"/>
      <c r="AU218" s="650"/>
      <c r="AV218" s="650"/>
      <c r="AW218" s="650"/>
      <c r="AX218" s="650"/>
      <c r="AY218" s="650">
        <f>W218+X218+Y218+Z218</f>
        <v>154913</v>
      </c>
      <c r="AZ218" s="650">
        <f>AA218+AB218+AC218+AD218</f>
        <v>254704</v>
      </c>
      <c r="BA218" s="650">
        <f>BA127-BA262+BA297-BA256-BA257-BA260+BA264-BA261-BA274</f>
        <v>206175.35906181124</v>
      </c>
      <c r="BB218" s="650">
        <f>BB127-BB262+BB297-BB256-BB257-BB260+BB264-BB261-BB274</f>
        <v>262276.24611614889</v>
      </c>
      <c r="BC218" s="650">
        <f t="shared" ref="BC218:BJ218" si="589">BC127-BC262+BC297-BC256-BC257-BC260+BC264-BC261-BC274</f>
        <v>311968.4554757913</v>
      </c>
      <c r="BD218" s="650">
        <f t="shared" si="589"/>
        <v>370950.48091920326</v>
      </c>
      <c r="BE218" s="650">
        <f t="shared" si="589"/>
        <v>424042.78310488089</v>
      </c>
      <c r="BF218" s="650">
        <f t="shared" si="589"/>
        <v>466047.02486203692</v>
      </c>
      <c r="BG218" s="650">
        <f t="shared" si="589"/>
        <v>505558.96507015638</v>
      </c>
      <c r="BH218" s="650">
        <f t="shared" si="589"/>
        <v>537352.74303381552</v>
      </c>
      <c r="BI218" s="650">
        <f t="shared" si="589"/>
        <v>561758.08179457532</v>
      </c>
      <c r="BJ218" s="650">
        <f t="shared" si="589"/>
        <v>580590.12521180592</v>
      </c>
      <c r="BL218" s="650">
        <v>43666.832962220898</v>
      </c>
      <c r="BM218" s="650">
        <v>63878.313543826698</v>
      </c>
    </row>
    <row r="219" spans="2:67" s="706" customFormat="1" ht="14.45" customHeight="1" x14ac:dyDescent="0.35">
      <c r="B219" s="705" t="s">
        <v>548</v>
      </c>
      <c r="S219" s="706">
        <f t="shared" ref="S219:AF219" si="590">S218/S195</f>
        <v>9.8245479030396314</v>
      </c>
      <c r="T219" s="706">
        <f t="shared" si="590"/>
        <v>10.468738013041811</v>
      </c>
      <c r="U219" s="706">
        <f t="shared" si="590"/>
        <v>13.582026768642448</v>
      </c>
      <c r="V219" s="706">
        <f t="shared" si="590"/>
        <v>8.9115051103695961</v>
      </c>
      <c r="W219" s="706">
        <f t="shared" si="590"/>
        <v>11.222687476208604</v>
      </c>
      <c r="X219" s="706">
        <f t="shared" si="590"/>
        <v>14.353120243531203</v>
      </c>
      <c r="Y219" s="706">
        <f t="shared" si="590"/>
        <v>18.976664116296863</v>
      </c>
      <c r="Z219" s="706">
        <f t="shared" si="590"/>
        <v>14.516571428571428</v>
      </c>
      <c r="AA219" s="706">
        <f t="shared" si="590"/>
        <v>15.427812559286663</v>
      </c>
      <c r="AB219" s="706">
        <f t="shared" si="590"/>
        <v>44.475540386803182</v>
      </c>
      <c r="AC219" s="706">
        <f>AC218/AC195</f>
        <v>24.937546746447271</v>
      </c>
      <c r="AD219" s="706">
        <f t="shared" si="590"/>
        <v>11.026026392961876</v>
      </c>
      <c r="AE219" s="706">
        <f t="shared" si="590"/>
        <v>17.704122582998906</v>
      </c>
      <c r="AF219" s="706">
        <f t="shared" si="590"/>
        <v>19.69471766848816</v>
      </c>
      <c r="AG219" s="706">
        <f t="shared" ref="AG219:AP219" si="591">AG218/AG195</f>
        <v>27.273539761891008</v>
      </c>
      <c r="AH219" s="706">
        <f t="shared" si="591"/>
        <v>10.271408993462806</v>
      </c>
      <c r="AI219" s="706">
        <f t="shared" si="591"/>
        <v>25.217826505667333</v>
      </c>
      <c r="AJ219" s="706">
        <f t="shared" si="591"/>
        <v>22.558080098202872</v>
      </c>
      <c r="AK219" s="706">
        <f t="shared" si="591"/>
        <v>32.767513705351391</v>
      </c>
      <c r="AL219" s="706">
        <f t="shared" si="591"/>
        <v>13.35226497638296</v>
      </c>
      <c r="AM219" s="706">
        <f t="shared" si="591"/>
        <v>29.114477786281153</v>
      </c>
      <c r="AN219" s="706">
        <f t="shared" si="591"/>
        <v>26.486096915007781</v>
      </c>
      <c r="AO219" s="706">
        <f t="shared" si="591"/>
        <v>37.990187938491992</v>
      </c>
      <c r="AP219" s="706">
        <f t="shared" si="591"/>
        <v>16.319968408415868</v>
      </c>
      <c r="AQ219" s="707"/>
      <c r="AY219" s="706">
        <f>AY218/AY195</f>
        <v>59.059473884864659</v>
      </c>
      <c r="AZ219" s="706">
        <f>AZ218/AZ195</f>
        <v>93.366568914956005</v>
      </c>
      <c r="BA219" s="706">
        <f>BA218/BA195</f>
        <v>74.512131179709797</v>
      </c>
      <c r="BB219" s="706">
        <f>BB218/BB195</f>
        <v>91.138758714012951</v>
      </c>
      <c r="BC219" s="706">
        <f t="shared" ref="BC219:BJ219" si="592">BC218/BC195</f>
        <v>111.8493546808329</v>
      </c>
      <c r="BD219" s="706">
        <f t="shared" si="592"/>
        <v>127.8770659242274</v>
      </c>
      <c r="BE219" s="706">
        <f t="shared" si="592"/>
        <v>150.82212330981784</v>
      </c>
      <c r="BF219" s="706">
        <f t="shared" si="592"/>
        <v>159.38191434232169</v>
      </c>
      <c r="BG219" s="706">
        <f t="shared" si="592"/>
        <v>178.38558825576479</v>
      </c>
      <c r="BH219" s="706">
        <f t="shared" si="592"/>
        <v>182.30616004268529</v>
      </c>
      <c r="BI219" s="706">
        <f t="shared" si="592"/>
        <v>196.63908843896542</v>
      </c>
      <c r="BJ219" s="706">
        <f t="shared" si="592"/>
        <v>195.40878873888255</v>
      </c>
      <c r="BL219" s="706">
        <v>16.502698355589501</v>
      </c>
      <c r="BM219" s="706">
        <v>24.127348604756801</v>
      </c>
    </row>
    <row r="220" spans="2:67" s="648" customFormat="1" ht="12" customHeight="1" x14ac:dyDescent="0.35">
      <c r="B220" s="708" t="s">
        <v>550</v>
      </c>
      <c r="C220" s="692"/>
      <c r="D220" s="692"/>
      <c r="E220" s="692"/>
      <c r="F220" s="692"/>
      <c r="G220" s="692"/>
      <c r="H220" s="692"/>
      <c r="I220" s="692"/>
      <c r="J220" s="692"/>
      <c r="K220" s="692"/>
      <c r="L220" s="692"/>
      <c r="M220" s="692"/>
      <c r="N220" s="692"/>
      <c r="O220" s="692"/>
      <c r="P220" s="692"/>
      <c r="Q220" s="692"/>
      <c r="R220" s="692"/>
      <c r="S220" s="693">
        <f t="shared" ref="S220:AF220" si="593">S219/S3</f>
        <v>1.449197985491073</v>
      </c>
      <c r="T220" s="693">
        <f t="shared" si="593"/>
        <v>1.5734655002843418</v>
      </c>
      <c r="U220" s="693">
        <f t="shared" si="593"/>
        <v>2.0875192918621104</v>
      </c>
      <c r="V220" s="693">
        <f t="shared" si="593"/>
        <v>1.3696732567464758</v>
      </c>
      <c r="W220" s="693">
        <f t="shared" si="593"/>
        <v>1.6960386090688535</v>
      </c>
      <c r="X220" s="693">
        <f t="shared" si="593"/>
        <v>2.0898903647684017</v>
      </c>
      <c r="Y220" s="693">
        <f t="shared" si="593"/>
        <v>2.7603311968673645</v>
      </c>
      <c r="Z220" s="693">
        <f t="shared" si="593"/>
        <v>2.1506031746031744</v>
      </c>
      <c r="AA220" s="693">
        <f t="shared" si="593"/>
        <v>2.2424146161753868</v>
      </c>
      <c r="AB220" s="693">
        <f t="shared" si="593"/>
        <v>6.2223230545271671</v>
      </c>
      <c r="AC220" s="693">
        <f t="shared" si="593"/>
        <v>3.5625066780638961</v>
      </c>
      <c r="AD220" s="693">
        <f t="shared" si="593"/>
        <v>1.5751466275659822</v>
      </c>
      <c r="AE220" s="693">
        <f t="shared" si="593"/>
        <v>2.5291603689998436</v>
      </c>
      <c r="AF220" s="693">
        <f t="shared" si="593"/>
        <v>2.8135310954983086</v>
      </c>
      <c r="AG220" s="693">
        <f t="shared" ref="AG220:AP220" si="594">AG219/AG3</f>
        <v>4.1959291941370784</v>
      </c>
      <c r="AH220" s="693">
        <f t="shared" si="594"/>
        <v>1.5802167682250472</v>
      </c>
      <c r="AI220" s="693">
        <f t="shared" si="594"/>
        <v>3.8796656162565126</v>
      </c>
      <c r="AJ220" s="693">
        <f t="shared" si="594"/>
        <v>3.4704738612619801</v>
      </c>
      <c r="AK220" s="693">
        <f t="shared" si="594"/>
        <v>5.0411559546694447</v>
      </c>
      <c r="AL220" s="693">
        <f t="shared" si="594"/>
        <v>2.0541946117512246</v>
      </c>
      <c r="AM220" s="693">
        <f t="shared" si="594"/>
        <v>4.479150428658639</v>
      </c>
      <c r="AN220" s="693">
        <f t="shared" si="594"/>
        <v>4.0747841407704275</v>
      </c>
      <c r="AO220" s="693">
        <f t="shared" si="594"/>
        <v>5.8446442982295377</v>
      </c>
      <c r="AP220" s="693">
        <f t="shared" si="594"/>
        <v>2.5107643705255183</v>
      </c>
      <c r="AQ220" s="685"/>
      <c r="AR220" s="673"/>
      <c r="AS220" s="671"/>
      <c r="AT220" s="693"/>
      <c r="AU220" s="693"/>
      <c r="AV220" s="693"/>
      <c r="AW220" s="693"/>
      <c r="AX220" s="693"/>
      <c r="AY220" s="693">
        <f>AY219/AY3</f>
        <v>8.7141593249167713</v>
      </c>
      <c r="AZ220" s="693">
        <f>AZ219/AZ3</f>
        <v>13.338081273565143</v>
      </c>
      <c r="BA220" s="693">
        <f>BA219/BA3</f>
        <v>11.289716845410576</v>
      </c>
      <c r="BB220" s="693">
        <f>BB219/BB3</f>
        <v>14.02134749446353</v>
      </c>
      <c r="BC220" s="693">
        <f t="shared" ref="BC220:BJ220" si="595">BC219/BC3</f>
        <v>17.207593027820447</v>
      </c>
      <c r="BD220" s="693">
        <f t="shared" si="595"/>
        <v>19.673394757573444</v>
      </c>
      <c r="BE220" s="693">
        <f t="shared" si="595"/>
        <v>23.203403586125823</v>
      </c>
      <c r="BF220" s="693">
        <f t="shared" si="595"/>
        <v>24.520294514203336</v>
      </c>
      <c r="BG220" s="693">
        <f t="shared" si="595"/>
        <v>27.443936654733044</v>
      </c>
      <c r="BH220" s="693">
        <f t="shared" si="595"/>
        <v>28.047101545028507</v>
      </c>
      <c r="BI220" s="693">
        <f t="shared" si="595"/>
        <v>30.252167452148527</v>
      </c>
      <c r="BJ220" s="693">
        <f t="shared" si="595"/>
        <v>30.062890575212698</v>
      </c>
      <c r="BL220" s="693">
        <v>2.3986480168008102</v>
      </c>
      <c r="BM220" s="693">
        <v>3.4467640863938298</v>
      </c>
      <c r="BN220" s="692"/>
      <c r="BO220" s="692"/>
    </row>
    <row r="221" spans="2:67" s="694" customFormat="1" ht="12" customHeight="1" x14ac:dyDescent="0.35">
      <c r="B221" s="672" t="s">
        <v>529</v>
      </c>
      <c r="W221" s="695">
        <f>W220/S220-1</f>
        <v>0.17032912414250734</v>
      </c>
      <c r="X221" s="695">
        <f>X220/T220-1</f>
        <v>0.32820857171049278</v>
      </c>
      <c r="Y221" s="695">
        <f>Y220/U220-1</f>
        <v>0.32230212560339599</v>
      </c>
      <c r="Z221" s="695">
        <f>Z220/V220-1</f>
        <v>0.57015781976478164</v>
      </c>
      <c r="AA221" s="695">
        <f t="shared" ref="AA221:AF221" si="596">AA220/W220-1</f>
        <v>0.32214833093127559</v>
      </c>
      <c r="AB221" s="695">
        <f t="shared" si="596"/>
        <v>1.9773442470589671</v>
      </c>
      <c r="AC221" s="695">
        <f t="shared" si="596"/>
        <v>0.29060841760832967</v>
      </c>
      <c r="AD221" s="695">
        <f t="shared" si="596"/>
        <v>-0.26757913957946911</v>
      </c>
      <c r="AE221" s="695">
        <f t="shared" si="596"/>
        <v>0.1278736549236037</v>
      </c>
      <c r="AF221" s="695">
        <f t="shared" si="596"/>
        <v>-0.54783268711011845</v>
      </c>
      <c r="AG221" s="695">
        <f t="shared" ref="AG221" si="597">AG220/AC220-1</f>
        <v>0.17780247823070083</v>
      </c>
      <c r="AH221" s="695">
        <f t="shared" ref="AH221" si="598">AH220/AD220-1</f>
        <v>3.2188372627248718E-3</v>
      </c>
      <c r="AI221" s="695">
        <f t="shared" ref="AI221" si="599">AI220/AE220-1</f>
        <v>0.53397375026508342</v>
      </c>
      <c r="AJ221" s="695">
        <f t="shared" ref="AJ221" si="600">AJ220/AF220-1</f>
        <v>0.2334940483916419</v>
      </c>
      <c r="AK221" s="695">
        <f t="shared" ref="AK221" si="601">AK220/AG220-1</f>
        <v>0.20143971011555473</v>
      </c>
      <c r="AL221" s="695">
        <f t="shared" ref="AL221" si="602">AL220/AH220-1</f>
        <v>0.29994482596116567</v>
      </c>
      <c r="AM221" s="695">
        <f t="shared" ref="AM221" si="603">AM220/AI220-1</f>
        <v>0.15451971167055611</v>
      </c>
      <c r="AN221" s="695">
        <f t="shared" ref="AN221" si="604">AN220/AJ220-1</f>
        <v>0.17412903933778656</v>
      </c>
      <c r="AO221" s="695">
        <f t="shared" ref="AO221" si="605">AO220/AK220-1</f>
        <v>0.15938573430085023</v>
      </c>
      <c r="AP221" s="695">
        <f t="shared" ref="AP221" si="606">AP220/AL220-1</f>
        <v>0.22226217329285203</v>
      </c>
      <c r="AQ221" s="696"/>
      <c r="AR221" s="697"/>
      <c r="AS221" s="698"/>
      <c r="AT221" s="699"/>
      <c r="AU221" s="699"/>
      <c r="AV221" s="699"/>
      <c r="AW221" s="699"/>
      <c r="AX221" s="699"/>
      <c r="AY221" s="700"/>
      <c r="AZ221" s="700">
        <f>AZ220/AY220-1</f>
        <v>0.53062169008397553</v>
      </c>
      <c r="BA221" s="700">
        <f>BA220/AZ220-1</f>
        <v>-0.15357264558090811</v>
      </c>
      <c r="BB221" s="700">
        <f>BB220/BA220-1</f>
        <v>0.24195741013322225</v>
      </c>
      <c r="BC221" s="700">
        <f t="shared" ref="BC221:BJ221" si="607">BC220/BB220-1</f>
        <v>0.22724246258179104</v>
      </c>
      <c r="BD221" s="700">
        <f t="shared" si="607"/>
        <v>0.14329730635576987</v>
      </c>
      <c r="BE221" s="700">
        <f t="shared" si="607"/>
        <v>0.17943058999481876</v>
      </c>
      <c r="BF221" s="700">
        <f t="shared" si="607"/>
        <v>5.6754213802708176E-2</v>
      </c>
      <c r="BG221" s="700">
        <f t="shared" si="607"/>
        <v>0.11923356543846531</v>
      </c>
      <c r="BH221" s="700">
        <f t="shared" si="607"/>
        <v>2.1978074715875096E-2</v>
      </c>
      <c r="BI221" s="700">
        <f t="shared" si="607"/>
        <v>7.8620099249110398E-2</v>
      </c>
      <c r="BJ221" s="700">
        <f t="shared" si="607"/>
        <v>-6.256638544501536E-3</v>
      </c>
      <c r="BL221" s="695">
        <v>0.14773868392212</v>
      </c>
      <c r="BM221" s="695">
        <v>0.24867772762394599</v>
      </c>
    </row>
    <row r="222" spans="2:67" s="648" customFormat="1" ht="12" customHeight="1" x14ac:dyDescent="0.35">
      <c r="B222" s="701" t="s">
        <v>556</v>
      </c>
      <c r="W222" s="703"/>
      <c r="X222" s="703"/>
      <c r="Y222" s="703"/>
      <c r="Z222" s="703"/>
      <c r="AA222" s="703"/>
      <c r="AB222" s="703"/>
      <c r="AC222" s="703"/>
      <c r="AD222" s="703"/>
      <c r="AQ222" s="685"/>
      <c r="AR222" s="673"/>
      <c r="AS222" s="671"/>
      <c r="AT222" s="687"/>
      <c r="AU222" s="687"/>
      <c r="AV222" s="687"/>
      <c r="AW222" s="687"/>
      <c r="AX222" s="687"/>
      <c r="AY222" s="709">
        <v>30</v>
      </c>
      <c r="AZ222" s="709">
        <v>23</v>
      </c>
      <c r="BA222" s="709">
        <v>20</v>
      </c>
      <c r="BB222" s="648">
        <v>18</v>
      </c>
      <c r="BC222" s="709">
        <f>BB222*0.9</f>
        <v>16.2</v>
      </c>
      <c r="BD222" s="709">
        <f t="shared" ref="BD222:BF222" si="608">BC222*0.9</f>
        <v>14.58</v>
      </c>
      <c r="BE222" s="709">
        <f t="shared" si="608"/>
        <v>13.122</v>
      </c>
      <c r="BF222" s="709">
        <f t="shared" si="608"/>
        <v>11.809800000000001</v>
      </c>
      <c r="BG222" s="709">
        <f>BF222*0.99</f>
        <v>11.691702000000001</v>
      </c>
      <c r="BH222" s="709">
        <f t="shared" ref="BH222:BJ222" si="609">BG222*0.99</f>
        <v>11.57478498</v>
      </c>
      <c r="BI222" s="709">
        <f t="shared" si="609"/>
        <v>11.4590371302</v>
      </c>
      <c r="BJ222" s="709">
        <f t="shared" si="609"/>
        <v>11.344446758898</v>
      </c>
      <c r="BK222" s="710" t="s">
        <v>557</v>
      </c>
      <c r="BL222" s="703"/>
      <c r="BM222" s="703"/>
    </row>
    <row r="223" spans="2:67" s="648" customFormat="1" ht="12" customHeight="1" x14ac:dyDescent="0.35">
      <c r="B223" s="711" t="s">
        <v>552</v>
      </c>
      <c r="C223" s="712"/>
      <c r="D223" s="712"/>
      <c r="E223" s="712"/>
      <c r="F223" s="712"/>
      <c r="G223" s="712"/>
      <c r="H223" s="712"/>
      <c r="I223" s="712"/>
      <c r="J223" s="712"/>
      <c r="K223" s="712"/>
      <c r="L223" s="712"/>
      <c r="M223" s="712"/>
      <c r="N223" s="712"/>
      <c r="O223" s="712"/>
      <c r="P223" s="712"/>
      <c r="Q223" s="712"/>
      <c r="R223" s="712"/>
      <c r="S223" s="712"/>
      <c r="T223" s="712"/>
      <c r="U223" s="712"/>
      <c r="V223" s="712"/>
      <c r="W223" s="713"/>
      <c r="X223" s="713"/>
      <c r="Y223" s="713"/>
      <c r="Z223" s="713"/>
      <c r="AA223" s="713"/>
      <c r="AB223" s="713"/>
      <c r="AC223" s="713"/>
      <c r="AD223" s="713"/>
      <c r="AE223" s="712"/>
      <c r="AF223" s="712"/>
      <c r="AG223" s="712"/>
      <c r="AH223" s="712"/>
      <c r="AI223" s="712"/>
      <c r="AJ223" s="712"/>
      <c r="AK223" s="712"/>
      <c r="AL223" s="712"/>
      <c r="AM223" s="712"/>
      <c r="AN223" s="712"/>
      <c r="AO223" s="712"/>
      <c r="AP223" s="712"/>
      <c r="AQ223" s="714"/>
      <c r="AR223" s="673"/>
      <c r="AS223" s="671"/>
      <c r="AT223" s="715"/>
      <c r="AU223" s="715"/>
      <c r="AV223" s="715"/>
      <c r="AW223" s="715"/>
      <c r="AX223" s="715"/>
      <c r="AY223" s="716">
        <f>AY220*AY222</f>
        <v>261.42477974750312</v>
      </c>
      <c r="AZ223" s="716">
        <f>AZ220*AZ222</f>
        <v>306.77586929199828</v>
      </c>
      <c r="BA223" s="716">
        <f>BA220*BA222</f>
        <v>225.79433690821151</v>
      </c>
      <c r="BB223" s="716">
        <f>BB220*BB222</f>
        <v>252.38425490034354</v>
      </c>
      <c r="BC223" s="716">
        <f t="shared" ref="BC223:BJ223" si="610">BC220*BC222</f>
        <v>278.76300705069121</v>
      </c>
      <c r="BD223" s="716">
        <f t="shared" si="610"/>
        <v>286.83809556542082</v>
      </c>
      <c r="BE223" s="716">
        <f t="shared" si="610"/>
        <v>304.47506185714303</v>
      </c>
      <c r="BF223" s="716">
        <f t="shared" si="610"/>
        <v>289.57977415383857</v>
      </c>
      <c r="BG223" s="716">
        <f t="shared" si="610"/>
        <v>320.86632907401565</v>
      </c>
      <c r="BH223" s="716">
        <f t="shared" si="610"/>
        <v>324.63916969593078</v>
      </c>
      <c r="BI223" s="716">
        <f t="shared" si="610"/>
        <v>346.66071010319791</v>
      </c>
      <c r="BJ223" s="716">
        <f t="shared" si="610"/>
        <v>341.04686154907694</v>
      </c>
      <c r="BL223" s="713"/>
      <c r="BM223" s="713"/>
      <c r="BN223" s="712"/>
      <c r="BO223" s="712"/>
    </row>
    <row r="225" spans="2:67" s="543" customFormat="1" ht="12" customHeight="1" x14ac:dyDescent="0.35">
      <c r="B225" s="642"/>
      <c r="W225" s="717"/>
      <c r="X225" s="532"/>
      <c r="Y225" s="532"/>
      <c r="Z225" s="532"/>
      <c r="AA225" s="532"/>
      <c r="AB225" s="532"/>
      <c r="AC225" s="532"/>
      <c r="AD225" s="532"/>
      <c r="AQ225" s="544"/>
      <c r="AR225" s="545"/>
      <c r="AS225" s="546"/>
      <c r="AT225" s="718"/>
      <c r="AU225" s="718"/>
      <c r="AV225" s="718"/>
      <c r="AW225" s="718"/>
      <c r="AX225" s="718"/>
      <c r="BL225" s="532"/>
      <c r="BM225" s="532"/>
    </row>
    <row r="226" spans="2:67" s="2799" customFormat="1" ht="12" customHeight="1" x14ac:dyDescent="0.35">
      <c r="B226" s="640" t="s">
        <v>16</v>
      </c>
      <c r="C226" s="641">
        <f t="shared" ref="C226:AP226" si="611">C118</f>
        <v>10778</v>
      </c>
      <c r="D226" s="641">
        <f t="shared" si="611"/>
        <v>10950</v>
      </c>
      <c r="E226" s="641">
        <f t="shared" si="611"/>
        <v>18745</v>
      </c>
      <c r="F226" s="641">
        <f t="shared" si="611"/>
        <v>12031</v>
      </c>
      <c r="G226" s="641">
        <f t="shared" si="611"/>
        <v>15771</v>
      </c>
      <c r="H226" s="641">
        <f t="shared" si="611"/>
        <v>16829</v>
      </c>
      <c r="I226" s="641">
        <f t="shared" si="611"/>
        <v>26179</v>
      </c>
      <c r="J226" s="641">
        <f t="shared" si="611"/>
        <v>17425</v>
      </c>
      <c r="K226" s="641">
        <f t="shared" si="611"/>
        <v>20245</v>
      </c>
      <c r="L226" s="641">
        <f t="shared" si="611"/>
        <v>22171</v>
      </c>
      <c r="M226" s="641">
        <f t="shared" si="611"/>
        <v>34543</v>
      </c>
      <c r="N226" s="641">
        <f t="shared" si="611"/>
        <v>24184</v>
      </c>
      <c r="O226" s="641">
        <f t="shared" si="611"/>
        <v>32154</v>
      </c>
      <c r="P226" s="641">
        <f t="shared" si="611"/>
        <v>34292</v>
      </c>
      <c r="Q226" s="641">
        <f t="shared" si="611"/>
        <v>53248</v>
      </c>
      <c r="R226" s="641">
        <f t="shared" si="611"/>
        <v>38579</v>
      </c>
      <c r="S226" s="641">
        <f t="shared" si="611"/>
        <v>50184</v>
      </c>
      <c r="T226" s="641">
        <f t="shared" si="611"/>
        <v>55122</v>
      </c>
      <c r="U226" s="641">
        <f t="shared" si="611"/>
        <v>83028</v>
      </c>
      <c r="V226" s="641">
        <f t="shared" si="611"/>
        <v>61932</v>
      </c>
      <c r="W226" s="641">
        <f t="shared" si="611"/>
        <v>80920</v>
      </c>
      <c r="X226" s="641">
        <f t="shared" si="611"/>
        <v>85148</v>
      </c>
      <c r="Y226" s="641">
        <f t="shared" si="611"/>
        <v>117278</v>
      </c>
      <c r="Z226" s="641">
        <f t="shared" si="611"/>
        <v>93498</v>
      </c>
      <c r="AA226" s="641">
        <f t="shared" si="611"/>
        <v>114924</v>
      </c>
      <c r="AB226" s="641">
        <f t="shared" si="611"/>
        <v>119017</v>
      </c>
      <c r="AC226" s="641">
        <f t="shared" si="611"/>
        <v>161456</v>
      </c>
      <c r="AD226" s="641">
        <f t="shared" si="611"/>
        <v>114314</v>
      </c>
      <c r="AE226" s="641">
        <f t="shared" si="611"/>
        <v>153751</v>
      </c>
      <c r="AF226" s="641">
        <f t="shared" si="611"/>
        <v>155059</v>
      </c>
      <c r="AG226" s="641">
        <f t="shared" si="611"/>
        <v>204643.81837985385</v>
      </c>
      <c r="AH226" s="641">
        <f t="shared" si="611"/>
        <v>154687.52859649368</v>
      </c>
      <c r="AI226" s="641">
        <f t="shared" si="611"/>
        <v>194209.32527825967</v>
      </c>
      <c r="AJ226" s="641">
        <f t="shared" si="611"/>
        <v>202908.26675037955</v>
      </c>
      <c r="AK226" s="641">
        <f t="shared" si="611"/>
        <v>258477.13269135155</v>
      </c>
      <c r="AL226" s="641">
        <f t="shared" si="611"/>
        <v>191338.43060733221</v>
      </c>
      <c r="AM226" s="641">
        <f t="shared" si="611"/>
        <v>240044.05853741127</v>
      </c>
      <c r="AN226" s="641">
        <f t="shared" si="611"/>
        <v>254004.04080430747</v>
      </c>
      <c r="AO226" s="641">
        <f t="shared" si="611"/>
        <v>319009.28643081628</v>
      </c>
      <c r="AP226" s="641">
        <f t="shared" si="611"/>
        <v>236173.15623800093</v>
      </c>
      <c r="AQ226" s="633"/>
      <c r="AR226" s="558"/>
      <c r="AS226" s="559"/>
      <c r="AT226" s="641">
        <f t="shared" ref="AT226:BJ226" si="612">AT118</f>
        <v>52504</v>
      </c>
      <c r="AU226" s="641">
        <f t="shared" si="612"/>
        <v>76204</v>
      </c>
      <c r="AV226" s="641">
        <f t="shared" si="612"/>
        <v>101143</v>
      </c>
      <c r="AW226" s="641">
        <f t="shared" si="612"/>
        <v>158273</v>
      </c>
      <c r="AX226" s="641">
        <f t="shared" si="612"/>
        <v>250266</v>
      </c>
      <c r="AY226" s="641">
        <f t="shared" si="612"/>
        <v>376844</v>
      </c>
      <c r="AZ226" s="641">
        <f t="shared" si="612"/>
        <v>509711</v>
      </c>
      <c r="BA226" s="641">
        <f t="shared" si="612"/>
        <v>668141.34697634738</v>
      </c>
      <c r="BB226" s="641">
        <f t="shared" si="612"/>
        <v>846933.15532732278</v>
      </c>
      <c r="BC226" s="641">
        <f t="shared" si="612"/>
        <v>1049230.542010536</v>
      </c>
      <c r="BD226" s="641">
        <f t="shared" si="612"/>
        <v>1266132.2308964995</v>
      </c>
      <c r="BE226" s="641">
        <f t="shared" si="612"/>
        <v>1485157.9310614143</v>
      </c>
      <c r="BF226" s="641">
        <f t="shared" si="612"/>
        <v>1697327.5794502099</v>
      </c>
      <c r="BG226" s="641">
        <f t="shared" si="612"/>
        <v>1897580.0183620527</v>
      </c>
      <c r="BH226" s="641">
        <f t="shared" si="612"/>
        <v>2084152.6478540078</v>
      </c>
      <c r="BI226" s="641">
        <f t="shared" si="612"/>
        <v>2257844.6723576463</v>
      </c>
      <c r="BJ226" s="641">
        <f t="shared" si="612"/>
        <v>2419764.627803436</v>
      </c>
      <c r="BK226" s="538"/>
      <c r="BL226" s="641">
        <v>117176.07819194801</v>
      </c>
      <c r="BM226" s="641">
        <v>164497.56212711</v>
      </c>
      <c r="BN226" s="641"/>
      <c r="BO226" s="641"/>
    </row>
    <row r="227" spans="2:67" s="581" customFormat="1" ht="12" customHeight="1" x14ac:dyDescent="0.35">
      <c r="B227" s="2807"/>
      <c r="C227" s="606"/>
      <c r="D227" s="606"/>
      <c r="E227" s="606"/>
      <c r="F227" s="606"/>
      <c r="G227" s="606"/>
      <c r="H227" s="606"/>
      <c r="I227" s="606"/>
      <c r="J227" s="606"/>
      <c r="K227" s="606"/>
      <c r="L227" s="606"/>
      <c r="M227" s="606"/>
      <c r="N227" s="606"/>
      <c r="O227" s="606"/>
      <c r="P227" s="606"/>
      <c r="Q227" s="606"/>
      <c r="R227" s="606"/>
      <c r="S227" s="606"/>
      <c r="T227" s="606"/>
      <c r="U227" s="606"/>
      <c r="V227" s="606"/>
      <c r="W227" s="606"/>
      <c r="X227" s="606"/>
      <c r="Y227" s="606"/>
      <c r="Z227" s="606"/>
      <c r="AA227" s="606"/>
      <c r="AB227" s="606"/>
      <c r="AC227" s="606"/>
      <c r="AD227" s="606"/>
      <c r="AE227" s="606"/>
      <c r="AF227" s="606"/>
      <c r="AG227" s="606"/>
      <c r="AH227" s="606"/>
      <c r="AI227" s="606"/>
      <c r="AJ227" s="606"/>
      <c r="AK227" s="606"/>
      <c r="AL227" s="606"/>
      <c r="AM227" s="606"/>
      <c r="AN227" s="606"/>
      <c r="AO227" s="606"/>
      <c r="AP227" s="606"/>
      <c r="AQ227" s="2808"/>
      <c r="AR227" s="606"/>
      <c r="AS227" s="606"/>
      <c r="AT227" s="606"/>
      <c r="AU227" s="606"/>
      <c r="AV227" s="606"/>
      <c r="AW227" s="606"/>
      <c r="AX227" s="606"/>
      <c r="AY227" s="606"/>
      <c r="AZ227" s="606"/>
      <c r="BA227" s="606"/>
      <c r="BB227" s="606"/>
      <c r="BC227" s="606"/>
      <c r="BD227" s="606"/>
      <c r="BE227" s="606"/>
      <c r="BF227" s="606"/>
      <c r="BG227" s="606"/>
      <c r="BH227" s="606"/>
      <c r="BI227" s="606"/>
      <c r="BJ227" s="606"/>
      <c r="BL227" s="606"/>
      <c r="BM227" s="606"/>
      <c r="BN227" s="606"/>
      <c r="BO227" s="606"/>
    </row>
    <row r="228" spans="2:67" s="581" customFormat="1" ht="12" customHeight="1" x14ac:dyDescent="0.35">
      <c r="B228" s="2807"/>
      <c r="C228" s="606"/>
      <c r="D228" s="606"/>
      <c r="E228" s="606"/>
      <c r="F228" s="606"/>
      <c r="G228" s="606"/>
      <c r="H228" s="606"/>
      <c r="I228" s="606"/>
      <c r="J228" s="606"/>
      <c r="K228" s="606"/>
      <c r="L228" s="606"/>
      <c r="M228" s="606"/>
      <c r="N228" s="606"/>
      <c r="O228" s="606"/>
      <c r="P228" s="606"/>
      <c r="Q228" s="606"/>
      <c r="R228" s="606"/>
      <c r="S228" s="606"/>
      <c r="T228" s="606"/>
      <c r="U228" s="606"/>
      <c r="V228" s="606"/>
      <c r="W228" s="606"/>
      <c r="X228" s="606"/>
      <c r="Y228" s="606"/>
      <c r="Z228" s="606"/>
      <c r="AA228" s="606"/>
      <c r="AB228" s="606"/>
      <c r="AC228" s="606"/>
      <c r="AD228" s="606"/>
      <c r="AE228" s="606"/>
      <c r="AF228" s="606"/>
      <c r="AG228" s="606"/>
      <c r="AH228" s="606"/>
      <c r="AI228" s="606"/>
      <c r="AJ228" s="606"/>
      <c r="AK228" s="606"/>
      <c r="AL228" s="606"/>
      <c r="AM228" s="606"/>
      <c r="AN228" s="606"/>
      <c r="AO228" s="606"/>
      <c r="AP228" s="606"/>
      <c r="AQ228" s="2808"/>
      <c r="AR228" s="606"/>
      <c r="AS228" s="606"/>
      <c r="AT228" s="606"/>
      <c r="AU228" s="606"/>
      <c r="AV228" s="606"/>
      <c r="AW228" s="606"/>
      <c r="AX228" s="606"/>
      <c r="AY228" s="606"/>
      <c r="AZ228" s="606"/>
      <c r="BA228" s="606"/>
      <c r="BB228" s="606"/>
      <c r="BC228" s="606"/>
      <c r="BD228" s="606"/>
      <c r="BE228" s="606"/>
      <c r="BF228" s="606"/>
      <c r="BG228" s="606"/>
      <c r="BH228" s="606"/>
      <c r="BI228" s="606"/>
      <c r="BJ228" s="606"/>
      <c r="BL228" s="606"/>
      <c r="BM228" s="606"/>
      <c r="BN228" s="606"/>
      <c r="BO228" s="606"/>
    </row>
    <row r="229" spans="2:67" s="2791" customFormat="1" ht="12" customHeight="1" x14ac:dyDescent="0.35">
      <c r="B229" s="2790" t="s">
        <v>121</v>
      </c>
      <c r="E229" s="2792">
        <v>4171</v>
      </c>
      <c r="F229" s="2792">
        <v>3470</v>
      </c>
      <c r="G229" s="2792">
        <v>4585</v>
      </c>
      <c r="H229" s="2792">
        <v>5596</v>
      </c>
      <c r="I229" s="2792">
        <v>7520</v>
      </c>
      <c r="J229" s="2792">
        <v>6133</v>
      </c>
      <c r="K229" s="2792">
        <v>6711</v>
      </c>
      <c r="L229" s="2792">
        <v>7131</v>
      </c>
      <c r="M229" s="2792">
        <v>10951</v>
      </c>
      <c r="N229" s="2792">
        <v>9562</v>
      </c>
      <c r="O229" s="2792">
        <v>11744</v>
      </c>
      <c r="P229" s="2792">
        <v>13123</v>
      </c>
      <c r="Q229" s="2792">
        <v>19126</v>
      </c>
      <c r="R229" s="2792">
        <v>15490</v>
      </c>
      <c r="S229" s="2792">
        <v>17460</v>
      </c>
      <c r="T229" s="2792">
        <v>22002</v>
      </c>
      <c r="U229" s="2792">
        <v>35078</v>
      </c>
      <c r="V229" s="2792">
        <v>32504</v>
      </c>
      <c r="W229" s="2809">
        <v>43720</v>
      </c>
      <c r="X229" s="2809">
        <v>46786</v>
      </c>
      <c r="Y229" s="2809">
        <v>60813</v>
      </c>
      <c r="Z229" s="2809">
        <v>55610</v>
      </c>
      <c r="AA229" s="2809">
        <v>59987</v>
      </c>
      <c r="AB229" s="2809">
        <v>65546</v>
      </c>
      <c r="AC229" s="2809">
        <v>84332</v>
      </c>
      <c r="AD229" s="2809">
        <v>72502</v>
      </c>
      <c r="AE229" s="2809">
        <v>84523</v>
      </c>
      <c r="AF229" s="2809">
        <v>89960</v>
      </c>
      <c r="AG229" s="2792">
        <f>AG226-AG232</f>
        <v>110982.8184670535</v>
      </c>
      <c r="AH229" s="2792">
        <f t="shared" ref="AH229:AP229" si="613">AH226-AH232</f>
        <v>95097.573811475246</v>
      </c>
      <c r="AI229" s="2792">
        <f t="shared" si="613"/>
        <v>110648.72657681249</v>
      </c>
      <c r="AJ229" s="2792">
        <f t="shared" si="613"/>
        <v>121778.69543557669</v>
      </c>
      <c r="AK229" s="2792">
        <f t="shared" si="613"/>
        <v>145347.34485903068</v>
      </c>
      <c r="AL229" s="2792">
        <f t="shared" si="613"/>
        <v>119542.90940577847</v>
      </c>
      <c r="AM229" s="2792">
        <f t="shared" si="613"/>
        <v>139163.02580850321</v>
      </c>
      <c r="AN229" s="2792">
        <f t="shared" si="613"/>
        <v>154984.69542334048</v>
      </c>
      <c r="AO229" s="2792">
        <f t="shared" si="613"/>
        <v>182575.99166820865</v>
      </c>
      <c r="AP229" s="2792">
        <f t="shared" si="613"/>
        <v>149916.12578742707</v>
      </c>
      <c r="AQ229" s="507" t="s">
        <v>458</v>
      </c>
      <c r="AR229" s="508" t="s">
        <v>465</v>
      </c>
      <c r="AS229" s="509"/>
      <c r="AT229" s="2792">
        <v>13369</v>
      </c>
      <c r="AU229" s="2792">
        <f>G229+H229+I229+J229</f>
        <v>23834</v>
      </c>
      <c r="AV229" s="2792">
        <f>K229+L229+M229+N229</f>
        <v>34355</v>
      </c>
      <c r="AW229" s="2792">
        <f>O229+P229+Q229+R229</f>
        <v>59483</v>
      </c>
      <c r="AX229" s="2792">
        <f>S229+T229+U229+V229</f>
        <v>107044</v>
      </c>
      <c r="AY229" s="2792">
        <f>W229+X229+Y229+Z229</f>
        <v>206929</v>
      </c>
      <c r="AZ229" s="2809">
        <f>SUM(AA229:AD229)</f>
        <v>282367</v>
      </c>
      <c r="BA229" s="2809">
        <f>SUM(AE229:AH229)</f>
        <v>380563.39227852871</v>
      </c>
      <c r="BB229" s="2809">
        <f>SUM(AI229:AL229)</f>
        <v>497317.6762771983</v>
      </c>
      <c r="BC229" s="2809">
        <f>SUM(AM229:AP229)</f>
        <v>626639.83868747938</v>
      </c>
      <c r="BD229" s="2809">
        <f t="shared" ref="BD229:BJ229" si="614">BD230*BD226</f>
        <v>759962.57207943895</v>
      </c>
      <c r="BE229" s="2809">
        <f t="shared" si="614"/>
        <v>895884.12312718621</v>
      </c>
      <c r="BF229" s="2809">
        <f t="shared" si="614"/>
        <v>1028989.4713311959</v>
      </c>
      <c r="BG229" s="2809">
        <f t="shared" si="614"/>
        <v>1156142.6521085342</v>
      </c>
      <c r="BH229" s="2809">
        <f t="shared" si="614"/>
        <v>1276165.2394652073</v>
      </c>
      <c r="BI229" s="2809">
        <f t="shared" si="614"/>
        <v>1389432.6811383618</v>
      </c>
      <c r="BJ229" s="2809">
        <f t="shared" si="614"/>
        <v>1496520.3745734624</v>
      </c>
      <c r="BK229" s="493"/>
      <c r="BL229" s="2809">
        <v>66377.579225803507</v>
      </c>
      <c r="BM229" s="2809">
        <v>81587.133277591201</v>
      </c>
      <c r="BN229" s="2792"/>
      <c r="BO229" s="2792"/>
    </row>
    <row r="230" spans="2:67" ht="12" customHeight="1" x14ac:dyDescent="0.35">
      <c r="B230" s="571" t="s">
        <v>558</v>
      </c>
      <c r="E230" s="553">
        <f>E229/E226</f>
        <v>0.22251267004534542</v>
      </c>
      <c r="F230" s="553">
        <f t="shared" ref="F230:AP230" si="615">F229/F226</f>
        <v>0.28842157759122267</v>
      </c>
      <c r="G230" s="553">
        <f t="shared" si="615"/>
        <v>0.29072347980470487</v>
      </c>
      <c r="H230" s="553">
        <f t="shared" si="615"/>
        <v>0.3325212430922812</v>
      </c>
      <c r="I230" s="553">
        <f t="shared" si="615"/>
        <v>0.28725314183123879</v>
      </c>
      <c r="J230" s="553">
        <f t="shared" si="615"/>
        <v>0.3519655667144907</v>
      </c>
      <c r="K230" s="553">
        <f t="shared" si="615"/>
        <v>0.33148925660656953</v>
      </c>
      <c r="L230" s="553">
        <f t="shared" si="615"/>
        <v>0.32163637183708449</v>
      </c>
      <c r="M230" s="553">
        <f t="shared" si="615"/>
        <v>0.31702515705063256</v>
      </c>
      <c r="N230" s="553">
        <f t="shared" si="615"/>
        <v>0.39538537876281837</v>
      </c>
      <c r="O230" s="553">
        <f t="shared" si="615"/>
        <v>0.36524227156807865</v>
      </c>
      <c r="P230" s="553">
        <f t="shared" si="615"/>
        <v>0.38268400793187918</v>
      </c>
      <c r="Q230" s="553">
        <f t="shared" si="615"/>
        <v>0.35918719951923078</v>
      </c>
      <c r="R230" s="553">
        <f t="shared" si="615"/>
        <v>0.40151377692527024</v>
      </c>
      <c r="S230" s="553">
        <f t="shared" si="615"/>
        <v>0.34791965566714489</v>
      </c>
      <c r="T230" s="553">
        <f t="shared" si="615"/>
        <v>0.3991509742026777</v>
      </c>
      <c r="U230" s="553">
        <f t="shared" si="615"/>
        <v>0.42248398130751069</v>
      </c>
      <c r="V230" s="553">
        <f t="shared" si="615"/>
        <v>0.52483368856164825</v>
      </c>
      <c r="W230" s="553">
        <f>W229/S229-1</f>
        <v>1.5040091638029782</v>
      </c>
      <c r="X230" s="719">
        <f t="shared" si="615"/>
        <v>0.54946681072955328</v>
      </c>
      <c r="Y230" s="553">
        <f t="shared" si="615"/>
        <v>0.51853715104282128</v>
      </c>
      <c r="Z230" s="553">
        <f t="shared" si="615"/>
        <v>0.5947720806862179</v>
      </c>
      <c r="AA230" s="719">
        <f t="shared" si="615"/>
        <v>0.52197104173192721</v>
      </c>
      <c r="AB230" s="719">
        <f t="shared" si="615"/>
        <v>0.55072804725375368</v>
      </c>
      <c r="AC230" s="719">
        <f t="shared" si="615"/>
        <v>0.5223218709741354</v>
      </c>
      <c r="AD230" s="719">
        <f t="shared" si="615"/>
        <v>0.63423552670714001</v>
      </c>
      <c r="AE230" s="719">
        <f t="shared" si="615"/>
        <v>0.5497395138893405</v>
      </c>
      <c r="AF230" s="719">
        <f t="shared" si="615"/>
        <v>0.58016625929484911</v>
      </c>
      <c r="AG230" s="553">
        <f t="shared" si="615"/>
        <v>0.54232187097413542</v>
      </c>
      <c r="AH230" s="553">
        <f t="shared" si="615"/>
        <v>0.61477208068621791</v>
      </c>
      <c r="AI230" s="553">
        <f t="shared" si="615"/>
        <v>0.56973951388934063</v>
      </c>
      <c r="AJ230" s="553">
        <f t="shared" si="615"/>
        <v>0.60016625929484901</v>
      </c>
      <c r="AK230" s="553">
        <f t="shared" si="615"/>
        <v>0.56232187097413544</v>
      </c>
      <c r="AL230" s="553">
        <f t="shared" si="615"/>
        <v>0.62477208068621792</v>
      </c>
      <c r="AM230" s="553">
        <f t="shared" si="615"/>
        <v>0.57973951388934053</v>
      </c>
      <c r="AN230" s="553">
        <f t="shared" si="615"/>
        <v>0.61016625929484902</v>
      </c>
      <c r="AO230" s="553">
        <f t="shared" si="615"/>
        <v>0.57232187097413545</v>
      </c>
      <c r="AP230" s="553">
        <f t="shared" si="615"/>
        <v>0.63477208068621793</v>
      </c>
      <c r="AQ230" s="507"/>
      <c r="AR230" s="508"/>
      <c r="AS230" s="512"/>
      <c r="AT230" s="721">
        <f t="shared" ref="AT230:BC230" si="616">AT229/AT226</f>
        <v>0.25462821880237696</v>
      </c>
      <c r="AU230" s="721">
        <f t="shared" si="616"/>
        <v>0.31276573408220043</v>
      </c>
      <c r="AV230" s="721">
        <f t="shared" si="616"/>
        <v>0.33966759933954893</v>
      </c>
      <c r="AW230" s="721">
        <f t="shared" si="616"/>
        <v>0.37582531448825762</v>
      </c>
      <c r="AX230" s="721">
        <f t="shared" si="616"/>
        <v>0.42772090495712561</v>
      </c>
      <c r="AY230" s="721">
        <f t="shared" si="616"/>
        <v>0.54911050726560595</v>
      </c>
      <c r="AZ230" s="721">
        <f t="shared" si="616"/>
        <v>0.55397470331226906</v>
      </c>
      <c r="BA230" s="721">
        <f t="shared" si="616"/>
        <v>0.56958515439997293</v>
      </c>
      <c r="BB230" s="721">
        <f t="shared" si="616"/>
        <v>0.58719826133739561</v>
      </c>
      <c r="BC230" s="721">
        <f t="shared" si="616"/>
        <v>0.59723751225036958</v>
      </c>
      <c r="BD230" s="722">
        <f>BC230*1.005</f>
        <v>0.60022369981162138</v>
      </c>
      <c r="BE230" s="722">
        <f t="shared" ref="BE230:BJ230" si="617">BD230*1.005</f>
        <v>0.60322481831067942</v>
      </c>
      <c r="BF230" s="722">
        <f t="shared" si="617"/>
        <v>0.60624094240223281</v>
      </c>
      <c r="BG230" s="722">
        <f t="shared" si="617"/>
        <v>0.60927214711424393</v>
      </c>
      <c r="BH230" s="722">
        <f t="shared" si="617"/>
        <v>0.61231850784981512</v>
      </c>
      <c r="BI230" s="722">
        <f t="shared" si="617"/>
        <v>0.6153801003890641</v>
      </c>
      <c r="BJ230" s="722">
        <f t="shared" si="617"/>
        <v>0.6184570008910093</v>
      </c>
      <c r="BL230" s="553">
        <v>0.56647722171644499</v>
      </c>
      <c r="BM230" s="553">
        <v>0.49597776540023902</v>
      </c>
      <c r="BN230" s="578"/>
      <c r="BO230" s="578"/>
    </row>
    <row r="231" spans="2:67" ht="12" customHeight="1" x14ac:dyDescent="0.35">
      <c r="B231" s="571"/>
      <c r="E231" s="553"/>
      <c r="F231" s="553"/>
      <c r="G231" s="553"/>
      <c r="H231" s="553"/>
      <c r="I231" s="553"/>
      <c r="J231" s="553"/>
      <c r="K231" s="553"/>
      <c r="L231" s="553"/>
      <c r="M231" s="553"/>
      <c r="N231" s="553"/>
      <c r="O231" s="553"/>
      <c r="P231" s="553"/>
      <c r="Q231" s="553"/>
      <c r="R231" s="553"/>
      <c r="S231" s="553"/>
      <c r="T231" s="553"/>
      <c r="U231" s="553"/>
      <c r="V231" s="553"/>
      <c r="W231" s="553"/>
      <c r="X231" s="719"/>
      <c r="Y231" s="553"/>
      <c r="Z231" s="553"/>
      <c r="AA231" s="719"/>
      <c r="AB231" s="719"/>
      <c r="AC231" s="719"/>
      <c r="AD231" s="719"/>
      <c r="AE231" s="719"/>
      <c r="AF231" s="719"/>
      <c r="AG231" s="553"/>
      <c r="AH231" s="553"/>
      <c r="AI231" s="553"/>
      <c r="AJ231" s="553"/>
      <c r="AK231" s="553"/>
      <c r="AL231" s="553"/>
      <c r="AM231" s="553"/>
      <c r="AN231" s="553"/>
      <c r="AO231" s="553"/>
      <c r="AP231" s="553"/>
      <c r="AQ231" s="507"/>
      <c r="AR231" s="508"/>
      <c r="AS231" s="509"/>
      <c r="AT231" s="553"/>
      <c r="AU231" s="553"/>
      <c r="AV231" s="553"/>
      <c r="AW231" s="553"/>
      <c r="AX231" s="553"/>
      <c r="AY231" s="553"/>
      <c r="AZ231" s="553"/>
      <c r="BA231" s="553"/>
      <c r="BB231" s="553"/>
      <c r="BC231" s="553"/>
      <c r="BD231" s="722"/>
      <c r="BE231" s="722"/>
      <c r="BF231" s="722"/>
      <c r="BG231" s="722"/>
      <c r="BH231" s="722"/>
      <c r="BI231" s="722"/>
      <c r="BJ231" s="722"/>
      <c r="BL231" s="553"/>
      <c r="BM231" s="553"/>
      <c r="BN231" s="578"/>
      <c r="BO231" s="578"/>
    </row>
    <row r="232" spans="2:67" s="2799" customFormat="1" ht="12" customHeight="1" x14ac:dyDescent="0.35">
      <c r="B232" s="640" t="s">
        <v>559</v>
      </c>
      <c r="E232" s="641">
        <f>E226-E229</f>
        <v>14574</v>
      </c>
      <c r="F232" s="641">
        <f>F226-F229</f>
        <v>8561</v>
      </c>
      <c r="G232" s="641">
        <f>G226-G229</f>
        <v>11186</v>
      </c>
      <c r="H232" s="641">
        <f t="shared" ref="H232:AF232" si="618">H226-H229</f>
        <v>11233</v>
      </c>
      <c r="I232" s="641">
        <f t="shared" si="618"/>
        <v>18659</v>
      </c>
      <c r="J232" s="641">
        <f t="shared" si="618"/>
        <v>11292</v>
      </c>
      <c r="K232" s="641">
        <f t="shared" si="618"/>
        <v>13534</v>
      </c>
      <c r="L232" s="641">
        <f t="shared" si="618"/>
        <v>15040</v>
      </c>
      <c r="M232" s="641">
        <f t="shared" si="618"/>
        <v>23592</v>
      </c>
      <c r="N232" s="641">
        <f t="shared" si="618"/>
        <v>14622</v>
      </c>
      <c r="O232" s="641">
        <f t="shared" si="618"/>
        <v>20410</v>
      </c>
      <c r="P232" s="641">
        <f t="shared" si="618"/>
        <v>21169</v>
      </c>
      <c r="Q232" s="641">
        <f t="shared" si="618"/>
        <v>34122</v>
      </c>
      <c r="R232" s="641">
        <f t="shared" si="618"/>
        <v>23089</v>
      </c>
      <c r="S232" s="641">
        <f t="shared" si="618"/>
        <v>32724</v>
      </c>
      <c r="T232" s="641">
        <f t="shared" si="618"/>
        <v>33120</v>
      </c>
      <c r="U232" s="641">
        <f t="shared" si="618"/>
        <v>47950</v>
      </c>
      <c r="V232" s="641">
        <f t="shared" si="618"/>
        <v>29428</v>
      </c>
      <c r="W232" s="641">
        <f t="shared" si="618"/>
        <v>37200</v>
      </c>
      <c r="X232" s="641">
        <f t="shared" si="618"/>
        <v>38362</v>
      </c>
      <c r="Y232" s="641">
        <f t="shared" si="618"/>
        <v>56465</v>
      </c>
      <c r="Z232" s="641">
        <f t="shared" si="618"/>
        <v>37888</v>
      </c>
      <c r="AA232" s="2800">
        <f t="shared" si="618"/>
        <v>54937</v>
      </c>
      <c r="AB232" s="2800">
        <f t="shared" si="618"/>
        <v>53471</v>
      </c>
      <c r="AC232" s="2800">
        <f t="shared" si="618"/>
        <v>77124</v>
      </c>
      <c r="AD232" s="2800">
        <f t="shared" si="618"/>
        <v>41812</v>
      </c>
      <c r="AE232" s="2800">
        <f t="shared" si="618"/>
        <v>69228</v>
      </c>
      <c r="AF232" s="2800">
        <f t="shared" si="618"/>
        <v>65099</v>
      </c>
      <c r="AG232" s="641">
        <f>AG233*AG226</f>
        <v>93660.999912800355</v>
      </c>
      <c r="AH232" s="641">
        <f t="shared" ref="AH232:AP232" si="619">AH233*AH226</f>
        <v>59589.954785018424</v>
      </c>
      <c r="AI232" s="641">
        <f t="shared" si="619"/>
        <v>83560.598701447176</v>
      </c>
      <c r="AJ232" s="641">
        <f t="shared" si="619"/>
        <v>81129.571314802859</v>
      </c>
      <c r="AK232" s="641">
        <f t="shared" si="619"/>
        <v>113129.78783232089</v>
      </c>
      <c r="AL232" s="641">
        <f t="shared" si="619"/>
        <v>71795.52120155374</v>
      </c>
      <c r="AM232" s="641">
        <f t="shared" si="619"/>
        <v>100881.03272890805</v>
      </c>
      <c r="AN232" s="641">
        <f t="shared" si="619"/>
        <v>99019.345380966974</v>
      </c>
      <c r="AO232" s="641">
        <f t="shared" si="619"/>
        <v>136433.29476260763</v>
      </c>
      <c r="AP232" s="641">
        <f t="shared" si="619"/>
        <v>86257.030450573846</v>
      </c>
      <c r="AQ232" s="633" t="s">
        <v>458</v>
      </c>
      <c r="AR232" s="558"/>
      <c r="AS232" s="559"/>
      <c r="AT232" s="641">
        <f t="shared" ref="AT232:BJ232" si="620">AT226-AT229</f>
        <v>39135</v>
      </c>
      <c r="AU232" s="641">
        <f>G232+H232+I232+J232</f>
        <v>52370</v>
      </c>
      <c r="AV232" s="641">
        <f>K232+L232+M232+N232</f>
        <v>66788</v>
      </c>
      <c r="AW232" s="641">
        <f>O232+P232+Q232+R232</f>
        <v>98790</v>
      </c>
      <c r="AX232" s="641">
        <f>S232+T232+U232+V232</f>
        <v>143222</v>
      </c>
      <c r="AY232" s="641">
        <f t="shared" si="620"/>
        <v>169915</v>
      </c>
      <c r="AZ232" s="641">
        <f t="shared" si="620"/>
        <v>227344</v>
      </c>
      <c r="BA232" s="641">
        <f t="shared" si="620"/>
        <v>287577.95469781867</v>
      </c>
      <c r="BB232" s="641">
        <f t="shared" si="620"/>
        <v>349615.47905012447</v>
      </c>
      <c r="BC232" s="641">
        <f t="shared" si="620"/>
        <v>422590.70332305657</v>
      </c>
      <c r="BD232" s="641">
        <f t="shared" si="620"/>
        <v>506169.65881706052</v>
      </c>
      <c r="BE232" s="641">
        <f t="shared" si="620"/>
        <v>589273.8079342281</v>
      </c>
      <c r="BF232" s="641">
        <f t="shared" si="620"/>
        <v>668338.10811901395</v>
      </c>
      <c r="BG232" s="641">
        <f t="shared" si="620"/>
        <v>741437.3662535185</v>
      </c>
      <c r="BH232" s="641">
        <f t="shared" si="620"/>
        <v>807987.40838880045</v>
      </c>
      <c r="BI232" s="641">
        <f t="shared" si="620"/>
        <v>868411.99121928448</v>
      </c>
      <c r="BJ232" s="641">
        <f t="shared" si="620"/>
        <v>923244.2532299736</v>
      </c>
      <c r="BK232" s="538"/>
      <c r="BL232" s="641">
        <v>50798.498966144303</v>
      </c>
      <c r="BM232" s="641">
        <v>82910.428849519099</v>
      </c>
      <c r="BN232" s="641"/>
      <c r="BO232" s="641"/>
    </row>
    <row r="233" spans="2:67" ht="12" customHeight="1" x14ac:dyDescent="0.35">
      <c r="B233" s="571" t="s">
        <v>560</v>
      </c>
      <c r="E233" s="553">
        <f>E232/E226</f>
        <v>0.77748732995465453</v>
      </c>
      <c r="F233" s="553">
        <f t="shared" ref="F233:AF233" si="621">F232/F226</f>
        <v>0.71157842240877733</v>
      </c>
      <c r="G233" s="553">
        <f t="shared" si="621"/>
        <v>0.70927652019529519</v>
      </c>
      <c r="H233" s="553">
        <f t="shared" si="621"/>
        <v>0.66747875690771885</v>
      </c>
      <c r="I233" s="553">
        <f t="shared" si="621"/>
        <v>0.71274685816876127</v>
      </c>
      <c r="J233" s="553">
        <f t="shared" si="621"/>
        <v>0.64803443328550936</v>
      </c>
      <c r="K233" s="553">
        <f t="shared" si="621"/>
        <v>0.66851074339343053</v>
      </c>
      <c r="L233" s="553">
        <f t="shared" si="621"/>
        <v>0.67836362816291551</v>
      </c>
      <c r="M233" s="553">
        <f t="shared" si="621"/>
        <v>0.6829748429493675</v>
      </c>
      <c r="N233" s="553">
        <f t="shared" si="621"/>
        <v>0.60461462123718157</v>
      </c>
      <c r="O233" s="553">
        <f t="shared" si="621"/>
        <v>0.63475772843192135</v>
      </c>
      <c r="P233" s="553">
        <f t="shared" si="621"/>
        <v>0.61731599206812082</v>
      </c>
      <c r="Q233" s="553">
        <f t="shared" si="621"/>
        <v>0.64081280048076927</v>
      </c>
      <c r="R233" s="553">
        <f t="shared" si="621"/>
        <v>0.59848622307472976</v>
      </c>
      <c r="S233" s="553">
        <f t="shared" si="621"/>
        <v>0.65208034433285511</v>
      </c>
      <c r="T233" s="553">
        <f t="shared" si="621"/>
        <v>0.60084902579732236</v>
      </c>
      <c r="U233" s="553">
        <f t="shared" si="621"/>
        <v>0.57751601869248925</v>
      </c>
      <c r="V233" s="553">
        <f t="shared" si="621"/>
        <v>0.47516631143835175</v>
      </c>
      <c r="W233" s="553">
        <f t="shared" si="621"/>
        <v>0.45971329708353931</v>
      </c>
      <c r="X233" s="553">
        <f t="shared" si="621"/>
        <v>0.45053318927044678</v>
      </c>
      <c r="Y233" s="553">
        <f t="shared" si="621"/>
        <v>0.48146284895717867</v>
      </c>
      <c r="Z233" s="553">
        <f t="shared" si="621"/>
        <v>0.4052279193137821</v>
      </c>
      <c r="AA233" s="719">
        <f t="shared" si="621"/>
        <v>0.47802895826807279</v>
      </c>
      <c r="AB233" s="719">
        <f t="shared" si="621"/>
        <v>0.44927195274624632</v>
      </c>
      <c r="AC233" s="719">
        <f t="shared" si="621"/>
        <v>0.47767812902586465</v>
      </c>
      <c r="AD233" s="719">
        <f t="shared" si="621"/>
        <v>0.36576447329285999</v>
      </c>
      <c r="AE233" s="719">
        <f t="shared" si="621"/>
        <v>0.45026048611065944</v>
      </c>
      <c r="AF233" s="719">
        <f t="shared" si="621"/>
        <v>0.41983374070515095</v>
      </c>
      <c r="AG233" s="724">
        <f>AC233-2%</f>
        <v>0.45767812902586463</v>
      </c>
      <c r="AH233" s="724">
        <f>Z233-2%</f>
        <v>0.38522791931378209</v>
      </c>
      <c r="AI233" s="724">
        <f t="shared" ref="AI233:AK233" si="622">AE233-2%</f>
        <v>0.43026048611065942</v>
      </c>
      <c r="AJ233" s="724">
        <f t="shared" si="622"/>
        <v>0.39983374070515093</v>
      </c>
      <c r="AK233" s="724">
        <f t="shared" si="622"/>
        <v>0.43767812902586462</v>
      </c>
      <c r="AL233" s="724">
        <f>AH233-1%</f>
        <v>0.37522791931378208</v>
      </c>
      <c r="AM233" s="724">
        <f t="shared" ref="AM233:AP233" si="623">AI233-1%</f>
        <v>0.42026048611065941</v>
      </c>
      <c r="AN233" s="724">
        <f t="shared" si="623"/>
        <v>0.38983374070515092</v>
      </c>
      <c r="AO233" s="724">
        <f t="shared" si="623"/>
        <v>0.42767812902586461</v>
      </c>
      <c r="AP233" s="724">
        <f t="shared" si="623"/>
        <v>0.36522791931378207</v>
      </c>
      <c r="AQ233" s="720"/>
      <c r="AR233" s="508"/>
      <c r="AS233" s="509"/>
      <c r="AT233" s="553">
        <f t="shared" ref="AT233:BJ233" si="624">AT232/AT226</f>
        <v>0.74537178119762304</v>
      </c>
      <c r="AU233" s="553">
        <f t="shared" si="624"/>
        <v>0.68723426591779957</v>
      </c>
      <c r="AV233" s="553">
        <f t="shared" si="624"/>
        <v>0.66033240066045107</v>
      </c>
      <c r="AW233" s="553">
        <f t="shared" si="624"/>
        <v>0.62417468551174238</v>
      </c>
      <c r="AX233" s="553">
        <f t="shared" si="624"/>
        <v>0.57227909504287433</v>
      </c>
      <c r="AY233" s="553">
        <f t="shared" si="624"/>
        <v>0.45088949273439405</v>
      </c>
      <c r="AZ233" s="553">
        <f t="shared" si="624"/>
        <v>0.44602529668773089</v>
      </c>
      <c r="BA233" s="553">
        <f t="shared" si="624"/>
        <v>0.43041484560002707</v>
      </c>
      <c r="BB233" s="553">
        <f t="shared" si="624"/>
        <v>0.41280173866260444</v>
      </c>
      <c r="BC233" s="553">
        <f t="shared" si="624"/>
        <v>0.40276248774963042</v>
      </c>
      <c r="BD233" s="553">
        <f t="shared" si="624"/>
        <v>0.39977630018837867</v>
      </c>
      <c r="BE233" s="553">
        <f t="shared" si="624"/>
        <v>0.39677518168932058</v>
      </c>
      <c r="BF233" s="553">
        <f t="shared" si="624"/>
        <v>0.39375905759776719</v>
      </c>
      <c r="BG233" s="553">
        <f t="shared" si="624"/>
        <v>0.39072785288575612</v>
      </c>
      <c r="BH233" s="553">
        <f t="shared" si="624"/>
        <v>0.38768149215018483</v>
      </c>
      <c r="BI233" s="553">
        <f t="shared" si="624"/>
        <v>0.38461989961093596</v>
      </c>
      <c r="BJ233" s="553">
        <f t="shared" si="624"/>
        <v>0.3815429991089907</v>
      </c>
      <c r="BL233" s="553">
        <v>0.43352277828355501</v>
      </c>
      <c r="BM233" s="553">
        <v>0.50402223459976103</v>
      </c>
      <c r="BN233" s="553"/>
      <c r="BO233" s="553"/>
    </row>
    <row r="234" spans="2:67" ht="12" customHeight="1" x14ac:dyDescent="0.35">
      <c r="B234" s="571"/>
      <c r="E234" s="553"/>
      <c r="F234" s="553"/>
      <c r="G234" s="553"/>
      <c r="H234" s="553"/>
      <c r="I234" s="553"/>
      <c r="J234" s="553"/>
      <c r="K234" s="553"/>
      <c r="L234" s="553"/>
      <c r="M234" s="553"/>
      <c r="N234" s="553"/>
      <c r="O234" s="553"/>
      <c r="P234" s="553"/>
      <c r="Q234" s="553"/>
      <c r="R234" s="553"/>
      <c r="S234" s="553"/>
      <c r="T234" s="553"/>
      <c r="U234" s="553"/>
      <c r="V234" s="553"/>
      <c r="W234" s="553"/>
      <c r="X234" s="553"/>
      <c r="Y234" s="553"/>
      <c r="Z234" s="553"/>
      <c r="AA234" s="719"/>
      <c r="AB234" s="719"/>
      <c r="AC234" s="719"/>
      <c r="AD234" s="719"/>
      <c r="AE234" s="719"/>
      <c r="AF234" s="719"/>
      <c r="AG234" s="724"/>
      <c r="AH234" s="724"/>
      <c r="AI234" s="724"/>
      <c r="AJ234" s="724"/>
      <c r="AK234" s="724"/>
      <c r="AL234" s="724"/>
      <c r="AM234" s="724"/>
      <c r="AN234" s="724"/>
      <c r="AO234" s="724"/>
      <c r="AP234" s="724"/>
      <c r="AQ234" s="720"/>
      <c r="AR234" s="508"/>
      <c r="AS234" s="509"/>
      <c r="AT234" s="553"/>
      <c r="AU234" s="553"/>
      <c r="AV234" s="553"/>
      <c r="AW234" s="553"/>
      <c r="AX234" s="553"/>
      <c r="AY234" s="553"/>
      <c r="AZ234" s="553"/>
      <c r="BA234" s="553"/>
      <c r="BB234" s="553"/>
      <c r="BC234" s="553"/>
      <c r="BD234" s="553"/>
      <c r="BE234" s="553"/>
      <c r="BF234" s="553"/>
      <c r="BG234" s="553"/>
      <c r="BH234" s="553"/>
      <c r="BI234" s="553"/>
      <c r="BJ234" s="553"/>
      <c r="BL234" s="553"/>
      <c r="BM234" s="553"/>
      <c r="BN234" s="553"/>
      <c r="BO234" s="553"/>
    </row>
    <row r="235" spans="2:67" s="2797" customFormat="1" ht="12" customHeight="1" x14ac:dyDescent="0.35">
      <c r="B235" s="2796" t="s">
        <v>561</v>
      </c>
      <c r="E235" s="2798">
        <f>E237+E240+E242+E244</f>
        <v>5773</v>
      </c>
      <c r="F235" s="2798">
        <f>F237+F240+F242+F244</f>
        <v>3110</v>
      </c>
      <c r="G235" s="2798">
        <f>G237+G240+G242+G244</f>
        <v>4342</v>
      </c>
      <c r="H235" s="2798">
        <f t="shared" ref="H235:AP235" si="625">H237+H240+H242+H244</f>
        <v>6888</v>
      </c>
      <c r="I235" s="2798">
        <f t="shared" si="625"/>
        <v>9312</v>
      </c>
      <c r="J235" s="2798">
        <f t="shared" si="625"/>
        <v>8693</v>
      </c>
      <c r="K235" s="2798">
        <f t="shared" si="625"/>
        <v>8373</v>
      </c>
      <c r="L235" s="2798">
        <f t="shared" si="625"/>
        <v>8645</v>
      </c>
      <c r="M235" s="2798">
        <f t="shared" si="625"/>
        <v>11158</v>
      </c>
      <c r="N235" s="2798">
        <f t="shared" si="625"/>
        <v>9510</v>
      </c>
      <c r="O235" s="2798">
        <f t="shared" si="625"/>
        <v>11596</v>
      </c>
      <c r="P235" s="2798">
        <f t="shared" si="625"/>
        <v>12124</v>
      </c>
      <c r="Q235" s="2798">
        <f t="shared" si="625"/>
        <v>13458</v>
      </c>
      <c r="R235" s="2798">
        <f t="shared" si="625"/>
        <v>13557</v>
      </c>
      <c r="S235" s="2798">
        <f t="shared" si="625"/>
        <v>15211</v>
      </c>
      <c r="T235" s="2798">
        <f t="shared" si="625"/>
        <v>16536</v>
      </c>
      <c r="U235" s="2798">
        <f t="shared" si="625"/>
        <v>21954</v>
      </c>
      <c r="V235" s="2798">
        <f t="shared" si="625"/>
        <v>20207</v>
      </c>
      <c r="W235" s="2798">
        <f t="shared" si="625"/>
        <v>29180</v>
      </c>
      <c r="X235" s="2798">
        <f t="shared" si="625"/>
        <v>24861</v>
      </c>
      <c r="Y235" s="2798">
        <f t="shared" si="625"/>
        <v>29667</v>
      </c>
      <c r="Z235" s="2798">
        <f t="shared" si="625"/>
        <v>29123</v>
      </c>
      <c r="AA235" s="2801">
        <f t="shared" si="625"/>
        <v>30562</v>
      </c>
      <c r="AB235" s="2801">
        <f t="shared" si="625"/>
        <v>33107</v>
      </c>
      <c r="AC235" s="2801">
        <f t="shared" si="625"/>
        <v>37564</v>
      </c>
      <c r="AD235" s="2801">
        <f t="shared" si="625"/>
        <v>34681</v>
      </c>
      <c r="AE235" s="2801">
        <f t="shared" si="625"/>
        <v>34523</v>
      </c>
      <c r="AF235" s="2801">
        <f t="shared" si="625"/>
        <v>51465</v>
      </c>
      <c r="AG235" s="2798">
        <f t="shared" si="625"/>
        <v>48160.426875201709</v>
      </c>
      <c r="AH235" s="2798">
        <f t="shared" si="625"/>
        <v>46788.212598016093</v>
      </c>
      <c r="AI235" s="2798">
        <f t="shared" si="625"/>
        <v>44091.93694954853</v>
      </c>
      <c r="AJ235" s="2798">
        <f t="shared" si="625"/>
        <v>68313.22599986702</v>
      </c>
      <c r="AK235" s="2798">
        <f t="shared" si="625"/>
        <v>61842.584637431835</v>
      </c>
      <c r="AL235" s="2798">
        <f t="shared" si="625"/>
        <v>58572.105296463269</v>
      </c>
      <c r="AM235" s="2798">
        <f t="shared" si="625"/>
        <v>55424.823872861212</v>
      </c>
      <c r="AN235" s="2798">
        <f t="shared" si="625"/>
        <v>87206.184200972639</v>
      </c>
      <c r="AO235" s="2798">
        <f t="shared" si="625"/>
        <v>77969.540830204831</v>
      </c>
      <c r="AP235" s="2798">
        <f t="shared" si="625"/>
        <v>73476.944773793337</v>
      </c>
      <c r="AQ235" s="633" t="s">
        <v>458</v>
      </c>
      <c r="AR235" s="558"/>
      <c r="AS235" s="559"/>
      <c r="AT235" s="2798">
        <f t="shared" ref="AT235:BJ235" si="626">AT237+AT240+AT242+AT244</f>
        <v>14215</v>
      </c>
      <c r="AU235" s="2798">
        <f>G235+H235+I235+J235</f>
        <v>29235</v>
      </c>
      <c r="AV235" s="2798">
        <f>K235+L235+M235+N235</f>
        <v>37686</v>
      </c>
      <c r="AW235" s="2798">
        <f>O235+P235+Q235+R235</f>
        <v>50735</v>
      </c>
      <c r="AX235" s="2798">
        <f>S235+T235+U235+V235</f>
        <v>73908</v>
      </c>
      <c r="AY235" s="2798">
        <f>W235+X235+Y235+Z235</f>
        <v>112831</v>
      </c>
      <c r="AZ235" s="2798">
        <f>AA235+AB235+AC235+AD235</f>
        <v>135914</v>
      </c>
      <c r="BA235" s="2798">
        <f t="shared" si="626"/>
        <v>180936.6394732178</v>
      </c>
      <c r="BB235" s="2798">
        <f t="shared" si="626"/>
        <v>232819.85288331064</v>
      </c>
      <c r="BC235" s="2798">
        <f t="shared" si="626"/>
        <v>294077.49367783207</v>
      </c>
      <c r="BD235" s="2798">
        <f t="shared" si="626"/>
        <v>352150.85695062682</v>
      </c>
      <c r="BE235" s="2798">
        <f t="shared" si="626"/>
        <v>410792.90403234726</v>
      </c>
      <c r="BF235" s="2798">
        <f t="shared" si="626"/>
        <v>467599.30848972185</v>
      </c>
      <c r="BG235" s="2798">
        <f t="shared" si="626"/>
        <v>521214.99350776133</v>
      </c>
      <c r="BH235" s="2798">
        <f t="shared" si="626"/>
        <v>571168.03972375148</v>
      </c>
      <c r="BI235" s="2798">
        <f t="shared" si="626"/>
        <v>617672.42651942186</v>
      </c>
      <c r="BJ235" s="2798">
        <f t="shared" si="626"/>
        <v>661024.95384188939</v>
      </c>
      <c r="BK235" s="538"/>
      <c r="BL235" s="2798">
        <v>30886.153743648101</v>
      </c>
      <c r="BM235" s="2798">
        <v>36521.478778171797</v>
      </c>
      <c r="BN235" s="2798"/>
      <c r="BO235" s="2798"/>
    </row>
    <row r="236" spans="2:67" ht="12" customHeight="1" x14ac:dyDescent="0.35">
      <c r="B236" s="571" t="s">
        <v>558</v>
      </c>
      <c r="E236" s="553">
        <f>E235/E226</f>
        <v>0.30797546012269938</v>
      </c>
      <c r="F236" s="553">
        <f t="shared" ref="F236:AP236" si="627">F235/F226</f>
        <v>0.25849887789876153</v>
      </c>
      <c r="G236" s="553">
        <f t="shared" si="627"/>
        <v>0.27531545241265615</v>
      </c>
      <c r="H236" s="553">
        <f t="shared" si="627"/>
        <v>0.40929348149028461</v>
      </c>
      <c r="I236" s="553">
        <f t="shared" si="627"/>
        <v>0.35570495435272548</v>
      </c>
      <c r="J236" s="553">
        <f t="shared" si="627"/>
        <v>0.49888091822094693</v>
      </c>
      <c r="K236" s="553">
        <f t="shared" si="627"/>
        <v>0.41358360088910845</v>
      </c>
      <c r="L236" s="553">
        <f t="shared" si="627"/>
        <v>0.38992377429976094</v>
      </c>
      <c r="M236" s="553">
        <f t="shared" si="627"/>
        <v>0.32301768809889125</v>
      </c>
      <c r="N236" s="553">
        <f t="shared" si="627"/>
        <v>0.39323519682434666</v>
      </c>
      <c r="O236" s="553">
        <f t="shared" si="627"/>
        <v>0.36063942277788147</v>
      </c>
      <c r="P236" s="553">
        <f t="shared" si="627"/>
        <v>0.3535518488277149</v>
      </c>
      <c r="Q236" s="553">
        <f t="shared" si="627"/>
        <v>0.25274188701923078</v>
      </c>
      <c r="R236" s="553">
        <f t="shared" si="627"/>
        <v>0.35140879753233623</v>
      </c>
      <c r="S236" s="553">
        <f t="shared" si="627"/>
        <v>0.30310457516339867</v>
      </c>
      <c r="T236" s="553">
        <f t="shared" si="627"/>
        <v>0.29998911505388048</v>
      </c>
      <c r="U236" s="553">
        <f t="shared" si="627"/>
        <v>0.26441682324035265</v>
      </c>
      <c r="V236" s="553">
        <f t="shared" si="627"/>
        <v>0.32627720725957504</v>
      </c>
      <c r="W236" s="553">
        <f t="shared" si="627"/>
        <v>0.3606030647553139</v>
      </c>
      <c r="X236" s="553">
        <f t="shared" si="627"/>
        <v>0.29197397472635883</v>
      </c>
      <c r="Y236" s="553">
        <f t="shared" si="627"/>
        <v>0.25296304507239209</v>
      </c>
      <c r="Z236" s="553">
        <f t="shared" si="627"/>
        <v>0.31148259855825794</v>
      </c>
      <c r="AA236" s="719">
        <f t="shared" si="627"/>
        <v>0.26593226828164701</v>
      </c>
      <c r="AB236" s="719">
        <f t="shared" si="627"/>
        <v>0.27817034541284019</v>
      </c>
      <c r="AC236" s="719">
        <f t="shared" si="627"/>
        <v>0.23265781389356852</v>
      </c>
      <c r="AD236" s="719">
        <f t="shared" si="627"/>
        <v>0.3033836625435205</v>
      </c>
      <c r="AE236" s="719">
        <f t="shared" si="627"/>
        <v>0.22453837698616594</v>
      </c>
      <c r="AF236" s="719">
        <f t="shared" si="627"/>
        <v>0.33190591968218547</v>
      </c>
      <c r="AG236" s="553">
        <f>AG235/AG226</f>
        <v>0.23533780427126189</v>
      </c>
      <c r="AH236" s="553">
        <f t="shared" si="627"/>
        <v>0.30246919724255422</v>
      </c>
      <c r="AI236" s="553">
        <f t="shared" si="627"/>
        <v>0.22703305768852441</v>
      </c>
      <c r="AJ236" s="553">
        <f t="shared" si="627"/>
        <v>0.3366704920105934</v>
      </c>
      <c r="AK236" s="553">
        <f t="shared" si="627"/>
        <v>0.23925746929140645</v>
      </c>
      <c r="AL236" s="553">
        <f t="shared" si="627"/>
        <v>0.306117830644623</v>
      </c>
      <c r="AM236" s="553">
        <f t="shared" si="627"/>
        <v>0.23089437918424113</v>
      </c>
      <c r="AN236" s="553">
        <f t="shared" si="627"/>
        <v>0.34332597199963039</v>
      </c>
      <c r="AO236" s="553">
        <f t="shared" si="627"/>
        <v>0.24441150821204738</v>
      </c>
      <c r="AP236" s="553">
        <f t="shared" si="627"/>
        <v>0.31111471745649089</v>
      </c>
      <c r="AQ236" s="507"/>
      <c r="AR236" s="508"/>
      <c r="AS236" s="509"/>
      <c r="AT236" s="553">
        <f t="shared" ref="AT236:BJ236" si="628">AT235/AT226</f>
        <v>0.27074127685509675</v>
      </c>
      <c r="AU236" s="553">
        <f t="shared" si="628"/>
        <v>0.38364127867303555</v>
      </c>
      <c r="AV236" s="553">
        <f t="shared" si="628"/>
        <v>0.37260116864241716</v>
      </c>
      <c r="AW236" s="553">
        <f t="shared" si="628"/>
        <v>0.32055372678852362</v>
      </c>
      <c r="AX236" s="553">
        <f t="shared" si="628"/>
        <v>0.29531778188007962</v>
      </c>
      <c r="AY236" s="553">
        <f t="shared" si="628"/>
        <v>0.29941036609313137</v>
      </c>
      <c r="AZ236" s="553">
        <f t="shared" si="628"/>
        <v>0.26664914039524357</v>
      </c>
      <c r="BA236" s="553">
        <f t="shared" si="628"/>
        <v>0.27080593094865457</v>
      </c>
      <c r="BB236" s="553">
        <f t="shared" si="628"/>
        <v>0.27489755409720668</v>
      </c>
      <c r="BC236" s="553">
        <f t="shared" si="628"/>
        <v>0.28027919690015951</v>
      </c>
      <c r="BD236" s="553">
        <f t="shared" si="628"/>
        <v>0.27813118437185852</v>
      </c>
      <c r="BE236" s="553">
        <f t="shared" si="628"/>
        <v>0.27659880167677608</v>
      </c>
      <c r="BF236" s="553">
        <f t="shared" si="628"/>
        <v>0.27549149271538048</v>
      </c>
      <c r="BG236" s="553">
        <f t="shared" si="628"/>
        <v>0.27467352547149082</v>
      </c>
      <c r="BH236" s="553">
        <f t="shared" si="628"/>
        <v>0.27405288202467648</v>
      </c>
      <c r="BI236" s="553">
        <f t="shared" si="628"/>
        <v>0.27356728037205807</v>
      </c>
      <c r="BJ236" s="553">
        <f t="shared" si="628"/>
        <v>0.27317737694262478</v>
      </c>
      <c r="BL236" s="553">
        <v>0.26358753612706798</v>
      </c>
      <c r="BM236" s="553">
        <v>0.22201835884929999</v>
      </c>
      <c r="BN236" s="578"/>
      <c r="BO236" s="578"/>
    </row>
    <row r="237" spans="2:67" s="2794" customFormat="1" ht="12" customHeight="1" x14ac:dyDescent="0.35">
      <c r="B237" s="2793" t="s">
        <v>562</v>
      </c>
      <c r="E237" s="2795">
        <v>1897</v>
      </c>
      <c r="F237" s="2795">
        <v>1278</v>
      </c>
      <c r="G237" s="2795">
        <v>1212</v>
      </c>
      <c r="H237" s="2795">
        <v>1749</v>
      </c>
      <c r="I237" s="2795">
        <v>3021</v>
      </c>
      <c r="J237" s="2795">
        <v>2531</v>
      </c>
      <c r="K237" s="2795">
        <v>2241</v>
      </c>
      <c r="L237" s="2795">
        <v>2564</v>
      </c>
      <c r="M237" s="2795">
        <v>3641</v>
      </c>
      <c r="N237" s="2795">
        <v>2861</v>
      </c>
      <c r="O237" s="2795">
        <v>3614</v>
      </c>
      <c r="P237" s="2795">
        <v>3878</v>
      </c>
      <c r="Q237" s="2795">
        <v>4490</v>
      </c>
      <c r="R237" s="2795">
        <v>4332</v>
      </c>
      <c r="S237" s="2795">
        <v>4850</v>
      </c>
      <c r="T237" s="2795">
        <v>6266</v>
      </c>
      <c r="U237" s="2795">
        <v>8542</v>
      </c>
      <c r="V237" s="2795">
        <v>7641</v>
      </c>
      <c r="W237" s="2795">
        <v>8921</v>
      </c>
      <c r="X237" s="2795">
        <v>9106</v>
      </c>
      <c r="Y237" s="2795">
        <v>12104</v>
      </c>
      <c r="Z237" s="2795">
        <v>9649</v>
      </c>
      <c r="AA237" s="2802">
        <v>10698</v>
      </c>
      <c r="AB237" s="2802">
        <v>11996</v>
      </c>
      <c r="AC237" s="2802">
        <v>15800</v>
      </c>
      <c r="AD237" s="2802">
        <v>12179</v>
      </c>
      <c r="AE237" s="2802">
        <v>13652</v>
      </c>
      <c r="AF237" s="2802">
        <v>17371</v>
      </c>
      <c r="AG237" s="2795">
        <f>AG238*AG226</f>
        <v>21027.654264454559</v>
      </c>
      <c r="AH237" s="2795">
        <f t="shared" ref="AH237:AP237" si="629">AH238*AH226</f>
        <v>17304.410494913405</v>
      </c>
      <c r="AI237" s="2795">
        <f t="shared" si="629"/>
        <v>18106.633414636268</v>
      </c>
      <c r="AJ237" s="2795">
        <f t="shared" si="629"/>
        <v>23868.046851887899</v>
      </c>
      <c r="AK237" s="2795">
        <f t="shared" si="629"/>
        <v>27887.11731318129</v>
      </c>
      <c r="AL237" s="2795">
        <f t="shared" si="629"/>
        <v>22474.654004490138</v>
      </c>
      <c r="AM237" s="2795">
        <f t="shared" si="629"/>
        <v>23498.91928888849</v>
      </c>
      <c r="AN237" s="2795">
        <f t="shared" si="629"/>
        <v>31372.350992685475</v>
      </c>
      <c r="AO237" s="2795">
        <f t="shared" si="629"/>
        <v>36138.832736043783</v>
      </c>
      <c r="AP237" s="2795">
        <f t="shared" si="629"/>
        <v>29127.99824105886</v>
      </c>
      <c r="AQ237" s="507" t="s">
        <v>458</v>
      </c>
      <c r="AR237" s="508" t="s">
        <v>465</v>
      </c>
      <c r="AS237" s="509"/>
      <c r="AT237" s="2795">
        <v>4545</v>
      </c>
      <c r="AU237" s="2795">
        <f>G237+H237+I237+J237</f>
        <v>8513</v>
      </c>
      <c r="AV237" s="2795">
        <f>K237+L237+M237+N237</f>
        <v>11307</v>
      </c>
      <c r="AW237" s="2795">
        <f>O237+P237+Q237+R237</f>
        <v>16314</v>
      </c>
      <c r="AX237" s="2795">
        <f>S237+T237+U237+V237</f>
        <v>27299</v>
      </c>
      <c r="AY237" s="2795">
        <f>W237+X237+Y237+Z237</f>
        <v>39780</v>
      </c>
      <c r="AZ237" s="2795">
        <f>SUM(AA237:AD237)</f>
        <v>50673</v>
      </c>
      <c r="BA237" s="2795">
        <f>SUM(AE237:AH237)</f>
        <v>69355.064759367961</v>
      </c>
      <c r="BB237" s="2795">
        <f>SUM(AI237:AL237)</f>
        <v>92336.451584195587</v>
      </c>
      <c r="BC237" s="2795">
        <f>SUM(AM237:AP237)</f>
        <v>120138.1012586766</v>
      </c>
      <c r="BD237" s="2795">
        <f t="shared" ref="BD237:BJ237" si="630">BD238*BD$226</f>
        <v>144973.59357348018</v>
      </c>
      <c r="BE237" s="2795">
        <f t="shared" si="630"/>
        <v>170052.2876174445</v>
      </c>
      <c r="BF237" s="2795">
        <f t="shared" si="630"/>
        <v>194345.9558643749</v>
      </c>
      <c r="BG237" s="2795">
        <f t="shared" si="630"/>
        <v>217275.08994885179</v>
      </c>
      <c r="BH237" s="2795">
        <f t="shared" si="630"/>
        <v>238637.87015447885</v>
      </c>
      <c r="BI237" s="2795">
        <f t="shared" si="630"/>
        <v>258525.80630591538</v>
      </c>
      <c r="BJ237" s="2795">
        <f t="shared" si="630"/>
        <v>277065.82703946292</v>
      </c>
      <c r="BK237" s="493"/>
      <c r="BL237" s="2795">
        <v>12133.3999960112</v>
      </c>
      <c r="BM237" s="2795">
        <v>15764.4748474958</v>
      </c>
      <c r="BN237" s="2795"/>
      <c r="BO237" s="2795"/>
    </row>
    <row r="238" spans="2:67" ht="12" customHeight="1" x14ac:dyDescent="0.35">
      <c r="B238" s="571" t="s">
        <v>558</v>
      </c>
      <c r="E238" s="553">
        <f>E237/E$226</f>
        <v>0.10120032008535609</v>
      </c>
      <c r="F238" s="553">
        <f t="shared" ref="F238:AF238" si="631">F237/F$226</f>
        <v>0.10622558390823705</v>
      </c>
      <c r="G238" s="553">
        <f t="shared" si="631"/>
        <v>7.6849914399847827E-2</v>
      </c>
      <c r="H238" s="553">
        <f t="shared" si="631"/>
        <v>0.10392774377562541</v>
      </c>
      <c r="I238" s="553">
        <f t="shared" si="631"/>
        <v>0.11539783796172505</v>
      </c>
      <c r="J238" s="553">
        <f t="shared" si="631"/>
        <v>0.14525107604017218</v>
      </c>
      <c r="K238" s="553">
        <f t="shared" si="631"/>
        <v>0.11069399851815263</v>
      </c>
      <c r="L238" s="553">
        <f t="shared" si="631"/>
        <v>0.11564656533309278</v>
      </c>
      <c r="M238" s="553">
        <f t="shared" si="631"/>
        <v>0.10540485771357438</v>
      </c>
      <c r="N238" s="553">
        <f t="shared" si="631"/>
        <v>0.11830135626860734</v>
      </c>
      <c r="O238" s="553">
        <f t="shared" si="631"/>
        <v>0.11239659140386889</v>
      </c>
      <c r="P238" s="553">
        <f t="shared" si="631"/>
        <v>0.11308760060655547</v>
      </c>
      <c r="Q238" s="553">
        <f t="shared" si="631"/>
        <v>8.4322415865384609E-2</v>
      </c>
      <c r="R238" s="553">
        <f t="shared" si="631"/>
        <v>0.11228906918271599</v>
      </c>
      <c r="S238" s="553">
        <f t="shared" si="631"/>
        <v>9.6644348796429136E-2</v>
      </c>
      <c r="T238" s="553">
        <f t="shared" si="631"/>
        <v>0.11367512064148616</v>
      </c>
      <c r="U238" s="553">
        <f t="shared" si="631"/>
        <v>0.10288095582213229</v>
      </c>
      <c r="V238" s="553">
        <f t="shared" si="631"/>
        <v>0.12337725247045146</v>
      </c>
      <c r="W238" s="553">
        <f>W237/S237-1</f>
        <v>0.83938144329896902</v>
      </c>
      <c r="X238" s="719">
        <f t="shared" si="631"/>
        <v>0.10694320477286606</v>
      </c>
      <c r="Y238" s="512">
        <f t="shared" si="631"/>
        <v>0.10320776275175225</v>
      </c>
      <c r="Z238" s="512">
        <f t="shared" si="631"/>
        <v>0.10320006845066204</v>
      </c>
      <c r="AA238" s="723">
        <f t="shared" si="631"/>
        <v>9.3087605722042388E-2</v>
      </c>
      <c r="AB238" s="723">
        <f t="shared" si="631"/>
        <v>0.10079232378567768</v>
      </c>
      <c r="AC238" s="723">
        <f t="shared" si="631"/>
        <v>9.7859478743434744E-2</v>
      </c>
      <c r="AD238" s="723">
        <f t="shared" si="631"/>
        <v>0.1065398813793586</v>
      </c>
      <c r="AE238" s="723">
        <f t="shared" si="631"/>
        <v>8.8792918420042791E-2</v>
      </c>
      <c r="AF238" s="723">
        <f t="shared" si="631"/>
        <v>0.11202832470221012</v>
      </c>
      <c r="AG238" s="722">
        <f>AC238*1.05</f>
        <v>0.10275245268060648</v>
      </c>
      <c r="AH238" s="722">
        <f t="shared" ref="AH238:AP238" si="632">AD238*1.05</f>
        <v>0.11186687544832653</v>
      </c>
      <c r="AI238" s="722">
        <f t="shared" si="632"/>
        <v>9.3232564341044932E-2</v>
      </c>
      <c r="AJ238" s="722">
        <f t="shared" si="632"/>
        <v>0.11762974093732063</v>
      </c>
      <c r="AK238" s="722">
        <f t="shared" si="632"/>
        <v>0.1078900753146368</v>
      </c>
      <c r="AL238" s="722">
        <f t="shared" si="632"/>
        <v>0.11746021922074286</v>
      </c>
      <c r="AM238" s="722">
        <f t="shared" si="632"/>
        <v>9.7894192558097184E-2</v>
      </c>
      <c r="AN238" s="722">
        <f t="shared" si="632"/>
        <v>0.12351122798418668</v>
      </c>
      <c r="AO238" s="722">
        <f t="shared" si="632"/>
        <v>0.11328457908036865</v>
      </c>
      <c r="AP238" s="722">
        <f t="shared" si="632"/>
        <v>0.12333323018178001</v>
      </c>
      <c r="AQ238" s="507"/>
      <c r="AR238" s="508"/>
      <c r="AS238" s="509"/>
      <c r="AT238" s="721">
        <f t="shared" ref="AT238:BC238" si="633">AT237/AT$226</f>
        <v>8.6564833155569093E-2</v>
      </c>
      <c r="AU238" s="721">
        <f t="shared" si="633"/>
        <v>0.11171329588997952</v>
      </c>
      <c r="AV238" s="721">
        <f t="shared" si="633"/>
        <v>0.1117922149827472</v>
      </c>
      <c r="AW238" s="721">
        <f t="shared" si="633"/>
        <v>0.10307506649902384</v>
      </c>
      <c r="AX238" s="721">
        <f t="shared" si="633"/>
        <v>0.10907993894496255</v>
      </c>
      <c r="AY238" s="721">
        <f t="shared" si="633"/>
        <v>0.10556092176072858</v>
      </c>
      <c r="AZ238" s="721">
        <f t="shared" si="633"/>
        <v>9.9415158786057195E-2</v>
      </c>
      <c r="BA238" s="721">
        <f t="shared" si="633"/>
        <v>0.10380298281678289</v>
      </c>
      <c r="BB238" s="721">
        <f t="shared" si="633"/>
        <v>0.10902448558470873</v>
      </c>
      <c r="BC238" s="721">
        <f t="shared" si="633"/>
        <v>0.11450114769673778</v>
      </c>
      <c r="BD238" s="722">
        <f t="shared" ref="BD238:BJ238" si="634">BC238</f>
        <v>0.11450114769673778</v>
      </c>
      <c r="BE238" s="722">
        <f t="shared" si="634"/>
        <v>0.11450114769673778</v>
      </c>
      <c r="BF238" s="722">
        <f t="shared" si="634"/>
        <v>0.11450114769673778</v>
      </c>
      <c r="BG238" s="722">
        <f t="shared" si="634"/>
        <v>0.11450114769673778</v>
      </c>
      <c r="BH238" s="722">
        <f t="shared" si="634"/>
        <v>0.11450114769673778</v>
      </c>
      <c r="BI238" s="722">
        <f t="shared" si="634"/>
        <v>0.11450114769673778</v>
      </c>
      <c r="BJ238" s="722">
        <f t="shared" si="634"/>
        <v>0.11450114769673778</v>
      </c>
      <c r="BL238" s="512">
        <v>0.10354843909467</v>
      </c>
      <c r="BM238" s="512">
        <v>9.5834094096265698E-2</v>
      </c>
      <c r="BN238" s="578"/>
      <c r="BO238" s="578"/>
    </row>
    <row r="239" spans="2:67" ht="12" customHeight="1" x14ac:dyDescent="0.35">
      <c r="B239" s="571" t="s">
        <v>563</v>
      </c>
      <c r="E239" s="553"/>
      <c r="F239" s="553"/>
      <c r="G239" s="553"/>
      <c r="H239" s="553"/>
      <c r="I239" s="553">
        <f>I237/E237-1</f>
        <v>0.59251449657353716</v>
      </c>
      <c r="J239" s="553">
        <f t="shared" ref="J239:AF239" si="635">J237/F237-1</f>
        <v>0.98043818466353683</v>
      </c>
      <c r="K239" s="553">
        <f t="shared" si="635"/>
        <v>0.8490099009900991</v>
      </c>
      <c r="L239" s="553">
        <f t="shared" si="635"/>
        <v>0.46598056032018298</v>
      </c>
      <c r="M239" s="553">
        <f t="shared" si="635"/>
        <v>0.20523005627275737</v>
      </c>
      <c r="N239" s="553">
        <f t="shared" si="635"/>
        <v>0.13038324772817078</v>
      </c>
      <c r="O239" s="553">
        <f t="shared" si="635"/>
        <v>0.61267291387773315</v>
      </c>
      <c r="P239" s="553">
        <f t="shared" si="635"/>
        <v>0.51248049921996874</v>
      </c>
      <c r="Q239" s="553">
        <f t="shared" si="635"/>
        <v>0.23317769843449598</v>
      </c>
      <c r="R239" s="553">
        <f t="shared" si="635"/>
        <v>0.51415588954910874</v>
      </c>
      <c r="S239" s="553">
        <f t="shared" si="635"/>
        <v>0.34200332042058657</v>
      </c>
      <c r="T239" s="553">
        <f t="shared" si="635"/>
        <v>0.61578133058277462</v>
      </c>
      <c r="U239" s="553">
        <f t="shared" si="635"/>
        <v>0.90244988864142539</v>
      </c>
      <c r="V239" s="553">
        <f t="shared" si="635"/>
        <v>0.76385041551246546</v>
      </c>
      <c r="W239" s="553">
        <f t="shared" si="635"/>
        <v>0.83938144329896902</v>
      </c>
      <c r="X239" s="553">
        <f t="shared" si="635"/>
        <v>0.45323970635173949</v>
      </c>
      <c r="Y239" s="553">
        <f t="shared" si="635"/>
        <v>0.41699836103956911</v>
      </c>
      <c r="Z239" s="553">
        <f t="shared" si="635"/>
        <v>0.26279282816385297</v>
      </c>
      <c r="AA239" s="719">
        <f t="shared" si="635"/>
        <v>0.19919291559242236</v>
      </c>
      <c r="AB239" s="719">
        <f t="shared" si="635"/>
        <v>0.3173731605534813</v>
      </c>
      <c r="AC239" s="719">
        <f t="shared" si="635"/>
        <v>0.3053536021150034</v>
      </c>
      <c r="AD239" s="719">
        <f t="shared" si="635"/>
        <v>0.26220333713338162</v>
      </c>
      <c r="AE239" s="719">
        <f t="shared" si="635"/>
        <v>0.27612637876238555</v>
      </c>
      <c r="AF239" s="719">
        <f t="shared" si="635"/>
        <v>0.44806602200733581</v>
      </c>
      <c r="AG239" s="553">
        <f t="shared" ref="AG239" si="636">AG237/AC237-1</f>
        <v>0.33086419395282007</v>
      </c>
      <c r="AH239" s="553">
        <f t="shared" ref="AH239" si="637">AH237/AD237-1</f>
        <v>0.42084001107754365</v>
      </c>
      <c r="AI239" s="553">
        <f t="shared" ref="AI239" si="638">AI237/AE237-1</f>
        <v>0.32629896093145816</v>
      </c>
      <c r="AJ239" s="553">
        <f t="shared" ref="AJ239" si="639">AJ237/AF237-1</f>
        <v>0.37401685866604684</v>
      </c>
      <c r="AK239" s="553">
        <f t="shared" ref="AK239" si="640">AK237/AG237-1</f>
        <v>0.32621151948089921</v>
      </c>
      <c r="AL239" s="553">
        <f t="shared" ref="AL239" si="641">AL237/AH237-1</f>
        <v>0.29878183432463734</v>
      </c>
      <c r="AM239" s="553">
        <f t="shared" ref="AM239" si="642">AM237/AI237-1</f>
        <v>0.29780720417598094</v>
      </c>
      <c r="AN239" s="553">
        <f t="shared" ref="AN239" si="643">AN237/AJ237-1</f>
        <v>0.31440796925551551</v>
      </c>
      <c r="AO239" s="553">
        <f t="shared" ref="AO239" si="644">AO237/AK237-1</f>
        <v>0.29589703841358284</v>
      </c>
      <c r="AP239" s="553">
        <f t="shared" ref="AP239" si="645">AP237/AL237-1</f>
        <v>0.29603767138036807</v>
      </c>
      <c r="AQ239" s="507"/>
      <c r="AR239" s="508"/>
      <c r="AS239" s="604"/>
      <c r="AT239" s="723"/>
      <c r="AU239" s="723">
        <f>AU237/AT237-1</f>
        <v>0.87304730473047298</v>
      </c>
      <c r="AV239" s="723">
        <f t="shared" ref="AV239:AZ239" si="646">AV237/AU237-1</f>
        <v>0.32820392341125348</v>
      </c>
      <c r="AW239" s="723">
        <f t="shared" si="646"/>
        <v>0.44282302998142753</v>
      </c>
      <c r="AX239" s="723">
        <f t="shared" si="646"/>
        <v>0.67334804462424902</v>
      </c>
      <c r="AY239" s="723">
        <f t="shared" si="646"/>
        <v>0.45719623429429657</v>
      </c>
      <c r="AZ239" s="723">
        <f t="shared" si="646"/>
        <v>0.27383107088989433</v>
      </c>
      <c r="BA239" s="723">
        <f t="shared" ref="BA239" si="647">BA237/AZ237-1</f>
        <v>0.36867887749625949</v>
      </c>
      <c r="BB239" s="723">
        <f t="shared" ref="BB239" si="648">BB237/BA237-1</f>
        <v>0.33135845095903349</v>
      </c>
      <c r="BC239" s="723">
        <f t="shared" ref="BC239" si="649">BC237/BB237-1</f>
        <v>0.30109073066480696</v>
      </c>
      <c r="BD239" s="723">
        <f t="shared" ref="BD239" si="650">BD237/BC237-1</f>
        <v>0.20672452831037158</v>
      </c>
      <c r="BE239" s="723">
        <f t="shared" ref="BE239" si="651">BE237/BD237-1</f>
        <v>0.17298801406376896</v>
      </c>
      <c r="BF239" s="723">
        <f t="shared" ref="BF239" si="652">BF237/BE237-1</f>
        <v>0.14285999081401535</v>
      </c>
      <c r="BG239" s="723">
        <f t="shared" ref="BG239" si="653">BG237/BF237-1</f>
        <v>0.11798101989051979</v>
      </c>
      <c r="BH239" s="723">
        <f t="shared" ref="BH239" si="654">BH237/BG237-1</f>
        <v>9.8321350186328482E-2</v>
      </c>
      <c r="BI239" s="723">
        <f t="shared" ref="BI239" si="655">BI237/BH237-1</f>
        <v>8.3339396796335619E-2</v>
      </c>
      <c r="BJ239" s="723">
        <f t="shared" ref="BJ239" si="656">BJ237/BI237-1</f>
        <v>7.1714390909234815E-2</v>
      </c>
      <c r="BL239" s="512"/>
      <c r="BM239" s="512"/>
      <c r="BN239" s="578"/>
      <c r="BO239" s="578"/>
    </row>
    <row r="240" spans="2:67" s="2794" customFormat="1" ht="12" customHeight="1" x14ac:dyDescent="0.35">
      <c r="B240" s="2793" t="s">
        <v>564</v>
      </c>
      <c r="E240" s="2795">
        <v>2046</v>
      </c>
      <c r="F240" s="2795">
        <v>514</v>
      </c>
      <c r="G240" s="2795">
        <v>944</v>
      </c>
      <c r="H240" s="2795">
        <v>1960</v>
      </c>
      <c r="I240" s="2795">
        <v>2419</v>
      </c>
      <c r="J240" s="2795">
        <v>2477</v>
      </c>
      <c r="K240" s="2795">
        <v>2244</v>
      </c>
      <c r="L240" s="2795">
        <v>2128</v>
      </c>
      <c r="M240" s="2795">
        <v>2500</v>
      </c>
      <c r="N240" s="2795">
        <v>2333</v>
      </c>
      <c r="O240" s="2795">
        <v>2743</v>
      </c>
      <c r="P240" s="2795">
        <v>2815</v>
      </c>
      <c r="Q240" s="2795">
        <v>3287</v>
      </c>
      <c r="R240" s="2795">
        <v>3394</v>
      </c>
      <c r="S240" s="2795">
        <v>3679</v>
      </c>
      <c r="T240" s="2795">
        <v>3439</v>
      </c>
      <c r="U240" s="2795">
        <v>4572</v>
      </c>
      <c r="V240" s="2795">
        <v>4551</v>
      </c>
      <c r="W240" s="2795">
        <v>6645</v>
      </c>
      <c r="X240" s="2795">
        <v>4779</v>
      </c>
      <c r="Y240" s="2795">
        <v>5853</v>
      </c>
      <c r="Z240" s="2795">
        <v>7612</v>
      </c>
      <c r="AA240" s="2802">
        <v>6320</v>
      </c>
      <c r="AB240" s="2802">
        <v>6591</v>
      </c>
      <c r="AC240" s="2802">
        <v>7415</v>
      </c>
      <c r="AD240" s="2802">
        <v>7871</v>
      </c>
      <c r="AE240" s="2802">
        <v>6837</v>
      </c>
      <c r="AF240" s="2802">
        <v>11961</v>
      </c>
      <c r="AG240" s="2795">
        <f>AG241*AG226</f>
        <v>9680.3892743856832</v>
      </c>
      <c r="AH240" s="2795">
        <f t="shared" ref="AH240:AP240" si="657">AH241*AH226</f>
        <v>10970.413980006751</v>
      </c>
      <c r="AI240" s="2795">
        <f t="shared" si="657"/>
        <v>8895.1839769190792</v>
      </c>
      <c r="AJ240" s="2795">
        <f t="shared" si="657"/>
        <v>16121.575348475928</v>
      </c>
      <c r="AK240" s="2795">
        <f t="shared" si="657"/>
        <v>12593.705792202023</v>
      </c>
      <c r="AL240" s="2795">
        <f t="shared" si="657"/>
        <v>13976.780594306119</v>
      </c>
      <c r="AM240" s="2795">
        <f t="shared" si="657"/>
        <v>11324.343679188401</v>
      </c>
      <c r="AN240" s="2795">
        <f t="shared" si="657"/>
        <v>20786.701836609263</v>
      </c>
      <c r="AO240" s="2795">
        <f t="shared" si="657"/>
        <v>16009.286114218648</v>
      </c>
      <c r="AP240" s="2795">
        <f t="shared" si="657"/>
        <v>17769.397333413319</v>
      </c>
      <c r="AQ240" s="507" t="s">
        <v>458</v>
      </c>
      <c r="AR240" s="508" t="s">
        <v>465</v>
      </c>
      <c r="AS240" s="509"/>
      <c r="AT240" s="2795">
        <v>4218</v>
      </c>
      <c r="AU240" s="2795">
        <f>G240+H240+I240+J240</f>
        <v>7800</v>
      </c>
      <c r="AV240" s="2795">
        <f>K240+L240+M240+N240</f>
        <v>9205</v>
      </c>
      <c r="AW240" s="2795">
        <f>O240+P240+Q240+R240</f>
        <v>12239</v>
      </c>
      <c r="AX240" s="2795">
        <f>S240+T240+U240+V240</f>
        <v>16241</v>
      </c>
      <c r="AY240" s="2795">
        <f>W240+X240+Y240+Z240</f>
        <v>24889</v>
      </c>
      <c r="AZ240" s="2795">
        <f>SUM(AA240:AD240)</f>
        <v>28197</v>
      </c>
      <c r="BA240" s="2795">
        <f>SUM(AE240:AH240)</f>
        <v>39448.803254392435</v>
      </c>
      <c r="BB240" s="2795">
        <f>SUM(AI240:AL240)</f>
        <v>51587.245711903146</v>
      </c>
      <c r="BC240" s="2795">
        <f>SUM(AM240:AP240)</f>
        <v>65889.728963429632</v>
      </c>
      <c r="BD240" s="2795">
        <f t="shared" ref="BD240:BJ240" si="658">BD241*BD$226</f>
        <v>79510.752103892839</v>
      </c>
      <c r="BE240" s="2795">
        <f t="shared" si="658"/>
        <v>93265.159207061908</v>
      </c>
      <c r="BF240" s="2795">
        <f t="shared" si="658"/>
        <v>106589.01899465044</v>
      </c>
      <c r="BG240" s="2795">
        <f t="shared" si="658"/>
        <v>119164.50016476928</v>
      </c>
      <c r="BH240" s="2795">
        <f t="shared" si="658"/>
        <v>130880.91471524836</v>
      </c>
      <c r="BI240" s="2795">
        <f t="shared" si="658"/>
        <v>141788.4511997698</v>
      </c>
      <c r="BJ240" s="2795">
        <f t="shared" si="658"/>
        <v>151956.72361552506</v>
      </c>
      <c r="BK240" s="493"/>
      <c r="BL240" s="2795">
        <v>5647.7536791533203</v>
      </c>
      <c r="BM240" s="2795">
        <v>7102.2695580661903</v>
      </c>
      <c r="BN240" s="2795"/>
      <c r="BO240" s="2795"/>
    </row>
    <row r="241" spans="2:67" ht="12" customHeight="1" x14ac:dyDescent="0.35">
      <c r="B241" s="571" t="s">
        <v>558</v>
      </c>
      <c r="E241" s="553">
        <f t="shared" ref="E241:AF241" si="659">E240/E$226</f>
        <v>0.1091491064283809</v>
      </c>
      <c r="F241" s="553">
        <f t="shared" si="659"/>
        <v>4.2722965672013967E-2</v>
      </c>
      <c r="G241" s="553">
        <f t="shared" si="659"/>
        <v>5.9856699004501933E-2</v>
      </c>
      <c r="H241" s="553">
        <f t="shared" si="659"/>
        <v>0.11646562481430864</v>
      </c>
      <c r="I241" s="553">
        <f t="shared" si="659"/>
        <v>9.2402307192788108E-2</v>
      </c>
      <c r="J241" s="553">
        <f t="shared" si="659"/>
        <v>0.14215208034433285</v>
      </c>
      <c r="K241" s="553">
        <f t="shared" si="659"/>
        <v>0.11084218325512472</v>
      </c>
      <c r="L241" s="553">
        <f t="shared" si="659"/>
        <v>9.5981236750710394E-2</v>
      </c>
      <c r="M241" s="553">
        <f t="shared" si="659"/>
        <v>7.2373563384766817E-2</v>
      </c>
      <c r="N241" s="553">
        <f t="shared" si="659"/>
        <v>9.646873966258683E-2</v>
      </c>
      <c r="O241" s="553">
        <f t="shared" si="659"/>
        <v>8.5308204266965226E-2</v>
      </c>
      <c r="P241" s="553">
        <f t="shared" si="659"/>
        <v>8.2089116995217537E-2</v>
      </c>
      <c r="Q241" s="553">
        <f t="shared" si="659"/>
        <v>6.1730018028846152E-2</v>
      </c>
      <c r="R241" s="553">
        <f t="shared" si="659"/>
        <v>8.7975323362451077E-2</v>
      </c>
      <c r="S241" s="553">
        <f t="shared" si="659"/>
        <v>7.3310218396301613E-2</v>
      </c>
      <c r="T241" s="721">
        <f t="shared" si="659"/>
        <v>6.2388882841696601E-2</v>
      </c>
      <c r="U241" s="721">
        <f t="shared" si="659"/>
        <v>5.5065760948113891E-2</v>
      </c>
      <c r="V241" s="721">
        <f t="shared" si="659"/>
        <v>7.3483820964929281E-2</v>
      </c>
      <c r="W241" s="721">
        <f t="shared" si="659"/>
        <v>8.2118141374196735E-2</v>
      </c>
      <c r="X241" s="723">
        <f t="shared" si="659"/>
        <v>5.6125804481608491E-2</v>
      </c>
      <c r="Y241" s="512">
        <f t="shared" si="659"/>
        <v>4.9907058442333598E-2</v>
      </c>
      <c r="Z241" s="721">
        <f t="shared" si="659"/>
        <v>8.1413506171255007E-2</v>
      </c>
      <c r="AA241" s="723">
        <f t="shared" si="659"/>
        <v>5.4992864849813791E-2</v>
      </c>
      <c r="AB241" s="723">
        <f t="shared" si="659"/>
        <v>5.5378643387079159E-2</v>
      </c>
      <c r="AC241" s="723">
        <f t="shared" si="659"/>
        <v>4.5925824992567636E-2</v>
      </c>
      <c r="AD241" s="723">
        <f t="shared" si="659"/>
        <v>6.8854208583375612E-2</v>
      </c>
      <c r="AE241" s="723">
        <f t="shared" si="659"/>
        <v>4.4468003460140099E-2</v>
      </c>
      <c r="AF241" s="723">
        <f t="shared" si="659"/>
        <v>7.7138379584545239E-2</v>
      </c>
      <c r="AG241" s="722">
        <f>AC241*1.03</f>
        <v>4.7303599742344667E-2</v>
      </c>
      <c r="AH241" s="722">
        <f t="shared" ref="AH241:AP241" si="660">AD241*1.03</f>
        <v>7.0919834840876883E-2</v>
      </c>
      <c r="AI241" s="722">
        <f t="shared" si="660"/>
        <v>4.5802043563944302E-2</v>
      </c>
      <c r="AJ241" s="722">
        <f t="shared" si="660"/>
        <v>7.9452530972081603E-2</v>
      </c>
      <c r="AK241" s="722">
        <f t="shared" si="660"/>
        <v>4.8722707734615005E-2</v>
      </c>
      <c r="AL241" s="722">
        <f t="shared" si="660"/>
        <v>7.3047429886103188E-2</v>
      </c>
      <c r="AM241" s="722">
        <f t="shared" si="660"/>
        <v>4.7176104870862628E-2</v>
      </c>
      <c r="AN241" s="722">
        <f t="shared" si="660"/>
        <v>8.1836106901244057E-2</v>
      </c>
      <c r="AO241" s="722">
        <f t="shared" si="660"/>
        <v>5.0184388966653455E-2</v>
      </c>
      <c r="AP241" s="722">
        <f t="shared" si="660"/>
        <v>7.5238852782686286E-2</v>
      </c>
      <c r="AQ241" s="507"/>
      <c r="AR241" s="508"/>
      <c r="AS241" s="509"/>
      <c r="AT241" s="721">
        <f t="shared" ref="AT241:BC241" si="661">AT240/AT$226</f>
        <v>8.0336736248666774E-2</v>
      </c>
      <c r="AU241" s="721">
        <f t="shared" si="661"/>
        <v>0.10235683166237992</v>
      </c>
      <c r="AV241" s="721">
        <f t="shared" si="661"/>
        <v>9.1009758460793136E-2</v>
      </c>
      <c r="AW241" s="721">
        <f t="shared" si="661"/>
        <v>7.7328413563905407E-2</v>
      </c>
      <c r="AX241" s="721">
        <f t="shared" si="661"/>
        <v>6.4894951771315323E-2</v>
      </c>
      <c r="AY241" s="721">
        <f t="shared" si="661"/>
        <v>6.6045896975936991E-2</v>
      </c>
      <c r="AZ241" s="721">
        <f t="shared" si="661"/>
        <v>5.5319583057850431E-2</v>
      </c>
      <c r="BA241" s="721">
        <f t="shared" si="661"/>
        <v>5.9042601438927186E-2</v>
      </c>
      <c r="BB241" s="721">
        <f t="shared" si="661"/>
        <v>6.0910646120549743E-2</v>
      </c>
      <c r="BC241" s="721">
        <f t="shared" si="661"/>
        <v>6.2798142376957217E-2</v>
      </c>
      <c r="BD241" s="589">
        <f t="shared" ref="BD241:BJ241" si="662">BC241</f>
        <v>6.2798142376957217E-2</v>
      </c>
      <c r="BE241" s="589">
        <f t="shared" si="662"/>
        <v>6.2798142376957217E-2</v>
      </c>
      <c r="BF241" s="589">
        <f t="shared" si="662"/>
        <v>6.2798142376957217E-2</v>
      </c>
      <c r="BG241" s="589">
        <f t="shared" si="662"/>
        <v>6.2798142376957217E-2</v>
      </c>
      <c r="BH241" s="589">
        <f t="shared" si="662"/>
        <v>6.2798142376957217E-2</v>
      </c>
      <c r="BI241" s="589">
        <f t="shared" si="662"/>
        <v>6.2798142376957217E-2</v>
      </c>
      <c r="BJ241" s="589">
        <f t="shared" si="662"/>
        <v>6.2798142376957217E-2</v>
      </c>
      <c r="BL241" s="721">
        <v>4.8198862483703003E-2</v>
      </c>
      <c r="BM241" s="721">
        <v>4.3175530787369E-2</v>
      </c>
      <c r="BN241" s="578"/>
      <c r="BO241" s="578"/>
    </row>
    <row r="242" spans="2:67" s="2794" customFormat="1" ht="12" customHeight="1" x14ac:dyDescent="0.35">
      <c r="B242" s="2793" t="s">
        <v>565</v>
      </c>
      <c r="E242" s="2795">
        <v>1707</v>
      </c>
      <c r="F242" s="2795">
        <v>1200</v>
      </c>
      <c r="G242" s="2795">
        <v>1952</v>
      </c>
      <c r="H242" s="2795">
        <v>2581</v>
      </c>
      <c r="I242" s="2795">
        <v>3083</v>
      </c>
      <c r="J242" s="2795">
        <v>3042</v>
      </c>
      <c r="K242" s="2795">
        <v>3241</v>
      </c>
      <c r="L242" s="2795">
        <v>3225</v>
      </c>
      <c r="M242" s="2795">
        <v>3749</v>
      </c>
      <c r="N242" s="2795">
        <v>3573</v>
      </c>
      <c r="O242" s="2795">
        <v>3988</v>
      </c>
      <c r="P242" s="2795">
        <v>4134</v>
      </c>
      <c r="Q242" s="2795">
        <v>4420</v>
      </c>
      <c r="R242" s="2795">
        <v>4518</v>
      </c>
      <c r="S242" s="2795">
        <v>4696</v>
      </c>
      <c r="T242" s="2795">
        <v>5083</v>
      </c>
      <c r="U242" s="2795">
        <v>6289</v>
      </c>
      <c r="V242" s="2795">
        <v>6686</v>
      </c>
      <c r="W242" s="2795">
        <v>11510</v>
      </c>
      <c r="X242" s="2795">
        <v>8365</v>
      </c>
      <c r="Y242" s="2795">
        <v>8901</v>
      </c>
      <c r="Z242" s="2795">
        <v>8659</v>
      </c>
      <c r="AA242" s="2802">
        <v>10478</v>
      </c>
      <c r="AB242" s="2802">
        <v>10938</v>
      </c>
      <c r="AC242" s="2802">
        <v>11077</v>
      </c>
      <c r="AD242" s="2802">
        <v>10587</v>
      </c>
      <c r="AE242" s="2802">
        <v>11082</v>
      </c>
      <c r="AF242" s="2802">
        <v>19245</v>
      </c>
      <c r="AG242" s="2795">
        <f>AG243*AG226</f>
        <v>14180.383336361469</v>
      </c>
      <c r="AH242" s="2795">
        <f t="shared" ref="AH242:AP242" si="663">AH243*AH226</f>
        <v>14469.388123095941</v>
      </c>
      <c r="AI242" s="2795">
        <f t="shared" si="663"/>
        <v>14138.119557993185</v>
      </c>
      <c r="AJ242" s="2795">
        <f t="shared" si="663"/>
        <v>25435.603799503187</v>
      </c>
      <c r="AK242" s="2795">
        <f t="shared" si="663"/>
        <v>18089.761532048517</v>
      </c>
      <c r="AL242" s="2795">
        <f t="shared" si="663"/>
        <v>18076.67069766701</v>
      </c>
      <c r="AM242" s="2795">
        <f t="shared" si="663"/>
        <v>17649.560904784325</v>
      </c>
      <c r="AN242" s="2795">
        <f t="shared" si="663"/>
        <v>32159.1313716779</v>
      </c>
      <c r="AO242" s="2795">
        <f t="shared" si="663"/>
        <v>22549.421979942403</v>
      </c>
      <c r="AP242" s="2795">
        <f t="shared" si="663"/>
        <v>22535.549199321169</v>
      </c>
      <c r="AQ242" s="507" t="s">
        <v>458</v>
      </c>
      <c r="AR242" s="508" t="s">
        <v>465</v>
      </c>
      <c r="AS242" s="509"/>
      <c r="AT242" s="2795">
        <v>5093</v>
      </c>
      <c r="AU242" s="2795">
        <f>G242+H242+I242+J242</f>
        <v>10658</v>
      </c>
      <c r="AV242" s="2795">
        <f>K242+L242+M242+N242</f>
        <v>13788</v>
      </c>
      <c r="AW242" s="2795">
        <f>O242+P242+Q242+R242</f>
        <v>17060</v>
      </c>
      <c r="AX242" s="2795">
        <f>S242+T242+U242+V242</f>
        <v>22754</v>
      </c>
      <c r="AY242" s="2795">
        <f>W242+X242+Y242+Z242</f>
        <v>37435</v>
      </c>
      <c r="AZ242" s="2795">
        <f>SUM(AA242:AD242)</f>
        <v>43080</v>
      </c>
      <c r="BA242" s="2795">
        <f>SUM(AE242:AH242)</f>
        <v>58976.771459457406</v>
      </c>
      <c r="BB242" s="2795">
        <f>SUM(AI242:AL242)</f>
        <v>75740.155587211906</v>
      </c>
      <c r="BC242" s="2795">
        <f>SUM(AM242:AP242)</f>
        <v>94893.663455725793</v>
      </c>
      <c r="BD242" s="2795">
        <f t="shared" ref="BD242:BJ242" si="664">BD243*BD$226</f>
        <v>114510.51127325384</v>
      </c>
      <c r="BE242" s="2795">
        <f t="shared" si="664"/>
        <v>134319.45720784087</v>
      </c>
      <c r="BF242" s="2795">
        <f t="shared" si="664"/>
        <v>153508.33363069652</v>
      </c>
      <c r="BG242" s="2795">
        <f t="shared" si="664"/>
        <v>171619.40339414024</v>
      </c>
      <c r="BH242" s="2795">
        <f t="shared" si="664"/>
        <v>188493.2548540243</v>
      </c>
      <c r="BI242" s="2795">
        <f t="shared" si="664"/>
        <v>204202.16901373662</v>
      </c>
      <c r="BJ242" s="2795">
        <f t="shared" si="664"/>
        <v>218846.40318690139</v>
      </c>
      <c r="BK242" s="493"/>
      <c r="BL242" s="2795">
        <v>9357.0000684835995</v>
      </c>
      <c r="BM242" s="2795">
        <v>9906.7343726097806</v>
      </c>
      <c r="BN242" s="2795"/>
      <c r="BO242" s="2795"/>
    </row>
    <row r="243" spans="2:67" ht="12" customHeight="1" x14ac:dyDescent="0.35">
      <c r="B243" s="571" t="s">
        <v>558</v>
      </c>
      <c r="E243" s="553">
        <f t="shared" ref="E243:AF243" si="665">E242/E$226</f>
        <v>9.1064283809015739E-2</v>
      </c>
      <c r="F243" s="553">
        <f t="shared" si="665"/>
        <v>9.9742332308203813E-2</v>
      </c>
      <c r="G243" s="553">
        <f t="shared" si="665"/>
        <v>0.12377147929744468</v>
      </c>
      <c r="H243" s="553">
        <f t="shared" si="665"/>
        <v>0.15336621308455642</v>
      </c>
      <c r="I243" s="553">
        <f t="shared" si="665"/>
        <v>0.11776614843958898</v>
      </c>
      <c r="J243" s="553">
        <f t="shared" si="665"/>
        <v>0.17457675753228122</v>
      </c>
      <c r="K243" s="553">
        <f t="shared" si="665"/>
        <v>0.16008891084218327</v>
      </c>
      <c r="L243" s="553">
        <f t="shared" si="665"/>
        <v>0.14546028595913582</v>
      </c>
      <c r="M243" s="553">
        <f t="shared" si="665"/>
        <v>0.10853139565179631</v>
      </c>
      <c r="N243" s="553">
        <f t="shared" si="665"/>
        <v>0.14774230896460469</v>
      </c>
      <c r="O243" s="553">
        <f t="shared" si="665"/>
        <v>0.12402811469801579</v>
      </c>
      <c r="P243" s="553">
        <f t="shared" si="665"/>
        <v>0.12055289863525021</v>
      </c>
      <c r="Q243" s="553">
        <f t="shared" si="665"/>
        <v>8.30078125E-2</v>
      </c>
      <c r="R243" s="553">
        <f t="shared" si="665"/>
        <v>0.11711034500635061</v>
      </c>
      <c r="S243" s="553">
        <f t="shared" si="665"/>
        <v>9.357564163876933E-2</v>
      </c>
      <c r="T243" s="553">
        <f t="shared" si="665"/>
        <v>9.2213635209172376E-2</v>
      </c>
      <c r="U243" s="553">
        <f t="shared" si="665"/>
        <v>7.5745531627884569E-2</v>
      </c>
      <c r="V243" s="553">
        <f t="shared" si="665"/>
        <v>0.10795711425434347</v>
      </c>
      <c r="W243" s="553">
        <f t="shared" si="665"/>
        <v>0.14223924864063273</v>
      </c>
      <c r="X243" s="719">
        <f t="shared" si="665"/>
        <v>9.8240710292666886E-2</v>
      </c>
      <c r="Y243" s="512">
        <f t="shared" si="665"/>
        <v>7.5896587595286419E-2</v>
      </c>
      <c r="Z243" s="553">
        <f t="shared" si="665"/>
        <v>9.261160666538322E-2</v>
      </c>
      <c r="AA243" s="553">
        <f t="shared" si="665"/>
        <v>9.1173297135498238E-2</v>
      </c>
      <c r="AB243" s="553">
        <f t="shared" si="665"/>
        <v>9.1902837409781793E-2</v>
      </c>
      <c r="AC243" s="553">
        <f t="shared" si="665"/>
        <v>6.8606926964621937E-2</v>
      </c>
      <c r="AD243" s="553">
        <f t="shared" si="665"/>
        <v>9.261332820127019E-2</v>
      </c>
      <c r="AE243" s="553">
        <f t="shared" si="665"/>
        <v>7.207757998321962E-2</v>
      </c>
      <c r="AF243" s="553">
        <f t="shared" si="665"/>
        <v>0.12411404691117575</v>
      </c>
      <c r="AG243" s="722">
        <f>AC243*1.01</f>
        <v>6.9292996234268156E-2</v>
      </c>
      <c r="AH243" s="722">
        <f t="shared" ref="AH243:AP243" si="666">AD243*1.01</f>
        <v>9.353946148328289E-2</v>
      </c>
      <c r="AI243" s="722">
        <f t="shared" si="666"/>
        <v>7.2798355783051813E-2</v>
      </c>
      <c r="AJ243" s="722">
        <f t="shared" si="666"/>
        <v>0.1253551873802875</v>
      </c>
      <c r="AK243" s="722">
        <f t="shared" si="666"/>
        <v>6.9985926196610843E-2</v>
      </c>
      <c r="AL243" s="722">
        <f t="shared" si="666"/>
        <v>9.447485609811572E-2</v>
      </c>
      <c r="AM243" s="722">
        <f t="shared" si="666"/>
        <v>7.3526339340882332E-2</v>
      </c>
      <c r="AN243" s="722">
        <f t="shared" si="666"/>
        <v>0.12660873925409039</v>
      </c>
      <c r="AO243" s="722">
        <f t="shared" si="666"/>
        <v>7.0685785458576955E-2</v>
      </c>
      <c r="AP243" s="722">
        <f t="shared" si="666"/>
        <v>9.5419604659096879E-2</v>
      </c>
      <c r="AQ243" s="507"/>
      <c r="AT243" s="721">
        <f t="shared" ref="AT243:BC243" si="667">AT242/AT$226</f>
        <v>9.700213317080604E-2</v>
      </c>
      <c r="AU243" s="721">
        <f t="shared" si="667"/>
        <v>0.13986142459713402</v>
      </c>
      <c r="AV243" s="721">
        <f t="shared" si="667"/>
        <v>0.13632184135333142</v>
      </c>
      <c r="AW243" s="721">
        <f t="shared" si="667"/>
        <v>0.10778844149033631</v>
      </c>
      <c r="AX243" s="721">
        <f t="shared" si="667"/>
        <v>9.0919261905332727E-2</v>
      </c>
      <c r="AY243" s="721">
        <f t="shared" si="667"/>
        <v>9.9338187685089854E-2</v>
      </c>
      <c r="AZ243" s="721">
        <f t="shared" si="667"/>
        <v>8.4518482041784457E-2</v>
      </c>
      <c r="BA243" s="721">
        <f t="shared" si="667"/>
        <v>8.8269902358767235E-2</v>
      </c>
      <c r="BB243" s="721">
        <f t="shared" si="667"/>
        <v>8.9428728950798772E-2</v>
      </c>
      <c r="BC243" s="721">
        <f t="shared" si="667"/>
        <v>9.0441194433675667E-2</v>
      </c>
      <c r="BD243" s="589">
        <f t="shared" ref="BD243:BJ243" si="668">BC243</f>
        <v>9.0441194433675667E-2</v>
      </c>
      <c r="BE243" s="589">
        <f t="shared" si="668"/>
        <v>9.0441194433675667E-2</v>
      </c>
      <c r="BF243" s="589">
        <f t="shared" si="668"/>
        <v>9.0441194433675667E-2</v>
      </c>
      <c r="BG243" s="589">
        <f t="shared" si="668"/>
        <v>9.0441194433675667E-2</v>
      </c>
      <c r="BH243" s="589">
        <f t="shared" si="668"/>
        <v>9.0441194433675667E-2</v>
      </c>
      <c r="BI243" s="589">
        <f t="shared" si="668"/>
        <v>9.0441194433675667E-2</v>
      </c>
      <c r="BJ243" s="589">
        <f t="shared" si="668"/>
        <v>9.0441194433675667E-2</v>
      </c>
      <c r="BL243" s="553">
        <v>7.9854183659874303E-2</v>
      </c>
      <c r="BM243" s="553">
        <v>6.0224201772392599E-2</v>
      </c>
      <c r="BN243" s="578"/>
      <c r="BO243" s="578"/>
    </row>
    <row r="244" spans="2:67" ht="12" customHeight="1" x14ac:dyDescent="0.35">
      <c r="B244" s="620" t="s">
        <v>176</v>
      </c>
      <c r="E244" s="578">
        <v>123</v>
      </c>
      <c r="F244" s="578">
        <v>118</v>
      </c>
      <c r="G244" s="578">
        <v>234</v>
      </c>
      <c r="H244" s="578">
        <v>598</v>
      </c>
      <c r="I244" s="578">
        <v>789</v>
      </c>
      <c r="J244" s="578">
        <v>643</v>
      </c>
      <c r="K244" s="578">
        <v>647</v>
      </c>
      <c r="L244" s="578">
        <v>728</v>
      </c>
      <c r="M244" s="578">
        <v>1268</v>
      </c>
      <c r="N244" s="578">
        <v>743</v>
      </c>
      <c r="O244" s="578">
        <v>1251</v>
      </c>
      <c r="P244" s="578">
        <v>1297</v>
      </c>
      <c r="Q244" s="578">
        <v>1261</v>
      </c>
      <c r="R244" s="578">
        <v>1313</v>
      </c>
      <c r="S244" s="578">
        <v>1986</v>
      </c>
      <c r="T244" s="578">
        <v>1748</v>
      </c>
      <c r="U244" s="578">
        <v>2551</v>
      </c>
      <c r="V244" s="578">
        <v>1329</v>
      </c>
      <c r="W244" s="578">
        <f>W273+W274</f>
        <v>2104</v>
      </c>
      <c r="X244" s="604">
        <v>2611</v>
      </c>
      <c r="Y244" s="578">
        <v>2809</v>
      </c>
      <c r="Z244" s="604">
        <v>3203</v>
      </c>
      <c r="AA244" s="604">
        <v>3066</v>
      </c>
      <c r="AB244" s="604">
        <f>3006+576</f>
        <v>3582</v>
      </c>
      <c r="AC244" s="604">
        <v>3272</v>
      </c>
      <c r="AD244" s="604">
        <v>4044</v>
      </c>
      <c r="AE244" s="578">
        <v>2952</v>
      </c>
      <c r="AF244" s="578">
        <v>2888</v>
      </c>
      <c r="AG244" s="525">
        <f>AC244</f>
        <v>3272</v>
      </c>
      <c r="AH244" s="525">
        <f t="shared" ref="AH244:AP244" si="669">AD244</f>
        <v>4044</v>
      </c>
      <c r="AI244" s="525">
        <f t="shared" si="669"/>
        <v>2952</v>
      </c>
      <c r="AJ244" s="525">
        <f t="shared" si="669"/>
        <v>2888</v>
      </c>
      <c r="AK244" s="525">
        <f t="shared" si="669"/>
        <v>3272</v>
      </c>
      <c r="AL244" s="525">
        <f t="shared" si="669"/>
        <v>4044</v>
      </c>
      <c r="AM244" s="525">
        <f t="shared" si="669"/>
        <v>2952</v>
      </c>
      <c r="AN244" s="525">
        <f t="shared" si="669"/>
        <v>2888</v>
      </c>
      <c r="AO244" s="525">
        <f t="shared" si="669"/>
        <v>3272</v>
      </c>
      <c r="AP244" s="525">
        <f t="shared" si="669"/>
        <v>4044</v>
      </c>
      <c r="AQ244" s="665" t="s">
        <v>458</v>
      </c>
      <c r="AR244" s="508" t="s">
        <v>465</v>
      </c>
      <c r="AS244" s="509"/>
      <c r="AT244" s="578">
        <v>359</v>
      </c>
      <c r="AU244" s="578">
        <f>G244+H244+I244+J244</f>
        <v>2264</v>
      </c>
      <c r="AV244" s="578">
        <f>K244+L244+M244+N244</f>
        <v>3386</v>
      </c>
      <c r="AW244" s="578">
        <f>O244+P244+Q244+R244</f>
        <v>5122</v>
      </c>
      <c r="AX244" s="578">
        <f>S244+T244+U244+V244</f>
        <v>7614</v>
      </c>
      <c r="AY244" s="604">
        <f>W244+X244+Y244+Z244</f>
        <v>10727</v>
      </c>
      <c r="AZ244" s="604">
        <f>SUM(AA244:AD244)</f>
        <v>13964</v>
      </c>
      <c r="BA244" s="604">
        <f>SUM(AE244:AH244)</f>
        <v>13156</v>
      </c>
      <c r="BB244" s="604">
        <f>SUM(AI244:AL244)</f>
        <v>13156</v>
      </c>
      <c r="BC244" s="604">
        <f>SUM(AM244:AP244)</f>
        <v>13156</v>
      </c>
      <c r="BD244" s="525">
        <f t="shared" ref="BD244:BJ244" si="670">BC244</f>
        <v>13156</v>
      </c>
      <c r="BE244" s="525">
        <f t="shared" si="670"/>
        <v>13156</v>
      </c>
      <c r="BF244" s="525">
        <f t="shared" si="670"/>
        <v>13156</v>
      </c>
      <c r="BG244" s="525">
        <f t="shared" si="670"/>
        <v>13156</v>
      </c>
      <c r="BH244" s="525">
        <f t="shared" si="670"/>
        <v>13156</v>
      </c>
      <c r="BI244" s="525">
        <f t="shared" si="670"/>
        <v>13156</v>
      </c>
      <c r="BJ244" s="525">
        <f t="shared" si="670"/>
        <v>13156</v>
      </c>
      <c r="BL244" s="604">
        <v>3748</v>
      </c>
      <c r="BM244" s="604">
        <v>3748</v>
      </c>
      <c r="BN244" s="525">
        <v>0</v>
      </c>
      <c r="BO244" s="525">
        <v>0</v>
      </c>
    </row>
    <row r="245" spans="2:67" ht="12" customHeight="1" x14ac:dyDescent="0.35">
      <c r="B245" s="620"/>
      <c r="E245" s="578"/>
      <c r="F245" s="578"/>
      <c r="G245" s="578"/>
      <c r="H245" s="578"/>
      <c r="I245" s="578"/>
      <c r="J245" s="578"/>
      <c r="K245" s="578"/>
      <c r="L245" s="578"/>
      <c r="M245" s="578"/>
      <c r="N245" s="578"/>
      <c r="O245" s="578"/>
      <c r="P245" s="578"/>
      <c r="Q245" s="578"/>
      <c r="R245" s="578"/>
      <c r="S245" s="578"/>
      <c r="T245" s="578"/>
      <c r="U245" s="578"/>
      <c r="V245" s="578"/>
      <c r="W245" s="578"/>
      <c r="X245" s="604"/>
      <c r="Y245" s="578"/>
      <c r="Z245" s="604"/>
      <c r="AA245" s="604"/>
      <c r="AB245" s="604"/>
      <c r="AC245" s="604"/>
      <c r="AD245" s="604"/>
      <c r="AE245" s="578"/>
      <c r="AF245" s="578"/>
      <c r="AG245" s="525"/>
      <c r="AH245" s="525"/>
      <c r="AI245" s="525"/>
      <c r="AJ245" s="525"/>
      <c r="AK245" s="525"/>
      <c r="AL245" s="525"/>
      <c r="AM245" s="525"/>
      <c r="AN245" s="525"/>
      <c r="AO245" s="525"/>
      <c r="AP245" s="525"/>
      <c r="AQ245" s="665"/>
      <c r="AR245" s="508"/>
      <c r="AS245" s="509"/>
      <c r="AT245" s="578"/>
      <c r="AU245" s="578"/>
      <c r="AV245" s="578"/>
      <c r="AW245" s="578"/>
      <c r="AX245" s="578"/>
      <c r="AY245" s="578"/>
      <c r="AZ245" s="525"/>
      <c r="BA245" s="525"/>
      <c r="BB245" s="525"/>
      <c r="BC245" s="525"/>
      <c r="BD245" s="525"/>
      <c r="BE245" s="525"/>
      <c r="BF245" s="525"/>
      <c r="BG245" s="525"/>
      <c r="BH245" s="525"/>
      <c r="BI245" s="525"/>
      <c r="BJ245" s="525"/>
      <c r="BL245" s="604"/>
      <c r="BM245" s="604"/>
      <c r="BN245" s="525"/>
      <c r="BO245" s="525"/>
    </row>
    <row r="246" spans="2:67" s="2799" customFormat="1" ht="12" customHeight="1" x14ac:dyDescent="0.35">
      <c r="B246" s="640" t="s">
        <v>566</v>
      </c>
      <c r="E246" s="641">
        <f t="shared" ref="E246:V246" si="671">E232-E235</f>
        <v>8801</v>
      </c>
      <c r="F246" s="641">
        <f t="shared" si="671"/>
        <v>5451</v>
      </c>
      <c r="G246" s="641">
        <f t="shared" si="671"/>
        <v>6844</v>
      </c>
      <c r="H246" s="641">
        <f t="shared" si="671"/>
        <v>4345</v>
      </c>
      <c r="I246" s="641">
        <f t="shared" si="671"/>
        <v>9347</v>
      </c>
      <c r="J246" s="641">
        <f t="shared" si="671"/>
        <v>2599</v>
      </c>
      <c r="K246" s="641">
        <f t="shared" si="671"/>
        <v>5161</v>
      </c>
      <c r="L246" s="641">
        <f t="shared" si="671"/>
        <v>6395</v>
      </c>
      <c r="M246" s="641">
        <f t="shared" si="671"/>
        <v>12434</v>
      </c>
      <c r="N246" s="641">
        <f t="shared" si="671"/>
        <v>5112</v>
      </c>
      <c r="O246" s="641">
        <f t="shared" si="671"/>
        <v>8814</v>
      </c>
      <c r="P246" s="641">
        <f t="shared" si="671"/>
        <v>9045</v>
      </c>
      <c r="Q246" s="641">
        <f t="shared" si="671"/>
        <v>20664</v>
      </c>
      <c r="R246" s="641">
        <f t="shared" si="671"/>
        <v>9532</v>
      </c>
      <c r="S246" s="641">
        <f t="shared" si="671"/>
        <v>17513</v>
      </c>
      <c r="T246" s="641">
        <f t="shared" si="671"/>
        <v>16584</v>
      </c>
      <c r="U246" s="641">
        <f t="shared" si="671"/>
        <v>25996</v>
      </c>
      <c r="V246" s="641">
        <f t="shared" si="671"/>
        <v>9221</v>
      </c>
      <c r="W246" s="641">
        <v>8020</v>
      </c>
      <c r="X246" s="641">
        <f>X232-X235</f>
        <v>13501</v>
      </c>
      <c r="Y246" s="641">
        <f t="shared" ref="Y246:AP246" si="672">Y232-Y235</f>
        <v>26798</v>
      </c>
      <c r="Z246" s="641">
        <f t="shared" si="672"/>
        <v>8765</v>
      </c>
      <c r="AA246" s="641">
        <f t="shared" si="672"/>
        <v>24375</v>
      </c>
      <c r="AB246" s="641">
        <f t="shared" si="672"/>
        <v>20364</v>
      </c>
      <c r="AC246" s="641">
        <f t="shared" si="672"/>
        <v>39560</v>
      </c>
      <c r="AD246" s="641">
        <f t="shared" si="672"/>
        <v>7131</v>
      </c>
      <c r="AE246" s="641">
        <f t="shared" si="672"/>
        <v>34705</v>
      </c>
      <c r="AF246" s="641">
        <f>AF232-AF235</f>
        <v>13634</v>
      </c>
      <c r="AG246" s="641">
        <f t="shared" si="672"/>
        <v>45500.573037598646</v>
      </c>
      <c r="AH246" s="641">
        <f t="shared" si="672"/>
        <v>12801.742187002332</v>
      </c>
      <c r="AI246" s="641">
        <f t="shared" si="672"/>
        <v>39468.661751898646</v>
      </c>
      <c r="AJ246" s="641">
        <f t="shared" si="672"/>
        <v>12816.345314935839</v>
      </c>
      <c r="AK246" s="641">
        <f t="shared" si="672"/>
        <v>51287.203194889051</v>
      </c>
      <c r="AL246" s="641">
        <f t="shared" si="672"/>
        <v>13223.415905090471</v>
      </c>
      <c r="AM246" s="641">
        <f t="shared" si="672"/>
        <v>45456.208856046833</v>
      </c>
      <c r="AN246" s="641">
        <f t="shared" si="672"/>
        <v>11813.161179994335</v>
      </c>
      <c r="AO246" s="641">
        <f t="shared" si="672"/>
        <v>58463.753932402804</v>
      </c>
      <c r="AP246" s="641">
        <f t="shared" si="672"/>
        <v>12780.085676780509</v>
      </c>
      <c r="AQ246" s="633"/>
      <c r="AR246" s="508" t="s">
        <v>465</v>
      </c>
      <c r="AS246" s="509"/>
      <c r="AT246" s="641">
        <f>AT232-AT235</f>
        <v>24920</v>
      </c>
      <c r="AU246" s="641">
        <f>G246+H246+I246+J246</f>
        <v>23135</v>
      </c>
      <c r="AV246" s="641">
        <f>K246+L246+M246+N246</f>
        <v>29102</v>
      </c>
      <c r="AW246" s="641">
        <f>O246+P246+Q246+R246</f>
        <v>48055</v>
      </c>
      <c r="AX246" s="641">
        <f>S246+T246+U246+V246</f>
        <v>69314</v>
      </c>
      <c r="AY246" s="641">
        <f>W246+X246+Y246+Z246</f>
        <v>57084</v>
      </c>
      <c r="AZ246" s="641">
        <f>SUM(AA246:AD246)</f>
        <v>91430</v>
      </c>
      <c r="BA246" s="641">
        <f>SUM(AE246:AH246)</f>
        <v>106641.31522460098</v>
      </c>
      <c r="BB246" s="641">
        <f>SUM(AI246:AL246)</f>
        <v>116795.62616681401</v>
      </c>
      <c r="BC246" s="641">
        <f>SUM(AM246:AP246)</f>
        <v>128513.20964522449</v>
      </c>
      <c r="BD246" s="641">
        <f>BD232-BD235</f>
        <v>154018.8018664337</v>
      </c>
      <c r="BE246" s="641">
        <f>BE232-BE235</f>
        <v>178480.90390188084</v>
      </c>
      <c r="BF246" s="641">
        <f>BF232-BF235</f>
        <v>200738.7996292921</v>
      </c>
      <c r="BG246" s="641">
        <f t="shared" ref="BG246:BJ246" si="673">BG232-BG235</f>
        <v>220222.37274575717</v>
      </c>
      <c r="BH246" s="641">
        <f t="shared" si="673"/>
        <v>236819.36866504897</v>
      </c>
      <c r="BI246" s="641">
        <f t="shared" si="673"/>
        <v>250739.56469986262</v>
      </c>
      <c r="BJ246" s="641">
        <f t="shared" si="673"/>
        <v>262219.29938808421</v>
      </c>
      <c r="BK246" s="538"/>
      <c r="BL246" s="641">
        <v>19912.345222496198</v>
      </c>
      <c r="BM246" s="641">
        <v>46388.950071347303</v>
      </c>
      <c r="BN246" s="641">
        <v>0</v>
      </c>
      <c r="BO246" s="641">
        <v>0</v>
      </c>
    </row>
    <row r="247" spans="2:67" s="538" customFormat="1" ht="12" customHeight="1" x14ac:dyDescent="0.35">
      <c r="B247" s="571" t="s">
        <v>1336</v>
      </c>
      <c r="E247" s="605"/>
      <c r="F247" s="605"/>
      <c r="G247" s="605"/>
      <c r="H247" s="605"/>
      <c r="I247" s="605"/>
      <c r="J247" s="605"/>
      <c r="K247" s="605"/>
      <c r="L247" s="605"/>
      <c r="M247" s="605"/>
      <c r="N247" s="605"/>
      <c r="O247" s="605"/>
      <c r="P247" s="605"/>
      <c r="Q247" s="605"/>
      <c r="R247" s="605"/>
      <c r="S247" s="553">
        <f>S246/S226</f>
        <v>0.34897576916945638</v>
      </c>
      <c r="T247" s="605"/>
      <c r="U247" s="605"/>
      <c r="V247" s="605"/>
      <c r="W247" s="605"/>
      <c r="X247" s="605"/>
      <c r="Y247" s="605"/>
      <c r="Z247" s="553">
        <f>Z246/Z226</f>
        <v>9.3745320755524178E-2</v>
      </c>
      <c r="AA247" s="553">
        <f t="shared" ref="AA247:AP247" si="674">AA246/AA226</f>
        <v>0.21209668998642581</v>
      </c>
      <c r="AB247" s="553">
        <f t="shared" si="674"/>
        <v>0.17110160733340615</v>
      </c>
      <c r="AC247" s="553">
        <f t="shared" si="674"/>
        <v>0.24502031513229611</v>
      </c>
      <c r="AD247" s="553">
        <f t="shared" si="674"/>
        <v>6.2380810749339537E-2</v>
      </c>
      <c r="AE247" s="553">
        <f t="shared" si="674"/>
        <v>0.2257221091244935</v>
      </c>
      <c r="AF247" s="553">
        <f t="shared" si="674"/>
        <v>8.7927821022965452E-2</v>
      </c>
      <c r="AG247" s="553">
        <f t="shared" si="674"/>
        <v>0.22234032475460275</v>
      </c>
      <c r="AH247" s="553">
        <f t="shared" si="674"/>
        <v>8.2758722071227864E-2</v>
      </c>
      <c r="AI247" s="553">
        <f t="shared" si="674"/>
        <v>0.20322742842213498</v>
      </c>
      <c r="AJ247" s="553">
        <f t="shared" si="674"/>
        <v>6.3163248694557514E-2</v>
      </c>
      <c r="AK247" s="553">
        <f t="shared" si="674"/>
        <v>0.19842065973445813</v>
      </c>
      <c r="AL247" s="553">
        <f t="shared" si="674"/>
        <v>6.9110088669159075E-2</v>
      </c>
      <c r="AM247" s="553">
        <f t="shared" si="674"/>
        <v>0.18936610692641828</v>
      </c>
      <c r="AN247" s="553">
        <f t="shared" si="674"/>
        <v>4.6507768705520543E-2</v>
      </c>
      <c r="AO247" s="553">
        <f t="shared" si="674"/>
        <v>0.1832666208138172</v>
      </c>
      <c r="AP247" s="553">
        <f t="shared" si="674"/>
        <v>5.4113201857291168E-2</v>
      </c>
      <c r="AQ247" s="633"/>
      <c r="AR247" s="508"/>
      <c r="AS247" s="721"/>
      <c r="AT247" s="721">
        <f t="shared" ref="AT247:BJ247" si="675">AT246/AT226</f>
        <v>0.47463050434252629</v>
      </c>
      <c r="AU247" s="721">
        <f t="shared" si="675"/>
        <v>0.30359298724476408</v>
      </c>
      <c r="AV247" s="721">
        <f t="shared" si="675"/>
        <v>0.28773123201803386</v>
      </c>
      <c r="AW247" s="721">
        <f t="shared" si="675"/>
        <v>0.30362095872321876</v>
      </c>
      <c r="AX247" s="721">
        <f t="shared" si="675"/>
        <v>0.27696131316279476</v>
      </c>
      <c r="AY247" s="721">
        <f t="shared" si="675"/>
        <v>0.1514791266412627</v>
      </c>
      <c r="AZ247" s="721">
        <f t="shared" si="675"/>
        <v>0.17937615629248732</v>
      </c>
      <c r="BA247" s="721">
        <f t="shared" si="675"/>
        <v>0.15960891465137264</v>
      </c>
      <c r="BB247" s="721">
        <f t="shared" si="675"/>
        <v>0.13790418456539799</v>
      </c>
      <c r="BC247" s="721">
        <f t="shared" si="675"/>
        <v>0.12248329084947092</v>
      </c>
      <c r="BD247" s="721">
        <f t="shared" si="675"/>
        <v>0.12164511581652014</v>
      </c>
      <c r="BE247" s="721">
        <f t="shared" si="675"/>
        <v>0.12017638001254446</v>
      </c>
      <c r="BF247" s="721">
        <f t="shared" si="675"/>
        <v>0.11826756488238672</v>
      </c>
      <c r="BG247" s="721">
        <f t="shared" si="675"/>
        <v>0.11605432741426527</v>
      </c>
      <c r="BH247" s="721">
        <f t="shared" si="675"/>
        <v>0.11362861012550836</v>
      </c>
      <c r="BI247" s="721">
        <f t="shared" si="675"/>
        <v>0.11105261923887785</v>
      </c>
      <c r="BJ247" s="721">
        <f t="shared" si="675"/>
        <v>0.10836562216636592</v>
      </c>
      <c r="BL247" s="605"/>
      <c r="BM247" s="605"/>
      <c r="BN247" s="605"/>
      <c r="BO247" s="605"/>
    </row>
    <row r="248" spans="2:67" s="2799" customFormat="1" ht="12" customHeight="1" x14ac:dyDescent="0.35">
      <c r="B248" s="640" t="s">
        <v>1332</v>
      </c>
      <c r="E248" s="641"/>
      <c r="F248" s="641"/>
      <c r="G248" s="641"/>
      <c r="H248" s="641"/>
      <c r="I248" s="641"/>
      <c r="J248" s="641"/>
      <c r="K248" s="641"/>
      <c r="L248" s="641"/>
      <c r="M248" s="641"/>
      <c r="N248" s="641"/>
      <c r="O248" s="641"/>
      <c r="P248" s="641"/>
      <c r="Q248" s="641"/>
      <c r="R248" s="641"/>
      <c r="S248" s="641"/>
      <c r="T248" s="641"/>
      <c r="U248" s="641"/>
      <c r="V248" s="641"/>
      <c r="W248" s="641">
        <v>24398</v>
      </c>
      <c r="X248" s="641">
        <v>20544</v>
      </c>
      <c r="Y248" s="641">
        <v>33758</v>
      </c>
      <c r="Z248" s="641">
        <v>15875</v>
      </c>
      <c r="AA248" s="641">
        <v>31490</v>
      </c>
      <c r="AB248" s="641">
        <v>28509</v>
      </c>
      <c r="AC248" s="641">
        <v>47390</v>
      </c>
      <c r="AD248" s="641">
        <v>15783</v>
      </c>
      <c r="AE248" s="641">
        <v>42420</v>
      </c>
      <c r="AF248" s="641">
        <v>38328</v>
      </c>
      <c r="AG248" s="2800">
        <f>AG246+AG250</f>
        <v>55732.763956591341</v>
      </c>
      <c r="AH248" s="2800">
        <f t="shared" ref="AH248:AP248" si="676">AH246+AH250</f>
        <v>20536.118616827014</v>
      </c>
      <c r="AI248" s="2800">
        <f t="shared" si="676"/>
        <v>49179.128015811628</v>
      </c>
      <c r="AJ248" s="2800">
        <f t="shared" si="676"/>
        <v>22961.758652454817</v>
      </c>
      <c r="AK248" s="2800">
        <f t="shared" si="676"/>
        <v>64211.05982945663</v>
      </c>
      <c r="AL248" s="2800">
        <f t="shared" si="676"/>
        <v>22790.337435457084</v>
      </c>
      <c r="AM248" s="2800">
        <f t="shared" si="676"/>
        <v>57458.411782917399</v>
      </c>
      <c r="AN248" s="2800">
        <f t="shared" si="676"/>
        <v>24513.363220209707</v>
      </c>
      <c r="AO248" s="2800">
        <f t="shared" si="676"/>
        <v>74414.218253943618</v>
      </c>
      <c r="AP248" s="2800">
        <f t="shared" si="676"/>
        <v>24588.743488680557</v>
      </c>
      <c r="AQ248" s="2851"/>
      <c r="AR248" s="2852"/>
      <c r="AS248" s="2853"/>
      <c r="AT248" s="641"/>
      <c r="AU248" s="641"/>
      <c r="AV248" s="641"/>
      <c r="AW248" s="641"/>
      <c r="AX248" s="641"/>
      <c r="AY248" s="641">
        <v>94575</v>
      </c>
      <c r="AZ248" s="641">
        <f>SUM(AA248:AD248)</f>
        <v>123172</v>
      </c>
      <c r="BA248" s="2800">
        <f>BA253+BA183</f>
        <v>233113.79860942508</v>
      </c>
      <c r="BB248" s="2800">
        <f t="shared" ref="BB248:BI248" si="677">BB253+BB183</f>
        <v>277813.78607354179</v>
      </c>
      <c r="BC248" s="2800">
        <f t="shared" si="677"/>
        <v>331063.76173821883</v>
      </c>
      <c r="BD248" s="2800">
        <f>BD253+BD183</f>
        <v>414990.76215884526</v>
      </c>
      <c r="BE248" s="2800">
        <f>BE253+BE183</f>
        <v>484010.27704357682</v>
      </c>
      <c r="BF248" s="2800">
        <f>BF253+BF183</f>
        <v>549225.84906202753</v>
      </c>
      <c r="BG248" s="2800">
        <f t="shared" si="677"/>
        <v>611484.56261762837</v>
      </c>
      <c r="BH248" s="2800">
        <f t="shared" si="677"/>
        <v>671709.33242181188</v>
      </c>
      <c r="BI248" s="2800">
        <f t="shared" si="677"/>
        <v>732206.7781224146</v>
      </c>
      <c r="BJ248" s="2800">
        <f>BJ253+BJ183</f>
        <v>795977.09089900122</v>
      </c>
      <c r="BK248" s="2854" t="s">
        <v>1340</v>
      </c>
      <c r="BL248" s="641"/>
      <c r="BM248" s="641"/>
      <c r="BN248" s="641"/>
      <c r="BO248" s="641"/>
    </row>
    <row r="249" spans="2:67" s="538" customFormat="1" ht="12" customHeight="1" x14ac:dyDescent="0.35">
      <c r="B249" s="571" t="s">
        <v>1336</v>
      </c>
      <c r="E249" s="605"/>
      <c r="F249" s="605"/>
      <c r="G249" s="605"/>
      <c r="H249" s="605"/>
      <c r="I249" s="605"/>
      <c r="J249" s="605"/>
      <c r="K249" s="605"/>
      <c r="L249" s="605"/>
      <c r="M249" s="605"/>
      <c r="N249" s="605"/>
      <c r="O249" s="605"/>
      <c r="P249" s="605"/>
      <c r="Q249" s="605"/>
      <c r="R249" s="605"/>
      <c r="S249" s="605"/>
      <c r="T249" s="605"/>
      <c r="U249" s="605"/>
      <c r="V249" s="605"/>
      <c r="W249" s="605"/>
      <c r="X249" s="605"/>
      <c r="Y249" s="605"/>
      <c r="Z249" s="553">
        <f>Z248/Z226</f>
        <v>0.16978972812252668</v>
      </c>
      <c r="AA249" s="553">
        <f t="shared" ref="AA249:AP249" si="678">AA248/AA226</f>
        <v>0.27400716995579688</v>
      </c>
      <c r="AB249" s="553">
        <f t="shared" si="678"/>
        <v>0.23953720897014713</v>
      </c>
      <c r="AC249" s="553">
        <f t="shared" si="678"/>
        <v>0.2935164998513527</v>
      </c>
      <c r="AD249" s="553">
        <f t="shared" si="678"/>
        <v>0.13806707839809648</v>
      </c>
      <c r="AE249" s="553">
        <f t="shared" si="678"/>
        <v>0.27590064454865332</v>
      </c>
      <c r="AF249" s="553">
        <f t="shared" si="678"/>
        <v>0.24718333021624028</v>
      </c>
      <c r="AG249" s="553">
        <f t="shared" si="678"/>
        <v>0.27234032475460274</v>
      </c>
      <c r="AH249" s="553">
        <f t="shared" si="678"/>
        <v>0.13275872207122785</v>
      </c>
      <c r="AI249" s="553">
        <f t="shared" si="678"/>
        <v>0.25322742842213497</v>
      </c>
      <c r="AJ249" s="553">
        <f t="shared" si="678"/>
        <v>0.11316324869455752</v>
      </c>
      <c r="AK249" s="553">
        <f t="shared" si="678"/>
        <v>0.24842065973445815</v>
      </c>
      <c r="AL249" s="553">
        <f t="shared" si="678"/>
        <v>0.11911008866915909</v>
      </c>
      <c r="AM249" s="553">
        <f t="shared" si="678"/>
        <v>0.2393661069264183</v>
      </c>
      <c r="AN249" s="553">
        <f t="shared" si="678"/>
        <v>9.6507768705520539E-2</v>
      </c>
      <c r="AO249" s="553">
        <f t="shared" si="678"/>
        <v>0.23326662081381719</v>
      </c>
      <c r="AP249" s="553">
        <f t="shared" si="678"/>
        <v>0.10411320185729117</v>
      </c>
      <c r="AQ249" s="633"/>
      <c r="AR249" s="508"/>
      <c r="AS249" s="721"/>
      <c r="AT249" s="721">
        <f t="shared" ref="AT249:BJ249" si="679">AT248/AT226</f>
        <v>0</v>
      </c>
      <c r="AU249" s="721">
        <f t="shared" si="679"/>
        <v>0</v>
      </c>
      <c r="AV249" s="721">
        <f t="shared" si="679"/>
        <v>0</v>
      </c>
      <c r="AW249" s="721">
        <f t="shared" si="679"/>
        <v>0</v>
      </c>
      <c r="AX249" s="721">
        <f t="shared" si="679"/>
        <v>0</v>
      </c>
      <c r="AY249" s="721">
        <f t="shared" si="679"/>
        <v>0.2509659169311439</v>
      </c>
      <c r="AZ249" s="721">
        <f t="shared" si="679"/>
        <v>0.24165066086468606</v>
      </c>
      <c r="BA249" s="721">
        <f t="shared" si="679"/>
        <v>0.34889892634900421</v>
      </c>
      <c r="BB249" s="721">
        <f t="shared" si="679"/>
        <v>0.32802327353233951</v>
      </c>
      <c r="BC249" s="721">
        <f t="shared" si="679"/>
        <v>0.315530046527081</v>
      </c>
      <c r="BD249" s="721">
        <f t="shared" si="679"/>
        <v>0.32776257647671309</v>
      </c>
      <c r="BE249" s="721">
        <f t="shared" si="679"/>
        <v>0.32589818693400763</v>
      </c>
      <c r="BF249" s="721">
        <f t="shared" si="679"/>
        <v>0.3235827047834397</v>
      </c>
      <c r="BG249" s="721">
        <f t="shared" si="679"/>
        <v>0.32224441483392502</v>
      </c>
      <c r="BH249" s="721">
        <f t="shared" si="679"/>
        <v>0.32229373079435986</v>
      </c>
      <c r="BI249" s="721">
        <f t="shared" si="679"/>
        <v>0.32429457486012209</v>
      </c>
      <c r="BJ249" s="721">
        <f t="shared" si="679"/>
        <v>0.32894814716816356</v>
      </c>
      <c r="BL249" s="605"/>
      <c r="BM249" s="605"/>
      <c r="BN249" s="605"/>
      <c r="BO249" s="605"/>
    </row>
    <row r="250" spans="2:67" ht="12" customHeight="1" x14ac:dyDescent="0.35">
      <c r="B250" s="598" t="s">
        <v>1337</v>
      </c>
      <c r="E250" s="578"/>
      <c r="F250" s="578"/>
      <c r="G250" s="578"/>
      <c r="H250" s="578"/>
      <c r="I250" s="578"/>
      <c r="J250" s="578"/>
      <c r="K250" s="578"/>
      <c r="L250" s="578"/>
      <c r="M250" s="578"/>
      <c r="N250" s="578"/>
      <c r="O250" s="578"/>
      <c r="P250" s="578"/>
      <c r="Q250" s="578"/>
      <c r="R250" s="578"/>
      <c r="S250" s="578"/>
      <c r="T250" s="578">
        <f t="shared" ref="T250:AE250" si="680">T248-T246</f>
        <v>-16584</v>
      </c>
      <c r="U250" s="578">
        <f t="shared" si="680"/>
        <v>-25996</v>
      </c>
      <c r="V250" s="578">
        <f t="shared" si="680"/>
        <v>-9221</v>
      </c>
      <c r="W250" s="578">
        <f t="shared" si="680"/>
        <v>16378</v>
      </c>
      <c r="X250" s="578">
        <f t="shared" si="680"/>
        <v>7043</v>
      </c>
      <c r="Y250" s="578">
        <f t="shared" si="680"/>
        <v>6960</v>
      </c>
      <c r="Z250" s="578">
        <f t="shared" si="680"/>
        <v>7110</v>
      </c>
      <c r="AA250" s="578">
        <f t="shared" si="680"/>
        <v>7115</v>
      </c>
      <c r="AB250" s="578">
        <f t="shared" si="680"/>
        <v>8145</v>
      </c>
      <c r="AC250" s="578">
        <f t="shared" si="680"/>
        <v>7830</v>
      </c>
      <c r="AD250" s="578">
        <f t="shared" si="680"/>
        <v>8652</v>
      </c>
      <c r="AE250" s="578">
        <f t="shared" si="680"/>
        <v>7715</v>
      </c>
      <c r="AF250" s="578">
        <f>AF248-AF246</f>
        <v>24694</v>
      </c>
      <c r="AG250" s="578">
        <f>AG251*AG226</f>
        <v>10232.190918992694</v>
      </c>
      <c r="AH250" s="578">
        <f t="shared" ref="AH250:AP250" si="681">AH251*AH226</f>
        <v>7734.3764298246842</v>
      </c>
      <c r="AI250" s="578">
        <f t="shared" si="681"/>
        <v>9710.4662639129838</v>
      </c>
      <c r="AJ250" s="578">
        <f t="shared" si="681"/>
        <v>10145.413337518978</v>
      </c>
      <c r="AK250" s="578">
        <f t="shared" si="681"/>
        <v>12923.856634567579</v>
      </c>
      <c r="AL250" s="578">
        <f t="shared" si="681"/>
        <v>9566.9215303666115</v>
      </c>
      <c r="AM250" s="578">
        <f t="shared" si="681"/>
        <v>12002.202926870565</v>
      </c>
      <c r="AN250" s="578">
        <f t="shared" si="681"/>
        <v>12700.202040215374</v>
      </c>
      <c r="AO250" s="578">
        <f t="shared" si="681"/>
        <v>15950.464321540814</v>
      </c>
      <c r="AP250" s="578">
        <f t="shared" si="681"/>
        <v>11808.657811900048</v>
      </c>
      <c r="AQ250" s="507"/>
      <c r="AR250" s="508"/>
      <c r="AS250" s="509"/>
      <c r="AT250" s="578"/>
      <c r="AU250" s="578"/>
      <c r="AV250" s="578"/>
      <c r="AW250" s="578"/>
      <c r="AX250" s="578"/>
      <c r="AY250" s="578">
        <f t="shared" ref="AY250:BB250" si="682">AY248-AY246</f>
        <v>37491</v>
      </c>
      <c r="AZ250" s="578">
        <f t="shared" si="682"/>
        <v>31742</v>
      </c>
      <c r="BA250" s="578">
        <f t="shared" si="682"/>
        <v>126472.4833848241</v>
      </c>
      <c r="BB250" s="578">
        <f t="shared" si="682"/>
        <v>161018.15990672779</v>
      </c>
      <c r="BC250" s="578">
        <f>BC248-BC246</f>
        <v>202550.55209299433</v>
      </c>
      <c r="BD250" s="578">
        <f t="shared" ref="BD250:BJ250" si="683">BD248-BD246</f>
        <v>260971.96029241156</v>
      </c>
      <c r="BE250" s="578">
        <f t="shared" si="683"/>
        <v>305529.37314169598</v>
      </c>
      <c r="BF250" s="578">
        <f t="shared" si="683"/>
        <v>348487.04943273542</v>
      </c>
      <c r="BG250" s="578">
        <f t="shared" si="683"/>
        <v>391262.1898718712</v>
      </c>
      <c r="BH250" s="578">
        <f t="shared" si="683"/>
        <v>434889.96375676291</v>
      </c>
      <c r="BI250" s="578">
        <f t="shared" si="683"/>
        <v>481467.21342255198</v>
      </c>
      <c r="BJ250" s="578">
        <f t="shared" si="683"/>
        <v>533757.79151091701</v>
      </c>
      <c r="BL250" s="578"/>
      <c r="BM250" s="578"/>
      <c r="BN250" s="578"/>
      <c r="BO250" s="578"/>
    </row>
    <row r="251" spans="2:67" ht="12" customHeight="1" x14ac:dyDescent="0.35">
      <c r="B251" s="571" t="s">
        <v>558</v>
      </c>
      <c r="E251" s="578"/>
      <c r="F251" s="578"/>
      <c r="G251" s="578"/>
      <c r="H251" s="578"/>
      <c r="I251" s="578"/>
      <c r="J251" s="578"/>
      <c r="K251" s="578"/>
      <c r="L251" s="578"/>
      <c r="M251" s="578"/>
      <c r="N251" s="578"/>
      <c r="O251" s="578"/>
      <c r="P251" s="578"/>
      <c r="Q251" s="578"/>
      <c r="R251" s="578"/>
      <c r="S251" s="578"/>
      <c r="T251" s="578"/>
      <c r="U251" s="578"/>
      <c r="V251" s="578"/>
      <c r="W251" s="578"/>
      <c r="X251" s="578"/>
      <c r="Y251" s="578"/>
      <c r="Z251" s="553">
        <f>Z250/Z226</f>
        <v>7.6044407367002506E-2</v>
      </c>
      <c r="AA251" s="553">
        <f t="shared" ref="AA251:AF251" si="684">AA250/AA226</f>
        <v>6.191047996937106E-2</v>
      </c>
      <c r="AB251" s="553">
        <f t="shared" si="684"/>
        <v>6.8435601636740964E-2</v>
      </c>
      <c r="AC251" s="553">
        <f t="shared" si="684"/>
        <v>4.8496184719056583E-2</v>
      </c>
      <c r="AD251" s="553">
        <f t="shared" si="684"/>
        <v>7.5686267648756939E-2</v>
      </c>
      <c r="AE251" s="553">
        <f t="shared" si="684"/>
        <v>5.0178535424159842E-2</v>
      </c>
      <c r="AF251" s="553">
        <f t="shared" si="684"/>
        <v>0.15925550919327483</v>
      </c>
      <c r="AG251" s="724">
        <v>0.05</v>
      </c>
      <c r="AH251" s="724">
        <v>0.05</v>
      </c>
      <c r="AI251" s="724">
        <v>0.05</v>
      </c>
      <c r="AJ251" s="724">
        <v>0.05</v>
      </c>
      <c r="AK251" s="724">
        <v>0.05</v>
      </c>
      <c r="AL251" s="724">
        <v>0.05</v>
      </c>
      <c r="AM251" s="724">
        <v>0.05</v>
      </c>
      <c r="AN251" s="724">
        <v>0.05</v>
      </c>
      <c r="AO251" s="724">
        <v>0.05</v>
      </c>
      <c r="AP251" s="724">
        <v>0.05</v>
      </c>
      <c r="AQ251" s="507"/>
      <c r="AR251" s="508"/>
      <c r="AS251" s="509"/>
      <c r="AT251" s="578"/>
      <c r="AU251" s="578"/>
      <c r="AV251" s="578"/>
      <c r="AW251" s="578"/>
      <c r="AX251" s="578"/>
      <c r="AY251" s="553">
        <f t="shared" ref="AY251" si="685">AY250/AY226</f>
        <v>9.9486790289881222E-2</v>
      </c>
      <c r="AZ251" s="553">
        <f t="shared" ref="AZ251" si="686">AZ250/AZ226</f>
        <v>6.2274504572198755E-2</v>
      </c>
      <c r="BA251" s="553">
        <f t="shared" ref="BA251" si="687">BA250/BA226</f>
        <v>0.18929001169763154</v>
      </c>
      <c r="BB251" s="553">
        <f t="shared" ref="BB251" si="688">BB250/BB226</f>
        <v>0.19011908896694152</v>
      </c>
      <c r="BC251" s="553">
        <f t="shared" ref="BC251:BJ251" si="689">BC250/BC226</f>
        <v>0.19304675567761007</v>
      </c>
      <c r="BD251" s="553">
        <f t="shared" si="689"/>
        <v>0.20611746066019296</v>
      </c>
      <c r="BE251" s="553">
        <f t="shared" si="689"/>
        <v>0.20572180692146316</v>
      </c>
      <c r="BF251" s="553">
        <f t="shared" si="689"/>
        <v>0.20531513990105296</v>
      </c>
      <c r="BG251" s="553">
        <f t="shared" si="689"/>
        <v>0.20619008741965975</v>
      </c>
      <c r="BH251" s="553">
        <f t="shared" si="689"/>
        <v>0.20866512066885151</v>
      </c>
      <c r="BI251" s="553">
        <f t="shared" si="689"/>
        <v>0.21324195562124426</v>
      </c>
      <c r="BJ251" s="553">
        <f t="shared" si="689"/>
        <v>0.22058252500179765</v>
      </c>
      <c r="BL251" s="578"/>
      <c r="BM251" s="578"/>
      <c r="BN251" s="578"/>
      <c r="BO251" s="578"/>
    </row>
    <row r="252" spans="2:67" ht="12" customHeight="1" x14ac:dyDescent="0.35">
      <c r="B252" s="571"/>
      <c r="E252" s="578"/>
      <c r="F252" s="578"/>
      <c r="G252" s="578"/>
      <c r="H252" s="578"/>
      <c r="I252" s="578"/>
      <c r="J252" s="578"/>
      <c r="K252" s="578"/>
      <c r="L252" s="578"/>
      <c r="M252" s="578"/>
      <c r="N252" s="578"/>
      <c r="O252" s="578"/>
      <c r="P252" s="578"/>
      <c r="Q252" s="578"/>
      <c r="R252" s="578"/>
      <c r="S252" s="578"/>
      <c r="T252" s="578"/>
      <c r="U252" s="578"/>
      <c r="V252" s="578"/>
      <c r="W252" s="578"/>
      <c r="X252" s="578"/>
      <c r="Y252" s="578"/>
      <c r="Z252" s="553"/>
      <c r="AA252" s="553"/>
      <c r="AB252" s="553"/>
      <c r="AC252" s="553"/>
      <c r="AD252" s="553"/>
      <c r="AE252" s="553"/>
      <c r="AF252" s="553"/>
      <c r="AG252" s="724"/>
      <c r="AH252" s="724"/>
      <c r="AI252" s="724"/>
      <c r="AJ252" s="724"/>
      <c r="AK252" s="724"/>
      <c r="AL252" s="724"/>
      <c r="AM252" s="724"/>
      <c r="AN252" s="724"/>
      <c r="AO252" s="724"/>
      <c r="AP252" s="724"/>
      <c r="AQ252" s="507"/>
      <c r="AR252" s="508"/>
      <c r="AS252" s="509"/>
      <c r="AT252" s="578"/>
      <c r="AU252" s="578"/>
      <c r="AV252" s="578"/>
      <c r="AW252" s="578"/>
      <c r="AX252" s="578"/>
      <c r="AY252" s="578"/>
      <c r="AZ252" s="578"/>
      <c r="BA252" s="578"/>
      <c r="BB252" s="578"/>
      <c r="BC252" s="578"/>
      <c r="BD252" s="578"/>
      <c r="BE252" s="578"/>
      <c r="BF252" s="578"/>
      <c r="BG252" s="578"/>
      <c r="BH252" s="578"/>
      <c r="BI252" s="578"/>
      <c r="BJ252" s="578"/>
      <c r="BL252" s="578"/>
      <c r="BM252" s="578"/>
      <c r="BN252" s="578"/>
      <c r="BO252" s="578"/>
    </row>
    <row r="253" spans="2:67" ht="12" customHeight="1" x14ac:dyDescent="0.35">
      <c r="B253" s="571"/>
      <c r="E253" s="578"/>
      <c r="F253" s="578"/>
      <c r="G253" s="578"/>
      <c r="H253" s="578"/>
      <c r="I253" s="578"/>
      <c r="J253" s="578"/>
      <c r="K253" s="578"/>
      <c r="L253" s="578"/>
      <c r="M253" s="578"/>
      <c r="N253" s="578"/>
      <c r="O253" s="578"/>
      <c r="P253" s="578"/>
      <c r="Q253" s="578"/>
      <c r="R253" s="578"/>
      <c r="S253" s="578"/>
      <c r="T253" s="578"/>
      <c r="U253" s="578"/>
      <c r="V253" s="578"/>
      <c r="W253" s="578"/>
      <c r="X253" s="578"/>
      <c r="Y253" s="578"/>
      <c r="Z253" s="553"/>
      <c r="AA253" s="553"/>
      <c r="AB253" s="553"/>
      <c r="AC253" s="553"/>
      <c r="AD253" s="553"/>
      <c r="AE253" s="553"/>
      <c r="AF253" s="553"/>
      <c r="AG253" s="724"/>
      <c r="AH253" s="724"/>
      <c r="AI253" s="724"/>
      <c r="AJ253" s="724"/>
      <c r="AK253" s="724"/>
      <c r="AL253" s="724"/>
      <c r="AM253" s="724"/>
      <c r="AN253" s="724"/>
      <c r="AO253" s="724"/>
      <c r="AP253" s="724"/>
      <c r="AQ253" s="507"/>
      <c r="AR253" s="508"/>
      <c r="AS253" s="509"/>
      <c r="AT253" s="578"/>
      <c r="AU253" s="578"/>
      <c r="AV253" s="578"/>
      <c r="AW253" s="578"/>
      <c r="AX253" s="578"/>
      <c r="AY253" s="578">
        <f>AY183-AY248</f>
        <v>27368</v>
      </c>
      <c r="AZ253" s="578">
        <f>AZ183-AZ248</f>
        <v>33911</v>
      </c>
      <c r="BA253" s="525">
        <f>AZ253*1.05</f>
        <v>35606.550000000003</v>
      </c>
      <c r="BB253" s="525">
        <f t="shared" ref="BB253:BJ253" si="690">BA253*1.05</f>
        <v>37386.877500000002</v>
      </c>
      <c r="BC253" s="525">
        <f t="shared" si="690"/>
        <v>39256.221375000001</v>
      </c>
      <c r="BD253" s="525">
        <f t="shared" si="690"/>
        <v>41219.032443750002</v>
      </c>
      <c r="BE253" s="525">
        <f t="shared" si="690"/>
        <v>43279.984065937504</v>
      </c>
      <c r="BF253" s="525">
        <f t="shared" si="690"/>
        <v>45443.983269234384</v>
      </c>
      <c r="BG253" s="525">
        <f t="shared" si="690"/>
        <v>47716.182432696107</v>
      </c>
      <c r="BH253" s="525">
        <f t="shared" si="690"/>
        <v>50101.991554330911</v>
      </c>
      <c r="BI253" s="525">
        <f t="shared" si="690"/>
        <v>52607.091132047455</v>
      </c>
      <c r="BJ253" s="525">
        <f t="shared" si="690"/>
        <v>55237.44568864983</v>
      </c>
      <c r="BL253" s="578"/>
      <c r="BM253" s="578"/>
      <c r="BN253" s="578"/>
      <c r="BO253" s="578"/>
    </row>
    <row r="254" spans="2:67" ht="12" customHeight="1" x14ac:dyDescent="0.35">
      <c r="B254" s="571"/>
      <c r="E254" s="578"/>
      <c r="F254" s="578"/>
      <c r="G254" s="578"/>
      <c r="H254" s="578"/>
      <c r="I254" s="578"/>
      <c r="J254" s="578"/>
      <c r="K254" s="578"/>
      <c r="L254" s="578"/>
      <c r="M254" s="578"/>
      <c r="N254" s="578"/>
      <c r="O254" s="578"/>
      <c r="P254" s="578"/>
      <c r="Q254" s="578"/>
      <c r="R254" s="578"/>
      <c r="S254" s="578"/>
      <c r="T254" s="578"/>
      <c r="U254" s="578"/>
      <c r="V254" s="578"/>
      <c r="W254" s="578"/>
      <c r="X254" s="578"/>
      <c r="Y254" s="578"/>
      <c r="Z254" s="553"/>
      <c r="AA254" s="553"/>
      <c r="AB254" s="553"/>
      <c r="AC254" s="553"/>
      <c r="AD254" s="553"/>
      <c r="AE254" s="553"/>
      <c r="AF254" s="553"/>
      <c r="AG254" s="724"/>
      <c r="AH254" s="724"/>
      <c r="AI254" s="724"/>
      <c r="AJ254" s="724"/>
      <c r="AK254" s="724"/>
      <c r="AL254" s="724"/>
      <c r="AM254" s="724"/>
      <c r="AN254" s="724"/>
      <c r="AO254" s="724"/>
      <c r="AP254" s="724"/>
      <c r="AQ254" s="507"/>
      <c r="AR254" s="508"/>
      <c r="AS254" s="509"/>
      <c r="AT254" s="578"/>
      <c r="AU254" s="578"/>
      <c r="AV254" s="578"/>
      <c r="AW254" s="578"/>
      <c r="AX254" s="578"/>
      <c r="AY254" s="578"/>
      <c r="AZ254" s="578"/>
      <c r="BA254" s="578"/>
      <c r="BB254" s="578"/>
      <c r="BC254" s="578"/>
      <c r="BD254" s="578"/>
      <c r="BE254" s="578"/>
      <c r="BF254" s="578"/>
      <c r="BG254" s="578"/>
      <c r="BH254" s="578"/>
      <c r="BI254" s="578"/>
      <c r="BJ254" s="578"/>
      <c r="BL254" s="578"/>
      <c r="BM254" s="578"/>
      <c r="BN254" s="578"/>
      <c r="BO254" s="578"/>
    </row>
    <row r="255" spans="2:67" ht="12" customHeight="1" x14ac:dyDescent="0.35">
      <c r="B255" s="571"/>
      <c r="E255" s="578"/>
      <c r="F255" s="578"/>
      <c r="G255" s="578"/>
      <c r="H255" s="578"/>
      <c r="I255" s="578"/>
      <c r="J255" s="578"/>
      <c r="K255" s="578"/>
      <c r="L255" s="578"/>
      <c r="M255" s="578"/>
      <c r="N255" s="578"/>
      <c r="O255" s="578"/>
      <c r="P255" s="578"/>
      <c r="Q255" s="578"/>
      <c r="R255" s="578"/>
      <c r="S255" s="578"/>
      <c r="T255" s="578"/>
      <c r="U255" s="578"/>
      <c r="V255" s="578"/>
      <c r="W255" s="578"/>
      <c r="X255" s="578"/>
      <c r="Y255" s="578"/>
      <c r="Z255" s="553"/>
      <c r="AA255" s="553"/>
      <c r="AB255" s="553"/>
      <c r="AC255" s="553"/>
      <c r="AD255" s="553"/>
      <c r="AE255" s="553"/>
      <c r="AF255" s="553"/>
      <c r="AG255" s="724"/>
      <c r="AH255" s="724"/>
      <c r="AI255" s="724"/>
      <c r="AJ255" s="724"/>
      <c r="AK255" s="724"/>
      <c r="AL255" s="724"/>
      <c r="AM255" s="724"/>
      <c r="AN255" s="724"/>
      <c r="AO255" s="724"/>
      <c r="AP255" s="724"/>
      <c r="AQ255" s="507"/>
      <c r="AR255" s="508"/>
      <c r="AS255" s="509"/>
      <c r="AT255" s="578"/>
      <c r="AU255" s="578"/>
      <c r="AV255" s="578"/>
      <c r="AW255" s="578"/>
      <c r="AX255" s="578"/>
      <c r="AY255" s="578"/>
      <c r="AZ255" s="578"/>
      <c r="BA255" s="578"/>
      <c r="BB255" s="578"/>
      <c r="BC255" s="578"/>
      <c r="BD255" s="578"/>
      <c r="BE255" s="578"/>
      <c r="BF255" s="578"/>
      <c r="BG255" s="578"/>
      <c r="BH255" s="578"/>
      <c r="BI255" s="578"/>
      <c r="BJ255" s="578"/>
      <c r="BL255" s="578"/>
      <c r="BM255" s="578"/>
      <c r="BN255" s="578"/>
      <c r="BO255" s="578"/>
    </row>
    <row r="256" spans="2:67" ht="12" customHeight="1" x14ac:dyDescent="0.35">
      <c r="B256" s="598" t="s">
        <v>567</v>
      </c>
      <c r="E256" s="578">
        <v>387</v>
      </c>
      <c r="F256" s="578">
        <v>353</v>
      </c>
      <c r="G256" s="578">
        <v>410</v>
      </c>
      <c r="H256" s="578">
        <v>521</v>
      </c>
      <c r="I256" s="578">
        <v>1344</v>
      </c>
      <c r="J256" s="578">
        <v>475</v>
      </c>
      <c r="K256" s="578">
        <v>477</v>
      </c>
      <c r="L256" s="578">
        <v>484</v>
      </c>
      <c r="M256" s="578">
        <v>475</v>
      </c>
      <c r="N256" s="578">
        <v>510</v>
      </c>
      <c r="O256" s="578">
        <v>626</v>
      </c>
      <c r="P256" s="578">
        <v>668</v>
      </c>
      <c r="Q256" s="578">
        <v>701</v>
      </c>
      <c r="R256" s="578">
        <v>676</v>
      </c>
      <c r="S256" s="578">
        <v>800</v>
      </c>
      <c r="T256" s="578">
        <v>747</v>
      </c>
      <c r="U256" s="578">
        <v>844</v>
      </c>
      <c r="V256" s="578">
        <v>1175</v>
      </c>
      <c r="W256" s="578">
        <v>1213</v>
      </c>
      <c r="X256" s="604">
        <v>1340</v>
      </c>
      <c r="Y256" s="578">
        <v>1334</v>
      </c>
      <c r="Z256" s="604">
        <v>1303</v>
      </c>
      <c r="AA256" s="604">
        <v>1346</v>
      </c>
      <c r="AB256" s="604">
        <v>1360</v>
      </c>
      <c r="AC256" s="604">
        <v>1309</v>
      </c>
      <c r="AD256" s="604">
        <v>1165</v>
      </c>
      <c r="AE256" s="578">
        <v>1123</v>
      </c>
      <c r="AF256" s="578">
        <v>1101</v>
      </c>
      <c r="AG256" s="525">
        <f>AC256</f>
        <v>1309</v>
      </c>
      <c r="AH256" s="525">
        <f t="shared" ref="AH256:AP256" si="691">AD256</f>
        <v>1165</v>
      </c>
      <c r="AI256" s="525">
        <f t="shared" si="691"/>
        <v>1123</v>
      </c>
      <c r="AJ256" s="525">
        <f t="shared" si="691"/>
        <v>1101</v>
      </c>
      <c r="AK256" s="525">
        <f t="shared" si="691"/>
        <v>1309</v>
      </c>
      <c r="AL256" s="525">
        <f t="shared" si="691"/>
        <v>1165</v>
      </c>
      <c r="AM256" s="525">
        <f t="shared" si="691"/>
        <v>1123</v>
      </c>
      <c r="AN256" s="525">
        <f t="shared" si="691"/>
        <v>1101</v>
      </c>
      <c r="AO256" s="525">
        <f t="shared" si="691"/>
        <v>1309</v>
      </c>
      <c r="AP256" s="525">
        <f t="shared" si="691"/>
        <v>1165</v>
      </c>
      <c r="AQ256" s="507" t="s">
        <v>458</v>
      </c>
      <c r="AR256" s="508" t="s">
        <v>465</v>
      </c>
      <c r="AS256" s="509"/>
      <c r="AT256" s="578">
        <v>2195</v>
      </c>
      <c r="AU256" s="578">
        <f>G256+H256+I256+J256</f>
        <v>2750</v>
      </c>
      <c r="AV256" s="578">
        <f>K256+L256+M256+N256</f>
        <v>1946</v>
      </c>
      <c r="AW256" s="578">
        <f>O256+P256+Q256+R256</f>
        <v>2671</v>
      </c>
      <c r="AX256" s="578">
        <f>S256+T256+U256+V256</f>
        <v>3566</v>
      </c>
      <c r="AY256" s="604">
        <f>W256+X256+Y256+Z256</f>
        <v>5190</v>
      </c>
      <c r="AZ256" s="604">
        <f>SUM(AA256:AD256)</f>
        <v>5180</v>
      </c>
      <c r="BA256" s="604">
        <f>SUM(AE256:AH256)</f>
        <v>4698</v>
      </c>
      <c r="BB256" s="604">
        <f>SUM(AI256:AL256)</f>
        <v>4698</v>
      </c>
      <c r="BC256" s="604">
        <f>SUM(AM256:AP256)</f>
        <v>4698</v>
      </c>
      <c r="BD256" s="525">
        <f t="shared" ref="BD256" si="692">BC256*1.1</f>
        <v>5167.8</v>
      </c>
      <c r="BE256" s="525">
        <f t="shared" ref="BE256" si="693">BD256*1.1</f>
        <v>5684.5800000000008</v>
      </c>
      <c r="BF256" s="525">
        <f t="shared" ref="BF256" si="694">BE256*1.1</f>
        <v>6253.0380000000014</v>
      </c>
      <c r="BG256" s="525">
        <f t="shared" ref="BG256" si="695">BF256*1.1</f>
        <v>6878.341800000002</v>
      </c>
      <c r="BH256" s="525">
        <f t="shared" ref="BH256" si="696">BG256*1.1</f>
        <v>7566.1759800000027</v>
      </c>
      <c r="BI256" s="525">
        <f t="shared" ref="BI256" si="697">BH256*1.1</f>
        <v>8322.7935780000043</v>
      </c>
      <c r="BJ256" s="525">
        <f t="shared" ref="BJ256" si="698">BI256*1.1</f>
        <v>9155.0729358000062</v>
      </c>
      <c r="BL256" s="604">
        <v>1341.17558773614</v>
      </c>
      <c r="BM256" s="604">
        <v>1341.17558773614</v>
      </c>
      <c r="BN256" s="578"/>
      <c r="BO256" s="578"/>
    </row>
    <row r="257" spans="2:67" ht="12" customHeight="1" x14ac:dyDescent="0.35">
      <c r="B257" s="598" t="s">
        <v>568</v>
      </c>
      <c r="E257" s="578">
        <v>-844</v>
      </c>
      <c r="F257" s="578">
        <v>-1819</v>
      </c>
      <c r="G257" s="578">
        <v>-7539</v>
      </c>
      <c r="H257" s="578">
        <v>-846</v>
      </c>
      <c r="I257" s="578">
        <v>-1214</v>
      </c>
      <c r="J257" s="578">
        <v>-2342</v>
      </c>
      <c r="K257" s="578">
        <v>-27933</v>
      </c>
      <c r="L257" s="578">
        <v>-18579</v>
      </c>
      <c r="M257" s="578">
        <v>-4551</v>
      </c>
      <c r="N257" s="578">
        <v>-3249</v>
      </c>
      <c r="O257" s="578">
        <v>-2513</v>
      </c>
      <c r="P257" s="578">
        <v>-1287</v>
      </c>
      <c r="Q257" s="578">
        <v>-3852</v>
      </c>
      <c r="R257" s="578">
        <v>-6993</v>
      </c>
      <c r="S257" s="578">
        <v>-3359</v>
      </c>
      <c r="T257" s="578">
        <v>-5172</v>
      </c>
      <c r="U257" s="578">
        <v>-23295</v>
      </c>
      <c r="V257" s="578">
        <v>-2829</v>
      </c>
      <c r="W257" s="578">
        <v>-7163</v>
      </c>
      <c r="X257" s="604">
        <f>-6635+1532</f>
        <v>-5103</v>
      </c>
      <c r="Y257" s="578">
        <v>-11947</v>
      </c>
      <c r="Z257" s="604">
        <v>-20114</v>
      </c>
      <c r="AA257" s="604">
        <f>-187-2101</f>
        <v>-2288</v>
      </c>
      <c r="AB257" s="604">
        <f>-63348-3171</f>
        <v>-66519</v>
      </c>
      <c r="AC257" s="604">
        <f>-17136-987</f>
        <v>-18123</v>
      </c>
      <c r="AD257" s="604">
        <v>6535</v>
      </c>
      <c r="AE257" s="578">
        <f>-22137-1493</f>
        <v>-23630</v>
      </c>
      <c r="AF257" s="578">
        <f>-10510-1148</f>
        <v>-11658</v>
      </c>
      <c r="AG257" s="525">
        <f>AC257</f>
        <v>-18123</v>
      </c>
      <c r="AH257" s="525">
        <f t="shared" ref="AH257" si="699">AD257</f>
        <v>6535</v>
      </c>
      <c r="AI257" s="525">
        <f t="shared" ref="AI257" si="700">AE257</f>
        <v>-23630</v>
      </c>
      <c r="AJ257" s="525">
        <f t="shared" ref="AJ257" si="701">AF257</f>
        <v>-11658</v>
      </c>
      <c r="AK257" s="525">
        <f t="shared" ref="AK257" si="702">AG257</f>
        <v>-18123</v>
      </c>
      <c r="AL257" s="525">
        <f t="shared" ref="AL257" si="703">AH257</f>
        <v>6535</v>
      </c>
      <c r="AM257" s="525">
        <f t="shared" ref="AM257" si="704">AI257</f>
        <v>-23630</v>
      </c>
      <c r="AN257" s="525">
        <f t="shared" ref="AN257" si="705">AJ257</f>
        <v>-11658</v>
      </c>
      <c r="AO257" s="525">
        <f t="shared" ref="AO257" si="706">AK257</f>
        <v>-18123</v>
      </c>
      <c r="AP257" s="525">
        <f t="shared" ref="AP257" si="707">AL257</f>
        <v>6535</v>
      </c>
      <c r="AQ257" s="507" t="s">
        <v>458</v>
      </c>
      <c r="AR257" s="508" t="s">
        <v>465</v>
      </c>
      <c r="AS257" s="509"/>
      <c r="AT257" s="578">
        <v>-4077</v>
      </c>
      <c r="AU257" s="578">
        <f>G257+H257+I257+J257</f>
        <v>-11941</v>
      </c>
      <c r="AV257" s="578">
        <f>K257+L257+M257+N257</f>
        <v>-54312</v>
      </c>
      <c r="AW257" s="578">
        <f>O257+P257+Q257+R257</f>
        <v>-14645</v>
      </c>
      <c r="AX257" s="578">
        <f>S257+T257+U257+V257</f>
        <v>-34655</v>
      </c>
      <c r="AY257" s="604">
        <f>W257+X257+Y257+Z257</f>
        <v>-44327</v>
      </c>
      <c r="AZ257" s="604">
        <f>SUM(AA257:AD257)</f>
        <v>-80395</v>
      </c>
      <c r="BA257" s="604">
        <f>SUM(AE257:AH257)</f>
        <v>-46876</v>
      </c>
      <c r="BB257" s="604">
        <f>SUM(AI257:AL257)</f>
        <v>-46876</v>
      </c>
      <c r="BC257" s="604">
        <f>SUM(AM257:AP257)</f>
        <v>-46876</v>
      </c>
      <c r="BD257" s="525">
        <f t="shared" ref="BD257" si="708">BC257</f>
        <v>-46876</v>
      </c>
      <c r="BE257" s="525">
        <f t="shared" ref="BE257" si="709">BD257</f>
        <v>-46876</v>
      </c>
      <c r="BF257" s="525">
        <f t="shared" ref="BF257" si="710">BE257</f>
        <v>-46876</v>
      </c>
      <c r="BG257" s="525">
        <f t="shared" ref="BG257" si="711">BF257</f>
        <v>-46876</v>
      </c>
      <c r="BH257" s="525">
        <f t="shared" ref="BH257" si="712">BG257</f>
        <v>-46876</v>
      </c>
      <c r="BI257" s="525">
        <f t="shared" ref="BI257" si="713">BH257</f>
        <v>-46876</v>
      </c>
      <c r="BJ257" s="525">
        <f t="shared" ref="BJ257" si="714">BI257</f>
        <v>-46876</v>
      </c>
      <c r="BL257" s="604">
        <v>-2638</v>
      </c>
      <c r="BM257" s="604">
        <v>-2638</v>
      </c>
      <c r="BN257" s="578"/>
      <c r="BO257" s="578"/>
    </row>
    <row r="258" spans="2:67" s="538" customFormat="1" ht="12" customHeight="1" x14ac:dyDescent="0.35">
      <c r="B258" s="659" t="s">
        <v>143</v>
      </c>
      <c r="E258" s="605">
        <f t="shared" ref="E258:AP258" si="715">E246-E256-E257</f>
        <v>9258</v>
      </c>
      <c r="F258" s="605">
        <f t="shared" si="715"/>
        <v>6917</v>
      </c>
      <c r="G258" s="605">
        <f t="shared" si="715"/>
        <v>13973</v>
      </c>
      <c r="H258" s="605">
        <f t="shared" si="715"/>
        <v>4670</v>
      </c>
      <c r="I258" s="605">
        <f t="shared" si="715"/>
        <v>9217</v>
      </c>
      <c r="J258" s="605">
        <f t="shared" si="715"/>
        <v>4466</v>
      </c>
      <c r="K258" s="605">
        <f t="shared" si="715"/>
        <v>32617</v>
      </c>
      <c r="L258" s="605">
        <f t="shared" si="715"/>
        <v>24490</v>
      </c>
      <c r="M258" s="605">
        <f t="shared" si="715"/>
        <v>16510</v>
      </c>
      <c r="N258" s="605">
        <f t="shared" si="715"/>
        <v>7851</v>
      </c>
      <c r="O258" s="605">
        <f t="shared" si="715"/>
        <v>10701</v>
      </c>
      <c r="P258" s="605">
        <f t="shared" si="715"/>
        <v>9664</v>
      </c>
      <c r="Q258" s="605">
        <f t="shared" si="715"/>
        <v>23815</v>
      </c>
      <c r="R258" s="605">
        <f t="shared" si="715"/>
        <v>15849</v>
      </c>
      <c r="S258" s="605">
        <f t="shared" si="715"/>
        <v>20072</v>
      </c>
      <c r="T258" s="605">
        <f t="shared" si="715"/>
        <v>21009</v>
      </c>
      <c r="U258" s="605">
        <f t="shared" si="715"/>
        <v>48447</v>
      </c>
      <c r="V258" s="605">
        <f t="shared" si="715"/>
        <v>10875</v>
      </c>
      <c r="W258" s="605">
        <f t="shared" si="715"/>
        <v>13970</v>
      </c>
      <c r="X258" s="605">
        <f t="shared" si="715"/>
        <v>17264</v>
      </c>
      <c r="Y258" s="605">
        <f t="shared" si="715"/>
        <v>37411</v>
      </c>
      <c r="Z258" s="605">
        <f t="shared" si="715"/>
        <v>27576</v>
      </c>
      <c r="AA258" s="605">
        <f t="shared" si="715"/>
        <v>25317</v>
      </c>
      <c r="AB258" s="605">
        <f t="shared" si="715"/>
        <v>85523</v>
      </c>
      <c r="AC258" s="605">
        <f t="shared" si="715"/>
        <v>56374</v>
      </c>
      <c r="AD258" s="605">
        <f t="shared" si="715"/>
        <v>-569</v>
      </c>
      <c r="AE258" s="605">
        <f t="shared" si="715"/>
        <v>57212</v>
      </c>
      <c r="AF258" s="605">
        <f t="shared" si="715"/>
        <v>24191</v>
      </c>
      <c r="AG258" s="605">
        <f t="shared" si="715"/>
        <v>62314.573037598646</v>
      </c>
      <c r="AH258" s="605">
        <f t="shared" si="715"/>
        <v>5101.7421870023318</v>
      </c>
      <c r="AI258" s="605">
        <f t="shared" si="715"/>
        <v>61975.661751898646</v>
      </c>
      <c r="AJ258" s="605">
        <f t="shared" si="715"/>
        <v>23373.345314935839</v>
      </c>
      <c r="AK258" s="605">
        <f t="shared" si="715"/>
        <v>68101.203194889051</v>
      </c>
      <c r="AL258" s="605">
        <f t="shared" si="715"/>
        <v>5523.4159050904709</v>
      </c>
      <c r="AM258" s="605">
        <f t="shared" si="715"/>
        <v>67963.20885604684</v>
      </c>
      <c r="AN258" s="605">
        <f t="shared" si="715"/>
        <v>22370.161179994335</v>
      </c>
      <c r="AO258" s="605">
        <f t="shared" si="715"/>
        <v>75277.753932402804</v>
      </c>
      <c r="AP258" s="605">
        <f t="shared" si="715"/>
        <v>5080.0856767805089</v>
      </c>
      <c r="AQ258" s="633" t="s">
        <v>458</v>
      </c>
      <c r="AR258" s="558" t="s">
        <v>465</v>
      </c>
      <c r="AS258" s="559"/>
      <c r="AT258" s="605">
        <f t="shared" ref="AT258:BJ258" si="716">AT246-AT256-AT257</f>
        <v>26802</v>
      </c>
      <c r="AU258" s="605">
        <f>G258+H258+I258+J258</f>
        <v>32326</v>
      </c>
      <c r="AV258" s="605">
        <f>K258+L258+M258+N258</f>
        <v>81468</v>
      </c>
      <c r="AW258" s="605">
        <f>O258+P258+Q258+R258</f>
        <v>60029</v>
      </c>
      <c r="AX258" s="605">
        <f>S258+T258+U258+V258</f>
        <v>100403</v>
      </c>
      <c r="AY258" s="605">
        <f>W258+X258+Y258+Z258</f>
        <v>96221</v>
      </c>
      <c r="AZ258" s="605">
        <f>AA258+AB258+AC258+AD258</f>
        <v>166645</v>
      </c>
      <c r="BA258" s="605">
        <f t="shared" si="716"/>
        <v>148819.31522460098</v>
      </c>
      <c r="BB258" s="605">
        <f t="shared" si="716"/>
        <v>158973.62616681401</v>
      </c>
      <c r="BC258" s="605">
        <f t="shared" si="716"/>
        <v>170691.2096452245</v>
      </c>
      <c r="BD258" s="605">
        <f t="shared" si="716"/>
        <v>195727.00186643371</v>
      </c>
      <c r="BE258" s="605">
        <f t="shared" si="716"/>
        <v>219672.32390188085</v>
      </c>
      <c r="BF258" s="605">
        <f t="shared" si="716"/>
        <v>241361.7616292921</v>
      </c>
      <c r="BG258" s="605">
        <f t="shared" si="716"/>
        <v>260220.03094575717</v>
      </c>
      <c r="BH258" s="605">
        <f t="shared" si="716"/>
        <v>276129.19268504897</v>
      </c>
      <c r="BI258" s="605">
        <f t="shared" si="716"/>
        <v>289292.77112186258</v>
      </c>
      <c r="BJ258" s="605">
        <f t="shared" si="716"/>
        <v>299940.2264522842</v>
      </c>
      <c r="BL258" s="605">
        <v>21209.169634760001</v>
      </c>
      <c r="BM258" s="605">
        <v>47685.774483611203</v>
      </c>
      <c r="BN258" s="605"/>
      <c r="BO258" s="605"/>
    </row>
    <row r="259" spans="2:67" ht="12" customHeight="1" x14ac:dyDescent="0.35">
      <c r="B259" s="571" t="s">
        <v>569</v>
      </c>
      <c r="E259" s="721">
        <f>E260/E258</f>
        <v>8.0038885288399225E-2</v>
      </c>
      <c r="F259" s="721">
        <f t="shared" ref="F259:AD259" si="717">F260/F258</f>
        <v>0.17738904149197629</v>
      </c>
      <c r="G259" s="721">
        <f t="shared" si="717"/>
        <v>0.10341372647248265</v>
      </c>
      <c r="H259" s="721">
        <f t="shared" si="717"/>
        <v>0.2867237687366167</v>
      </c>
      <c r="I259" s="721">
        <f t="shared" si="717"/>
        <v>0.26353477270261472</v>
      </c>
      <c r="J259" s="721">
        <f t="shared" si="717"/>
        <v>0.26936856247201074</v>
      </c>
      <c r="K259" s="721">
        <f t="shared" si="717"/>
        <v>4.2738449274917989E-2</v>
      </c>
      <c r="L259" s="721">
        <f t="shared" si="717"/>
        <v>6.8231931400571669E-2</v>
      </c>
      <c r="M259" s="721">
        <f t="shared" si="717"/>
        <v>0.21556632344033919</v>
      </c>
      <c r="N259" s="721">
        <f t="shared" si="717"/>
        <v>0.23245446439943956</v>
      </c>
      <c r="O259" s="721">
        <f t="shared" si="717"/>
        <v>0.19540229885057472</v>
      </c>
      <c r="P259" s="721">
        <f t="shared" si="717"/>
        <v>0.20923013245033112</v>
      </c>
      <c r="Q259" s="721">
        <f t="shared" si="717"/>
        <v>0.21457064875078732</v>
      </c>
      <c r="R259" s="721">
        <f t="shared" si="717"/>
        <v>0.2872736450249227</v>
      </c>
      <c r="S259" s="721">
        <f t="shared" si="717"/>
        <v>0.23181546432841771</v>
      </c>
      <c r="T259" s="721">
        <f t="shared" si="717"/>
        <v>0.12942072445142558</v>
      </c>
      <c r="U259" s="721">
        <f t="shared" si="717"/>
        <v>0.13753173571118954</v>
      </c>
      <c r="V259" s="721">
        <f t="shared" si="717"/>
        <v>0.38289655172413795</v>
      </c>
      <c r="W259" s="553">
        <f t="shared" si="717"/>
        <v>0.40551181102362205</v>
      </c>
      <c r="X259" s="723">
        <f t="shared" si="717"/>
        <v>1.6044949026876736E-2</v>
      </c>
      <c r="Y259" s="721">
        <f t="shared" si="717"/>
        <v>0.14931437277805992</v>
      </c>
      <c r="Z259" s="721">
        <f t="shared" si="717"/>
        <v>0.18222367275892079</v>
      </c>
      <c r="AA259" s="721">
        <f t="shared" si="717"/>
        <v>0.26511829995655095</v>
      </c>
      <c r="AB259" s="721">
        <f t="shared" si="717"/>
        <v>3.2915122247816377E-2</v>
      </c>
      <c r="AC259" s="721">
        <f t="shared" si="717"/>
        <v>0.14912903111363396</v>
      </c>
      <c r="AD259" s="721">
        <f t="shared" si="717"/>
        <v>-4.6186291739894552</v>
      </c>
      <c r="AE259" s="721">
        <f>AE260/AE258</f>
        <v>0.19443473397189401</v>
      </c>
      <c r="AF259" s="721">
        <f>AF260/AF258</f>
        <v>7.8996320945806289E-2</v>
      </c>
      <c r="AG259" s="722">
        <v>0.15</v>
      </c>
      <c r="AH259" s="722">
        <f t="shared" ref="AH259:AP259" si="718">AG259</f>
        <v>0.15</v>
      </c>
      <c r="AI259" s="722">
        <f t="shared" si="718"/>
        <v>0.15</v>
      </c>
      <c r="AJ259" s="722">
        <f t="shared" si="718"/>
        <v>0.15</v>
      </c>
      <c r="AK259" s="722">
        <f t="shared" si="718"/>
        <v>0.15</v>
      </c>
      <c r="AL259" s="722">
        <f t="shared" si="718"/>
        <v>0.15</v>
      </c>
      <c r="AM259" s="722">
        <f t="shared" si="718"/>
        <v>0.15</v>
      </c>
      <c r="AN259" s="722">
        <f t="shared" si="718"/>
        <v>0.15</v>
      </c>
      <c r="AO259" s="722">
        <f t="shared" si="718"/>
        <v>0.15</v>
      </c>
      <c r="AP259" s="722">
        <f t="shared" si="718"/>
        <v>0.15</v>
      </c>
      <c r="AQ259" s="507" t="s">
        <v>458</v>
      </c>
      <c r="AR259" s="508" t="s">
        <v>465</v>
      </c>
      <c r="AS259" s="509"/>
      <c r="AT259" s="721">
        <f t="shared" ref="AT259:BC259" si="719">AT260/AT258</f>
        <v>0.11924483247518843</v>
      </c>
      <c r="AU259" s="721">
        <f t="shared" si="719"/>
        <v>0.1984780053207944</v>
      </c>
      <c r="AV259" s="721">
        <f t="shared" si="719"/>
        <v>0.10370943192419109</v>
      </c>
      <c r="AW259" s="721">
        <f t="shared" si="719"/>
        <v>0.22948908027786569</v>
      </c>
      <c r="AX259" s="721">
        <f t="shared" si="719"/>
        <v>0.18125952411780524</v>
      </c>
      <c r="AY259" s="553">
        <f t="shared" si="719"/>
        <v>0.17203105351222706</v>
      </c>
      <c r="AZ259" s="553">
        <f t="shared" si="719"/>
        <v>0.12338804044525788</v>
      </c>
      <c r="BA259" s="553">
        <f t="shared" si="719"/>
        <v>0.15554061143713485</v>
      </c>
      <c r="BB259" s="553">
        <f t="shared" si="719"/>
        <v>0.15</v>
      </c>
      <c r="BC259" s="553">
        <f t="shared" si="719"/>
        <v>0.14999999999999997</v>
      </c>
      <c r="BD259" s="724">
        <f t="shared" ref="BD259:BJ259" si="720">BC259</f>
        <v>0.14999999999999997</v>
      </c>
      <c r="BE259" s="724">
        <f t="shared" si="720"/>
        <v>0.14999999999999997</v>
      </c>
      <c r="BF259" s="724">
        <f t="shared" si="720"/>
        <v>0.14999999999999997</v>
      </c>
      <c r="BG259" s="724">
        <f t="shared" si="720"/>
        <v>0.14999999999999997</v>
      </c>
      <c r="BH259" s="724">
        <f t="shared" si="720"/>
        <v>0.14999999999999997</v>
      </c>
      <c r="BI259" s="724">
        <f t="shared" si="720"/>
        <v>0.14999999999999997</v>
      </c>
      <c r="BJ259" s="724">
        <f t="shared" si="720"/>
        <v>0.14999999999999997</v>
      </c>
      <c r="BL259" s="721">
        <v>0.226000997588546</v>
      </c>
      <c r="BM259" s="721">
        <v>0.16507305076311601</v>
      </c>
      <c r="BN259" s="578"/>
      <c r="BO259" s="578"/>
    </row>
    <row r="260" spans="2:67" ht="12" customHeight="1" x14ac:dyDescent="0.35">
      <c r="B260" s="598" t="s">
        <v>146</v>
      </c>
      <c r="E260" s="578">
        <v>741</v>
      </c>
      <c r="F260" s="578">
        <v>1227</v>
      </c>
      <c r="G260" s="578">
        <v>1445</v>
      </c>
      <c r="H260" s="578">
        <v>1339</v>
      </c>
      <c r="I260" s="578">
        <v>2429</v>
      </c>
      <c r="J260" s="578">
        <v>1203</v>
      </c>
      <c r="K260" s="578">
        <v>1394</v>
      </c>
      <c r="L260" s="578">
        <v>1671</v>
      </c>
      <c r="M260" s="578">
        <v>3559</v>
      </c>
      <c r="N260" s="578">
        <v>1825</v>
      </c>
      <c r="O260" s="578">
        <v>2091</v>
      </c>
      <c r="P260" s="578">
        <v>2022</v>
      </c>
      <c r="Q260" s="578">
        <v>5110</v>
      </c>
      <c r="R260" s="578">
        <v>4553</v>
      </c>
      <c r="S260" s="578">
        <v>4653</v>
      </c>
      <c r="T260" s="578">
        <v>2719</v>
      </c>
      <c r="U260" s="578">
        <v>6663</v>
      </c>
      <c r="V260" s="578">
        <v>4164</v>
      </c>
      <c r="W260" s="578">
        <v>5665</v>
      </c>
      <c r="X260" s="578">
        <v>277</v>
      </c>
      <c r="Y260" s="578">
        <v>5586</v>
      </c>
      <c r="Z260" s="578">
        <v>5025</v>
      </c>
      <c r="AA260" s="578">
        <v>6712</v>
      </c>
      <c r="AB260" s="578">
        <v>2815</v>
      </c>
      <c r="AC260" s="578">
        <v>8407</v>
      </c>
      <c r="AD260" s="578">
        <v>2628</v>
      </c>
      <c r="AE260" s="578">
        <v>11124</v>
      </c>
      <c r="AF260" s="578">
        <v>1911</v>
      </c>
      <c r="AG260" s="578">
        <f>AG258*AG259</f>
        <v>9347.1859556397958</v>
      </c>
      <c r="AH260" s="578">
        <f t="shared" ref="AH260:AP260" si="721">AH258*AH259</f>
        <v>765.26132805034979</v>
      </c>
      <c r="AI260" s="578">
        <f t="shared" si="721"/>
        <v>9296.3492627847972</v>
      </c>
      <c r="AJ260" s="578">
        <f t="shared" si="721"/>
        <v>3506.0017972403757</v>
      </c>
      <c r="AK260" s="578">
        <f t="shared" si="721"/>
        <v>10215.180479233357</v>
      </c>
      <c r="AL260" s="578">
        <f t="shared" si="721"/>
        <v>828.51238576357059</v>
      </c>
      <c r="AM260" s="578">
        <f t="shared" si="721"/>
        <v>10194.481328407026</v>
      </c>
      <c r="AN260" s="578">
        <f t="shared" si="721"/>
        <v>3355.5241769991503</v>
      </c>
      <c r="AO260" s="578">
        <f t="shared" si="721"/>
        <v>11291.66308986042</v>
      </c>
      <c r="AP260" s="578">
        <f t="shared" si="721"/>
        <v>762.01285151707634</v>
      </c>
      <c r="AQ260" s="507" t="s">
        <v>458</v>
      </c>
      <c r="AR260" s="508" t="s">
        <v>465</v>
      </c>
      <c r="AS260" s="509"/>
      <c r="AT260" s="578">
        <v>3196</v>
      </c>
      <c r="AU260" s="578">
        <f>G260+H260+I260+J260</f>
        <v>6416</v>
      </c>
      <c r="AV260" s="578">
        <f>K260+L260+M260+N260</f>
        <v>8449</v>
      </c>
      <c r="AW260" s="578">
        <f>O260+P260+Q260+R260</f>
        <v>13776</v>
      </c>
      <c r="AX260" s="578">
        <f>S260+T260+U260+V260</f>
        <v>18199</v>
      </c>
      <c r="AY260" s="578">
        <f>W260+X260+Y260+Z260</f>
        <v>16553</v>
      </c>
      <c r="AZ260" s="578">
        <f>SUM(AA260:AD260)</f>
        <v>20562</v>
      </c>
      <c r="BA260" s="578">
        <f>SUM(AE260:AH260)</f>
        <v>23147.447283690148</v>
      </c>
      <c r="BB260" s="578">
        <f>SUM(AI260:AL260)</f>
        <v>23846.043925022099</v>
      </c>
      <c r="BC260" s="578">
        <f>SUM(AM260:AP260)</f>
        <v>25603.68144678367</v>
      </c>
      <c r="BD260" s="578">
        <f t="shared" ref="BD260:BJ260" si="722">BD258*BD259</f>
        <v>29359.050279965049</v>
      </c>
      <c r="BE260" s="578">
        <f t="shared" si="722"/>
        <v>32950.848585282118</v>
      </c>
      <c r="BF260" s="578">
        <f t="shared" si="722"/>
        <v>36204.264244393809</v>
      </c>
      <c r="BG260" s="578">
        <f t="shared" si="722"/>
        <v>39033.004641863568</v>
      </c>
      <c r="BH260" s="578">
        <f t="shared" si="722"/>
        <v>41419.378902757337</v>
      </c>
      <c r="BI260" s="578">
        <f t="shared" si="722"/>
        <v>43393.915668279376</v>
      </c>
      <c r="BJ260" s="578">
        <f t="shared" si="722"/>
        <v>44991.033967842617</v>
      </c>
      <c r="BL260" s="578">
        <v>4793.2934954804596</v>
      </c>
      <c r="BM260" s="578">
        <v>7871.6362720116404</v>
      </c>
      <c r="BN260" s="578"/>
      <c r="BO260" s="578"/>
    </row>
    <row r="261" spans="2:67" ht="12" customHeight="1" x14ac:dyDescent="0.35">
      <c r="B261" s="598" t="s">
        <v>148</v>
      </c>
      <c r="E261" s="578">
        <v>31</v>
      </c>
      <c r="F261" s="578">
        <v>59</v>
      </c>
      <c r="G261" s="578">
        <v>34</v>
      </c>
      <c r="H261" s="578">
        <v>2</v>
      </c>
      <c r="I261" s="578">
        <v>47</v>
      </c>
      <c r="J261" s="578">
        <v>-24</v>
      </c>
      <c r="K261" s="578">
        <v>-27</v>
      </c>
      <c r="L261" s="578">
        <v>-51</v>
      </c>
      <c r="M261" s="578">
        <v>-42</v>
      </c>
      <c r="N261" s="578">
        <v>-51</v>
      </c>
      <c r="O261" s="578">
        <v>-408</v>
      </c>
      <c r="P261" s="578">
        <v>-548</v>
      </c>
      <c r="Q261" s="578">
        <v>-698</v>
      </c>
      <c r="R261" s="578">
        <v>-795</v>
      </c>
      <c r="S261" s="578">
        <v>-652</v>
      </c>
      <c r="T261" s="578">
        <v>-260</v>
      </c>
      <c r="U261" s="578">
        <v>-741</v>
      </c>
      <c r="V261" s="578">
        <v>-1028</v>
      </c>
      <c r="W261" s="604">
        <v>1070</v>
      </c>
      <c r="X261" s="604">
        <v>-1892</v>
      </c>
      <c r="Y261" s="578">
        <v>-2156</v>
      </c>
      <c r="Z261" s="604">
        <v>-2534</v>
      </c>
      <c r="AA261" s="578">
        <v>2326</v>
      </c>
      <c r="AB261" s="578">
        <v>-1843</v>
      </c>
      <c r="AC261" s="578">
        <v>-2042</v>
      </c>
      <c r="AD261" s="578">
        <v>-2872</v>
      </c>
      <c r="AE261" s="578">
        <v>1096</v>
      </c>
      <c r="AF261" s="578">
        <v>-2352</v>
      </c>
      <c r="AG261" s="525">
        <f t="shared" ref="AG261:AG262" si="723">AC261</f>
        <v>-2042</v>
      </c>
      <c r="AH261" s="525">
        <f t="shared" ref="AH261:AH262" si="724">AD261</f>
        <v>-2872</v>
      </c>
      <c r="AI261" s="525">
        <f t="shared" ref="AI261:AI262" si="725">AE261</f>
        <v>1096</v>
      </c>
      <c r="AJ261" s="525">
        <f t="shared" ref="AJ261:AJ262" si="726">AF261</f>
        <v>-2352</v>
      </c>
      <c r="AK261" s="525">
        <f t="shared" ref="AK261:AK262" si="727">AG261</f>
        <v>-2042</v>
      </c>
      <c r="AL261" s="525">
        <f t="shared" ref="AL261:AL262" si="728">AH261</f>
        <v>-2872</v>
      </c>
      <c r="AM261" s="525">
        <f t="shared" ref="AM261:AM262" si="729">AI261</f>
        <v>1096</v>
      </c>
      <c r="AN261" s="525">
        <f t="shared" ref="AN261:AN262" si="730">AJ261</f>
        <v>-2352</v>
      </c>
      <c r="AO261" s="525">
        <f t="shared" ref="AO261:AO262" si="731">AK261</f>
        <v>-2042</v>
      </c>
      <c r="AP261" s="525">
        <f t="shared" ref="AP261:AP262" si="732">AL261</f>
        <v>-2872</v>
      </c>
      <c r="AQ261" s="507" t="s">
        <v>458</v>
      </c>
      <c r="AR261" s="508" t="s">
        <v>465</v>
      </c>
      <c r="AS261" s="509"/>
      <c r="AT261" s="578">
        <v>88</v>
      </c>
      <c r="AU261" s="578">
        <f>G261+H261+I261+J261</f>
        <v>59</v>
      </c>
      <c r="AV261" s="578">
        <f>K261+L261+M261+N261</f>
        <v>-171</v>
      </c>
      <c r="AW261" s="578">
        <f>O261+P261+Q261+R261</f>
        <v>-2449</v>
      </c>
      <c r="AX261" s="578">
        <f>S261+T261+U261+V261</f>
        <v>-2681</v>
      </c>
      <c r="AY261" s="578">
        <f>W261+X261+Y261+Z261</f>
        <v>-5512</v>
      </c>
      <c r="AZ261" s="604">
        <f>SUM(AA261:AD261)</f>
        <v>-4431</v>
      </c>
      <c r="BA261" s="604">
        <f>SUM(AE261:AH261)</f>
        <v>-6170</v>
      </c>
      <c r="BB261" s="604">
        <f>SUM(AI261:AL261)</f>
        <v>-6170</v>
      </c>
      <c r="BC261" s="604">
        <f>SUM(AM261:AP261)</f>
        <v>-6170</v>
      </c>
      <c r="BD261" s="525">
        <f>BC261</f>
        <v>-6170</v>
      </c>
      <c r="BE261" s="525">
        <f t="shared" ref="BE261:BJ261" si="733">BD261</f>
        <v>-6170</v>
      </c>
      <c r="BF261" s="525">
        <f t="shared" si="733"/>
        <v>-6170</v>
      </c>
      <c r="BG261" s="525">
        <f t="shared" si="733"/>
        <v>-6170</v>
      </c>
      <c r="BH261" s="525">
        <f t="shared" si="733"/>
        <v>-6170</v>
      </c>
      <c r="BI261" s="525">
        <f t="shared" si="733"/>
        <v>-6170</v>
      </c>
      <c r="BJ261" s="525">
        <f t="shared" si="733"/>
        <v>-6170</v>
      </c>
      <c r="BL261" s="578">
        <v>-1710.82531581122</v>
      </c>
      <c r="BM261" s="578">
        <v>-1837.0418602494599</v>
      </c>
      <c r="BN261" s="578">
        <v>-1</v>
      </c>
      <c r="BO261" s="578"/>
    </row>
    <row r="262" spans="2:67" ht="12" customHeight="1" x14ac:dyDescent="0.35">
      <c r="B262" s="598" t="s">
        <v>150</v>
      </c>
      <c r="E262" s="578">
        <v>160</v>
      </c>
      <c r="F262" s="578">
        <v>29</v>
      </c>
      <c r="G262" s="578">
        <v>90</v>
      </c>
      <c r="H262" s="578">
        <v>301</v>
      </c>
      <c r="I262" s="578">
        <v>805</v>
      </c>
      <c r="J262" s="578">
        <v>394</v>
      </c>
      <c r="K262" s="578">
        <v>407</v>
      </c>
      <c r="L262" s="578">
        <v>116</v>
      </c>
      <c r="M262" s="578">
        <v>495</v>
      </c>
      <c r="N262" s="578">
        <v>712</v>
      </c>
      <c r="O262" s="578">
        <v>1468</v>
      </c>
      <c r="P262" s="578">
        <v>567</v>
      </c>
      <c r="Q262" s="578">
        <v>1548</v>
      </c>
      <c r="R262" s="578">
        <v>1444</v>
      </c>
      <c r="S262" s="578">
        <v>1388</v>
      </c>
      <c r="T262" s="578">
        <v>882</v>
      </c>
      <c r="U262" s="578">
        <v>18452</v>
      </c>
      <c r="V262" s="578">
        <v>70</v>
      </c>
      <c r="W262" s="578">
        <v>655</v>
      </c>
      <c r="X262" s="604">
        <v>-1254</v>
      </c>
      <c r="Y262" s="578">
        <v>861</v>
      </c>
      <c r="Z262" s="604">
        <v>-828</v>
      </c>
      <c r="AA262" s="604">
        <v>-517</v>
      </c>
      <c r="AB262" s="604">
        <v>11960</v>
      </c>
      <c r="AC262" s="604">
        <v>-2165</v>
      </c>
      <c r="AD262" s="604">
        <v>-3545</v>
      </c>
      <c r="AE262" s="578">
        <v>-349</v>
      </c>
      <c r="AF262" s="578">
        <v>-4244</v>
      </c>
      <c r="AG262" s="525">
        <f t="shared" si="723"/>
        <v>-2165</v>
      </c>
      <c r="AH262" s="525">
        <f t="shared" si="724"/>
        <v>-3545</v>
      </c>
      <c r="AI262" s="525">
        <f t="shared" si="725"/>
        <v>-349</v>
      </c>
      <c r="AJ262" s="525">
        <f t="shared" si="726"/>
        <v>-4244</v>
      </c>
      <c r="AK262" s="525">
        <f t="shared" si="727"/>
        <v>-2165</v>
      </c>
      <c r="AL262" s="525">
        <f t="shared" si="728"/>
        <v>-3545</v>
      </c>
      <c r="AM262" s="525">
        <f t="shared" si="729"/>
        <v>-349</v>
      </c>
      <c r="AN262" s="525">
        <f t="shared" si="730"/>
        <v>-4244</v>
      </c>
      <c r="AO262" s="525">
        <f t="shared" si="731"/>
        <v>-2165</v>
      </c>
      <c r="AP262" s="525">
        <f t="shared" si="732"/>
        <v>-3545</v>
      </c>
      <c r="AQ262" s="507" t="s">
        <v>458</v>
      </c>
      <c r="AR262" s="508" t="s">
        <v>465</v>
      </c>
      <c r="AS262" s="509"/>
      <c r="AT262" s="578">
        <v>203</v>
      </c>
      <c r="AU262" s="578">
        <f>G262+H262+I262+J262</f>
        <v>1590</v>
      </c>
      <c r="AV262" s="578">
        <f>K262+L262+M262+N262</f>
        <v>1730</v>
      </c>
      <c r="AW262" s="578">
        <f>O262+P262+Q262+R262</f>
        <v>5027</v>
      </c>
      <c r="AX262" s="578">
        <f>S262+T262+U262+V262</f>
        <v>20792</v>
      </c>
      <c r="AY262" s="578">
        <f>W262+X262+Y262+Z262</f>
        <v>-566</v>
      </c>
      <c r="AZ262" s="604">
        <f>SUM(AA262:AD262)</f>
        <v>5733</v>
      </c>
      <c r="BA262" s="604">
        <f>SUM(AE262:AH262)</f>
        <v>-10303</v>
      </c>
      <c r="BB262" s="604">
        <f>SUM(AI262:AL262)</f>
        <v>-10303</v>
      </c>
      <c r="BC262" s="604">
        <f>SUM(AM262:AP262)</f>
        <v>-10303</v>
      </c>
      <c r="BD262" s="525">
        <f t="shared" ref="BD262" si="734">BC262</f>
        <v>-10303</v>
      </c>
      <c r="BE262" s="525">
        <f t="shared" ref="BE262" si="735">BD262</f>
        <v>-10303</v>
      </c>
      <c r="BF262" s="525">
        <f t="shared" ref="BF262" si="736">BE262</f>
        <v>-10303</v>
      </c>
      <c r="BG262" s="525">
        <f t="shared" ref="BG262" si="737">BF262</f>
        <v>-10303</v>
      </c>
      <c r="BH262" s="525">
        <f t="shared" ref="BH262" si="738">BG262</f>
        <v>-10303</v>
      </c>
      <c r="BI262" s="525">
        <f t="shared" ref="BI262" si="739">BH262</f>
        <v>-10303</v>
      </c>
      <c r="BJ262" s="525">
        <f t="shared" ref="BJ262" si="740">BI262</f>
        <v>-10303</v>
      </c>
      <c r="BL262" s="604">
        <v>-150</v>
      </c>
      <c r="BM262" s="604">
        <v>-150</v>
      </c>
      <c r="BN262" s="578"/>
      <c r="BO262" s="578"/>
    </row>
    <row r="264" spans="2:67" ht="12" customHeight="1" x14ac:dyDescent="0.35">
      <c r="B264" s="598" t="s">
        <v>570</v>
      </c>
      <c r="E264" s="578">
        <v>1415</v>
      </c>
      <c r="F264" s="578">
        <v>34</v>
      </c>
      <c r="G264" s="578">
        <v>-6334</v>
      </c>
      <c r="H264" s="578">
        <v>224</v>
      </c>
      <c r="I264" s="578">
        <v>2252</v>
      </c>
      <c r="J264" s="578">
        <v>-427</v>
      </c>
      <c r="K264" s="578">
        <v>-25989</v>
      </c>
      <c r="L264" s="578">
        <v>-17394</v>
      </c>
      <c r="M264" s="578">
        <v>-1323</v>
      </c>
      <c r="N264" s="578">
        <v>-3026</v>
      </c>
      <c r="O264" s="578">
        <v>-308</v>
      </c>
      <c r="P264" s="578">
        <v>-222</v>
      </c>
      <c r="Q264" s="578">
        <v>-369</v>
      </c>
      <c r="R264" s="578">
        <v>-5826</v>
      </c>
      <c r="S264" s="578">
        <v>-20</v>
      </c>
      <c r="T264" s="578">
        <v>-1756</v>
      </c>
      <c r="U264" s="578">
        <v>-3501</v>
      </c>
      <c r="V264" s="578">
        <v>-137</v>
      </c>
      <c r="W264" s="578">
        <f>SUM(W284:W290)+W301</f>
        <v>-6034</v>
      </c>
      <c r="X264" s="578">
        <f>SUM(X284:X290)+X301</f>
        <v>-4454</v>
      </c>
      <c r="Y264" s="578">
        <f>SUM(Y284:Y290)+Y301</f>
        <v>-10952</v>
      </c>
      <c r="Z264" s="578">
        <f>SUM(Z284:Z290)+Z301</f>
        <v>-13647</v>
      </c>
      <c r="AA264" s="725">
        <f>SUM(AA284:AA290)+AA301</f>
        <v>1635</v>
      </c>
      <c r="AB264" s="725">
        <f t="shared" ref="AB264:AP264" si="741">SUM(AB284:AB290)+AB301</f>
        <v>20072</v>
      </c>
      <c r="AC264" s="725">
        <f t="shared" si="741"/>
        <v>-12437</v>
      </c>
      <c r="AD264" s="725">
        <f t="shared" si="741"/>
        <v>0</v>
      </c>
      <c r="AE264" s="578">
        <f t="shared" si="741"/>
        <v>-17643</v>
      </c>
      <c r="AF264" s="578">
        <f t="shared" si="741"/>
        <v>-7031</v>
      </c>
      <c r="AG264" s="578">
        <f t="shared" si="741"/>
        <v>-10908</v>
      </c>
      <c r="AH264" s="578">
        <f t="shared" si="741"/>
        <v>-10263</v>
      </c>
      <c r="AI264" s="578">
        <f t="shared" si="741"/>
        <v>-9684</v>
      </c>
      <c r="AJ264" s="578">
        <f t="shared" si="741"/>
        <v>-9681</v>
      </c>
      <c r="AK264" s="578">
        <f t="shared" si="741"/>
        <v>-9664</v>
      </c>
      <c r="AL264" s="578">
        <f t="shared" si="741"/>
        <v>-9453</v>
      </c>
      <c r="AM264" s="578">
        <f t="shared" si="741"/>
        <v>-9588</v>
      </c>
      <c r="AN264" s="578">
        <f t="shared" si="741"/>
        <v>-9458</v>
      </c>
      <c r="AO264" s="578">
        <f t="shared" si="741"/>
        <v>-8583</v>
      </c>
      <c r="AP264" s="578">
        <f t="shared" si="741"/>
        <v>-9050</v>
      </c>
      <c r="AQ264" s="507"/>
      <c r="AR264" s="508"/>
      <c r="AS264" s="509"/>
      <c r="AT264" s="578">
        <v>1375</v>
      </c>
      <c r="AU264" s="578">
        <f>G264+H264+I264+J264</f>
        <v>-4285</v>
      </c>
      <c r="AV264" s="578">
        <f>K264+L264+M264+N264</f>
        <v>-47732</v>
      </c>
      <c r="AW264" s="578">
        <f>O264+P264+Q264+R264</f>
        <v>-6725</v>
      </c>
      <c r="AX264" s="578">
        <f>S264+T264+U264+V264</f>
        <v>-5414</v>
      </c>
      <c r="AY264" s="578">
        <f>W264+X264+Y264+Z264</f>
        <v>-35087</v>
      </c>
      <c r="AZ264" s="578">
        <f>SUM(AA264:AD264)</f>
        <v>9270</v>
      </c>
      <c r="BA264" s="578">
        <f>SUM(AE264:AH264)</f>
        <v>-45845</v>
      </c>
      <c r="BB264" s="578">
        <f>SUM(AI264:AL264)</f>
        <v>-38482</v>
      </c>
      <c r="BC264" s="578">
        <f>SUM(AM264:AP264)</f>
        <v>-36679</v>
      </c>
      <c r="BD264" s="578">
        <f t="shared" ref="BD264:BJ264" si="742">SUM(BD284:BD290)+BD301</f>
        <v>-31402</v>
      </c>
      <c r="BE264" s="578">
        <f t="shared" si="742"/>
        <v>-29689</v>
      </c>
      <c r="BF264" s="578">
        <f t="shared" si="742"/>
        <v>-33536</v>
      </c>
      <c r="BG264" s="578">
        <f t="shared" si="742"/>
        <v>-32792</v>
      </c>
      <c r="BH264" s="578">
        <f t="shared" si="742"/>
        <v>-32482</v>
      </c>
      <c r="BI264" s="578">
        <f t="shared" si="742"/>
        <v>-32886</v>
      </c>
      <c r="BJ264" s="578">
        <f t="shared" si="742"/>
        <v>-33163</v>
      </c>
      <c r="BL264" s="725">
        <v>-1250</v>
      </c>
      <c r="BM264" s="725">
        <v>0</v>
      </c>
      <c r="BN264" s="578"/>
      <c r="BO264" s="578"/>
    </row>
    <row r="265" spans="2:67" ht="12" customHeight="1" x14ac:dyDescent="0.35">
      <c r="T265" s="578"/>
      <c r="U265" s="578"/>
      <c r="V265" s="578"/>
      <c r="AZ265" s="578"/>
      <c r="BA265" s="578"/>
    </row>
    <row r="266" spans="2:67" ht="12" customHeight="1" x14ac:dyDescent="0.35">
      <c r="B266" s="598" t="s">
        <v>571</v>
      </c>
      <c r="E266" s="578">
        <v>659</v>
      </c>
      <c r="F266" s="578">
        <v>925</v>
      </c>
      <c r="G266" s="578">
        <v>1073</v>
      </c>
      <c r="H266" s="578">
        <v>3010</v>
      </c>
      <c r="I266" s="578">
        <v>4313</v>
      </c>
      <c r="J266" s="578">
        <v>4632</v>
      </c>
      <c r="K266" s="578">
        <v>3995</v>
      </c>
      <c r="L266" s="578">
        <v>3164</v>
      </c>
      <c r="M266" s="578">
        <v>4370</v>
      </c>
      <c r="N266" s="578">
        <v>4553</v>
      </c>
      <c r="O266" s="578">
        <v>3694</v>
      </c>
      <c r="P266" s="578">
        <v>4251</v>
      </c>
      <c r="Q266" s="578">
        <v>3744</v>
      </c>
      <c r="R266" s="578">
        <v>4306</v>
      </c>
      <c r="S266" s="578">
        <v>4019</v>
      </c>
      <c r="T266" s="578">
        <v>4686</v>
      </c>
      <c r="U266" s="578">
        <v>5115</v>
      </c>
      <c r="V266" s="578">
        <v>6255</v>
      </c>
      <c r="W266" s="726">
        <v>16378</v>
      </c>
      <c r="X266" s="578">
        <v>7043</v>
      </c>
      <c r="Y266" s="578">
        <f>Y268+Y269+Y270+Y271</f>
        <v>6960</v>
      </c>
      <c r="Z266" s="578">
        <f ca="1">Z268+Z269+Z270+Z271</f>
        <v>119583</v>
      </c>
      <c r="AA266" s="578">
        <f t="shared" ref="AA266:AD266" si="743">AA268+AA269+AA270+AA271</f>
        <v>7115</v>
      </c>
      <c r="AB266" s="578">
        <f t="shared" si="743"/>
        <v>8145</v>
      </c>
      <c r="AC266" s="578">
        <f t="shared" si="743"/>
        <v>7830</v>
      </c>
      <c r="AD266" s="578">
        <f t="shared" si="743"/>
        <v>7161.6899607540499</v>
      </c>
      <c r="AE266" s="578">
        <f>AE268+AE269+AE270+AE271</f>
        <v>7715</v>
      </c>
      <c r="AF266" s="578">
        <f>AF268+AF269+AF270+AF271</f>
        <v>24694</v>
      </c>
      <c r="AG266" s="578">
        <f>AG267*AG226</f>
        <v>9725.9555294072088</v>
      </c>
      <c r="AH266" s="578">
        <f t="shared" ref="AH266:AP266" si="744">AH267*AH226</f>
        <v>9497.2412669602709</v>
      </c>
      <c r="AI266" s="578">
        <f t="shared" si="744"/>
        <v>9550.236718013788</v>
      </c>
      <c r="AJ266" s="578">
        <f t="shared" si="744"/>
        <v>31667.974154039402</v>
      </c>
      <c r="AK266" s="578">
        <f t="shared" si="744"/>
        <v>12038.762643654867</v>
      </c>
      <c r="AL266" s="578">
        <f t="shared" si="744"/>
        <v>11512.521471477881</v>
      </c>
      <c r="AM266" s="578">
        <f t="shared" si="744"/>
        <v>11568.074946609318</v>
      </c>
      <c r="AN266" s="578">
        <f t="shared" si="744"/>
        <v>38849.661758363938</v>
      </c>
      <c r="AO266" s="578">
        <f t="shared" si="744"/>
        <v>14560.930399004656</v>
      </c>
      <c r="AP266" s="578">
        <f t="shared" si="744"/>
        <v>13925.950751636636</v>
      </c>
      <c r="AQ266" s="507" t="s">
        <v>458</v>
      </c>
      <c r="AR266" s="508" t="s">
        <v>465</v>
      </c>
      <c r="AS266" s="509"/>
      <c r="AT266" s="578">
        <v>2844</v>
      </c>
      <c r="AU266" s="578">
        <f>G266+H266+I266+J266</f>
        <v>13028</v>
      </c>
      <c r="AV266" s="578">
        <f>K266+L266+M266+N266</f>
        <v>16082</v>
      </c>
      <c r="AW266" s="578">
        <f>O266+P266+Q266+R266</f>
        <v>15995</v>
      </c>
      <c r="AX266" s="578">
        <f>S266+T266+U266+V266</f>
        <v>20075</v>
      </c>
      <c r="AY266" s="578">
        <f ca="1">W266+X266+Y266+Z266</f>
        <v>149964</v>
      </c>
      <c r="AZ266" s="578">
        <f>SUM(AA266:AD266)</f>
        <v>30251.689960754051</v>
      </c>
      <c r="BA266" s="578">
        <f>SUM(AE266:AH266)</f>
        <v>51632.196796367476</v>
      </c>
      <c r="BB266" s="578">
        <f>SUM(AI266:AL266)</f>
        <v>64769.494987185943</v>
      </c>
      <c r="BC266" s="578">
        <f>SUM(AM266:AP266)</f>
        <v>78904.617855614546</v>
      </c>
      <c r="BD266" s="578">
        <f t="shared" ref="BD266" si="745">BD267*BD226</f>
        <v>93311.815008060061</v>
      </c>
      <c r="BE266" s="578">
        <f t="shared" ref="BE266" si="746">BE267*BE226</f>
        <v>107264.56776349035</v>
      </c>
      <c r="BF266" s="578">
        <f t="shared" ref="BF266" si="747">BF267*BF226</f>
        <v>120136.61527027487</v>
      </c>
      <c r="BG266" s="578">
        <f t="shared" ref="BG266" si="748">BG267*BG226</f>
        <v>131624.24655273574</v>
      </c>
      <c r="BH266" s="578">
        <f t="shared" ref="BH266" si="749">BH267*BH226</f>
        <v>141674.40578723775</v>
      </c>
      <c r="BI266" s="578">
        <f t="shared" ref="BI266" si="750">BI267*BI226</f>
        <v>150411.83600088488</v>
      </c>
      <c r="BJ266" s="578">
        <f t="shared" ref="BJ266" si="751">BJ267*BJ226</f>
        <v>157974.55862112352</v>
      </c>
      <c r="BL266" s="578">
        <v>6843.3012632448599</v>
      </c>
      <c r="BM266" s="578">
        <v>6965.4503867792</v>
      </c>
      <c r="BN266" s="578"/>
      <c r="BO266" s="578"/>
    </row>
    <row r="267" spans="2:67" ht="12" customHeight="1" x14ac:dyDescent="0.35">
      <c r="B267" s="571" t="s">
        <v>572</v>
      </c>
      <c r="E267" s="721">
        <f t="shared" ref="E267:AF267" si="752">E266/E$118</f>
        <v>3.5156041611096291E-2</v>
      </c>
      <c r="F267" s="721">
        <f t="shared" si="752"/>
        <v>7.6884714487573766E-2</v>
      </c>
      <c r="G267" s="721">
        <f t="shared" si="752"/>
        <v>6.8036269101515445E-2</v>
      </c>
      <c r="H267" s="721">
        <f t="shared" si="752"/>
        <v>0.17885792382197396</v>
      </c>
      <c r="I267" s="721">
        <f t="shared" si="752"/>
        <v>0.16475037243592192</v>
      </c>
      <c r="J267" s="721">
        <f t="shared" si="752"/>
        <v>0.26582496413199425</v>
      </c>
      <c r="K267" s="721">
        <f t="shared" si="752"/>
        <v>0.19733267473450233</v>
      </c>
      <c r="L267" s="721">
        <f t="shared" si="752"/>
        <v>0.14270894411618781</v>
      </c>
      <c r="M267" s="721">
        <f t="shared" si="752"/>
        <v>0.12650898879657238</v>
      </c>
      <c r="N267" s="721">
        <f t="shared" si="752"/>
        <v>0.18826496857426397</v>
      </c>
      <c r="O267" s="721">
        <f t="shared" si="752"/>
        <v>0.11488461777694843</v>
      </c>
      <c r="P267" s="721">
        <f t="shared" si="752"/>
        <v>0.1239647731249271</v>
      </c>
      <c r="Q267" s="721">
        <f t="shared" si="752"/>
        <v>7.03125E-2</v>
      </c>
      <c r="R267" s="721">
        <f t="shared" si="752"/>
        <v>0.1116151274009176</v>
      </c>
      <c r="S267" s="721">
        <f t="shared" si="752"/>
        <v>8.0085286146979115E-2</v>
      </c>
      <c r="T267" s="721">
        <f t="shared" si="752"/>
        <v>8.5011429193425497E-2</v>
      </c>
      <c r="U267" s="721">
        <f t="shared" si="752"/>
        <v>6.1605723370429251E-2</v>
      </c>
      <c r="V267" s="721">
        <f t="shared" si="752"/>
        <v>0.10099786863011044</v>
      </c>
      <c r="W267" s="533">
        <f t="shared" si="752"/>
        <v>0.20239742956005932</v>
      </c>
      <c r="X267" s="727">
        <f t="shared" si="752"/>
        <v>8.2714802461596279E-2</v>
      </c>
      <c r="Y267" s="721">
        <f t="shared" si="752"/>
        <v>5.9346168931939496E-2</v>
      </c>
      <c r="Z267" s="721">
        <f t="shared" ca="1" si="752"/>
        <v>1.27898992491818</v>
      </c>
      <c r="AA267" s="721">
        <f t="shared" si="752"/>
        <v>6.191047996937106E-2</v>
      </c>
      <c r="AB267" s="721">
        <f t="shared" si="752"/>
        <v>6.8435601636740964E-2</v>
      </c>
      <c r="AC267" s="721">
        <f t="shared" si="752"/>
        <v>4.8496184719056583E-2</v>
      </c>
      <c r="AD267" s="721">
        <f t="shared" si="752"/>
        <v>6.2649281459436726E-2</v>
      </c>
      <c r="AE267" s="721">
        <f t="shared" si="752"/>
        <v>5.0178535424159842E-2</v>
      </c>
      <c r="AF267" s="721">
        <f t="shared" si="752"/>
        <v>0.15925550919327483</v>
      </c>
      <c r="AG267" s="722">
        <f>AC267*0.98</f>
        <v>4.7526261024675449E-2</v>
      </c>
      <c r="AH267" s="722">
        <f t="shared" ref="AH267:AP267" si="753">AD267*0.98</f>
        <v>6.1396295830247992E-2</v>
      </c>
      <c r="AI267" s="722">
        <f t="shared" si="753"/>
        <v>4.9174964715676645E-2</v>
      </c>
      <c r="AJ267" s="722">
        <f t="shared" si="753"/>
        <v>0.15607039900940933</v>
      </c>
      <c r="AK267" s="722">
        <f t="shared" si="753"/>
        <v>4.6575735804181936E-2</v>
      </c>
      <c r="AL267" s="722">
        <f t="shared" si="753"/>
        <v>6.0168369913643029E-2</v>
      </c>
      <c r="AM267" s="722">
        <f t="shared" si="753"/>
        <v>4.8191465421363114E-2</v>
      </c>
      <c r="AN267" s="722">
        <f t="shared" si="753"/>
        <v>0.15294899102922113</v>
      </c>
      <c r="AO267" s="722">
        <f t="shared" si="753"/>
        <v>4.5644221088098298E-2</v>
      </c>
      <c r="AP267" s="722">
        <f t="shared" si="753"/>
        <v>5.8965002515370166E-2</v>
      </c>
      <c r="AT267" s="721">
        <f t="shared" ref="AT267:BC267" si="754">AT266/AT$118</f>
        <v>5.4167301538930367E-2</v>
      </c>
      <c r="AU267" s="721">
        <f t="shared" si="754"/>
        <v>0.17096215421762637</v>
      </c>
      <c r="AV267" s="721">
        <f t="shared" si="754"/>
        <v>0.15900260027881316</v>
      </c>
      <c r="AW267" s="721">
        <f t="shared" si="754"/>
        <v>0.10105956164348942</v>
      </c>
      <c r="AX267" s="721">
        <f t="shared" si="754"/>
        <v>8.0214651610686236E-2</v>
      </c>
      <c r="AY267" s="721">
        <f t="shared" ca="1" si="754"/>
        <v>0.39794716115952489</v>
      </c>
      <c r="AZ267" s="721">
        <f t="shared" si="754"/>
        <v>5.9350671185738682E-2</v>
      </c>
      <c r="BA267" s="721">
        <f t="shared" si="754"/>
        <v>7.7277356101410816E-2</v>
      </c>
      <c r="BB267" s="721">
        <f t="shared" si="754"/>
        <v>7.6475332887580516E-2</v>
      </c>
      <c r="BC267" s="721">
        <f t="shared" si="754"/>
        <v>7.5202364681852943E-2</v>
      </c>
      <c r="BD267" s="722">
        <f t="shared" ref="BD267:BI267" si="755">BC267*0.98</f>
        <v>7.3698317388215889E-2</v>
      </c>
      <c r="BE267" s="722">
        <f t="shared" si="755"/>
        <v>7.2224351040451565E-2</v>
      </c>
      <c r="BF267" s="722">
        <f t="shared" si="755"/>
        <v>7.0779864019642535E-2</v>
      </c>
      <c r="BG267" s="722">
        <f t="shared" si="755"/>
        <v>6.9364266739249683E-2</v>
      </c>
      <c r="BH267" s="722">
        <f t="shared" si="755"/>
        <v>6.797698140446469E-2</v>
      </c>
      <c r="BI267" s="722">
        <f t="shared" si="755"/>
        <v>6.6617441776375394E-2</v>
      </c>
      <c r="BJ267" s="722">
        <f>BI267*0.98</f>
        <v>6.5285092940847889E-2</v>
      </c>
      <c r="BL267" s="721">
        <v>5.8401862981237097E-2</v>
      </c>
      <c r="BM267" s="721">
        <v>4.2343790976044203E-2</v>
      </c>
    </row>
    <row r="268" spans="2:67" ht="12" customHeight="1" x14ac:dyDescent="0.35">
      <c r="B268" s="620" t="s">
        <v>573</v>
      </c>
      <c r="E268" s="578">
        <v>226</v>
      </c>
      <c r="F268" s="578">
        <v>530</v>
      </c>
      <c r="G268" s="578">
        <v>593</v>
      </c>
      <c r="H268" s="578">
        <v>1155</v>
      </c>
      <c r="I268" s="578">
        <v>1413</v>
      </c>
      <c r="J268" s="578">
        <v>1015</v>
      </c>
      <c r="K268" s="578">
        <v>983</v>
      </c>
      <c r="L268" s="578">
        <v>506</v>
      </c>
      <c r="M268" s="578">
        <v>1467</v>
      </c>
      <c r="N268" s="578">
        <v>1047</v>
      </c>
      <c r="O268" s="578">
        <v>894</v>
      </c>
      <c r="P268" s="578">
        <v>1183</v>
      </c>
      <c r="Q268" s="578">
        <v>590</v>
      </c>
      <c r="R268" s="578">
        <v>1226</v>
      </c>
      <c r="S268" s="578">
        <v>1128</v>
      </c>
      <c r="T268" s="578">
        <v>1369</v>
      </c>
      <c r="U268" s="578">
        <v>1328</v>
      </c>
      <c r="V268" s="578">
        <v>1680</v>
      </c>
      <c r="W268" s="578">
        <v>3816</v>
      </c>
      <c r="X268" s="578">
        <v>1566</v>
      </c>
      <c r="Y268" s="578">
        <v>1582</v>
      </c>
      <c r="Z268" s="578">
        <f ca="1">AY268-W268-X268-Y268</f>
        <v>30527</v>
      </c>
      <c r="AA268" s="578">
        <v>1747</v>
      </c>
      <c r="AB268" s="578">
        <v>2033</v>
      </c>
      <c r="AC268" s="578">
        <v>1685</v>
      </c>
      <c r="AD268" s="578">
        <v>1867.8311925069299</v>
      </c>
      <c r="AE268" s="578">
        <v>1934</v>
      </c>
      <c r="AF268" s="578">
        <v>5397</v>
      </c>
      <c r="AG268" s="525">
        <f>AG$266*(AC268/AC$266)</f>
        <v>2093.0057556898018</v>
      </c>
      <c r="AH268" s="525">
        <f t="shared" ref="AH268:AP271" si="756">AH$266*(AD268/AD$266)</f>
        <v>2476.9633394356929</v>
      </c>
      <c r="AI268" s="525">
        <f t="shared" si="756"/>
        <v>2394.058044412011</v>
      </c>
      <c r="AJ268" s="525">
        <f t="shared" si="756"/>
        <v>6921.1977204726109</v>
      </c>
      <c r="AK268" s="525">
        <f t="shared" si="756"/>
        <v>2590.7171206332637</v>
      </c>
      <c r="AL268" s="525">
        <f t="shared" si="756"/>
        <v>3002.5659902440234</v>
      </c>
      <c r="AM268" s="525">
        <f t="shared" si="756"/>
        <v>2899.8907254364772</v>
      </c>
      <c r="AN268" s="525">
        <f t="shared" si="756"/>
        <v>8490.7922778768188</v>
      </c>
      <c r="AO268" s="525">
        <f t="shared" si="756"/>
        <v>3133.4824677296101</v>
      </c>
      <c r="AP268" s="525">
        <f t="shared" si="756"/>
        <v>3632.0093918843027</v>
      </c>
      <c r="AQ268" s="507" t="s">
        <v>458</v>
      </c>
      <c r="AR268" s="508" t="s">
        <v>465</v>
      </c>
      <c r="AS268" s="509"/>
      <c r="AT268" s="578">
        <v>1154</v>
      </c>
      <c r="AU268" s="578">
        <f>G268+H268+I268+J268</f>
        <v>4176</v>
      </c>
      <c r="AV268" s="578">
        <f>K268+L268+M268+N268</f>
        <v>4003</v>
      </c>
      <c r="AW268" s="578">
        <f>O268+P268+Q268+R268</f>
        <v>3893</v>
      </c>
      <c r="AX268" s="578">
        <f>S268+T268+U268+V268</f>
        <v>5505</v>
      </c>
      <c r="AY268" s="578">
        <f ca="1">W268+X268+Y268+Z268</f>
        <v>37491</v>
      </c>
      <c r="AZ268" s="604">
        <f>SUM(AA268:AD268)</f>
        <v>7332.8311925069302</v>
      </c>
      <c r="BA268" s="604">
        <f>SUM(AE268:AH268)</f>
        <v>11900.969095125496</v>
      </c>
      <c r="BB268" s="604">
        <f>SUM(AI268:AL268)</f>
        <v>14908.538875761909</v>
      </c>
      <c r="BC268" s="604">
        <f>SUM(AM268:AP268)</f>
        <v>18156.174862927208</v>
      </c>
      <c r="BD268" s="525">
        <f t="shared" ref="BD268:BJ268" si="757">BD$266*(BC268/BC$266)</f>
        <v>21471.311516438731</v>
      </c>
      <c r="BE268" s="525">
        <f t="shared" si="757"/>
        <v>24681.879233911757</v>
      </c>
      <c r="BF268" s="525">
        <f t="shared" si="757"/>
        <v>27643.773629050203</v>
      </c>
      <c r="BG268" s="525">
        <f t="shared" si="757"/>
        <v>30287.109950719638</v>
      </c>
      <c r="BH268" s="525">
        <f t="shared" si="757"/>
        <v>32599.679904429853</v>
      </c>
      <c r="BI268" s="525">
        <f t="shared" si="757"/>
        <v>34610.187212150282</v>
      </c>
      <c r="BJ268" s="525">
        <f t="shared" si="757"/>
        <v>36350.390993177745</v>
      </c>
      <c r="BL268" s="578">
        <v>1936.4923302477</v>
      </c>
      <c r="BM268" s="578">
        <v>1981.9860001146701</v>
      </c>
      <c r="BN268" s="578"/>
      <c r="BO268" s="578"/>
    </row>
    <row r="269" spans="2:67" ht="12" customHeight="1" x14ac:dyDescent="0.35">
      <c r="B269" s="620" t="s">
        <v>574</v>
      </c>
      <c r="E269" s="578">
        <v>248</v>
      </c>
      <c r="F269" s="578">
        <v>207</v>
      </c>
      <c r="G269" s="578">
        <v>245</v>
      </c>
      <c r="H269" s="578">
        <v>700</v>
      </c>
      <c r="I269" s="578">
        <v>1266</v>
      </c>
      <c r="J269" s="578">
        <v>1665</v>
      </c>
      <c r="K269" s="578">
        <v>1284</v>
      </c>
      <c r="L269" s="578">
        <v>1273</v>
      </c>
      <c r="M269" s="578">
        <v>1561</v>
      </c>
      <c r="N269" s="578">
        <v>1585</v>
      </c>
      <c r="O269" s="578">
        <v>1276</v>
      </c>
      <c r="P269" s="578">
        <v>1451</v>
      </c>
      <c r="Q269" s="578">
        <v>1591</v>
      </c>
      <c r="R269" s="578">
        <v>1394</v>
      </c>
      <c r="S269" s="578">
        <v>1332</v>
      </c>
      <c r="T269" s="578">
        <v>1686</v>
      </c>
      <c r="U269" s="578">
        <v>1895</v>
      </c>
      <c r="V269" s="578">
        <v>2461</v>
      </c>
      <c r="W269" s="578">
        <v>6512</v>
      </c>
      <c r="X269" s="578">
        <v>3078</v>
      </c>
      <c r="Y269" s="578">
        <v>2987</v>
      </c>
      <c r="Z269" s="578">
        <f ca="1">AY269-W269-X269-Y269</f>
        <v>24914</v>
      </c>
      <c r="AA269" s="578">
        <v>3009</v>
      </c>
      <c r="AB269" s="578">
        <v>3517</v>
      </c>
      <c r="AC269" s="578">
        <v>3644</v>
      </c>
      <c r="AD269" s="578">
        <v>2721.4421850865401</v>
      </c>
      <c r="AE269" s="578">
        <v>3125</v>
      </c>
      <c r="AF269" s="578">
        <v>10542</v>
      </c>
      <c r="AG269" s="525">
        <f t="shared" ref="AG269:AG271" si="758">AG$266*(AC269/AC$266)</f>
        <v>4526.3578479131384</v>
      </c>
      <c r="AH269" s="525">
        <f t="shared" si="756"/>
        <v>3608.9516814449044</v>
      </c>
      <c r="AI269" s="525">
        <f t="shared" si="756"/>
        <v>3868.37196938342</v>
      </c>
      <c r="AJ269" s="525">
        <f t="shared" si="756"/>
        <v>13519.226675786967</v>
      </c>
      <c r="AK269" s="525">
        <f t="shared" si="756"/>
        <v>5602.7140579154975</v>
      </c>
      <c r="AL269" s="525">
        <f t="shared" si="756"/>
        <v>4374.7581591615972</v>
      </c>
      <c r="AM269" s="525">
        <f t="shared" si="756"/>
        <v>4685.7076096116807</v>
      </c>
      <c r="AN269" s="525">
        <f t="shared" si="756"/>
        <v>16585.127328771061</v>
      </c>
      <c r="AO269" s="525">
        <f t="shared" si="756"/>
        <v>6776.5045177487837</v>
      </c>
      <c r="AP269" s="525">
        <f t="shared" si="756"/>
        <v>5291.8612856219252</v>
      </c>
      <c r="AQ269" s="507" t="s">
        <v>458</v>
      </c>
      <c r="AR269" s="508" t="s">
        <v>465</v>
      </c>
      <c r="AS269" s="509"/>
      <c r="AT269" s="578">
        <v>795</v>
      </c>
      <c r="AU269" s="578">
        <f>G269+H269+I269+J269</f>
        <v>3876</v>
      </c>
      <c r="AV269" s="578">
        <f>K269+L269+M269+N269</f>
        <v>5703</v>
      </c>
      <c r="AW269" s="578">
        <f>O269+P269+Q269+R269</f>
        <v>5712</v>
      </c>
      <c r="AX269" s="578">
        <f>S269+T269+U269+V269</f>
        <v>7374</v>
      </c>
      <c r="AY269" s="578">
        <f ca="1">W269+X269+Y269+Z269</f>
        <v>37491</v>
      </c>
      <c r="AZ269" s="604">
        <f>SUM(AA269:AD269)</f>
        <v>12891.44218508654</v>
      </c>
      <c r="BA269" s="604">
        <f>SUM(AE269:AH269)</f>
        <v>21802.309529358045</v>
      </c>
      <c r="BB269" s="604">
        <f>SUM(AI269:AL269)</f>
        <v>27365.070862247481</v>
      </c>
      <c r="BC269" s="604">
        <f>SUM(AM269:AP269)</f>
        <v>33339.200741753448</v>
      </c>
      <c r="BD269" s="525">
        <f t="shared" ref="BD269:BJ269" si="759">BD$266*(BC269/BC$266)</f>
        <v>39426.606663550476</v>
      </c>
      <c r="BE269" s="525">
        <f t="shared" si="759"/>
        <v>45321.998310520401</v>
      </c>
      <c r="BF269" s="525">
        <f t="shared" si="759"/>
        <v>50760.764601377479</v>
      </c>
      <c r="BG269" s="525">
        <f t="shared" si="759"/>
        <v>55614.579951881176</v>
      </c>
      <c r="BH269" s="525">
        <f t="shared" si="759"/>
        <v>59861.026931939734</v>
      </c>
      <c r="BI269" s="525">
        <f t="shared" si="759"/>
        <v>63552.812631895649</v>
      </c>
      <c r="BJ269" s="525">
        <f t="shared" si="759"/>
        <v>66748.254602753557</v>
      </c>
      <c r="BL269" s="578">
        <v>2513.6988052387401</v>
      </c>
      <c r="BM269" s="578">
        <v>2558.5669316119402</v>
      </c>
      <c r="BN269" s="578"/>
      <c r="BO269" s="578"/>
    </row>
    <row r="270" spans="2:67" ht="12" customHeight="1" x14ac:dyDescent="0.35">
      <c r="B270" s="620" t="s">
        <v>575</v>
      </c>
      <c r="E270" s="578">
        <v>55</v>
      </c>
      <c r="F270" s="578">
        <v>43</v>
      </c>
      <c r="G270" s="578">
        <v>62</v>
      </c>
      <c r="H270" s="578">
        <v>173</v>
      </c>
      <c r="I270" s="578">
        <v>402</v>
      </c>
      <c r="J270" s="578">
        <v>598</v>
      </c>
      <c r="K270" s="578">
        <v>497</v>
      </c>
      <c r="L270" s="578">
        <v>403</v>
      </c>
      <c r="M270" s="578">
        <v>492</v>
      </c>
      <c r="N270" s="578">
        <v>571</v>
      </c>
      <c r="O270" s="578">
        <v>447</v>
      </c>
      <c r="P270" s="578">
        <v>478</v>
      </c>
      <c r="Q270" s="578">
        <v>386</v>
      </c>
      <c r="R270" s="578">
        <v>461</v>
      </c>
      <c r="S270" s="578">
        <v>396</v>
      </c>
      <c r="T270" s="578">
        <v>501</v>
      </c>
      <c r="U270" s="578">
        <v>469</v>
      </c>
      <c r="V270" s="578">
        <v>671</v>
      </c>
      <c r="W270" s="578">
        <v>2063</v>
      </c>
      <c r="X270" s="578">
        <v>746</v>
      </c>
      <c r="Y270" s="578">
        <v>838</v>
      </c>
      <c r="Z270" s="578">
        <f ca="1">AY270-W270-X270-Y270</f>
        <v>33844</v>
      </c>
      <c r="AA270" s="578">
        <v>862</v>
      </c>
      <c r="AB270" s="578">
        <v>990</v>
      </c>
      <c r="AC270" s="578">
        <v>961</v>
      </c>
      <c r="AD270" s="578">
        <v>1002.63659450557</v>
      </c>
      <c r="AE270" s="578">
        <v>738</v>
      </c>
      <c r="AF270" s="578">
        <v>2499</v>
      </c>
      <c r="AG270" s="525">
        <f t="shared" si="758"/>
        <v>1193.6964576960827</v>
      </c>
      <c r="AH270" s="525">
        <f t="shared" si="756"/>
        <v>1329.613777374442</v>
      </c>
      <c r="AI270" s="525">
        <f t="shared" si="756"/>
        <v>913.55472428958853</v>
      </c>
      <c r="AJ270" s="525">
        <f t="shared" si="756"/>
        <v>3204.7569211526875</v>
      </c>
      <c r="AK270" s="525">
        <f t="shared" si="756"/>
        <v>1477.554393429416</v>
      </c>
      <c r="AL270" s="525">
        <f t="shared" si="756"/>
        <v>1611.7530060069084</v>
      </c>
      <c r="AM270" s="525">
        <f t="shared" si="756"/>
        <v>1106.5767090858944</v>
      </c>
      <c r="AN270" s="525">
        <f t="shared" si="756"/>
        <v>3931.5341675772042</v>
      </c>
      <c r="AO270" s="525">
        <f t="shared" si="756"/>
        <v>1787.1078050374806</v>
      </c>
      <c r="AP270" s="525">
        <f t="shared" si="756"/>
        <v>1949.633105229135</v>
      </c>
      <c r="AQ270" s="507" t="s">
        <v>458</v>
      </c>
      <c r="AR270" s="508" t="s">
        <v>465</v>
      </c>
      <c r="AS270" s="509"/>
      <c r="AT270" s="578">
        <v>189</v>
      </c>
      <c r="AU270" s="578">
        <f>G270+H270+I270+J270</f>
        <v>1235</v>
      </c>
      <c r="AV270" s="578">
        <f>K270+L270+M270+N270</f>
        <v>1963</v>
      </c>
      <c r="AW270" s="578">
        <f>O270+P270+Q270+R270</f>
        <v>1772</v>
      </c>
      <c r="AX270" s="578">
        <f>S270+T270+U270+V270</f>
        <v>2037</v>
      </c>
      <c r="AY270" s="578">
        <f ca="1">W270+X270+Y270+Z270</f>
        <v>37491</v>
      </c>
      <c r="AZ270" s="604">
        <f>SUM(AA270:AD270)</f>
        <v>3815.63659450557</v>
      </c>
      <c r="BA270" s="604">
        <f>SUM(AE270:AH270)</f>
        <v>5760.3102350705249</v>
      </c>
      <c r="BB270" s="604">
        <f>SUM(AI270:AL270)</f>
        <v>7207.619044878601</v>
      </c>
      <c r="BC270" s="604">
        <f>SUM(AM270:AP270)</f>
        <v>8774.8517869297139</v>
      </c>
      <c r="BD270" s="525">
        <f t="shared" ref="BD270:BJ270" si="760">BD$266*(BC270/BC$266)</f>
        <v>10377.052305904657</v>
      </c>
      <c r="BE270" s="525">
        <f t="shared" si="760"/>
        <v>11928.714816616179</v>
      </c>
      <c r="BF270" s="525">
        <f t="shared" si="760"/>
        <v>13360.193887626154</v>
      </c>
      <c r="BG270" s="525">
        <f t="shared" si="760"/>
        <v>14637.714324654908</v>
      </c>
      <c r="BH270" s="525">
        <f t="shared" si="760"/>
        <v>15755.375877482807</v>
      </c>
      <c r="BI270" s="525">
        <f t="shared" si="760"/>
        <v>16727.051011423522</v>
      </c>
      <c r="BJ270" s="525">
        <f t="shared" si="760"/>
        <v>17568.088860687152</v>
      </c>
      <c r="BL270" s="578">
        <v>821.19615158938302</v>
      </c>
      <c r="BM270" s="578">
        <v>905.50855028129502</v>
      </c>
      <c r="BN270" s="578"/>
      <c r="BO270" s="578"/>
    </row>
    <row r="271" spans="2:67" ht="12" customHeight="1" x14ac:dyDescent="0.35">
      <c r="B271" s="620" t="s">
        <v>576</v>
      </c>
      <c r="E271" s="578">
        <v>130</v>
      </c>
      <c r="F271" s="578">
        <v>145</v>
      </c>
      <c r="G271" s="578">
        <v>173</v>
      </c>
      <c r="H271" s="578">
        <v>982</v>
      </c>
      <c r="I271" s="578">
        <v>1232</v>
      </c>
      <c r="J271" s="578">
        <v>1354</v>
      </c>
      <c r="K271" s="578">
        <v>1231</v>
      </c>
      <c r="L271" s="578">
        <v>982</v>
      </c>
      <c r="M271" s="578">
        <v>850</v>
      </c>
      <c r="N271" s="578">
        <v>1350</v>
      </c>
      <c r="O271" s="578">
        <v>1077</v>
      </c>
      <c r="P271" s="578">
        <v>1139</v>
      </c>
      <c r="Q271" s="578">
        <v>1177</v>
      </c>
      <c r="R271" s="578">
        <v>1225</v>
      </c>
      <c r="S271" s="578">
        <v>1163</v>
      </c>
      <c r="T271" s="578">
        <v>1130</v>
      </c>
      <c r="U271" s="578">
        <v>1423</v>
      </c>
      <c r="V271" s="578">
        <v>1443</v>
      </c>
      <c r="W271" s="578">
        <v>3987</v>
      </c>
      <c r="X271" s="578">
        <v>1653</v>
      </c>
      <c r="Y271" s="578">
        <v>1553</v>
      </c>
      <c r="Z271" s="578">
        <f ca="1">AY271-W271-X271-Y271</f>
        <v>30298</v>
      </c>
      <c r="AA271" s="578">
        <v>1497</v>
      </c>
      <c r="AB271" s="578">
        <v>1605</v>
      </c>
      <c r="AC271" s="578">
        <v>1540</v>
      </c>
      <c r="AD271" s="578">
        <v>1569.7799886550099</v>
      </c>
      <c r="AE271" s="578">
        <v>1918</v>
      </c>
      <c r="AF271" s="578">
        <v>6256</v>
      </c>
      <c r="AG271" s="525">
        <f t="shared" si="758"/>
        <v>1912.8954681081866</v>
      </c>
      <c r="AH271" s="525">
        <f t="shared" si="756"/>
        <v>2081.7124687052315</v>
      </c>
      <c r="AI271" s="525">
        <f t="shared" si="756"/>
        <v>2374.2519799287684</v>
      </c>
      <c r="AJ271" s="525">
        <f t="shared" si="756"/>
        <v>8022.7928366271362</v>
      </c>
      <c r="AK271" s="525">
        <f t="shared" si="756"/>
        <v>2367.7770716766918</v>
      </c>
      <c r="AL271" s="525">
        <f t="shared" si="756"/>
        <v>2523.4443160653527</v>
      </c>
      <c r="AM271" s="525">
        <f t="shared" si="756"/>
        <v>2875.8999024752657</v>
      </c>
      <c r="AN271" s="525">
        <f t="shared" si="756"/>
        <v>9842.2079841388513</v>
      </c>
      <c r="AO271" s="525">
        <f t="shared" si="756"/>
        <v>2863.8356084887828</v>
      </c>
      <c r="AP271" s="525">
        <f t="shared" si="756"/>
        <v>3052.446968901274</v>
      </c>
      <c r="AQ271" s="507" t="s">
        <v>458</v>
      </c>
      <c r="AR271" s="508" t="s">
        <v>465</v>
      </c>
      <c r="AS271" s="509"/>
      <c r="AT271" s="578">
        <v>706</v>
      </c>
      <c r="AU271" s="578">
        <f>G271+H271+I271+J271</f>
        <v>3741</v>
      </c>
      <c r="AV271" s="578">
        <f>K271+L271+M271+N271</f>
        <v>4413</v>
      </c>
      <c r="AW271" s="578">
        <f>O271+P271+Q271+R271</f>
        <v>4618</v>
      </c>
      <c r="AX271" s="578">
        <f>S271+T271+U271+V271</f>
        <v>5159</v>
      </c>
      <c r="AY271" s="578">
        <f ca="1">W271+X271+Y271+Z271</f>
        <v>37491</v>
      </c>
      <c r="AZ271" s="604">
        <f>SUM(AA271:AD271)</f>
        <v>6211.7799886550101</v>
      </c>
      <c r="BA271" s="604">
        <f>SUM(AE271:AH271)</f>
        <v>12168.607936813418</v>
      </c>
      <c r="BB271" s="604">
        <f>SUM(AI271:AL271)</f>
        <v>15288.26620429795</v>
      </c>
      <c r="BC271" s="604">
        <f>SUM(AM271:AP271)</f>
        <v>18634.390464004173</v>
      </c>
      <c r="BD271" s="525">
        <f t="shared" ref="BD271:BJ271" si="761">BD$266*(BC271/BC$266)</f>
        <v>22036.84452216619</v>
      </c>
      <c r="BE271" s="525">
        <f t="shared" si="761"/>
        <v>25331.975402442007</v>
      </c>
      <c r="BF271" s="525">
        <f t="shared" si="761"/>
        <v>28371.883152221017</v>
      </c>
      <c r="BG271" s="525">
        <f t="shared" si="761"/>
        <v>31084.842325480011</v>
      </c>
      <c r="BH271" s="525">
        <f t="shared" si="761"/>
        <v>33458.323073385334</v>
      </c>
      <c r="BI271" s="525">
        <f t="shared" si="761"/>
        <v>35521.785145415415</v>
      </c>
      <c r="BJ271" s="525">
        <f t="shared" si="761"/>
        <v>37307.824164505044</v>
      </c>
      <c r="BL271" s="578">
        <v>1571.9139761690501</v>
      </c>
      <c r="BM271" s="578">
        <v>1519.3889047712901</v>
      </c>
      <c r="BN271" s="578"/>
      <c r="BO271" s="578"/>
    </row>
    <row r="273" spans="2:67" ht="12" customHeight="1" x14ac:dyDescent="0.35">
      <c r="B273" s="598" t="s">
        <v>577</v>
      </c>
      <c r="E273" s="578">
        <v>123</v>
      </c>
      <c r="F273" s="578">
        <v>169</v>
      </c>
      <c r="G273" s="578">
        <v>234</v>
      </c>
      <c r="H273" s="578">
        <v>598</v>
      </c>
      <c r="I273" s="578">
        <v>614</v>
      </c>
      <c r="J273" s="578">
        <v>643</v>
      </c>
      <c r="K273" s="578">
        <v>647</v>
      </c>
      <c r="L273" s="578">
        <v>728</v>
      </c>
      <c r="M273" s="578">
        <v>813</v>
      </c>
      <c r="N273" s="578">
        <v>743</v>
      </c>
      <c r="O273" s="578">
        <v>1251</v>
      </c>
      <c r="P273" s="578">
        <v>1297</v>
      </c>
      <c r="Q273" s="578">
        <v>1261</v>
      </c>
      <c r="R273" s="578">
        <v>1313</v>
      </c>
      <c r="S273" s="578">
        <v>1986</v>
      </c>
      <c r="T273" s="578">
        <v>1748</v>
      </c>
      <c r="U273" s="578">
        <v>2057</v>
      </c>
      <c r="V273" s="578">
        <v>1329</v>
      </c>
      <c r="W273" s="578">
        <f>W283</f>
        <v>2104</v>
      </c>
      <c r="X273" s="578">
        <f>X283</f>
        <v>2611</v>
      </c>
      <c r="Y273" s="578">
        <f>Y283</f>
        <v>2809</v>
      </c>
      <c r="Z273" s="578">
        <f>Z283</f>
        <v>3203</v>
      </c>
      <c r="AA273" s="725">
        <v>3066</v>
      </c>
      <c r="AB273" s="725">
        <v>3006</v>
      </c>
      <c r="AC273" s="725">
        <v>3272</v>
      </c>
      <c r="AD273" s="725">
        <f t="shared" ref="AD273" si="762">AD283</f>
        <v>3748</v>
      </c>
      <c r="AE273" s="578">
        <v>2952</v>
      </c>
      <c r="AF273" s="578">
        <v>2888</v>
      </c>
      <c r="AG273" s="525">
        <f t="shared" ref="AG273" si="763">AC273</f>
        <v>3272</v>
      </c>
      <c r="AH273" s="525">
        <f t="shared" ref="AH273" si="764">AD273</f>
        <v>3748</v>
      </c>
      <c r="AI273" s="525">
        <f t="shared" ref="AI273" si="765">AE273</f>
        <v>2952</v>
      </c>
      <c r="AJ273" s="525">
        <f t="shared" ref="AJ273" si="766">AF273</f>
        <v>2888</v>
      </c>
      <c r="AK273" s="525">
        <f t="shared" ref="AK273" si="767">AG273</f>
        <v>3272</v>
      </c>
      <c r="AL273" s="525">
        <f t="shared" ref="AL273" si="768">AH273</f>
        <v>3748</v>
      </c>
      <c r="AM273" s="525">
        <f t="shared" ref="AM273" si="769">AI273</f>
        <v>2952</v>
      </c>
      <c r="AN273" s="525">
        <f t="shared" ref="AN273" si="770">AJ273</f>
        <v>2888</v>
      </c>
      <c r="AO273" s="525">
        <f t="shared" ref="AO273" si="771">AK273</f>
        <v>3272</v>
      </c>
      <c r="AP273" s="525">
        <f t="shared" ref="AP273" si="772">AL273</f>
        <v>3748</v>
      </c>
      <c r="AQ273" s="507" t="s">
        <v>458</v>
      </c>
      <c r="AR273" s="508" t="s">
        <v>465</v>
      </c>
      <c r="AS273" s="509"/>
      <c r="AT273" s="578">
        <v>315</v>
      </c>
      <c r="AU273" s="578">
        <f>G273+H273+I273+J273</f>
        <v>2089</v>
      </c>
      <c r="AV273" s="578">
        <f>K273+L273+M273+N273</f>
        <v>2931</v>
      </c>
      <c r="AW273" s="578">
        <f>O273+P273+Q273+R273</f>
        <v>5122</v>
      </c>
      <c r="AX273" s="578">
        <f>S273+T273+U273+V273</f>
        <v>7120</v>
      </c>
      <c r="AY273" s="578">
        <f>W273+X273+Y273+Z273</f>
        <v>10727</v>
      </c>
      <c r="AZ273" s="604">
        <f>SUM(AA273:AD273)</f>
        <v>13092</v>
      </c>
      <c r="BA273" s="604">
        <f>SUM(AE273:AH273)</f>
        <v>12860</v>
      </c>
      <c r="BB273" s="604">
        <f>SUM(AI273:AL273)</f>
        <v>12860</v>
      </c>
      <c r="BC273" s="604">
        <f>SUM(AM273:AP273)</f>
        <v>12860</v>
      </c>
      <c r="BD273" s="525">
        <f>BC273</f>
        <v>12860</v>
      </c>
      <c r="BE273" s="525">
        <f t="shared" ref="BE273:BJ275" si="773">BD273</f>
        <v>12860</v>
      </c>
      <c r="BF273" s="525">
        <f t="shared" si="773"/>
        <v>12860</v>
      </c>
      <c r="BG273" s="525">
        <f t="shared" si="773"/>
        <v>12860</v>
      </c>
      <c r="BH273" s="525">
        <f t="shared" si="773"/>
        <v>12860</v>
      </c>
      <c r="BI273" s="525">
        <f t="shared" si="773"/>
        <v>12860</v>
      </c>
      <c r="BJ273" s="525">
        <f t="shared" si="773"/>
        <v>12860</v>
      </c>
      <c r="BL273" s="725">
        <v>3748</v>
      </c>
      <c r="BM273" s="725">
        <v>3748</v>
      </c>
      <c r="BN273" s="578"/>
      <c r="BO273" s="578"/>
    </row>
    <row r="274" spans="2:67" ht="12" customHeight="1" x14ac:dyDescent="0.35">
      <c r="B274" s="598" t="s">
        <v>578</v>
      </c>
      <c r="E274" s="493">
        <v>0</v>
      </c>
      <c r="F274" s="493">
        <v>0</v>
      </c>
      <c r="G274" s="493">
        <v>0</v>
      </c>
      <c r="H274" s="493">
        <v>0</v>
      </c>
      <c r="I274" s="493">
        <v>0</v>
      </c>
      <c r="J274" s="493">
        <v>0</v>
      </c>
      <c r="K274" s="493">
        <v>0</v>
      </c>
      <c r="L274" s="493">
        <v>0</v>
      </c>
      <c r="M274" s="493">
        <v>455</v>
      </c>
      <c r="N274" s="493">
        <v>0</v>
      </c>
      <c r="O274" s="493">
        <v>0</v>
      </c>
      <c r="P274" s="493">
        <v>0</v>
      </c>
      <c r="Q274" s="493">
        <v>0</v>
      </c>
      <c r="R274" s="493">
        <v>0</v>
      </c>
      <c r="S274" s="493">
        <v>0</v>
      </c>
      <c r="T274" s="493">
        <v>0</v>
      </c>
      <c r="U274" s="493">
        <v>494</v>
      </c>
      <c r="V274" s="493">
        <v>0</v>
      </c>
      <c r="W274" s="645">
        <v>0</v>
      </c>
      <c r="X274" s="645">
        <v>0</v>
      </c>
      <c r="Y274" s="493">
        <v>0</v>
      </c>
      <c r="Z274" s="645">
        <v>0</v>
      </c>
      <c r="AA274" s="645">
        <v>0</v>
      </c>
      <c r="AB274" s="645">
        <v>576</v>
      </c>
      <c r="AC274" s="645">
        <v>0</v>
      </c>
      <c r="AD274" s="645">
        <v>0</v>
      </c>
      <c r="AE274" s="493">
        <v>0</v>
      </c>
      <c r="AF274" s="493">
        <v>0</v>
      </c>
      <c r="AG274" s="728">
        <v>0</v>
      </c>
      <c r="AH274" s="728">
        <v>0</v>
      </c>
      <c r="AI274" s="728">
        <v>0</v>
      </c>
      <c r="AJ274" s="728">
        <v>0</v>
      </c>
      <c r="AK274" s="728">
        <v>0</v>
      </c>
      <c r="AL274" s="728">
        <v>0</v>
      </c>
      <c r="AM274" s="728">
        <v>0</v>
      </c>
      <c r="AN274" s="728">
        <v>0</v>
      </c>
      <c r="AO274" s="728">
        <v>0</v>
      </c>
      <c r="AP274" s="728">
        <v>0</v>
      </c>
      <c r="AQ274" s="555" t="s">
        <v>458</v>
      </c>
      <c r="AR274" s="556" t="s">
        <v>465</v>
      </c>
      <c r="AT274" s="493">
        <v>0</v>
      </c>
      <c r="AU274" s="493">
        <f>G274+H274+I274+J274</f>
        <v>0</v>
      </c>
      <c r="AV274" s="493">
        <f>K274+L274+M274+N274</f>
        <v>455</v>
      </c>
      <c r="AW274" s="493">
        <f>O274+P274+Q274+R274</f>
        <v>0</v>
      </c>
      <c r="AX274" s="493">
        <f>S274+T274+U274+V274</f>
        <v>494</v>
      </c>
      <c r="AY274" s="493">
        <f>W274+X274+Y274+Z274</f>
        <v>0</v>
      </c>
      <c r="AZ274" s="645">
        <f>SUM(AA274:AD274)</f>
        <v>576</v>
      </c>
      <c r="BA274" s="645">
        <f>SUM(AE274:AH274)</f>
        <v>0</v>
      </c>
      <c r="BB274" s="645">
        <f>SUM(AI274:AL274)</f>
        <v>0</v>
      </c>
      <c r="BC274" s="645">
        <f>SUM(AM274:AP274)</f>
        <v>0</v>
      </c>
      <c r="BD274" s="525">
        <f>BC274</f>
        <v>0</v>
      </c>
      <c r="BE274" s="525">
        <f t="shared" si="773"/>
        <v>0</v>
      </c>
      <c r="BF274" s="525">
        <f t="shared" si="773"/>
        <v>0</v>
      </c>
      <c r="BG274" s="525">
        <f t="shared" si="773"/>
        <v>0</v>
      </c>
      <c r="BH274" s="525">
        <f t="shared" si="773"/>
        <v>0</v>
      </c>
      <c r="BI274" s="525">
        <f t="shared" si="773"/>
        <v>0</v>
      </c>
      <c r="BJ274" s="525">
        <f t="shared" si="773"/>
        <v>0</v>
      </c>
      <c r="BL274" s="645">
        <v>0</v>
      </c>
      <c r="BM274" s="645">
        <v>0</v>
      </c>
      <c r="BN274" s="493">
        <v>0</v>
      </c>
      <c r="BO274" s="493">
        <v>0</v>
      </c>
    </row>
    <row r="275" spans="2:67" ht="12" customHeight="1" x14ac:dyDescent="0.35">
      <c r="B275" s="598" t="s">
        <v>579</v>
      </c>
      <c r="E275" s="578">
        <v>394</v>
      </c>
      <c r="F275" s="578">
        <v>392</v>
      </c>
      <c r="G275" s="578">
        <v>423</v>
      </c>
      <c r="H275" s="578">
        <v>540</v>
      </c>
      <c r="I275" s="578">
        <v>654</v>
      </c>
      <c r="J275" s="578">
        <v>709</v>
      </c>
      <c r="K275" s="578">
        <v>782</v>
      </c>
      <c r="L275" s="578">
        <v>859</v>
      </c>
      <c r="M275" s="578">
        <v>1039</v>
      </c>
      <c r="N275" s="578">
        <v>1090</v>
      </c>
      <c r="O275" s="578">
        <v>1204</v>
      </c>
      <c r="P275" s="578">
        <v>1282</v>
      </c>
      <c r="Q275" s="578">
        <v>1352</v>
      </c>
      <c r="R275" s="578">
        <v>1446</v>
      </c>
      <c r="S275" s="578">
        <v>1606</v>
      </c>
      <c r="T275" s="578">
        <v>2013</v>
      </c>
      <c r="U275" s="578">
        <v>2521</v>
      </c>
      <c r="V275" s="578">
        <v>2649</v>
      </c>
      <c r="W275" s="578">
        <v>2857</v>
      </c>
      <c r="X275" s="604">
        <v>3555</v>
      </c>
      <c r="Y275" s="578">
        <v>4141</v>
      </c>
      <c r="Z275" s="604">
        <v>4409</v>
      </c>
      <c r="AA275" s="524">
        <f>9692-AB275</f>
        <v>4682</v>
      </c>
      <c r="AB275" s="524">
        <v>5010</v>
      </c>
      <c r="AC275" s="524">
        <v>5218</v>
      </c>
      <c r="AD275" s="524">
        <v>6333.94928666342</v>
      </c>
      <c r="AE275" s="578">
        <v>5667</v>
      </c>
      <c r="AF275" s="578">
        <v>6309</v>
      </c>
      <c r="AG275" s="525">
        <f t="shared" ref="AG275" si="774">AC275</f>
        <v>5218</v>
      </c>
      <c r="AH275" s="525">
        <f t="shared" ref="AH275" si="775">AD275</f>
        <v>6333.94928666342</v>
      </c>
      <c r="AI275" s="525">
        <f t="shared" ref="AI275" si="776">AE275</f>
        <v>5667</v>
      </c>
      <c r="AJ275" s="525">
        <f t="shared" ref="AJ275" si="777">AF275</f>
        <v>6309</v>
      </c>
      <c r="AK275" s="525">
        <f t="shared" ref="AK275" si="778">AG275</f>
        <v>5218</v>
      </c>
      <c r="AL275" s="525">
        <f t="shared" ref="AL275" si="779">AH275</f>
        <v>6333.94928666342</v>
      </c>
      <c r="AM275" s="525">
        <f t="shared" ref="AM275" si="780">AI275</f>
        <v>5667</v>
      </c>
      <c r="AN275" s="525">
        <f t="shared" ref="AN275" si="781">AJ275</f>
        <v>6309</v>
      </c>
      <c r="AO275" s="525">
        <f t="shared" ref="AO275" si="782">AK275</f>
        <v>5218</v>
      </c>
      <c r="AP275" s="525">
        <f t="shared" ref="AP275" si="783">AL275</f>
        <v>6333.94928666342</v>
      </c>
      <c r="AQ275" s="507" t="s">
        <v>458</v>
      </c>
      <c r="AR275" s="508" t="s">
        <v>465</v>
      </c>
      <c r="AS275" s="509"/>
      <c r="AT275" s="578">
        <v>1339</v>
      </c>
      <c r="AU275" s="578">
        <f>G275+H275+I275+J275</f>
        <v>2326</v>
      </c>
      <c r="AV275" s="578">
        <f>K275+L275+M275+N275</f>
        <v>3770</v>
      </c>
      <c r="AW275" s="578">
        <f>O275+P275+Q275+R275</f>
        <v>5284</v>
      </c>
      <c r="AX275" s="578">
        <f>S275+T275+U275+V275</f>
        <v>8789</v>
      </c>
      <c r="AY275" s="578">
        <f>W275+X275+Y275+Z275</f>
        <v>14962</v>
      </c>
      <c r="AZ275" s="604">
        <f>SUM(AA275:AD275)</f>
        <v>21243.949286663421</v>
      </c>
      <c r="BA275" s="604">
        <f>SUM(AE275:AH275)</f>
        <v>23527.949286663421</v>
      </c>
      <c r="BB275" s="604">
        <f>SUM(AI275:AL275)</f>
        <v>23527.949286663421</v>
      </c>
      <c r="BC275" s="604">
        <f>SUM(AM275:AP275)</f>
        <v>23527.949286663421</v>
      </c>
      <c r="BD275" s="525">
        <f>BC275</f>
        <v>23527.949286663421</v>
      </c>
      <c r="BE275" s="525">
        <f t="shared" si="773"/>
        <v>23527.949286663421</v>
      </c>
      <c r="BF275" s="525">
        <f t="shared" si="773"/>
        <v>23527.949286663421</v>
      </c>
      <c r="BG275" s="525">
        <f t="shared" si="773"/>
        <v>23527.949286663421</v>
      </c>
      <c r="BH275" s="525">
        <f t="shared" si="773"/>
        <v>23527.949286663421</v>
      </c>
      <c r="BI275" s="525">
        <f t="shared" si="773"/>
        <v>23527.949286663421</v>
      </c>
      <c r="BJ275" s="525">
        <f t="shared" si="773"/>
        <v>23527.949286663421</v>
      </c>
      <c r="BL275" s="524">
        <v>5334.89</v>
      </c>
      <c r="BM275" s="524">
        <v>5761.6812</v>
      </c>
      <c r="BN275" s="578"/>
      <c r="BO275" s="578"/>
    </row>
    <row r="277" spans="2:67" ht="12" customHeight="1" x14ac:dyDescent="0.35">
      <c r="B277" s="666" t="s">
        <v>580</v>
      </c>
    </row>
    <row r="278" spans="2:67" s="668" customFormat="1" ht="12" customHeight="1" x14ac:dyDescent="0.35">
      <c r="B278" s="667" t="s">
        <v>23</v>
      </c>
      <c r="E278" s="650">
        <f t="shared" ref="E278:V278" si="784">E258-E260-E262</f>
        <v>8357</v>
      </c>
      <c r="F278" s="650">
        <f t="shared" si="784"/>
        <v>5661</v>
      </c>
      <c r="G278" s="650">
        <f t="shared" si="784"/>
        <v>12438</v>
      </c>
      <c r="H278" s="650">
        <f t="shared" si="784"/>
        <v>3030</v>
      </c>
      <c r="I278" s="650">
        <f t="shared" si="784"/>
        <v>5983</v>
      </c>
      <c r="J278" s="650">
        <f t="shared" si="784"/>
        <v>2869</v>
      </c>
      <c r="K278" s="650">
        <f t="shared" si="784"/>
        <v>30816</v>
      </c>
      <c r="L278" s="650">
        <f t="shared" si="784"/>
        <v>22703</v>
      </c>
      <c r="M278" s="650">
        <f t="shared" si="784"/>
        <v>12456</v>
      </c>
      <c r="N278" s="650">
        <f t="shared" si="784"/>
        <v>5314</v>
      </c>
      <c r="O278" s="650">
        <f t="shared" si="784"/>
        <v>7142</v>
      </c>
      <c r="P278" s="650">
        <f t="shared" si="784"/>
        <v>7075</v>
      </c>
      <c r="Q278" s="650">
        <f t="shared" si="784"/>
        <v>17157</v>
      </c>
      <c r="R278" s="650">
        <f t="shared" si="784"/>
        <v>9852</v>
      </c>
      <c r="S278" s="650">
        <f t="shared" si="784"/>
        <v>14031</v>
      </c>
      <c r="T278" s="650">
        <f t="shared" si="784"/>
        <v>17408</v>
      </c>
      <c r="U278" s="650">
        <f t="shared" si="784"/>
        <v>23332</v>
      </c>
      <c r="V278" s="650">
        <f t="shared" si="784"/>
        <v>6641</v>
      </c>
      <c r="W278" s="650">
        <v>7650</v>
      </c>
      <c r="X278" s="650">
        <f>X258-X260-X262</f>
        <v>18241</v>
      </c>
      <c r="Y278" s="650">
        <f>Y258-Y260-Y262</f>
        <v>30964</v>
      </c>
      <c r="Z278" s="650">
        <f>Z258-Z260-Z262</f>
        <v>23379</v>
      </c>
      <c r="AA278" s="650">
        <f>AA258-AA260-AA262</f>
        <v>19122</v>
      </c>
      <c r="AB278" s="650">
        <f t="shared" ref="AB278:AP278" si="785">AB258-AB260-AB262</f>
        <v>70748</v>
      </c>
      <c r="AC278" s="650">
        <f t="shared" si="785"/>
        <v>50132</v>
      </c>
      <c r="AD278" s="650">
        <f t="shared" si="785"/>
        <v>348</v>
      </c>
      <c r="AE278" s="650">
        <f t="shared" si="785"/>
        <v>46437</v>
      </c>
      <c r="AF278" s="650">
        <v>26524</v>
      </c>
      <c r="AG278" s="650">
        <f t="shared" si="785"/>
        <v>55132.387081958848</v>
      </c>
      <c r="AH278" s="650">
        <f t="shared" si="785"/>
        <v>7881.4808589519816</v>
      </c>
      <c r="AI278" s="650">
        <f t="shared" si="785"/>
        <v>53028.31248911385</v>
      </c>
      <c r="AJ278" s="650">
        <f t="shared" si="785"/>
        <v>24111.343517695463</v>
      </c>
      <c r="AK278" s="650">
        <f t="shared" si="785"/>
        <v>60051.022715655694</v>
      </c>
      <c r="AL278" s="650">
        <f t="shared" si="785"/>
        <v>8239.903519326901</v>
      </c>
      <c r="AM278" s="650">
        <f t="shared" si="785"/>
        <v>58117.727527639814</v>
      </c>
      <c r="AN278" s="650">
        <f t="shared" si="785"/>
        <v>23258.637002995183</v>
      </c>
      <c r="AO278" s="650">
        <f t="shared" si="785"/>
        <v>66151.090842542384</v>
      </c>
      <c r="AP278" s="650">
        <f t="shared" si="785"/>
        <v>7863.0728252634326</v>
      </c>
      <c r="AQ278" s="649" t="s">
        <v>458</v>
      </c>
      <c r="AR278" s="729" t="s">
        <v>465</v>
      </c>
      <c r="AS278" s="730"/>
      <c r="AT278" s="650">
        <f t="shared" ref="AT278:AY278" si="786">AT258-AT260-AT262</f>
        <v>23403</v>
      </c>
      <c r="AU278" s="650">
        <f t="shared" si="786"/>
        <v>24320</v>
      </c>
      <c r="AV278" s="650">
        <f t="shared" si="786"/>
        <v>71289</v>
      </c>
      <c r="AW278" s="650">
        <f t="shared" si="786"/>
        <v>41226</v>
      </c>
      <c r="AX278" s="650">
        <f t="shared" si="786"/>
        <v>61412</v>
      </c>
      <c r="AY278" s="650">
        <f t="shared" si="786"/>
        <v>80234</v>
      </c>
      <c r="AZ278" s="650">
        <f t="shared" ref="AZ278" si="787">SUM(AA278:AD278)</f>
        <v>140350</v>
      </c>
      <c r="BA278" s="650">
        <f t="shared" ref="BA278" si="788">SUM(AE278:AH278)</f>
        <v>135974.86794091083</v>
      </c>
      <c r="BB278" s="650">
        <f t="shared" ref="BB278" si="789">SUM(AI278:AL278)</f>
        <v>145430.58224179191</v>
      </c>
      <c r="BC278" s="650">
        <f t="shared" ref="BC278" si="790">SUM(AM278:AP278)</f>
        <v>155390.52819844079</v>
      </c>
      <c r="BD278" s="650">
        <f t="shared" ref="BD278:BJ278" si="791">BD258-BD260-BD262</f>
        <v>176670.95158646867</v>
      </c>
      <c r="BE278" s="650">
        <f t="shared" si="791"/>
        <v>197024.47531659872</v>
      </c>
      <c r="BF278" s="650">
        <f t="shared" si="791"/>
        <v>215460.49738489831</v>
      </c>
      <c r="BG278" s="650">
        <f t="shared" si="791"/>
        <v>231490.0263038936</v>
      </c>
      <c r="BH278" s="650">
        <f t="shared" si="791"/>
        <v>245012.81378229163</v>
      </c>
      <c r="BI278" s="650">
        <f t="shared" si="791"/>
        <v>256201.85545358321</v>
      </c>
      <c r="BJ278" s="650">
        <f t="shared" si="791"/>
        <v>265252.19248444156</v>
      </c>
      <c r="BL278" s="650">
        <v>16565.8761392796</v>
      </c>
      <c r="BM278" s="650">
        <v>39964.1382115995</v>
      </c>
      <c r="BN278" s="650"/>
      <c r="BO278" s="650"/>
    </row>
    <row r="279" spans="2:67" s="668" customFormat="1" ht="12" customHeight="1" x14ac:dyDescent="0.35">
      <c r="B279" s="667"/>
      <c r="E279" s="650"/>
      <c r="F279" s="650"/>
      <c r="G279" s="650"/>
      <c r="H279" s="650"/>
      <c r="I279" s="650"/>
      <c r="J279" s="650"/>
      <c r="K279" s="650"/>
      <c r="L279" s="650"/>
      <c r="M279" s="650"/>
      <c r="N279" s="650"/>
      <c r="O279" s="650"/>
      <c r="P279" s="650"/>
      <c r="Q279" s="650"/>
      <c r="R279" s="650"/>
      <c r="S279" s="650"/>
      <c r="T279" s="650"/>
      <c r="U279" s="650"/>
      <c r="V279" s="650"/>
      <c r="W279" s="650"/>
      <c r="X279" s="650"/>
      <c r="Y279" s="650"/>
      <c r="Z279" s="650"/>
      <c r="AA279" s="650"/>
      <c r="AB279" s="650"/>
      <c r="AC279" s="650"/>
      <c r="AD279" s="650"/>
      <c r="AE279" s="650"/>
      <c r="AF279" s="650"/>
      <c r="AG279" s="650"/>
      <c r="AH279" s="650"/>
      <c r="AI279" s="650"/>
      <c r="AJ279" s="650"/>
      <c r="AK279" s="650"/>
      <c r="AL279" s="650"/>
      <c r="AM279" s="650"/>
      <c r="AN279" s="650"/>
      <c r="AO279" s="650"/>
      <c r="AP279" s="650"/>
      <c r="AQ279" s="649"/>
      <c r="AR279" s="729"/>
      <c r="AS279" s="730"/>
      <c r="AT279" s="650"/>
      <c r="AU279" s="650"/>
      <c r="AV279" s="650"/>
      <c r="AW279" s="650"/>
      <c r="AX279" s="650"/>
      <c r="AY279" s="650"/>
      <c r="AZ279" s="731"/>
      <c r="BA279" s="731"/>
      <c r="BB279" s="731"/>
      <c r="BC279" s="731"/>
      <c r="BD279" s="731"/>
      <c r="BE279" s="731"/>
      <c r="BF279" s="731"/>
      <c r="BG279" s="731"/>
      <c r="BH279" s="731"/>
      <c r="BI279" s="731"/>
      <c r="BJ279" s="731"/>
      <c r="BL279" s="650"/>
      <c r="BM279" s="650"/>
      <c r="BN279" s="650"/>
      <c r="BO279" s="650"/>
    </row>
    <row r="280" spans="2:67" s="648" customFormat="1" ht="12" customHeight="1" x14ac:dyDescent="0.35">
      <c r="B280" s="704" t="s">
        <v>581</v>
      </c>
      <c r="C280" s="709">
        <f t="shared" ref="C280:AA280" si="792">C282+C283+C284+C285+C286+C287+C288+C289+C290</f>
        <v>135</v>
      </c>
      <c r="D280" s="709">
        <f t="shared" si="792"/>
        <v>956</v>
      </c>
      <c r="E280" s="709">
        <f t="shared" si="792"/>
        <v>2106</v>
      </c>
      <c r="F280" s="709">
        <f t="shared" si="792"/>
        <v>1010</v>
      </c>
      <c r="G280" s="709">
        <f t="shared" si="792"/>
        <v>-5121</v>
      </c>
      <c r="H280" s="709">
        <f t="shared" si="792"/>
        <v>3778</v>
      </c>
      <c r="I280" s="709">
        <f t="shared" si="792"/>
        <v>7132</v>
      </c>
      <c r="J280" s="709">
        <f t="shared" si="792"/>
        <v>4872</v>
      </c>
      <c r="K280" s="709">
        <f t="shared" si="792"/>
        <v>-21320</v>
      </c>
      <c r="L280" s="709">
        <f t="shared" si="792"/>
        <v>-13451</v>
      </c>
      <c r="M280" s="709">
        <f t="shared" si="792"/>
        <v>3902</v>
      </c>
      <c r="N280" s="709">
        <f t="shared" si="792"/>
        <v>2321</v>
      </c>
      <c r="O280" s="709">
        <f t="shared" si="792"/>
        <v>5045</v>
      </c>
      <c r="P280" s="709">
        <f t="shared" si="792"/>
        <v>5874</v>
      </c>
      <c r="Q280" s="709">
        <f t="shared" si="792"/>
        <v>5334</v>
      </c>
      <c r="R280" s="709">
        <f t="shared" si="792"/>
        <v>588</v>
      </c>
      <c r="S280" s="709">
        <f t="shared" si="792"/>
        <v>5988</v>
      </c>
      <c r="T280" s="709">
        <f t="shared" si="792"/>
        <v>4681</v>
      </c>
      <c r="U280" s="709">
        <f t="shared" si="792"/>
        <v>3675</v>
      </c>
      <c r="V280" s="709">
        <f t="shared" si="792"/>
        <v>7458</v>
      </c>
      <c r="W280" s="709">
        <f t="shared" si="792"/>
        <v>12451</v>
      </c>
      <c r="X280" s="709">
        <f t="shared" si="792"/>
        <v>5212</v>
      </c>
      <c r="Y280" s="709">
        <f t="shared" si="792"/>
        <v>-1167</v>
      </c>
      <c r="Z280" s="709">
        <f t="shared" ca="1" si="792"/>
        <v>109150</v>
      </c>
      <c r="AA280" s="709">
        <f t="shared" si="792"/>
        <v>11827</v>
      </c>
      <c r="AB280" s="709">
        <f>AB282+AB283+AB284+AB285+AB286+AB287+AB288+AB289+AB290+AB291</f>
        <v>-37998</v>
      </c>
      <c r="AC280" s="709">
        <f t="shared" ref="AC280:AD280" si="793">AC282+AC283+AC284+AC285+AC286+AC287+AC288+AC289+AC290+AC291</f>
        <v>-3639</v>
      </c>
      <c r="AD280" s="709">
        <f t="shared" si="793"/>
        <v>10909.689960754051</v>
      </c>
      <c r="AE280" s="709">
        <f t="shared" ref="AE280:AP280" si="794">AE282+AE283+AE284+AE285+AE286+AE287+AE288+AE289+AE290</f>
        <v>-6963</v>
      </c>
      <c r="AF280" s="709">
        <f t="shared" si="794"/>
        <v>20564</v>
      </c>
      <c r="AG280" s="709">
        <f t="shared" si="794"/>
        <v>2089.9555294072088</v>
      </c>
      <c r="AH280" s="709">
        <f t="shared" si="794"/>
        <v>2982.2412669602709</v>
      </c>
      <c r="AI280" s="709">
        <f t="shared" si="794"/>
        <v>2818.236718013788</v>
      </c>
      <c r="AJ280" s="709">
        <f t="shared" si="794"/>
        <v>24874.974154039402</v>
      </c>
      <c r="AK280" s="709">
        <f t="shared" si="794"/>
        <v>5646.7626436548671</v>
      </c>
      <c r="AL280" s="709">
        <f t="shared" si="794"/>
        <v>5807.5214714778813</v>
      </c>
      <c r="AM280" s="709">
        <f t="shared" si="794"/>
        <v>4932.0749466093184</v>
      </c>
      <c r="AN280" s="709">
        <f t="shared" si="794"/>
        <v>32279.661758363938</v>
      </c>
      <c r="AO280" s="709">
        <f t="shared" si="794"/>
        <v>9249.9303990046537</v>
      </c>
      <c r="AP280" s="709">
        <f t="shared" si="794"/>
        <v>8623.9507516366357</v>
      </c>
      <c r="AQ280" s="2741"/>
      <c r="AR280" s="673" t="s">
        <v>465</v>
      </c>
      <c r="AS280" s="671"/>
      <c r="AT280" s="709">
        <f>AT282+AT283+AT284+AT285+AT286+AT287+AT288+AT289+AT290</f>
        <v>4207</v>
      </c>
      <c r="AU280" s="709">
        <f>G280+H280+I280+J280</f>
        <v>10661</v>
      </c>
      <c r="AV280" s="709">
        <f>K280+L280+M280+N280</f>
        <v>-28548</v>
      </c>
      <c r="AW280" s="709">
        <f>O280+P280+Q280+R280</f>
        <v>16841</v>
      </c>
      <c r="AX280" s="709">
        <f>S280+T280+U280+V280</f>
        <v>21802</v>
      </c>
      <c r="AY280" s="709">
        <f ca="1">W280+X280+Y280+Z280</f>
        <v>125646</v>
      </c>
      <c r="AZ280" s="709">
        <f>SUM(AA280:AD280)</f>
        <v>-18900.310039245949</v>
      </c>
      <c r="BA280" s="709">
        <f>SUM(AE280:AH280)</f>
        <v>18673.19679636748</v>
      </c>
      <c r="BB280" s="709">
        <f>SUM(AI280:AL280)</f>
        <v>39147.494987185943</v>
      </c>
      <c r="BC280" s="709">
        <f>SUM(AM280:AP280)</f>
        <v>55085.617855614546</v>
      </c>
      <c r="BD280" s="709">
        <f t="shared" ref="BD280:BJ280" si="795">BD282+BD283+BD284+BD285+BD286+BD287+BD288+BD289+BD290</f>
        <v>74769.815008060061</v>
      </c>
      <c r="BE280" s="709">
        <f t="shared" si="795"/>
        <v>90435.567763490355</v>
      </c>
      <c r="BF280" s="709">
        <f t="shared" si="795"/>
        <v>99460.615270274866</v>
      </c>
      <c r="BG280" s="709">
        <f t="shared" si="795"/>
        <v>111692.24655273574</v>
      </c>
      <c r="BH280" s="709">
        <f t="shared" si="795"/>
        <v>122052.40578723775</v>
      </c>
      <c r="BI280" s="709">
        <f t="shared" si="795"/>
        <v>130385.83600088488</v>
      </c>
      <c r="BJ280" s="709">
        <f t="shared" si="795"/>
        <v>137671.55862112352</v>
      </c>
      <c r="BL280" s="709">
        <v>9341.3012632448608</v>
      </c>
      <c r="BM280" s="709">
        <v>10713.450386779199</v>
      </c>
      <c r="BN280" s="709"/>
      <c r="BO280" s="709"/>
    </row>
    <row r="281" spans="2:67" s="648" customFormat="1" ht="12" customHeight="1" x14ac:dyDescent="0.35">
      <c r="B281" s="704"/>
      <c r="C281" s="709"/>
      <c r="D281" s="709"/>
      <c r="E281" s="709"/>
      <c r="F281" s="709"/>
      <c r="G281" s="709"/>
      <c r="H281" s="709"/>
      <c r="I281" s="709"/>
      <c r="J281" s="709"/>
      <c r="K281" s="709"/>
      <c r="L281" s="709"/>
      <c r="M281" s="709"/>
      <c r="N281" s="709"/>
      <c r="O281" s="709"/>
      <c r="P281" s="709"/>
      <c r="Q281" s="709"/>
      <c r="R281" s="709"/>
      <c r="S281" s="709"/>
      <c r="T281" s="709"/>
      <c r="U281" s="709"/>
      <c r="V281" s="709"/>
      <c r="W281" s="709"/>
      <c r="X281" s="709"/>
      <c r="Y281" s="709"/>
      <c r="Z281" s="709"/>
      <c r="AA281" s="709"/>
      <c r="AB281" s="709"/>
      <c r="AC281" s="709"/>
      <c r="AD281" s="709"/>
      <c r="AE281" s="709"/>
      <c r="AF281" s="709"/>
      <c r="AG281" s="709"/>
      <c r="AH281" s="709"/>
      <c r="AI281" s="709"/>
      <c r="AJ281" s="709"/>
      <c r="AK281" s="709"/>
      <c r="AL281" s="709"/>
      <c r="AM281" s="709"/>
      <c r="AN281" s="709"/>
      <c r="AO281" s="709"/>
      <c r="AP281" s="709"/>
      <c r="AQ281" s="2741"/>
      <c r="AR281" s="673"/>
      <c r="AS281" s="671"/>
      <c r="AT281" s="709"/>
      <c r="AU281" s="709"/>
      <c r="AV281" s="709"/>
      <c r="AW281" s="709"/>
      <c r="AX281" s="709"/>
      <c r="AY281" s="709"/>
      <c r="AZ281" s="709"/>
      <c r="BA281" s="709"/>
      <c r="BB281" s="709"/>
      <c r="BC281" s="709"/>
      <c r="BD281" s="709"/>
      <c r="BE281" s="709"/>
      <c r="BF281" s="709"/>
      <c r="BG281" s="709"/>
      <c r="BH281" s="709"/>
      <c r="BI281" s="709"/>
      <c r="BJ281" s="709"/>
      <c r="BL281" s="709"/>
      <c r="BM281" s="709"/>
      <c r="BN281" s="709"/>
      <c r="BO281" s="709"/>
    </row>
    <row r="282" spans="2:67" s="648" customFormat="1" ht="12" customHeight="1" x14ac:dyDescent="0.35">
      <c r="B282" s="701" t="s">
        <v>582</v>
      </c>
      <c r="C282" s="648">
        <v>396</v>
      </c>
      <c r="D282" s="648">
        <v>864</v>
      </c>
      <c r="E282" s="709">
        <v>659</v>
      </c>
      <c r="F282" s="709">
        <v>925</v>
      </c>
      <c r="G282" s="709">
        <v>1073</v>
      </c>
      <c r="H282" s="709">
        <v>3010</v>
      </c>
      <c r="I282" s="709">
        <v>4313</v>
      </c>
      <c r="J282" s="709">
        <v>4632</v>
      </c>
      <c r="K282" s="709">
        <v>3995</v>
      </c>
      <c r="L282" s="709">
        <v>3164</v>
      </c>
      <c r="M282" s="709">
        <v>4370</v>
      </c>
      <c r="N282" s="709">
        <v>4553</v>
      </c>
      <c r="O282" s="709">
        <v>3694</v>
      </c>
      <c r="P282" s="709">
        <v>4251</v>
      </c>
      <c r="Q282" s="709">
        <v>3744</v>
      </c>
      <c r="R282" s="709">
        <v>4306</v>
      </c>
      <c r="S282" s="709">
        <v>4019</v>
      </c>
      <c r="T282" s="709">
        <v>4686</v>
      </c>
      <c r="U282" s="709">
        <v>5115</v>
      </c>
      <c r="V282" s="709">
        <v>6255</v>
      </c>
      <c r="W282" s="709">
        <f>W266</f>
        <v>16378</v>
      </c>
      <c r="X282" s="709">
        <f>X266</f>
        <v>7043</v>
      </c>
      <c r="Y282" s="709">
        <f>Y266</f>
        <v>6960</v>
      </c>
      <c r="Z282" s="709">
        <f ca="1">Z266</f>
        <v>119583</v>
      </c>
      <c r="AA282" s="709">
        <f t="shared" ref="AA282:AD282" si="796">AA266</f>
        <v>7115</v>
      </c>
      <c r="AB282" s="709">
        <f t="shared" si="796"/>
        <v>8145</v>
      </c>
      <c r="AC282" s="709">
        <f t="shared" si="796"/>
        <v>7830</v>
      </c>
      <c r="AD282" s="709">
        <f t="shared" si="796"/>
        <v>7161.6899607540499</v>
      </c>
      <c r="AE282" s="709">
        <v>7715</v>
      </c>
      <c r="AF282" s="709">
        <v>24694</v>
      </c>
      <c r="AG282" s="709">
        <f>AG266</f>
        <v>9725.9555294072088</v>
      </c>
      <c r="AH282" s="709">
        <f t="shared" ref="AH282:AP282" si="797">AH266</f>
        <v>9497.2412669602709</v>
      </c>
      <c r="AI282" s="709">
        <f t="shared" si="797"/>
        <v>9550.236718013788</v>
      </c>
      <c r="AJ282" s="709">
        <f t="shared" si="797"/>
        <v>31667.974154039402</v>
      </c>
      <c r="AK282" s="709">
        <f t="shared" si="797"/>
        <v>12038.762643654867</v>
      </c>
      <c r="AL282" s="709">
        <f t="shared" si="797"/>
        <v>11512.521471477881</v>
      </c>
      <c r="AM282" s="709">
        <f t="shared" si="797"/>
        <v>11568.074946609318</v>
      </c>
      <c r="AN282" s="709">
        <f t="shared" si="797"/>
        <v>38849.661758363938</v>
      </c>
      <c r="AO282" s="709">
        <f t="shared" si="797"/>
        <v>14560.930399004656</v>
      </c>
      <c r="AP282" s="709">
        <f t="shared" si="797"/>
        <v>13925.950751636636</v>
      </c>
      <c r="AQ282" s="2741" t="s">
        <v>458</v>
      </c>
      <c r="AR282" s="729" t="s">
        <v>465</v>
      </c>
      <c r="AS282" s="730"/>
      <c r="AT282" s="709">
        <v>2844</v>
      </c>
      <c r="AU282" s="709">
        <f t="shared" ref="AU282:AU290" si="798">G282+H282+I282+J282</f>
        <v>13028</v>
      </c>
      <c r="AV282" s="709">
        <f t="shared" ref="AV282:AV290" si="799">K282+L282+M282+N282</f>
        <v>16082</v>
      </c>
      <c r="AW282" s="709">
        <f t="shared" ref="AW282:AW290" si="800">O282+P282+Q282+R282</f>
        <v>15995</v>
      </c>
      <c r="AX282" s="709">
        <f t="shared" ref="AX282:AX290" si="801">S282+T282+U282+V282</f>
        <v>20075</v>
      </c>
      <c r="AY282" s="709">
        <f t="shared" ref="AY282:AY290" ca="1" si="802">W282+X282+Y282+Z282</f>
        <v>149964</v>
      </c>
      <c r="AZ282" s="709">
        <f t="shared" ref="AZ282:AZ292" si="803">SUM(AA282:AD282)</f>
        <v>30251.689960754051</v>
      </c>
      <c r="BA282" s="709">
        <f t="shared" ref="BA282:BA292" si="804">SUM(AE282:AH282)</f>
        <v>51632.196796367476</v>
      </c>
      <c r="BB282" s="709">
        <f t="shared" ref="BB282:BB292" si="805">SUM(AI282:AL282)</f>
        <v>64769.494987185943</v>
      </c>
      <c r="BC282" s="709">
        <f t="shared" ref="BC282:BC292" si="806">SUM(AM282:AP282)</f>
        <v>78904.617855614546</v>
      </c>
      <c r="BD282" s="709">
        <f t="shared" ref="BD282:BJ282" si="807">BD266</f>
        <v>93311.815008060061</v>
      </c>
      <c r="BE282" s="709">
        <f t="shared" si="807"/>
        <v>107264.56776349035</v>
      </c>
      <c r="BF282" s="709">
        <f t="shared" si="807"/>
        <v>120136.61527027487</v>
      </c>
      <c r="BG282" s="709">
        <f t="shared" si="807"/>
        <v>131624.24655273574</v>
      </c>
      <c r="BH282" s="709">
        <f t="shared" si="807"/>
        <v>141674.40578723775</v>
      </c>
      <c r="BI282" s="709">
        <f t="shared" si="807"/>
        <v>150411.83600088488</v>
      </c>
      <c r="BJ282" s="709">
        <f t="shared" si="807"/>
        <v>157974.55862112352</v>
      </c>
      <c r="BL282" s="709">
        <v>6843.3012632448599</v>
      </c>
      <c r="BM282" s="709">
        <v>6965.4503867792</v>
      </c>
      <c r="BN282" s="709"/>
      <c r="BO282" s="709"/>
    </row>
    <row r="283" spans="2:67" s="648" customFormat="1" ht="12" customHeight="1" x14ac:dyDescent="0.35">
      <c r="B283" s="701" t="s">
        <v>577</v>
      </c>
      <c r="C283" s="648">
        <v>35</v>
      </c>
      <c r="D283" s="648">
        <v>39</v>
      </c>
      <c r="E283" s="709">
        <v>123</v>
      </c>
      <c r="F283" s="709">
        <v>118</v>
      </c>
      <c r="G283" s="709">
        <v>234</v>
      </c>
      <c r="H283" s="709">
        <v>598</v>
      </c>
      <c r="I283" s="709">
        <v>614</v>
      </c>
      <c r="J283" s="709">
        <v>643</v>
      </c>
      <c r="K283" s="709">
        <v>647</v>
      </c>
      <c r="L283" s="709">
        <v>728</v>
      </c>
      <c r="M283" s="709">
        <v>813</v>
      </c>
      <c r="N283" s="709">
        <v>743</v>
      </c>
      <c r="O283" s="709">
        <v>1251</v>
      </c>
      <c r="P283" s="709">
        <v>1297</v>
      </c>
      <c r="Q283" s="709">
        <v>1261</v>
      </c>
      <c r="R283" s="709">
        <v>1313</v>
      </c>
      <c r="S283" s="709">
        <v>1986</v>
      </c>
      <c r="T283" s="709">
        <v>1748</v>
      </c>
      <c r="U283" s="709">
        <v>2057</v>
      </c>
      <c r="V283" s="709">
        <v>1329</v>
      </c>
      <c r="W283" s="709">
        <v>2104</v>
      </c>
      <c r="X283" s="2766">
        <v>2611</v>
      </c>
      <c r="Y283" s="709">
        <v>2809</v>
      </c>
      <c r="Z283" s="2766">
        <v>3203</v>
      </c>
      <c r="AA283" s="2766">
        <v>3066</v>
      </c>
      <c r="AB283" s="2766">
        <v>3006</v>
      </c>
      <c r="AC283" s="2766">
        <f>AC273</f>
        <v>3272</v>
      </c>
      <c r="AD283" s="2766">
        <v>3748</v>
      </c>
      <c r="AE283" s="709">
        <v>2952</v>
      </c>
      <c r="AF283" s="709">
        <v>2888</v>
      </c>
      <c r="AG283" s="709">
        <f>AG273</f>
        <v>3272</v>
      </c>
      <c r="AH283" s="709">
        <f t="shared" ref="AH283:AP283" si="808">AH273</f>
        <v>3748</v>
      </c>
      <c r="AI283" s="709">
        <f t="shared" si="808"/>
        <v>2952</v>
      </c>
      <c r="AJ283" s="709">
        <f t="shared" si="808"/>
        <v>2888</v>
      </c>
      <c r="AK283" s="709">
        <f t="shared" si="808"/>
        <v>3272</v>
      </c>
      <c r="AL283" s="709">
        <f t="shared" si="808"/>
        <v>3748</v>
      </c>
      <c r="AM283" s="709">
        <f t="shared" si="808"/>
        <v>2952</v>
      </c>
      <c r="AN283" s="709">
        <f t="shared" si="808"/>
        <v>2888</v>
      </c>
      <c r="AO283" s="709">
        <f t="shared" si="808"/>
        <v>3272</v>
      </c>
      <c r="AP283" s="709">
        <f t="shared" si="808"/>
        <v>3748</v>
      </c>
      <c r="AQ283" s="2741" t="s">
        <v>458</v>
      </c>
      <c r="AR283" s="729" t="s">
        <v>465</v>
      </c>
      <c r="AS283" s="730"/>
      <c r="AT283" s="709">
        <v>315</v>
      </c>
      <c r="AU283" s="709">
        <f t="shared" si="798"/>
        <v>2089</v>
      </c>
      <c r="AV283" s="709">
        <f t="shared" si="799"/>
        <v>2931</v>
      </c>
      <c r="AW283" s="709">
        <f t="shared" si="800"/>
        <v>5122</v>
      </c>
      <c r="AX283" s="709">
        <f t="shared" si="801"/>
        <v>7120</v>
      </c>
      <c r="AY283" s="709">
        <f t="shared" si="802"/>
        <v>10727</v>
      </c>
      <c r="AZ283" s="2766">
        <f t="shared" si="803"/>
        <v>13092</v>
      </c>
      <c r="BA283" s="2766">
        <f t="shared" si="804"/>
        <v>12860</v>
      </c>
      <c r="BB283" s="2766">
        <f t="shared" si="805"/>
        <v>12860</v>
      </c>
      <c r="BC283" s="2766">
        <f t="shared" si="806"/>
        <v>12860</v>
      </c>
      <c r="BD283" s="709">
        <f t="shared" ref="BD283:BJ283" si="809">BD273</f>
        <v>12860</v>
      </c>
      <c r="BE283" s="709">
        <f t="shared" si="809"/>
        <v>12860</v>
      </c>
      <c r="BF283" s="709">
        <f t="shared" si="809"/>
        <v>12860</v>
      </c>
      <c r="BG283" s="709">
        <f t="shared" si="809"/>
        <v>12860</v>
      </c>
      <c r="BH283" s="709">
        <f t="shared" si="809"/>
        <v>12860</v>
      </c>
      <c r="BI283" s="709">
        <f t="shared" si="809"/>
        <v>12860</v>
      </c>
      <c r="BJ283" s="709">
        <f t="shared" si="809"/>
        <v>12860</v>
      </c>
      <c r="BL283" s="2766">
        <v>3748</v>
      </c>
      <c r="BM283" s="2766">
        <v>3748</v>
      </c>
      <c r="BN283" s="709"/>
      <c r="BO283" s="709"/>
    </row>
    <row r="284" spans="2:67" s="648" customFormat="1" ht="12" customHeight="1" x14ac:dyDescent="0.35">
      <c r="B284" s="701" t="s">
        <v>583</v>
      </c>
      <c r="C284" s="648">
        <v>16</v>
      </c>
      <c r="D284" s="648">
        <v>53</v>
      </c>
      <c r="E284" s="709">
        <v>55</v>
      </c>
      <c r="F284" s="709">
        <v>39</v>
      </c>
      <c r="G284" s="709"/>
      <c r="H284" s="709"/>
      <c r="I284" s="709">
        <v>1032</v>
      </c>
      <c r="J284" s="709"/>
      <c r="K284" s="709">
        <v>60</v>
      </c>
      <c r="L284" s="709">
        <v>645</v>
      </c>
      <c r="M284" s="709">
        <v>1611</v>
      </c>
      <c r="N284" s="709">
        <v>3</v>
      </c>
      <c r="O284" s="709">
        <v>77</v>
      </c>
      <c r="P284" s="709">
        <v>856</v>
      </c>
      <c r="Q284" s="709">
        <v>1476</v>
      </c>
      <c r="R284" s="709">
        <v>133</v>
      </c>
      <c r="S284" s="709">
        <v>952</v>
      </c>
      <c r="T284" s="709">
        <v>389</v>
      </c>
      <c r="U284" s="709">
        <v>19033</v>
      </c>
      <c r="V284" s="709">
        <v>89</v>
      </c>
      <c r="W284" s="709">
        <v>0</v>
      </c>
      <c r="X284" s="2766">
        <v>358</v>
      </c>
      <c r="Y284" s="709">
        <v>7552</v>
      </c>
      <c r="Z284" s="2766">
        <v>3450</v>
      </c>
      <c r="AA284" s="2766">
        <v>250</v>
      </c>
      <c r="AB284" s="2766">
        <v>19855</v>
      </c>
      <c r="AC284" s="2766">
        <v>4842</v>
      </c>
      <c r="AD284" s="2766">
        <v>0</v>
      </c>
      <c r="AE284" s="709">
        <v>103</v>
      </c>
      <c r="AF284" s="709">
        <v>5666</v>
      </c>
      <c r="AG284" s="709">
        <f t="shared" ref="AG284:AP284" si="810">H284+I284+J284+K284</f>
        <v>1092</v>
      </c>
      <c r="AH284" s="709">
        <f t="shared" si="810"/>
        <v>1737</v>
      </c>
      <c r="AI284" s="709">
        <f t="shared" si="810"/>
        <v>2316</v>
      </c>
      <c r="AJ284" s="709">
        <f t="shared" si="810"/>
        <v>2319</v>
      </c>
      <c r="AK284" s="709">
        <f t="shared" si="810"/>
        <v>2336</v>
      </c>
      <c r="AL284" s="709">
        <f t="shared" si="810"/>
        <v>2547</v>
      </c>
      <c r="AM284" s="709">
        <f t="shared" si="810"/>
        <v>2412</v>
      </c>
      <c r="AN284" s="709">
        <f t="shared" si="810"/>
        <v>2542</v>
      </c>
      <c r="AO284" s="709">
        <f t="shared" si="810"/>
        <v>3417</v>
      </c>
      <c r="AP284" s="709">
        <f t="shared" si="810"/>
        <v>2950</v>
      </c>
      <c r="AQ284" s="2741" t="s">
        <v>458</v>
      </c>
      <c r="AR284" s="729" t="s">
        <v>465</v>
      </c>
      <c r="AS284" s="730"/>
      <c r="AT284" s="709">
        <v>163</v>
      </c>
      <c r="AU284" s="709">
        <f t="shared" si="798"/>
        <v>1032</v>
      </c>
      <c r="AV284" s="709">
        <f t="shared" si="799"/>
        <v>2319</v>
      </c>
      <c r="AW284" s="709">
        <f t="shared" si="800"/>
        <v>2542</v>
      </c>
      <c r="AX284" s="709">
        <f t="shared" si="801"/>
        <v>20463</v>
      </c>
      <c r="AY284" s="709">
        <f t="shared" si="802"/>
        <v>11360</v>
      </c>
      <c r="AZ284" s="2766">
        <f t="shared" si="803"/>
        <v>24947</v>
      </c>
      <c r="BA284" s="2766">
        <f t="shared" si="804"/>
        <v>8598</v>
      </c>
      <c r="BB284" s="2766">
        <f t="shared" si="805"/>
        <v>9518</v>
      </c>
      <c r="BC284" s="2766">
        <f t="shared" si="806"/>
        <v>11321</v>
      </c>
      <c r="BD284" s="709">
        <f t="shared" ref="BD284" si="811">AE284+AF284+AG284+AH284</f>
        <v>8598</v>
      </c>
      <c r="BE284" s="709">
        <f t="shared" ref="BE284" si="812">AF284+AG284+AH284+AI284</f>
        <v>10811</v>
      </c>
      <c r="BF284" s="709">
        <f t="shared" ref="BF284" si="813">AG284+AH284+AI284+AJ284</f>
        <v>7464</v>
      </c>
      <c r="BG284" s="709">
        <f t="shared" ref="BG284" si="814">AH284+AI284+AJ284+AK284</f>
        <v>8708</v>
      </c>
      <c r="BH284" s="709">
        <f t="shared" ref="BH284" si="815">AI284+AJ284+AK284+AL284</f>
        <v>9518</v>
      </c>
      <c r="BI284" s="709">
        <f t="shared" ref="BI284" si="816">AJ284+AK284+AL284+AM284</f>
        <v>9614</v>
      </c>
      <c r="BJ284" s="709">
        <f t="shared" ref="BJ284" si="817">AK284+AL284+AM284+AN284</f>
        <v>9837</v>
      </c>
      <c r="BL284" s="2766">
        <v>0</v>
      </c>
      <c r="BM284" s="2766">
        <v>0</v>
      </c>
      <c r="BN284" s="709"/>
      <c r="BO284" s="709"/>
    </row>
    <row r="285" spans="2:67" s="648" customFormat="1" ht="12" customHeight="1" x14ac:dyDescent="0.35">
      <c r="B285" s="701" t="s">
        <v>584</v>
      </c>
      <c r="E285" s="709"/>
      <c r="F285" s="709"/>
      <c r="G285" s="709"/>
      <c r="H285" s="709"/>
      <c r="I285" s="709"/>
      <c r="J285" s="709"/>
      <c r="K285" s="709"/>
      <c r="L285" s="709"/>
      <c r="M285" s="709"/>
      <c r="N285" s="709"/>
      <c r="O285" s="709"/>
      <c r="P285" s="709"/>
      <c r="Q285" s="709"/>
      <c r="R285" s="709"/>
      <c r="S285" s="709"/>
      <c r="T285" s="709"/>
      <c r="U285" s="709"/>
      <c r="V285" s="709"/>
      <c r="W285" s="2766"/>
      <c r="X285" s="2766"/>
      <c r="Y285" s="2766"/>
      <c r="Z285" s="2766">
        <v>1679</v>
      </c>
      <c r="AA285" s="2766">
        <v>0</v>
      </c>
      <c r="AB285" s="2766">
        <v>0</v>
      </c>
      <c r="AC285" s="2766">
        <v>0</v>
      </c>
      <c r="AD285" s="2766">
        <v>0</v>
      </c>
      <c r="AE285" s="709">
        <v>0</v>
      </c>
      <c r="AF285" s="709">
        <v>0</v>
      </c>
      <c r="AG285" s="2719">
        <v>0</v>
      </c>
      <c r="AH285" s="2719">
        <v>0</v>
      </c>
      <c r="AI285" s="2719">
        <v>0</v>
      </c>
      <c r="AJ285" s="2719">
        <v>0</v>
      </c>
      <c r="AK285" s="2719">
        <v>0</v>
      </c>
      <c r="AL285" s="2719">
        <v>0</v>
      </c>
      <c r="AM285" s="2719">
        <v>0</v>
      </c>
      <c r="AN285" s="2719">
        <v>0</v>
      </c>
      <c r="AO285" s="2719">
        <v>0</v>
      </c>
      <c r="AP285" s="2719">
        <v>0</v>
      </c>
      <c r="AQ285" s="2741"/>
      <c r="AR285" s="729" t="s">
        <v>465</v>
      </c>
      <c r="AS285" s="730"/>
      <c r="AT285" s="709">
        <v>0</v>
      </c>
      <c r="AU285" s="709">
        <f t="shared" si="798"/>
        <v>0</v>
      </c>
      <c r="AV285" s="709">
        <f t="shared" si="799"/>
        <v>0</v>
      </c>
      <c r="AW285" s="709">
        <f t="shared" si="800"/>
        <v>0</v>
      </c>
      <c r="AX285" s="709">
        <f t="shared" si="801"/>
        <v>0</v>
      </c>
      <c r="AY285" s="709">
        <f t="shared" si="802"/>
        <v>1679</v>
      </c>
      <c r="AZ285" s="2766">
        <f t="shared" si="803"/>
        <v>0</v>
      </c>
      <c r="BA285" s="2766">
        <f t="shared" si="804"/>
        <v>0</v>
      </c>
      <c r="BB285" s="2766">
        <f t="shared" si="805"/>
        <v>0</v>
      </c>
      <c r="BC285" s="2766">
        <f t="shared" si="806"/>
        <v>0</v>
      </c>
      <c r="BD285" s="2719">
        <v>0</v>
      </c>
      <c r="BE285" s="2719">
        <v>0</v>
      </c>
      <c r="BF285" s="2719">
        <v>0</v>
      </c>
      <c r="BG285" s="2719">
        <v>0</v>
      </c>
      <c r="BH285" s="2719">
        <v>0</v>
      </c>
      <c r="BI285" s="2719">
        <v>0</v>
      </c>
      <c r="BJ285" s="2719">
        <v>0</v>
      </c>
      <c r="BL285" s="2766">
        <v>-1250</v>
      </c>
      <c r="BM285" s="2766">
        <v>0</v>
      </c>
      <c r="BN285" s="709"/>
      <c r="BO285" s="709"/>
    </row>
    <row r="286" spans="2:67" s="648" customFormat="1" ht="12" customHeight="1" x14ac:dyDescent="0.35">
      <c r="B286" s="701" t="s">
        <v>585</v>
      </c>
      <c r="C286" s="648">
        <v>-312</v>
      </c>
      <c r="D286" s="648">
        <v>0</v>
      </c>
      <c r="E286" s="709">
        <v>0</v>
      </c>
      <c r="F286" s="709">
        <v>-72</v>
      </c>
      <c r="G286" s="709">
        <v>-6428</v>
      </c>
      <c r="H286" s="709">
        <v>-60</v>
      </c>
      <c r="I286" s="709">
        <v>241</v>
      </c>
      <c r="J286" s="709">
        <v>-468</v>
      </c>
      <c r="K286" s="709">
        <v>-26088</v>
      </c>
      <c r="L286" s="709">
        <v>-18054</v>
      </c>
      <c r="M286" s="709">
        <v>-2959</v>
      </c>
      <c r="N286" s="709">
        <v>-3043</v>
      </c>
      <c r="O286" s="709">
        <v>-43</v>
      </c>
      <c r="P286" s="709">
        <v>-527</v>
      </c>
      <c r="Q286" s="709">
        <v>-1161</v>
      </c>
      <c r="R286" s="709">
        <v>-5603</v>
      </c>
      <c r="S286" s="709">
        <v>-1089</v>
      </c>
      <c r="T286" s="709">
        <v>-2297</v>
      </c>
      <c r="U286" s="709">
        <v>-22406</v>
      </c>
      <c r="V286" s="709">
        <v>-153</v>
      </c>
      <c r="W286" s="709">
        <v>-5408</v>
      </c>
      <c r="X286" s="2766">
        <v>-5297</v>
      </c>
      <c r="Y286" s="709">
        <v>-16859</v>
      </c>
      <c r="Z286" s="2766">
        <v>-19961</v>
      </c>
      <c r="AA286" s="2766">
        <v>1626</v>
      </c>
      <c r="AB286" s="2766">
        <v>291</v>
      </c>
      <c r="AC286" s="2766">
        <v>-17015</v>
      </c>
      <c r="AD286" s="2766">
        <v>0</v>
      </c>
      <c r="AE286" s="709">
        <v>-19030</v>
      </c>
      <c r="AF286" s="709">
        <v>-12721</v>
      </c>
      <c r="AG286" s="2719">
        <v>-12000</v>
      </c>
      <c r="AH286" s="2719">
        <v>-12000</v>
      </c>
      <c r="AI286" s="2719">
        <v>-12000</v>
      </c>
      <c r="AJ286" s="2719">
        <v>-12000</v>
      </c>
      <c r="AK286" s="2719">
        <v>-12000</v>
      </c>
      <c r="AL286" s="2719">
        <v>-12000</v>
      </c>
      <c r="AM286" s="2719">
        <v>-12000</v>
      </c>
      <c r="AN286" s="2719">
        <v>-12000</v>
      </c>
      <c r="AO286" s="2719">
        <v>-12000</v>
      </c>
      <c r="AP286" s="2719">
        <v>-12000</v>
      </c>
      <c r="AQ286" s="2741" t="s">
        <v>458</v>
      </c>
      <c r="AR286" s="729" t="s">
        <v>465</v>
      </c>
      <c r="AS286" s="730"/>
      <c r="AT286" s="709">
        <v>-384</v>
      </c>
      <c r="AU286" s="709">
        <f t="shared" si="798"/>
        <v>-6715</v>
      </c>
      <c r="AV286" s="709">
        <f t="shared" si="799"/>
        <v>-50144</v>
      </c>
      <c r="AW286" s="709">
        <f t="shared" si="800"/>
        <v>-7334</v>
      </c>
      <c r="AX286" s="709">
        <f t="shared" si="801"/>
        <v>-25945</v>
      </c>
      <c r="AY286" s="709">
        <f t="shared" si="802"/>
        <v>-47525</v>
      </c>
      <c r="AZ286" s="2766">
        <f t="shared" si="803"/>
        <v>-15098</v>
      </c>
      <c r="BA286" s="2766">
        <f t="shared" si="804"/>
        <v>-55751</v>
      </c>
      <c r="BB286" s="2766">
        <f t="shared" si="805"/>
        <v>-48000</v>
      </c>
      <c r="BC286" s="2766">
        <f t="shared" si="806"/>
        <v>-48000</v>
      </c>
      <c r="BD286" s="2719">
        <v>-40000</v>
      </c>
      <c r="BE286" s="2719">
        <f>BD286-500</f>
        <v>-40500</v>
      </c>
      <c r="BF286" s="2719">
        <f t="shared" ref="BF286:BJ286" si="818">BE286-500</f>
        <v>-41000</v>
      </c>
      <c r="BG286" s="2719">
        <f t="shared" si="818"/>
        <v>-41500</v>
      </c>
      <c r="BH286" s="2719">
        <f t="shared" si="818"/>
        <v>-42000</v>
      </c>
      <c r="BI286" s="2719">
        <f t="shared" si="818"/>
        <v>-42500</v>
      </c>
      <c r="BJ286" s="2719">
        <f t="shared" si="818"/>
        <v>-43000</v>
      </c>
      <c r="BL286" s="2766">
        <v>0</v>
      </c>
      <c r="BM286" s="2766">
        <v>0</v>
      </c>
      <c r="BN286" s="709"/>
      <c r="BO286" s="709"/>
    </row>
    <row r="287" spans="2:67" s="648" customFormat="1" ht="12" customHeight="1" x14ac:dyDescent="0.35">
      <c r="B287" s="701" t="s">
        <v>586</v>
      </c>
      <c r="E287" s="709"/>
      <c r="F287" s="709"/>
      <c r="G287" s="709"/>
      <c r="H287" s="709">
        <v>35</v>
      </c>
      <c r="I287" s="709">
        <v>66</v>
      </c>
      <c r="J287" s="709">
        <v>65</v>
      </c>
      <c r="K287" s="709">
        <v>66</v>
      </c>
      <c r="L287" s="709">
        <v>66</v>
      </c>
      <c r="M287" s="709">
        <v>67</v>
      </c>
      <c r="N287" s="709">
        <v>65</v>
      </c>
      <c r="O287" s="709">
        <v>66</v>
      </c>
      <c r="P287" s="709">
        <v>66</v>
      </c>
      <c r="Q287" s="709">
        <v>67</v>
      </c>
      <c r="R287" s="709">
        <v>65</v>
      </c>
      <c r="S287" s="709">
        <v>67</v>
      </c>
      <c r="T287" s="709">
        <v>66</v>
      </c>
      <c r="U287" s="709">
        <v>66</v>
      </c>
      <c r="V287" s="709">
        <v>65</v>
      </c>
      <c r="W287" s="709">
        <v>66</v>
      </c>
      <c r="X287" s="2766">
        <f>T287</f>
        <v>66</v>
      </c>
      <c r="Y287" s="709">
        <v>66</v>
      </c>
      <c r="Z287" s="2766">
        <v>66</v>
      </c>
      <c r="AA287" s="2803">
        <f>97-31</f>
        <v>66</v>
      </c>
      <c r="AB287" s="2803">
        <v>31</v>
      </c>
      <c r="AC287" s="2803"/>
      <c r="AD287" s="2803"/>
      <c r="AE287" s="709">
        <v>0</v>
      </c>
      <c r="AF287" s="709">
        <v>0</v>
      </c>
      <c r="AG287" s="2719">
        <v>0</v>
      </c>
      <c r="AH287" s="2719">
        <v>0</v>
      </c>
      <c r="AI287" s="2719">
        <v>0</v>
      </c>
      <c r="AJ287" s="2719">
        <v>0</v>
      </c>
      <c r="AK287" s="2719">
        <v>0</v>
      </c>
      <c r="AL287" s="2719">
        <v>0</v>
      </c>
      <c r="AM287" s="2719">
        <v>0</v>
      </c>
      <c r="AN287" s="2719">
        <v>0</v>
      </c>
      <c r="AO287" s="2719">
        <v>0</v>
      </c>
      <c r="AP287" s="2719">
        <v>0</v>
      </c>
      <c r="AQ287" s="2741" t="s">
        <v>458</v>
      </c>
      <c r="AR287" s="729" t="s">
        <v>465</v>
      </c>
      <c r="AS287" s="730"/>
      <c r="AT287" s="709">
        <v>0</v>
      </c>
      <c r="AU287" s="709">
        <f t="shared" si="798"/>
        <v>166</v>
      </c>
      <c r="AV287" s="709">
        <f t="shared" si="799"/>
        <v>264</v>
      </c>
      <c r="AW287" s="709">
        <f t="shared" si="800"/>
        <v>264</v>
      </c>
      <c r="AX287" s="709">
        <f t="shared" si="801"/>
        <v>264</v>
      </c>
      <c r="AY287" s="709">
        <f t="shared" si="802"/>
        <v>264</v>
      </c>
      <c r="AZ287" s="2766">
        <f t="shared" si="803"/>
        <v>97</v>
      </c>
      <c r="BA287" s="2766">
        <f t="shared" si="804"/>
        <v>0</v>
      </c>
      <c r="BB287" s="2766">
        <f t="shared" si="805"/>
        <v>0</v>
      </c>
      <c r="BC287" s="2766">
        <f t="shared" si="806"/>
        <v>0</v>
      </c>
      <c r="BD287" s="2719">
        <v>0</v>
      </c>
      <c r="BE287" s="2719">
        <v>0</v>
      </c>
      <c r="BF287" s="2719">
        <v>0</v>
      </c>
      <c r="BG287" s="2719">
        <v>0</v>
      </c>
      <c r="BH287" s="2719">
        <v>0</v>
      </c>
      <c r="BI287" s="2719">
        <v>0</v>
      </c>
      <c r="BJ287" s="2719">
        <v>0</v>
      </c>
      <c r="BL287" s="2803"/>
      <c r="BM287" s="2803"/>
      <c r="BN287" s="709"/>
      <c r="BO287" s="709"/>
    </row>
    <row r="288" spans="2:67" s="648" customFormat="1" ht="12" customHeight="1" x14ac:dyDescent="0.35">
      <c r="B288" s="701" t="s">
        <v>587</v>
      </c>
      <c r="E288" s="709"/>
      <c r="F288" s="709"/>
      <c r="G288" s="709"/>
      <c r="H288" s="709">
        <v>195</v>
      </c>
      <c r="I288" s="709">
        <v>36</v>
      </c>
      <c r="J288" s="709"/>
      <c r="K288" s="709"/>
      <c r="L288" s="709"/>
      <c r="M288" s="709"/>
      <c r="N288" s="709"/>
      <c r="O288" s="709"/>
      <c r="P288" s="709"/>
      <c r="Q288" s="709"/>
      <c r="R288" s="709"/>
      <c r="S288" s="709"/>
      <c r="T288" s="709"/>
      <c r="U288" s="709"/>
      <c r="V288" s="709"/>
      <c r="W288" s="2719"/>
      <c r="X288" s="2719"/>
      <c r="Y288" s="2719"/>
      <c r="Z288" s="2719"/>
      <c r="AA288" s="2719"/>
      <c r="AB288" s="2719"/>
      <c r="AC288" s="2719"/>
      <c r="AD288" s="2719"/>
      <c r="AE288" s="709"/>
      <c r="AF288" s="709"/>
      <c r="AG288" s="709"/>
      <c r="AH288" s="709"/>
      <c r="AI288" s="709"/>
      <c r="AJ288" s="709"/>
      <c r="AK288" s="709"/>
      <c r="AL288" s="709"/>
      <c r="AM288" s="709"/>
      <c r="AN288" s="709"/>
      <c r="AO288" s="709"/>
      <c r="AP288" s="709"/>
      <c r="AQ288" s="2741"/>
      <c r="AR288" s="729" t="s">
        <v>465</v>
      </c>
      <c r="AS288" s="730"/>
      <c r="AT288" s="709">
        <v>0</v>
      </c>
      <c r="AU288" s="709">
        <f t="shared" si="798"/>
        <v>231</v>
      </c>
      <c r="AV288" s="709">
        <f t="shared" si="799"/>
        <v>0</v>
      </c>
      <c r="AW288" s="709">
        <f t="shared" si="800"/>
        <v>0</v>
      </c>
      <c r="AX288" s="709">
        <f t="shared" si="801"/>
        <v>0</v>
      </c>
      <c r="AY288" s="709">
        <f t="shared" si="802"/>
        <v>0</v>
      </c>
      <c r="AZ288" s="2766">
        <f t="shared" si="803"/>
        <v>0</v>
      </c>
      <c r="BA288" s="2766">
        <f t="shared" si="804"/>
        <v>0</v>
      </c>
      <c r="BB288" s="2766">
        <f t="shared" si="805"/>
        <v>0</v>
      </c>
      <c r="BC288" s="2766">
        <f t="shared" si="806"/>
        <v>0</v>
      </c>
      <c r="BD288" s="2719">
        <v>0</v>
      </c>
      <c r="BE288" s="2719">
        <v>0</v>
      </c>
      <c r="BF288" s="2719">
        <v>0</v>
      </c>
      <c r="BG288" s="2719">
        <v>0</v>
      </c>
      <c r="BH288" s="2719">
        <v>0</v>
      </c>
      <c r="BI288" s="2719">
        <v>0</v>
      </c>
      <c r="BJ288" s="2719">
        <v>0</v>
      </c>
      <c r="BL288" s="2719"/>
      <c r="BM288" s="2719"/>
      <c r="BN288" s="709"/>
      <c r="BO288" s="709"/>
    </row>
    <row r="289" spans="2:67" s="648" customFormat="1" ht="12" customHeight="1" x14ac:dyDescent="0.35">
      <c r="B289" s="701" t="s">
        <v>588</v>
      </c>
      <c r="E289" s="709">
        <v>1269</v>
      </c>
      <c r="F289" s="709"/>
      <c r="G289" s="709"/>
      <c r="H289" s="709"/>
      <c r="I289" s="709"/>
      <c r="J289" s="709"/>
      <c r="K289" s="709"/>
      <c r="L289" s="709"/>
      <c r="M289" s="709"/>
      <c r="N289" s="709"/>
      <c r="O289" s="709"/>
      <c r="P289" s="709">
        <v>-69</v>
      </c>
      <c r="Q289" s="709">
        <v>-53</v>
      </c>
      <c r="R289" s="709">
        <v>374</v>
      </c>
      <c r="S289" s="709">
        <v>-39</v>
      </c>
      <c r="T289" s="709">
        <v>89</v>
      </c>
      <c r="U289" s="709">
        <v>-190</v>
      </c>
      <c r="V289" s="709">
        <v>-127</v>
      </c>
      <c r="W289" s="709">
        <v>-689</v>
      </c>
      <c r="X289" s="2766">
        <v>431</v>
      </c>
      <c r="Y289" s="709">
        <v>-1695</v>
      </c>
      <c r="Z289" s="2766">
        <v>1130</v>
      </c>
      <c r="AA289" s="2766">
        <f>-397+101</f>
        <v>-296</v>
      </c>
      <c r="AB289" s="2766">
        <v>-101</v>
      </c>
      <c r="AC289" s="2766">
        <v>-232</v>
      </c>
      <c r="AD289" s="2766"/>
      <c r="AE289" s="709">
        <v>1297</v>
      </c>
      <c r="AF289" s="709">
        <v>37</v>
      </c>
      <c r="AG289" s="2719">
        <v>0</v>
      </c>
      <c r="AH289" s="2719">
        <v>0</v>
      </c>
      <c r="AI289" s="2719">
        <v>0</v>
      </c>
      <c r="AJ289" s="2719">
        <v>0</v>
      </c>
      <c r="AK289" s="2719">
        <v>0</v>
      </c>
      <c r="AL289" s="2719">
        <v>0</v>
      </c>
      <c r="AM289" s="2719">
        <v>0</v>
      </c>
      <c r="AN289" s="2719">
        <v>0</v>
      </c>
      <c r="AO289" s="2719">
        <v>0</v>
      </c>
      <c r="AP289" s="2719">
        <v>0</v>
      </c>
      <c r="AQ289" s="2741" t="s">
        <v>458</v>
      </c>
      <c r="AR289" s="729" t="s">
        <v>465</v>
      </c>
      <c r="AS289" s="730"/>
      <c r="AT289" s="709">
        <v>1269</v>
      </c>
      <c r="AU289" s="709">
        <f t="shared" si="798"/>
        <v>0</v>
      </c>
      <c r="AV289" s="709">
        <f t="shared" si="799"/>
        <v>0</v>
      </c>
      <c r="AW289" s="709">
        <f t="shared" si="800"/>
        <v>252</v>
      </c>
      <c r="AX289" s="709">
        <f t="shared" si="801"/>
        <v>-267</v>
      </c>
      <c r="AY289" s="709">
        <f t="shared" si="802"/>
        <v>-823</v>
      </c>
      <c r="AZ289" s="2766">
        <f t="shared" si="803"/>
        <v>-629</v>
      </c>
      <c r="BA289" s="2766">
        <f t="shared" si="804"/>
        <v>1334</v>
      </c>
      <c r="BB289" s="2766">
        <f t="shared" si="805"/>
        <v>0</v>
      </c>
      <c r="BC289" s="2766">
        <f t="shared" si="806"/>
        <v>0</v>
      </c>
      <c r="BD289" s="2719">
        <v>0</v>
      </c>
      <c r="BE289" s="2719">
        <v>0</v>
      </c>
      <c r="BF289" s="2719">
        <v>0</v>
      </c>
      <c r="BG289" s="2719">
        <v>0</v>
      </c>
      <c r="BH289" s="2719">
        <v>0</v>
      </c>
      <c r="BI289" s="2719">
        <v>0</v>
      </c>
      <c r="BJ289" s="2719">
        <v>0</v>
      </c>
      <c r="BL289" s="2766"/>
      <c r="BM289" s="2766"/>
      <c r="BN289" s="709"/>
      <c r="BO289" s="709"/>
    </row>
    <row r="290" spans="2:67" s="648" customFormat="1" ht="12" customHeight="1" x14ac:dyDescent="0.35">
      <c r="B290" s="701" t="s">
        <v>589</v>
      </c>
      <c r="E290" s="709"/>
      <c r="F290" s="709"/>
      <c r="G290" s="709"/>
      <c r="H290" s="709"/>
      <c r="I290" s="709">
        <v>830</v>
      </c>
      <c r="J290" s="709"/>
      <c r="K290" s="709"/>
      <c r="L290" s="709"/>
      <c r="M290" s="709"/>
      <c r="N290" s="709"/>
      <c r="O290" s="709"/>
      <c r="P290" s="709"/>
      <c r="Q290" s="709"/>
      <c r="R290" s="709"/>
      <c r="S290" s="709">
        <v>92</v>
      </c>
      <c r="T290" s="709"/>
      <c r="U290" s="709"/>
      <c r="V290" s="709"/>
      <c r="W290" s="2719"/>
      <c r="X290" s="2719"/>
      <c r="Y290" s="2719"/>
      <c r="Z290" s="2719"/>
      <c r="AA290" s="2719"/>
      <c r="AB290" s="2719"/>
      <c r="AC290" s="2719"/>
      <c r="AD290" s="2719"/>
      <c r="AE290" s="709"/>
      <c r="AF290" s="709"/>
      <c r="AG290" s="709"/>
      <c r="AH290" s="709"/>
      <c r="AI290" s="709"/>
      <c r="AJ290" s="709"/>
      <c r="AK290" s="709"/>
      <c r="AL290" s="709"/>
      <c r="AM290" s="709"/>
      <c r="AN290" s="709"/>
      <c r="AO290" s="709"/>
      <c r="AP290" s="709"/>
      <c r="AQ290" s="2741"/>
      <c r="AR290" s="729" t="s">
        <v>465</v>
      </c>
      <c r="AS290" s="730"/>
      <c r="AT290" s="709">
        <v>0</v>
      </c>
      <c r="AU290" s="709">
        <f t="shared" si="798"/>
        <v>830</v>
      </c>
      <c r="AV290" s="709">
        <f t="shared" si="799"/>
        <v>0</v>
      </c>
      <c r="AW290" s="709">
        <f t="shared" si="800"/>
        <v>0</v>
      </c>
      <c r="AX290" s="709">
        <f t="shared" si="801"/>
        <v>92</v>
      </c>
      <c r="AY290" s="709">
        <f t="shared" si="802"/>
        <v>0</v>
      </c>
      <c r="AZ290" s="2766">
        <f t="shared" si="803"/>
        <v>0</v>
      </c>
      <c r="BA290" s="2766">
        <f t="shared" si="804"/>
        <v>0</v>
      </c>
      <c r="BB290" s="2766">
        <f t="shared" si="805"/>
        <v>0</v>
      </c>
      <c r="BC290" s="2766">
        <f t="shared" si="806"/>
        <v>0</v>
      </c>
      <c r="BD290" s="2719">
        <v>0</v>
      </c>
      <c r="BE290" s="2719">
        <v>0</v>
      </c>
      <c r="BF290" s="2719">
        <v>0</v>
      </c>
      <c r="BG290" s="2719">
        <v>0</v>
      </c>
      <c r="BH290" s="2719">
        <v>0</v>
      </c>
      <c r="BI290" s="2719">
        <v>0</v>
      </c>
      <c r="BJ290" s="2719">
        <v>0</v>
      </c>
      <c r="BL290" s="2719"/>
      <c r="BM290" s="2719"/>
      <c r="BN290" s="709"/>
      <c r="BO290" s="709"/>
    </row>
    <row r="291" spans="2:67" s="648" customFormat="1" ht="12" customHeight="1" x14ac:dyDescent="0.35">
      <c r="B291" s="701" t="s">
        <v>590</v>
      </c>
      <c r="E291" s="709"/>
      <c r="F291" s="709"/>
      <c r="G291" s="709"/>
      <c r="H291" s="709"/>
      <c r="I291" s="709"/>
      <c r="J291" s="709"/>
      <c r="K291" s="709"/>
      <c r="L291" s="709"/>
      <c r="M291" s="709"/>
      <c r="N291" s="709"/>
      <c r="O291" s="709"/>
      <c r="P291" s="709"/>
      <c r="Q291" s="709"/>
      <c r="R291" s="709"/>
      <c r="S291" s="709"/>
      <c r="T291" s="709"/>
      <c r="U291" s="709"/>
      <c r="V291" s="709"/>
      <c r="W291" s="709">
        <v>0</v>
      </c>
      <c r="X291" s="709">
        <v>0</v>
      </c>
      <c r="Y291" s="709"/>
      <c r="Z291" s="709"/>
      <c r="AA291" s="709">
        <v>0</v>
      </c>
      <c r="AB291" s="709">
        <v>-69225</v>
      </c>
      <c r="AC291" s="709">
        <v>-2336</v>
      </c>
      <c r="AD291" s="2719"/>
      <c r="AE291" s="709"/>
      <c r="AF291" s="709">
        <v>0</v>
      </c>
      <c r="AG291" s="2719">
        <v>0</v>
      </c>
      <c r="AH291" s="2719">
        <v>0</v>
      </c>
      <c r="AI291" s="2719">
        <v>0</v>
      </c>
      <c r="AJ291" s="2719">
        <v>0</v>
      </c>
      <c r="AK291" s="2719">
        <v>0</v>
      </c>
      <c r="AL291" s="2719">
        <v>0</v>
      </c>
      <c r="AM291" s="2719">
        <v>0</v>
      </c>
      <c r="AN291" s="2719">
        <v>0</v>
      </c>
      <c r="AO291" s="2719">
        <v>0</v>
      </c>
      <c r="AP291" s="2719">
        <v>0</v>
      </c>
      <c r="AQ291" s="2741"/>
      <c r="AR291" s="729"/>
      <c r="AS291" s="730"/>
      <c r="AT291" s="709"/>
      <c r="AU291" s="709"/>
      <c r="AV291" s="709"/>
      <c r="AW291" s="709"/>
      <c r="AX291" s="709"/>
      <c r="AY291" s="709"/>
      <c r="AZ291" s="2766">
        <f t="shared" si="803"/>
        <v>-71561</v>
      </c>
      <c r="BA291" s="2766">
        <f t="shared" si="804"/>
        <v>0</v>
      </c>
      <c r="BB291" s="2766">
        <f t="shared" si="805"/>
        <v>0</v>
      </c>
      <c r="BC291" s="2766">
        <f t="shared" si="806"/>
        <v>0</v>
      </c>
      <c r="BD291" s="2719">
        <v>0</v>
      </c>
      <c r="BE291" s="2719">
        <v>0</v>
      </c>
      <c r="BF291" s="2719">
        <v>0</v>
      </c>
      <c r="BG291" s="2719">
        <v>0</v>
      </c>
      <c r="BH291" s="2719">
        <v>0</v>
      </c>
      <c r="BI291" s="2719">
        <v>0</v>
      </c>
      <c r="BJ291" s="2719">
        <v>0</v>
      </c>
      <c r="BL291" s="2719"/>
      <c r="BM291" s="2719"/>
      <c r="BN291" s="709"/>
      <c r="BO291" s="709"/>
    </row>
    <row r="292" spans="2:67" s="668" customFormat="1" ht="12" customHeight="1" x14ac:dyDescent="0.35">
      <c r="B292" s="667" t="s">
        <v>544</v>
      </c>
      <c r="E292" s="650">
        <f t="shared" ref="E292:V292" si="819">E278+E280</f>
        <v>10463</v>
      </c>
      <c r="F292" s="650">
        <f t="shared" si="819"/>
        <v>6671</v>
      </c>
      <c r="G292" s="650">
        <f t="shared" si="819"/>
        <v>7317</v>
      </c>
      <c r="H292" s="650">
        <f t="shared" si="819"/>
        <v>6808</v>
      </c>
      <c r="I292" s="650">
        <f t="shared" si="819"/>
        <v>13115</v>
      </c>
      <c r="J292" s="650">
        <f t="shared" si="819"/>
        <v>7741</v>
      </c>
      <c r="K292" s="650">
        <f t="shared" si="819"/>
        <v>9496</v>
      </c>
      <c r="L292" s="650">
        <f t="shared" si="819"/>
        <v>9252</v>
      </c>
      <c r="M292" s="650">
        <f t="shared" si="819"/>
        <v>16358</v>
      </c>
      <c r="N292" s="650">
        <f t="shared" si="819"/>
        <v>7635</v>
      </c>
      <c r="O292" s="650">
        <f t="shared" si="819"/>
        <v>12187</v>
      </c>
      <c r="P292" s="650">
        <f t="shared" si="819"/>
        <v>12949</v>
      </c>
      <c r="Q292" s="650">
        <f t="shared" si="819"/>
        <v>22491</v>
      </c>
      <c r="R292" s="650">
        <f t="shared" si="819"/>
        <v>10440</v>
      </c>
      <c r="S292" s="650">
        <f t="shared" si="819"/>
        <v>20019</v>
      </c>
      <c r="T292" s="650">
        <f t="shared" si="819"/>
        <v>22089</v>
      </c>
      <c r="U292" s="650">
        <f t="shared" si="819"/>
        <v>27007</v>
      </c>
      <c r="V292" s="650">
        <f t="shared" si="819"/>
        <v>14099</v>
      </c>
      <c r="W292" s="650">
        <v>20101</v>
      </c>
      <c r="X292" s="650">
        <f>X278+X280</f>
        <v>23453</v>
      </c>
      <c r="Y292" s="650">
        <f>Y278+Y280</f>
        <v>29797</v>
      </c>
      <c r="Z292" s="650">
        <f ca="1">Z278+Z280</f>
        <v>132529</v>
      </c>
      <c r="AA292" s="650">
        <f t="shared" ref="AA292:AE292" si="820">AA278+AA280</f>
        <v>30949</v>
      </c>
      <c r="AB292" s="650">
        <f>AB278+AB280</f>
        <v>32750</v>
      </c>
      <c r="AC292" s="650">
        <f t="shared" si="820"/>
        <v>46493</v>
      </c>
      <c r="AD292" s="650">
        <f t="shared" si="820"/>
        <v>11257.689960754051</v>
      </c>
      <c r="AE292" s="650">
        <f t="shared" si="820"/>
        <v>39474</v>
      </c>
      <c r="AF292" s="650">
        <v>47088</v>
      </c>
      <c r="AG292" s="650">
        <f t="shared" ref="AG292:AP292" si="821">AG278+AG280</f>
        <v>57222.342611366053</v>
      </c>
      <c r="AH292" s="650">
        <f t="shared" si="821"/>
        <v>10863.722125912253</v>
      </c>
      <c r="AI292" s="650">
        <f t="shared" si="821"/>
        <v>55846.549207127639</v>
      </c>
      <c r="AJ292" s="650">
        <f t="shared" si="821"/>
        <v>48986.317671734869</v>
      </c>
      <c r="AK292" s="650">
        <f t="shared" si="821"/>
        <v>65697.785359310568</v>
      </c>
      <c r="AL292" s="650">
        <f t="shared" si="821"/>
        <v>14047.424990804782</v>
      </c>
      <c r="AM292" s="650">
        <f t="shared" si="821"/>
        <v>63049.802474249133</v>
      </c>
      <c r="AN292" s="650">
        <f t="shared" si="821"/>
        <v>55538.298761359125</v>
      </c>
      <c r="AO292" s="650">
        <f t="shared" si="821"/>
        <v>75401.021241547045</v>
      </c>
      <c r="AP292" s="650">
        <f t="shared" si="821"/>
        <v>16487.023576900068</v>
      </c>
      <c r="AQ292" s="649"/>
      <c r="AR292" s="2804" t="s">
        <v>591</v>
      </c>
      <c r="AS292" s="730"/>
      <c r="AT292" s="650">
        <f>AT278+AT280</f>
        <v>27610</v>
      </c>
      <c r="AU292" s="650">
        <f>G292+H292+I292+J292</f>
        <v>34981</v>
      </c>
      <c r="AV292" s="650">
        <f>K292+L292+M292+N292</f>
        <v>42741</v>
      </c>
      <c r="AW292" s="650">
        <f>O292+P292+Q292+R292</f>
        <v>58067</v>
      </c>
      <c r="AX292" s="650">
        <f>S292+T292+U292+V292</f>
        <v>83214</v>
      </c>
      <c r="AY292" s="650">
        <f ca="1">W292+X292+Y292+Z292</f>
        <v>205880</v>
      </c>
      <c r="AZ292" s="650">
        <f t="shared" si="803"/>
        <v>121449.68996075405</v>
      </c>
      <c r="BA292" s="650">
        <f t="shared" si="804"/>
        <v>154648.06473727833</v>
      </c>
      <c r="BB292" s="650">
        <f t="shared" si="805"/>
        <v>184578.07722897784</v>
      </c>
      <c r="BC292" s="650">
        <f t="shared" si="806"/>
        <v>210476.14605405537</v>
      </c>
      <c r="BD292" s="650">
        <f t="shared" ref="BD292:BJ292" si="822">BD278+BD280</f>
        <v>251440.76659452874</v>
      </c>
      <c r="BE292" s="650">
        <f t="shared" si="822"/>
        <v>287460.04308008909</v>
      </c>
      <c r="BF292" s="650">
        <f t="shared" si="822"/>
        <v>314921.11265517317</v>
      </c>
      <c r="BG292" s="650">
        <f t="shared" si="822"/>
        <v>343182.27285662934</v>
      </c>
      <c r="BH292" s="650">
        <f t="shared" si="822"/>
        <v>367065.21956952941</v>
      </c>
      <c r="BI292" s="650">
        <f t="shared" si="822"/>
        <v>386587.69145446806</v>
      </c>
      <c r="BJ292" s="650">
        <f t="shared" si="822"/>
        <v>402923.75110556511</v>
      </c>
      <c r="BL292" s="650">
        <v>25907.177402524401</v>
      </c>
      <c r="BM292" s="650">
        <v>50677.588598378701</v>
      </c>
      <c r="BN292" s="650"/>
      <c r="BO292" s="650"/>
    </row>
    <row r="293" spans="2:67" s="668" customFormat="1" ht="12" customHeight="1" x14ac:dyDescent="0.35">
      <c r="B293" s="2750" t="s">
        <v>1338</v>
      </c>
      <c r="E293" s="650"/>
      <c r="F293" s="650"/>
      <c r="G293" s="650"/>
      <c r="H293" s="650"/>
      <c r="I293" s="650"/>
      <c r="J293" s="650"/>
      <c r="K293" s="650"/>
      <c r="L293" s="650"/>
      <c r="M293" s="650"/>
      <c r="N293" s="650"/>
      <c r="O293" s="650"/>
      <c r="P293" s="650"/>
      <c r="Q293" s="650"/>
      <c r="R293" s="650"/>
      <c r="S293" s="650"/>
      <c r="T293" s="650"/>
      <c r="U293" s="650"/>
      <c r="V293" s="651">
        <f>V292/V5</f>
        <v>0.22765290964283408</v>
      </c>
      <c r="W293" s="651">
        <f>W292/W5</f>
        <v>0.24840583292140386</v>
      </c>
      <c r="X293" s="731"/>
      <c r="Y293" s="731"/>
      <c r="Z293" s="731"/>
      <c r="AA293" s="731"/>
      <c r="AB293" s="731"/>
      <c r="AC293" s="731"/>
      <c r="AD293" s="731"/>
      <c r="AE293" s="650"/>
      <c r="AF293" s="650"/>
      <c r="AG293" s="650"/>
      <c r="AH293" s="650"/>
      <c r="AI293" s="650"/>
      <c r="AJ293" s="650"/>
      <c r="AK293" s="650"/>
      <c r="AL293" s="650"/>
      <c r="AM293" s="650"/>
      <c r="AN293" s="650"/>
      <c r="AO293" s="650"/>
      <c r="AP293" s="650"/>
      <c r="AQ293" s="649"/>
      <c r="AR293" s="729"/>
      <c r="AS293" s="730"/>
      <c r="AT293" s="650"/>
      <c r="AU293" s="650"/>
      <c r="AV293" s="650"/>
      <c r="AW293" s="650"/>
      <c r="AX293" s="650"/>
      <c r="AY293" s="2828">
        <f ca="1">AY292/AY226</f>
        <v>0.54632686204371039</v>
      </c>
      <c r="AZ293" s="2828">
        <f t="shared" ref="AZ293:BJ293" si="823">AZ292/AZ226</f>
        <v>0.23827166759350701</v>
      </c>
      <c r="BA293" s="2828">
        <f t="shared" si="823"/>
        <v>0.23146010262219704</v>
      </c>
      <c r="BB293" s="2828">
        <f t="shared" si="823"/>
        <v>0.21793700726905901</v>
      </c>
      <c r="BC293" s="2828">
        <f t="shared" si="823"/>
        <v>0.20060047589802418</v>
      </c>
      <c r="BD293" s="2828">
        <f t="shared" si="823"/>
        <v>0.1985896579036561</v>
      </c>
      <c r="BE293" s="2828">
        <f t="shared" si="823"/>
        <v>0.1935552018192751</v>
      </c>
      <c r="BF293" s="2828">
        <f t="shared" si="823"/>
        <v>0.1855393834802242</v>
      </c>
      <c r="BG293" s="2828">
        <f t="shared" si="823"/>
        <v>0.18085259622034613</v>
      </c>
      <c r="BH293" s="2828">
        <f t="shared" si="823"/>
        <v>0.17612204170720697</v>
      </c>
      <c r="BI293" s="2828">
        <f t="shared" si="823"/>
        <v>0.17121979035466259</v>
      </c>
      <c r="BJ293" s="2828">
        <f t="shared" si="823"/>
        <v>0.16651361313241567</v>
      </c>
      <c r="BL293" s="731"/>
      <c r="BM293" s="731"/>
      <c r="BN293" s="650"/>
      <c r="BO293" s="650"/>
    </row>
    <row r="294" spans="2:67" s="668" customFormat="1" ht="12" customHeight="1" x14ac:dyDescent="0.35">
      <c r="B294" s="667"/>
      <c r="E294" s="650"/>
      <c r="F294" s="650"/>
      <c r="G294" s="650"/>
      <c r="H294" s="650"/>
      <c r="I294" s="650"/>
      <c r="J294" s="650"/>
      <c r="K294" s="650"/>
      <c r="L294" s="650"/>
      <c r="M294" s="650"/>
      <c r="N294" s="650"/>
      <c r="O294" s="650"/>
      <c r="P294" s="650"/>
      <c r="Q294" s="650"/>
      <c r="R294" s="650"/>
      <c r="S294" s="650"/>
      <c r="T294" s="650"/>
      <c r="U294" s="650"/>
      <c r="V294" s="651"/>
      <c r="W294" s="651"/>
      <c r="X294" s="731"/>
      <c r="Y294" s="731"/>
      <c r="Z294" s="731"/>
      <c r="AA294" s="731"/>
      <c r="AB294" s="731"/>
      <c r="AC294" s="731"/>
      <c r="AD294" s="731"/>
      <c r="AE294" s="650"/>
      <c r="AF294" s="650"/>
      <c r="AG294" s="650"/>
      <c r="AH294" s="650"/>
      <c r="AI294" s="650"/>
      <c r="AJ294" s="650"/>
      <c r="AK294" s="650"/>
      <c r="AL294" s="650"/>
      <c r="AM294" s="650"/>
      <c r="AN294" s="650"/>
      <c r="AO294" s="650"/>
      <c r="AP294" s="650"/>
      <c r="AQ294" s="649"/>
      <c r="AR294" s="729"/>
      <c r="AS294" s="730"/>
      <c r="AT294" s="650"/>
      <c r="AU294" s="650"/>
      <c r="AV294" s="650"/>
      <c r="AW294" s="650"/>
      <c r="AX294" s="650"/>
      <c r="AY294" s="650"/>
      <c r="AZ294" s="731"/>
      <c r="BA294" s="731"/>
      <c r="BB294" s="731"/>
      <c r="BC294" s="731"/>
      <c r="BD294" s="731"/>
      <c r="BE294" s="731"/>
      <c r="BF294" s="731"/>
      <c r="BG294" s="731"/>
      <c r="BH294" s="731"/>
      <c r="BI294" s="731"/>
      <c r="BJ294" s="731"/>
      <c r="BL294" s="731"/>
      <c r="BM294" s="731"/>
      <c r="BN294" s="650"/>
      <c r="BO294" s="650"/>
    </row>
    <row r="295" spans="2:67" s="668" customFormat="1" ht="12" customHeight="1" x14ac:dyDescent="0.35">
      <c r="B295" s="667" t="s">
        <v>592</v>
      </c>
      <c r="C295" s="650"/>
      <c r="D295" s="650"/>
      <c r="E295" s="650">
        <f t="shared" ref="E295:V295" si="824">E258-E260-E262-E261</f>
        <v>8326</v>
      </c>
      <c r="F295" s="650">
        <f t="shared" si="824"/>
        <v>5602</v>
      </c>
      <c r="G295" s="650">
        <f t="shared" si="824"/>
        <v>12404</v>
      </c>
      <c r="H295" s="650">
        <f t="shared" si="824"/>
        <v>3028</v>
      </c>
      <c r="I295" s="650">
        <f t="shared" si="824"/>
        <v>5936</v>
      </c>
      <c r="J295" s="650">
        <f t="shared" si="824"/>
        <v>2893</v>
      </c>
      <c r="K295" s="650">
        <f t="shared" si="824"/>
        <v>30843</v>
      </c>
      <c r="L295" s="650">
        <f t="shared" si="824"/>
        <v>22754</v>
      </c>
      <c r="M295" s="650">
        <f t="shared" si="824"/>
        <v>12498</v>
      </c>
      <c r="N295" s="650">
        <f t="shared" si="824"/>
        <v>5365</v>
      </c>
      <c r="O295" s="650">
        <f t="shared" si="824"/>
        <v>7550</v>
      </c>
      <c r="P295" s="650">
        <f t="shared" si="824"/>
        <v>7623</v>
      </c>
      <c r="Q295" s="650">
        <f t="shared" si="824"/>
        <v>17855</v>
      </c>
      <c r="R295" s="650">
        <f t="shared" si="824"/>
        <v>10647</v>
      </c>
      <c r="S295" s="650">
        <f t="shared" si="824"/>
        <v>14683</v>
      </c>
      <c r="T295" s="650">
        <f t="shared" si="824"/>
        <v>17668</v>
      </c>
      <c r="U295" s="650">
        <f t="shared" si="824"/>
        <v>24073</v>
      </c>
      <c r="V295" s="650">
        <f t="shared" si="824"/>
        <v>7669</v>
      </c>
      <c r="W295" s="650">
        <v>8685</v>
      </c>
      <c r="X295" s="650">
        <f>X258-X260-X262-X261</f>
        <v>20133</v>
      </c>
      <c r="Y295" s="650">
        <f>Y258-Y260-Y262-Y261</f>
        <v>33120</v>
      </c>
      <c r="Z295" s="650">
        <f>Z258-Z260-Z262-Z261</f>
        <v>25913</v>
      </c>
      <c r="AA295" s="650">
        <f>AA258-AA260-AA262-AA261</f>
        <v>16796</v>
      </c>
      <c r="AB295" s="650">
        <f t="shared" ref="AB295:AE295" si="825">AB258-AB260-AB262-AB261</f>
        <v>72591</v>
      </c>
      <c r="AC295" s="650">
        <f t="shared" si="825"/>
        <v>52174</v>
      </c>
      <c r="AD295" s="650">
        <f t="shared" si="825"/>
        <v>3220</v>
      </c>
      <c r="AE295" s="650">
        <f t="shared" si="825"/>
        <v>45341</v>
      </c>
      <c r="AF295" s="650">
        <f>AF258-AF260-AF262-AF261</f>
        <v>28876</v>
      </c>
      <c r="AG295" s="731">
        <f t="shared" ref="AG295:AP295" si="826">AG258-AG260-AG262-AG261</f>
        <v>57174.387081958848</v>
      </c>
      <c r="AH295" s="731">
        <f t="shared" si="826"/>
        <v>10753.480858951982</v>
      </c>
      <c r="AI295" s="731">
        <f t="shared" si="826"/>
        <v>51932.31248911385</v>
      </c>
      <c r="AJ295" s="731">
        <f t="shared" si="826"/>
        <v>26463.343517695463</v>
      </c>
      <c r="AK295" s="731">
        <f t="shared" si="826"/>
        <v>62093.022715655694</v>
      </c>
      <c r="AL295" s="731">
        <f t="shared" si="826"/>
        <v>11111.903519326901</v>
      </c>
      <c r="AM295" s="731">
        <f t="shared" si="826"/>
        <v>57021.727527639814</v>
      </c>
      <c r="AN295" s="731">
        <f t="shared" si="826"/>
        <v>25610.637002995183</v>
      </c>
      <c r="AO295" s="731">
        <f t="shared" si="826"/>
        <v>68193.090842542384</v>
      </c>
      <c r="AP295" s="731">
        <f t="shared" si="826"/>
        <v>10735.072825263433</v>
      </c>
      <c r="AQ295" s="649"/>
      <c r="AR295" s="729" t="s">
        <v>465</v>
      </c>
      <c r="AS295" s="730"/>
      <c r="AT295" s="650">
        <f>AT258-AT260-AT262-AT261</f>
        <v>23315</v>
      </c>
      <c r="AU295" s="650">
        <f t="shared" ref="AU295:AU302" si="827">G295+H295+I295+J295</f>
        <v>24261</v>
      </c>
      <c r="AV295" s="650">
        <f t="shared" ref="AV295:AV302" si="828">K295+L295+M295+N295</f>
        <v>71460</v>
      </c>
      <c r="AW295" s="650">
        <f t="shared" ref="AW295:AW302" si="829">O295+P295+Q295+R295</f>
        <v>43675</v>
      </c>
      <c r="AX295" s="650">
        <f t="shared" ref="AX295:AX302" si="830">S295+T295+U295+V295</f>
        <v>64093</v>
      </c>
      <c r="AY295" s="650">
        <f t="shared" ref="AY295:AY302" si="831">W295+X295+Y295+Z295</f>
        <v>87851</v>
      </c>
      <c r="AZ295" s="650">
        <f t="shared" ref="AZ295:AZ302" si="832">SUM(AA295:AD295)</f>
        <v>144781</v>
      </c>
      <c r="BA295" s="650">
        <f t="shared" ref="BA295:BA302" si="833">SUM(AE295:AH295)</f>
        <v>142144.86794091083</v>
      </c>
      <c r="BB295" s="650">
        <f t="shared" ref="BB295:BB302" si="834">SUM(AI295:AL295)</f>
        <v>151600.58224179191</v>
      </c>
      <c r="BC295" s="650">
        <f t="shared" ref="BC295:BC302" si="835">SUM(AM295:AP295)</f>
        <v>161560.52819844079</v>
      </c>
      <c r="BD295" s="650">
        <f t="shared" ref="BD295:BJ295" si="836">BD258-BD260-BD262-BD261</f>
        <v>182840.95158646867</v>
      </c>
      <c r="BE295" s="650">
        <f t="shared" si="836"/>
        <v>203194.47531659872</v>
      </c>
      <c r="BF295" s="650">
        <f t="shared" si="836"/>
        <v>221630.49738489831</v>
      </c>
      <c r="BG295" s="650">
        <f t="shared" si="836"/>
        <v>237660.0263038936</v>
      </c>
      <c r="BH295" s="650">
        <f t="shared" si="836"/>
        <v>251182.81378229163</v>
      </c>
      <c r="BI295" s="650">
        <f t="shared" si="836"/>
        <v>262371.85545358318</v>
      </c>
      <c r="BJ295" s="650">
        <f t="shared" si="836"/>
        <v>271422.19248444156</v>
      </c>
      <c r="BL295" s="650">
        <v>18276.701455090799</v>
      </c>
      <c r="BM295" s="650">
        <v>41801.180071848998</v>
      </c>
      <c r="BN295" s="650"/>
      <c r="BO295" s="650"/>
    </row>
    <row r="296" spans="2:67" s="648" customFormat="1" ht="12" customHeight="1" x14ac:dyDescent="0.35">
      <c r="B296" s="2750" t="s">
        <v>1338</v>
      </c>
      <c r="C296" s="709"/>
      <c r="D296" s="709"/>
      <c r="E296" s="709"/>
      <c r="F296" s="709"/>
      <c r="G296" s="709"/>
      <c r="H296" s="709"/>
      <c r="I296" s="709"/>
      <c r="J296" s="709"/>
      <c r="K296" s="709"/>
      <c r="L296" s="709"/>
      <c r="M296" s="709"/>
      <c r="N296" s="709"/>
      <c r="O296" s="709"/>
      <c r="P296" s="709"/>
      <c r="Q296" s="709"/>
      <c r="R296" s="709"/>
      <c r="S296" s="709"/>
      <c r="T296" s="709"/>
      <c r="U296" s="709"/>
      <c r="V296" s="709"/>
      <c r="W296" s="709"/>
      <c r="X296" s="709"/>
      <c r="Y296" s="709"/>
      <c r="Z296" s="709"/>
      <c r="AA296" s="709"/>
      <c r="AB296" s="709"/>
      <c r="AC296" s="709"/>
      <c r="AD296" s="709"/>
      <c r="AE296" s="709"/>
      <c r="AF296" s="709"/>
      <c r="AG296" s="2719"/>
      <c r="AH296" s="2719"/>
      <c r="AI296" s="2719"/>
      <c r="AJ296" s="2719"/>
      <c r="AK296" s="2719"/>
      <c r="AL296" s="2719"/>
      <c r="AM296" s="2719"/>
      <c r="AN296" s="2719"/>
      <c r="AO296" s="2719"/>
      <c r="AP296" s="2719"/>
      <c r="AQ296" s="2741"/>
      <c r="AR296" s="729"/>
      <c r="AS296" s="730"/>
      <c r="AT296" s="709"/>
      <c r="AU296" s="709"/>
      <c r="AV296" s="709"/>
      <c r="AW296" s="709"/>
      <c r="AX296" s="709"/>
      <c r="AY296" s="2828">
        <f>AY295/AY226</f>
        <v>0.23312298988440841</v>
      </c>
      <c r="AZ296" s="2828">
        <f t="shared" ref="AZ296:BJ296" si="837">AZ295/AZ226</f>
        <v>0.28404527271336111</v>
      </c>
      <c r="BA296" s="2828">
        <f t="shared" si="837"/>
        <v>0.21274670185310782</v>
      </c>
      <c r="BB296" s="2828">
        <f t="shared" si="837"/>
        <v>0.17899946564637834</v>
      </c>
      <c r="BC296" s="2828">
        <f t="shared" si="837"/>
        <v>0.15398000890143596</v>
      </c>
      <c r="BD296" s="2828">
        <f t="shared" si="837"/>
        <v>0.14440904916937944</v>
      </c>
      <c r="BE296" s="2828">
        <f t="shared" si="837"/>
        <v>0.13681674592774082</v>
      </c>
      <c r="BF296" s="2828">
        <f t="shared" si="837"/>
        <v>0.13057614809787502</v>
      </c>
      <c r="BG296" s="2828">
        <f t="shared" si="837"/>
        <v>0.12524374413946257</v>
      </c>
      <c r="BH296" s="2828">
        <f t="shared" si="837"/>
        <v>0.12052035345919954</v>
      </c>
      <c r="BI296" s="2828">
        <f t="shared" si="837"/>
        <v>0.11620456387711291</v>
      </c>
      <c r="BJ296" s="2828">
        <f t="shared" si="837"/>
        <v>0.11216884045901092</v>
      </c>
      <c r="BL296" s="709"/>
      <c r="BM296" s="709"/>
      <c r="BN296" s="709"/>
      <c r="BO296" s="709"/>
    </row>
    <row r="297" spans="2:67" s="648" customFormat="1" ht="12" customHeight="1" x14ac:dyDescent="0.35">
      <c r="B297" s="704" t="s">
        <v>593</v>
      </c>
      <c r="C297" s="648">
        <v>-8</v>
      </c>
      <c r="D297" s="648">
        <v>-8</v>
      </c>
      <c r="E297" s="709">
        <v>-8</v>
      </c>
      <c r="F297" s="709">
        <v>-7</v>
      </c>
      <c r="G297" s="709">
        <v>-8</v>
      </c>
      <c r="H297" s="709">
        <v>-7</v>
      </c>
      <c r="I297" s="2805">
        <v>0</v>
      </c>
      <c r="J297" s="2805">
        <v>0</v>
      </c>
      <c r="K297" s="2805">
        <v>0</v>
      </c>
      <c r="L297" s="2805">
        <v>0</v>
      </c>
      <c r="M297" s="2805">
        <v>0</v>
      </c>
      <c r="N297" s="2805">
        <v>0</v>
      </c>
      <c r="O297" s="2805">
        <v>0</v>
      </c>
      <c r="P297" s="2805">
        <v>0</v>
      </c>
      <c r="Q297" s="2805">
        <v>0</v>
      </c>
      <c r="R297" s="2805">
        <v>0</v>
      </c>
      <c r="S297" s="2805">
        <v>0</v>
      </c>
      <c r="T297" s="2805">
        <v>0</v>
      </c>
      <c r="U297" s="2805">
        <v>0</v>
      </c>
      <c r="V297" s="709">
        <v>-108</v>
      </c>
      <c r="W297" s="2766">
        <v>0</v>
      </c>
      <c r="X297" s="2766">
        <v>-100</v>
      </c>
      <c r="Y297" s="709">
        <v>-68</v>
      </c>
      <c r="Z297" s="2766">
        <v>-83</v>
      </c>
      <c r="AA297" s="2766">
        <f>-247+51</f>
        <v>-196</v>
      </c>
      <c r="AB297" s="2766">
        <v>-51</v>
      </c>
      <c r="AC297" s="2766">
        <v>135</v>
      </c>
      <c r="AD297" s="2766">
        <v>0</v>
      </c>
      <c r="AE297" s="709">
        <v>58</v>
      </c>
      <c r="AF297" s="709">
        <v>-107</v>
      </c>
      <c r="AG297" s="2719">
        <v>0</v>
      </c>
      <c r="AH297" s="2719">
        <v>0</v>
      </c>
      <c r="AI297" s="2719">
        <v>0</v>
      </c>
      <c r="AJ297" s="2719">
        <v>0</v>
      </c>
      <c r="AK297" s="2719">
        <v>0</v>
      </c>
      <c r="AL297" s="2719">
        <v>0</v>
      </c>
      <c r="AM297" s="2719">
        <v>0</v>
      </c>
      <c r="AN297" s="2719">
        <v>0</v>
      </c>
      <c r="AO297" s="2719">
        <v>0</v>
      </c>
      <c r="AP297" s="2719">
        <v>0</v>
      </c>
      <c r="AQ297" s="2741" t="s">
        <v>458</v>
      </c>
      <c r="AR297" s="729" t="s">
        <v>465</v>
      </c>
      <c r="AS297" s="730"/>
      <c r="AT297" s="2805">
        <f>SUM(C297:F297)</f>
        <v>-31</v>
      </c>
      <c r="AU297" s="2805">
        <f t="shared" si="827"/>
        <v>-15</v>
      </c>
      <c r="AV297" s="709">
        <f t="shared" si="828"/>
        <v>0</v>
      </c>
      <c r="AW297" s="709">
        <f t="shared" si="829"/>
        <v>0</v>
      </c>
      <c r="AX297" s="2805">
        <f t="shared" si="830"/>
        <v>-108</v>
      </c>
      <c r="AY297" s="709">
        <f t="shared" si="831"/>
        <v>-251</v>
      </c>
      <c r="AZ297" s="2766">
        <f t="shared" si="832"/>
        <v>-112</v>
      </c>
      <c r="BA297" s="2766">
        <f t="shared" si="833"/>
        <v>-49</v>
      </c>
      <c r="BB297" s="2766">
        <f t="shared" si="834"/>
        <v>0</v>
      </c>
      <c r="BC297" s="2766">
        <f t="shared" si="835"/>
        <v>0</v>
      </c>
      <c r="BD297" s="2719">
        <f t="shared" ref="BD297:BD298" si="838">BC297</f>
        <v>0</v>
      </c>
      <c r="BE297" s="2719">
        <f t="shared" ref="BE297:BE298" si="839">BD297</f>
        <v>0</v>
      </c>
      <c r="BF297" s="2719">
        <f t="shared" ref="BF297:BF298" si="840">BE297</f>
        <v>0</v>
      </c>
      <c r="BG297" s="2719">
        <f t="shared" ref="BG297:BG298" si="841">BF297</f>
        <v>0</v>
      </c>
      <c r="BH297" s="2719">
        <f t="shared" ref="BH297:BH298" si="842">BG297</f>
        <v>0</v>
      </c>
      <c r="BI297" s="2719">
        <f t="shared" ref="BI297:BI298" si="843">BH297</f>
        <v>0</v>
      </c>
      <c r="BJ297" s="2719">
        <f t="shared" ref="BJ297:BJ298" si="844">BI297</f>
        <v>0</v>
      </c>
      <c r="BL297" s="2766">
        <v>0</v>
      </c>
      <c r="BM297" s="2766">
        <v>0</v>
      </c>
      <c r="BN297" s="709"/>
      <c r="BO297" s="709"/>
    </row>
    <row r="298" spans="2:67" s="648" customFormat="1" ht="12" customHeight="1" x14ac:dyDescent="0.35">
      <c r="B298" s="704" t="s">
        <v>594</v>
      </c>
      <c r="C298" s="648">
        <v>-52</v>
      </c>
      <c r="D298" s="648">
        <v>-52</v>
      </c>
      <c r="E298" s="709">
        <v>-52</v>
      </c>
      <c r="F298" s="709">
        <v>-52</v>
      </c>
      <c r="G298" s="709">
        <v>-52</v>
      </c>
      <c r="H298" s="709">
        <v>-45</v>
      </c>
      <c r="I298" s="709"/>
      <c r="J298" s="709"/>
      <c r="K298" s="709"/>
      <c r="L298" s="709"/>
      <c r="M298" s="709"/>
      <c r="N298" s="709"/>
      <c r="O298" s="709"/>
      <c r="P298" s="709"/>
      <c r="Q298" s="709"/>
      <c r="R298" s="709"/>
      <c r="S298" s="709"/>
      <c r="T298" s="709"/>
      <c r="U298" s="709"/>
      <c r="V298" s="709"/>
      <c r="W298" s="2719"/>
      <c r="X298" s="2719"/>
      <c r="Y298" s="2719"/>
      <c r="Z298" s="2719"/>
      <c r="AA298" s="2766"/>
      <c r="AB298" s="2766"/>
      <c r="AC298" s="2766"/>
      <c r="AD298" s="2766"/>
      <c r="AE298" s="709"/>
      <c r="AF298" s="709"/>
      <c r="AG298" s="709"/>
      <c r="AH298" s="709"/>
      <c r="AI298" s="709"/>
      <c r="AJ298" s="709"/>
      <c r="AK298" s="709"/>
      <c r="AL298" s="709"/>
      <c r="AM298" s="709"/>
      <c r="AN298" s="709"/>
      <c r="AO298" s="709"/>
      <c r="AP298" s="709"/>
      <c r="AQ298" s="2741"/>
      <c r="AR298" s="729" t="s">
        <v>465</v>
      </c>
      <c r="AS298" s="730"/>
      <c r="AT298" s="2805">
        <f>SUM(C298:F298)</f>
        <v>-208</v>
      </c>
      <c r="AU298" s="2805">
        <f t="shared" si="827"/>
        <v>-97</v>
      </c>
      <c r="AV298" s="709">
        <f t="shared" si="828"/>
        <v>0</v>
      </c>
      <c r="AW298" s="709">
        <f t="shared" si="829"/>
        <v>0</v>
      </c>
      <c r="AX298" s="709">
        <f t="shared" si="830"/>
        <v>0</v>
      </c>
      <c r="AY298" s="709">
        <f t="shared" si="831"/>
        <v>0</v>
      </c>
      <c r="AZ298" s="2766">
        <f t="shared" si="832"/>
        <v>0</v>
      </c>
      <c r="BA298" s="2766">
        <f t="shared" si="833"/>
        <v>0</v>
      </c>
      <c r="BB298" s="2766">
        <f t="shared" si="834"/>
        <v>0</v>
      </c>
      <c r="BC298" s="2766">
        <f t="shared" si="835"/>
        <v>0</v>
      </c>
      <c r="BD298" s="2719">
        <f t="shared" si="838"/>
        <v>0</v>
      </c>
      <c r="BE298" s="2719">
        <f t="shared" si="839"/>
        <v>0</v>
      </c>
      <c r="BF298" s="2719">
        <f t="shared" si="840"/>
        <v>0</v>
      </c>
      <c r="BG298" s="2719">
        <f t="shared" si="841"/>
        <v>0</v>
      </c>
      <c r="BH298" s="2719">
        <f t="shared" si="842"/>
        <v>0</v>
      </c>
      <c r="BI298" s="2719">
        <f t="shared" si="843"/>
        <v>0</v>
      </c>
      <c r="BJ298" s="2719">
        <f t="shared" si="844"/>
        <v>0</v>
      </c>
      <c r="BL298" s="2766"/>
      <c r="BM298" s="2766"/>
      <c r="BN298" s="709"/>
      <c r="BO298" s="709"/>
    </row>
    <row r="299" spans="2:67" s="668" customFormat="1" ht="12" customHeight="1" x14ac:dyDescent="0.35">
      <c r="B299" s="667" t="s">
        <v>595</v>
      </c>
      <c r="C299" s="650"/>
      <c r="D299" s="650"/>
      <c r="E299" s="650">
        <f t="shared" ref="E299:Z299" si="845">E295+E297+E298</f>
        <v>8266</v>
      </c>
      <c r="F299" s="650">
        <f t="shared" si="845"/>
        <v>5543</v>
      </c>
      <c r="G299" s="650">
        <f t="shared" si="845"/>
        <v>12344</v>
      </c>
      <c r="H299" s="650">
        <f t="shared" si="845"/>
        <v>2976</v>
      </c>
      <c r="I299" s="650">
        <f t="shared" si="845"/>
        <v>5936</v>
      </c>
      <c r="J299" s="650">
        <f t="shared" si="845"/>
        <v>2893</v>
      </c>
      <c r="K299" s="650">
        <f t="shared" si="845"/>
        <v>30843</v>
      </c>
      <c r="L299" s="650">
        <f t="shared" si="845"/>
        <v>22754</v>
      </c>
      <c r="M299" s="650">
        <f t="shared" si="845"/>
        <v>12498</v>
      </c>
      <c r="N299" s="650">
        <f t="shared" si="845"/>
        <v>5365</v>
      </c>
      <c r="O299" s="650">
        <f t="shared" si="845"/>
        <v>7550</v>
      </c>
      <c r="P299" s="650">
        <f t="shared" si="845"/>
        <v>7623</v>
      </c>
      <c r="Q299" s="650">
        <f t="shared" si="845"/>
        <v>17855</v>
      </c>
      <c r="R299" s="650">
        <f t="shared" si="845"/>
        <v>10647</v>
      </c>
      <c r="S299" s="650">
        <f t="shared" si="845"/>
        <v>14683</v>
      </c>
      <c r="T299" s="650">
        <f t="shared" si="845"/>
        <v>17668</v>
      </c>
      <c r="U299" s="650">
        <f t="shared" si="845"/>
        <v>24073</v>
      </c>
      <c r="V299" s="650">
        <f t="shared" si="845"/>
        <v>7561</v>
      </c>
      <c r="W299" s="650">
        <f t="shared" si="845"/>
        <v>8685</v>
      </c>
      <c r="X299" s="650">
        <f t="shared" si="845"/>
        <v>20033</v>
      </c>
      <c r="Y299" s="650">
        <f t="shared" si="845"/>
        <v>33052</v>
      </c>
      <c r="Z299" s="650">
        <f t="shared" si="845"/>
        <v>25830</v>
      </c>
      <c r="AA299" s="650">
        <v>21241</v>
      </c>
      <c r="AB299" s="650">
        <f t="shared" ref="AB299:AD299" si="846">AB295+AB297+AB298</f>
        <v>72540</v>
      </c>
      <c r="AC299" s="650">
        <f t="shared" si="846"/>
        <v>52309</v>
      </c>
      <c r="AD299" s="650">
        <f t="shared" si="846"/>
        <v>3220</v>
      </c>
      <c r="AE299" s="650">
        <v>47578</v>
      </c>
      <c r="AF299" s="650">
        <v>28769</v>
      </c>
      <c r="AG299" s="650">
        <f t="shared" ref="AG299:AP299" si="847">AG295+AG297+AG298</f>
        <v>57174.387081958848</v>
      </c>
      <c r="AH299" s="650">
        <f t="shared" si="847"/>
        <v>10753.480858951982</v>
      </c>
      <c r="AI299" s="650">
        <f t="shared" si="847"/>
        <v>51932.31248911385</v>
      </c>
      <c r="AJ299" s="650">
        <f t="shared" si="847"/>
        <v>26463.343517695463</v>
      </c>
      <c r="AK299" s="650">
        <f t="shared" si="847"/>
        <v>62093.022715655694</v>
      </c>
      <c r="AL299" s="650">
        <f t="shared" si="847"/>
        <v>11111.903519326901</v>
      </c>
      <c r="AM299" s="650">
        <f t="shared" si="847"/>
        <v>57021.727527639814</v>
      </c>
      <c r="AN299" s="650">
        <f t="shared" si="847"/>
        <v>25610.637002995183</v>
      </c>
      <c r="AO299" s="650">
        <f t="shared" si="847"/>
        <v>68193.090842542384</v>
      </c>
      <c r="AP299" s="650">
        <f t="shared" si="847"/>
        <v>10735.072825263433</v>
      </c>
      <c r="AQ299" s="649"/>
      <c r="AR299" s="729" t="s">
        <v>465</v>
      </c>
      <c r="AS299" s="730"/>
      <c r="AT299" s="2806"/>
      <c r="AU299" s="2806">
        <f t="shared" si="827"/>
        <v>24149</v>
      </c>
      <c r="AV299" s="650">
        <f t="shared" si="828"/>
        <v>71460</v>
      </c>
      <c r="AW299" s="650">
        <f t="shared" si="829"/>
        <v>43675</v>
      </c>
      <c r="AX299" s="650">
        <f t="shared" si="830"/>
        <v>63985</v>
      </c>
      <c r="AY299" s="650">
        <f t="shared" si="831"/>
        <v>87600</v>
      </c>
      <c r="AZ299" s="2810">
        <f t="shared" si="832"/>
        <v>149310</v>
      </c>
      <c r="BA299" s="2810">
        <f t="shared" si="833"/>
        <v>144274.86794091083</v>
      </c>
      <c r="BB299" s="2810">
        <f t="shared" si="834"/>
        <v>151600.58224179191</v>
      </c>
      <c r="BC299" s="2810">
        <f t="shared" si="835"/>
        <v>161560.52819844079</v>
      </c>
      <c r="BD299" s="650">
        <f t="shared" ref="BD299:BJ299" si="848">BD295+BD297+BD298</f>
        <v>182840.95158646867</v>
      </c>
      <c r="BE299" s="650">
        <f t="shared" si="848"/>
        <v>203194.47531659872</v>
      </c>
      <c r="BF299" s="650">
        <f t="shared" si="848"/>
        <v>221630.49738489831</v>
      </c>
      <c r="BG299" s="650">
        <f t="shared" si="848"/>
        <v>237660.0263038936</v>
      </c>
      <c r="BH299" s="650">
        <f t="shared" si="848"/>
        <v>251182.81378229163</v>
      </c>
      <c r="BI299" s="650">
        <f t="shared" si="848"/>
        <v>262371.85545358318</v>
      </c>
      <c r="BJ299" s="650">
        <f t="shared" si="848"/>
        <v>271422.19248444156</v>
      </c>
      <c r="BL299" s="650">
        <v>18276.701455090799</v>
      </c>
      <c r="BM299" s="650">
        <v>41801.180071848998</v>
      </c>
      <c r="BN299" s="650"/>
      <c r="BO299" s="650"/>
    </row>
    <row r="300" spans="2:67" s="668" customFormat="1" ht="12" customHeight="1" x14ac:dyDescent="0.35">
      <c r="B300" s="2750" t="s">
        <v>1338</v>
      </c>
      <c r="C300" s="650"/>
      <c r="D300" s="650"/>
      <c r="E300" s="650"/>
      <c r="F300" s="650"/>
      <c r="G300" s="650"/>
      <c r="H300" s="650"/>
      <c r="I300" s="650"/>
      <c r="J300" s="650"/>
      <c r="K300" s="650"/>
      <c r="L300" s="650"/>
      <c r="M300" s="650"/>
      <c r="N300" s="650"/>
      <c r="O300" s="650"/>
      <c r="P300" s="650"/>
      <c r="Q300" s="650"/>
      <c r="R300" s="650"/>
      <c r="S300" s="650"/>
      <c r="T300" s="650"/>
      <c r="U300" s="650"/>
      <c r="V300" s="650"/>
      <c r="W300" s="650"/>
      <c r="X300" s="650"/>
      <c r="Y300" s="650"/>
      <c r="Z300" s="650"/>
      <c r="AA300" s="650"/>
      <c r="AB300" s="650"/>
      <c r="AC300" s="650"/>
      <c r="AD300" s="650"/>
      <c r="AE300" s="650"/>
      <c r="AF300" s="650"/>
      <c r="AG300" s="650"/>
      <c r="AH300" s="650"/>
      <c r="AI300" s="650"/>
      <c r="AJ300" s="650"/>
      <c r="AK300" s="650"/>
      <c r="AL300" s="650"/>
      <c r="AM300" s="650"/>
      <c r="AN300" s="650"/>
      <c r="AO300" s="650"/>
      <c r="AP300" s="650"/>
      <c r="AQ300" s="649"/>
      <c r="AR300" s="729"/>
      <c r="AS300" s="730"/>
      <c r="AT300" s="2806"/>
      <c r="AU300" s="2806"/>
      <c r="AV300" s="650"/>
      <c r="AW300" s="650"/>
      <c r="AX300" s="650"/>
      <c r="AY300" s="2828">
        <f>AY299/AY226</f>
        <v>0.23245693178078994</v>
      </c>
      <c r="AZ300" s="2828">
        <f t="shared" ref="AZ300:BJ300" si="849">AZ299/AZ226</f>
        <v>0.29293069994565546</v>
      </c>
      <c r="BA300" s="2828">
        <f t="shared" si="849"/>
        <v>0.21593465004646428</v>
      </c>
      <c r="BB300" s="2828">
        <f t="shared" si="849"/>
        <v>0.17899946564637834</v>
      </c>
      <c r="BC300" s="2828">
        <f t="shared" si="849"/>
        <v>0.15398000890143596</v>
      </c>
      <c r="BD300" s="2828">
        <f t="shared" si="849"/>
        <v>0.14440904916937944</v>
      </c>
      <c r="BE300" s="2828">
        <f t="shared" si="849"/>
        <v>0.13681674592774082</v>
      </c>
      <c r="BF300" s="2828">
        <f t="shared" si="849"/>
        <v>0.13057614809787502</v>
      </c>
      <c r="BG300" s="2828">
        <f t="shared" si="849"/>
        <v>0.12524374413946257</v>
      </c>
      <c r="BH300" s="2828">
        <f t="shared" si="849"/>
        <v>0.12052035345919954</v>
      </c>
      <c r="BI300" s="2828">
        <f t="shared" si="849"/>
        <v>0.11620456387711291</v>
      </c>
      <c r="BJ300" s="2828">
        <f t="shared" si="849"/>
        <v>0.11216884045901092</v>
      </c>
      <c r="BL300" s="650"/>
      <c r="BM300" s="650"/>
      <c r="BN300" s="650"/>
      <c r="BO300" s="650"/>
    </row>
    <row r="301" spans="2:67" s="648" customFormat="1" ht="12" customHeight="1" x14ac:dyDescent="0.35">
      <c r="B301" s="704" t="s">
        <v>596</v>
      </c>
      <c r="E301" s="709"/>
      <c r="F301" s="709"/>
      <c r="G301" s="709"/>
      <c r="H301" s="709"/>
      <c r="I301" s="709"/>
      <c r="J301" s="709"/>
      <c r="K301" s="709"/>
      <c r="L301" s="709"/>
      <c r="M301" s="709"/>
      <c r="N301" s="709"/>
      <c r="O301" s="709"/>
      <c r="P301" s="709">
        <v>-3</v>
      </c>
      <c r="Q301" s="709">
        <v>-3</v>
      </c>
      <c r="R301" s="709"/>
      <c r="S301" s="709">
        <v>-3</v>
      </c>
      <c r="T301" s="709">
        <v>-3</v>
      </c>
      <c r="U301" s="709">
        <v>-4</v>
      </c>
      <c r="V301" s="709">
        <v>-11</v>
      </c>
      <c r="W301" s="709">
        <v>-3</v>
      </c>
      <c r="X301" s="2766">
        <v>-12</v>
      </c>
      <c r="Y301" s="709">
        <v>-16</v>
      </c>
      <c r="Z301" s="2766">
        <v>-11</v>
      </c>
      <c r="AA301" s="2766">
        <f>-15+4</f>
        <v>-11</v>
      </c>
      <c r="AB301" s="2766">
        <v>-4</v>
      </c>
      <c r="AC301" s="2766">
        <v>-32</v>
      </c>
      <c r="AD301" s="2766">
        <v>0</v>
      </c>
      <c r="AE301" s="709">
        <v>-13</v>
      </c>
      <c r="AF301" s="709">
        <v>-13</v>
      </c>
      <c r="AG301" s="2719">
        <v>0</v>
      </c>
      <c r="AH301" s="2719">
        <v>0</v>
      </c>
      <c r="AI301" s="2719">
        <v>0</v>
      </c>
      <c r="AJ301" s="2719">
        <v>0</v>
      </c>
      <c r="AK301" s="2719">
        <v>0</v>
      </c>
      <c r="AL301" s="2719">
        <v>0</v>
      </c>
      <c r="AM301" s="2719">
        <v>0</v>
      </c>
      <c r="AN301" s="2719">
        <v>0</v>
      </c>
      <c r="AO301" s="2719">
        <v>0</v>
      </c>
      <c r="AP301" s="2719">
        <v>0</v>
      </c>
      <c r="AQ301" s="2741" t="s">
        <v>458</v>
      </c>
      <c r="AR301" s="729" t="s">
        <v>465</v>
      </c>
      <c r="AS301" s="730"/>
      <c r="AT301" s="2805">
        <f>SUM(C301:F301)</f>
        <v>0</v>
      </c>
      <c r="AU301" s="2805">
        <f t="shared" si="827"/>
        <v>0</v>
      </c>
      <c r="AV301" s="709">
        <f t="shared" si="828"/>
        <v>0</v>
      </c>
      <c r="AW301" s="709">
        <f t="shared" si="829"/>
        <v>-6</v>
      </c>
      <c r="AX301" s="709">
        <f t="shared" si="830"/>
        <v>-21</v>
      </c>
      <c r="AY301" s="709">
        <f t="shared" si="831"/>
        <v>-42</v>
      </c>
      <c r="AZ301" s="2766">
        <f t="shared" si="832"/>
        <v>-47</v>
      </c>
      <c r="BA301" s="2766">
        <f t="shared" si="833"/>
        <v>-26</v>
      </c>
      <c r="BB301" s="2766">
        <f t="shared" si="834"/>
        <v>0</v>
      </c>
      <c r="BC301" s="2766">
        <f t="shared" si="835"/>
        <v>0</v>
      </c>
      <c r="BD301" s="2719">
        <f t="shared" ref="BD301:BJ301" si="850">BC301</f>
        <v>0</v>
      </c>
      <c r="BE301" s="2719">
        <f t="shared" si="850"/>
        <v>0</v>
      </c>
      <c r="BF301" s="2719">
        <f t="shared" si="850"/>
        <v>0</v>
      </c>
      <c r="BG301" s="2719">
        <f t="shared" si="850"/>
        <v>0</v>
      </c>
      <c r="BH301" s="2719">
        <f t="shared" si="850"/>
        <v>0</v>
      </c>
      <c r="BI301" s="2719">
        <f t="shared" si="850"/>
        <v>0</v>
      </c>
      <c r="BJ301" s="2719">
        <f t="shared" si="850"/>
        <v>0</v>
      </c>
      <c r="BL301" s="2766">
        <v>0</v>
      </c>
      <c r="BM301" s="2766">
        <v>0</v>
      </c>
      <c r="BN301" s="709"/>
      <c r="BO301" s="709"/>
    </row>
    <row r="302" spans="2:67" s="668" customFormat="1" ht="12" customHeight="1" x14ac:dyDescent="0.35">
      <c r="B302" s="667" t="s">
        <v>597</v>
      </c>
      <c r="C302" s="650"/>
      <c r="D302" s="650"/>
      <c r="E302" s="650">
        <f t="shared" ref="E302:X302" si="851">E299-E298+E280+E301</f>
        <v>10424</v>
      </c>
      <c r="F302" s="650">
        <f t="shared" si="851"/>
        <v>6605</v>
      </c>
      <c r="G302" s="650">
        <f t="shared" si="851"/>
        <v>7275</v>
      </c>
      <c r="H302" s="650">
        <f t="shared" si="851"/>
        <v>6799</v>
      </c>
      <c r="I302" s="650">
        <f t="shared" si="851"/>
        <v>13068</v>
      </c>
      <c r="J302" s="650">
        <f t="shared" si="851"/>
        <v>7765</v>
      </c>
      <c r="K302" s="650">
        <f t="shared" si="851"/>
        <v>9523</v>
      </c>
      <c r="L302" s="650">
        <f t="shared" si="851"/>
        <v>9303</v>
      </c>
      <c r="M302" s="650">
        <f t="shared" si="851"/>
        <v>16400</v>
      </c>
      <c r="N302" s="650">
        <f t="shared" si="851"/>
        <v>7686</v>
      </c>
      <c r="O302" s="650">
        <f t="shared" si="851"/>
        <v>12595</v>
      </c>
      <c r="P302" s="650">
        <f t="shared" si="851"/>
        <v>13494</v>
      </c>
      <c r="Q302" s="650">
        <f t="shared" si="851"/>
        <v>23186</v>
      </c>
      <c r="R302" s="650">
        <f t="shared" si="851"/>
        <v>11235</v>
      </c>
      <c r="S302" s="650">
        <f t="shared" si="851"/>
        <v>20668</v>
      </c>
      <c r="T302" s="650">
        <f t="shared" si="851"/>
        <v>22346</v>
      </c>
      <c r="U302" s="650">
        <f t="shared" si="851"/>
        <v>27744</v>
      </c>
      <c r="V302" s="650">
        <f t="shared" si="851"/>
        <v>15008</v>
      </c>
      <c r="W302" s="650">
        <f t="shared" si="851"/>
        <v>21133</v>
      </c>
      <c r="X302" s="650">
        <f t="shared" si="851"/>
        <v>25233</v>
      </c>
      <c r="Y302" s="650">
        <f>Y299-Y298+Y280+Y301</f>
        <v>31869</v>
      </c>
      <c r="Z302" s="650">
        <v>22496</v>
      </c>
      <c r="AA302" s="650">
        <v>33068</v>
      </c>
      <c r="AB302" s="650">
        <f t="shared" ref="AB302" si="852">AB299-AB298+AB280+AB301</f>
        <v>34538</v>
      </c>
      <c r="AC302" s="650">
        <f>AC299-AC298+AC280+AC301</f>
        <v>48638</v>
      </c>
      <c r="AD302" s="650">
        <v>25100</v>
      </c>
      <c r="AE302" s="650">
        <v>40615</v>
      </c>
      <c r="AF302" s="650">
        <v>49320</v>
      </c>
      <c r="AG302" s="650">
        <f t="shared" ref="AG302:AP302" si="853">AG299-AG298+AG280+AG301</f>
        <v>59264.342611366053</v>
      </c>
      <c r="AH302" s="650">
        <f t="shared" si="853"/>
        <v>13735.722125912253</v>
      </c>
      <c r="AI302" s="650">
        <f t="shared" si="853"/>
        <v>54750.549207127639</v>
      </c>
      <c r="AJ302" s="650">
        <f t="shared" si="853"/>
        <v>51338.317671734869</v>
      </c>
      <c r="AK302" s="650">
        <f t="shared" si="853"/>
        <v>67739.785359310568</v>
      </c>
      <c r="AL302" s="650">
        <f t="shared" si="853"/>
        <v>16919.424990804782</v>
      </c>
      <c r="AM302" s="650">
        <f t="shared" si="853"/>
        <v>61953.802474249133</v>
      </c>
      <c r="AN302" s="650">
        <f t="shared" si="853"/>
        <v>57890.298761359125</v>
      </c>
      <c r="AO302" s="650">
        <f t="shared" si="853"/>
        <v>77443.021241547045</v>
      </c>
      <c r="AP302" s="650">
        <f t="shared" si="853"/>
        <v>19359.023576900068</v>
      </c>
      <c r="AQ302" s="669"/>
      <c r="AR302" s="673" t="s">
        <v>465</v>
      </c>
      <c r="AS302" s="671"/>
      <c r="AT302" s="650"/>
      <c r="AU302" s="650">
        <f t="shared" si="827"/>
        <v>34907</v>
      </c>
      <c r="AV302" s="650">
        <f t="shared" si="828"/>
        <v>42912</v>
      </c>
      <c r="AW302" s="650">
        <f t="shared" si="829"/>
        <v>60510</v>
      </c>
      <c r="AX302" s="650">
        <f t="shared" si="830"/>
        <v>85766</v>
      </c>
      <c r="AY302" s="650">
        <f t="shared" si="831"/>
        <v>100731</v>
      </c>
      <c r="AZ302" s="650">
        <f t="shared" si="832"/>
        <v>141344</v>
      </c>
      <c r="BA302" s="650">
        <f t="shared" si="833"/>
        <v>162935.06473727833</v>
      </c>
      <c r="BB302" s="650">
        <f t="shared" si="834"/>
        <v>190748.07722897784</v>
      </c>
      <c r="BC302" s="650">
        <f t="shared" si="835"/>
        <v>216646.14605405537</v>
      </c>
      <c r="BD302" s="650">
        <f t="shared" ref="BD302:BJ302" si="854">BD299-BD298+BD280+BD301</f>
        <v>257610.76659452874</v>
      </c>
      <c r="BE302" s="650">
        <f t="shared" si="854"/>
        <v>293630.04308008909</v>
      </c>
      <c r="BF302" s="650">
        <f t="shared" si="854"/>
        <v>321091.11265517317</v>
      </c>
      <c r="BG302" s="650">
        <f t="shared" si="854"/>
        <v>349352.27285662934</v>
      </c>
      <c r="BH302" s="650">
        <f t="shared" si="854"/>
        <v>373235.21956952941</v>
      </c>
      <c r="BI302" s="650">
        <f t="shared" si="854"/>
        <v>392757.69145446806</v>
      </c>
      <c r="BJ302" s="650">
        <f t="shared" si="854"/>
        <v>409093.75110556511</v>
      </c>
      <c r="BL302" s="650">
        <v>27618.002718335702</v>
      </c>
      <c r="BM302" s="650">
        <v>52514.630458628199</v>
      </c>
    </row>
    <row r="303" spans="2:67" ht="12" customHeight="1" x14ac:dyDescent="0.35">
      <c r="AG303" s="721">
        <f t="shared" ref="AG303:AP303" si="855">AG302/AG226</f>
        <v>0.2895975215892489</v>
      </c>
      <c r="AH303" s="721">
        <f t="shared" si="855"/>
        <v>8.8796571065158272E-2</v>
      </c>
      <c r="AI303" s="721">
        <f t="shared" si="855"/>
        <v>0.2819151404222327</v>
      </c>
      <c r="AJ303" s="721">
        <f t="shared" si="855"/>
        <v>0.25301244988156124</v>
      </c>
      <c r="AK303" s="721">
        <f t="shared" si="855"/>
        <v>0.2620726431540808</v>
      </c>
      <c r="AL303" s="721">
        <f t="shared" si="855"/>
        <v>8.842669471627003E-2</v>
      </c>
      <c r="AM303" s="721">
        <f t="shared" si="855"/>
        <v>0.2580934635572058</v>
      </c>
      <c r="AN303" s="721">
        <f t="shared" si="855"/>
        <v>0.22791093629081119</v>
      </c>
      <c r="AO303" s="721">
        <f t="shared" si="855"/>
        <v>0.24276102463350124</v>
      </c>
      <c r="AP303" s="721">
        <f t="shared" si="855"/>
        <v>8.1969618754602333E-2</v>
      </c>
      <c r="AY303" s="721">
        <f>AY302/AY226</f>
        <v>0.26730158898642409</v>
      </c>
      <c r="AZ303" s="721">
        <f t="shared" ref="AZ303:BJ303" si="856">AZ302/AZ226</f>
        <v>0.27730223597293369</v>
      </c>
      <c r="BA303" s="721">
        <f t="shared" si="856"/>
        <v>0.24386316679043413</v>
      </c>
      <c r="BB303" s="721">
        <f t="shared" si="856"/>
        <v>0.22522211585311891</v>
      </c>
      <c r="BC303" s="721">
        <f t="shared" si="856"/>
        <v>0.20648097570522295</v>
      </c>
      <c r="BD303" s="721">
        <f t="shared" si="856"/>
        <v>0.20346276661176574</v>
      </c>
      <c r="BE303" s="721">
        <f t="shared" si="856"/>
        <v>0.1977096421457597</v>
      </c>
      <c r="BF303" s="721">
        <f t="shared" si="856"/>
        <v>0.18917450970730085</v>
      </c>
      <c r="BG303" s="721">
        <f t="shared" si="856"/>
        <v>0.18410410600665059</v>
      </c>
      <c r="BH303" s="721">
        <f t="shared" si="856"/>
        <v>0.17908247745376954</v>
      </c>
      <c r="BI303" s="721">
        <f t="shared" si="856"/>
        <v>0.17395248497955779</v>
      </c>
      <c r="BJ303" s="721">
        <f t="shared" si="856"/>
        <v>0.1690634479093629</v>
      </c>
    </row>
    <row r="306" spans="1:65" ht="12" customHeight="1" outlineLevel="1" x14ac:dyDescent="0.35">
      <c r="B306" s="732" t="s">
        <v>598</v>
      </c>
      <c r="W306" s="578"/>
    </row>
    <row r="307" spans="1:65" ht="12" customHeight="1" outlineLevel="1" x14ac:dyDescent="0.35">
      <c r="W307" s="578"/>
      <c r="AA307" s="572">
        <f>AA326+AA328+AA329+AA330+AA331</f>
        <v>5563.6584452076168</v>
      </c>
    </row>
    <row r="308" spans="1:65" ht="12" customHeight="1" outlineLevel="1" x14ac:dyDescent="0.35">
      <c r="A308" s="733">
        <v>1</v>
      </c>
      <c r="B308" s="734" t="s">
        <v>599</v>
      </c>
      <c r="S308" s="524">
        <v>366.84965254375197</v>
      </c>
      <c r="T308" s="524">
        <v>334.18173991649098</v>
      </c>
      <c r="U308" s="524">
        <v>458.22183387035102</v>
      </c>
      <c r="V308" s="524">
        <v>373.45075750190102</v>
      </c>
      <c r="W308" s="524">
        <v>802.581950627276</v>
      </c>
      <c r="X308" s="524">
        <v>1010.65194894791</v>
      </c>
      <c r="Y308" s="524">
        <v>1185.27401962214</v>
      </c>
      <c r="Z308" s="524">
        <v>1068.1796080817301</v>
      </c>
      <c r="AA308" s="735">
        <v>931.73271939084805</v>
      </c>
      <c r="AB308" s="735">
        <v>902.100610648405</v>
      </c>
      <c r="AC308" s="735">
        <v>990.10573604301499</v>
      </c>
      <c r="AD308" s="735">
        <v>1906.40070120209</v>
      </c>
      <c r="AE308" s="736">
        <v>1010.7943413492552</v>
      </c>
      <c r="AT308" s="493">
        <f t="shared" ref="AT308:AT331" si="857">C308+D308+E308+F308</f>
        <v>0</v>
      </c>
      <c r="AU308" s="493">
        <f t="shared" ref="AU308:AU331" si="858">G308+H308+I308+J308</f>
        <v>0</v>
      </c>
      <c r="AV308" s="493">
        <f t="shared" ref="AV308:AV331" si="859">K308+L308+M308+N308</f>
        <v>0</v>
      </c>
      <c r="AW308" s="493">
        <f t="shared" ref="AW308:AW331" si="860">O308+P308+Q308+R308</f>
        <v>0</v>
      </c>
      <c r="AX308" s="524">
        <f t="shared" ref="AX308:AX331" si="861">S308+T308+U308+V308</f>
        <v>1532.7039838324949</v>
      </c>
      <c r="AY308" s="524">
        <f t="shared" ref="AY308:AY331" si="862">W308+X308+Y308+Z308</f>
        <v>4066.6875272790567</v>
      </c>
      <c r="AZ308" s="524">
        <f t="shared" ref="AZ308:AZ331" si="863">AA308+AB308+AC308+AD308</f>
        <v>4730.3397672843585</v>
      </c>
      <c r="BA308" s="524">
        <v>6168.2915374643599</v>
      </c>
      <c r="BB308" s="524">
        <v>7453.4704654446896</v>
      </c>
      <c r="BC308" s="524"/>
      <c r="BD308" s="524"/>
      <c r="BE308" s="524"/>
      <c r="BF308" s="524"/>
      <c r="BG308" s="524"/>
      <c r="BH308" s="524"/>
      <c r="BI308" s="524"/>
      <c r="BJ308" s="524"/>
      <c r="BL308" s="735">
        <v>902.100610648405</v>
      </c>
      <c r="BM308" s="735">
        <v>990.10573604301499</v>
      </c>
    </row>
    <row r="309" spans="1:65" ht="12" customHeight="1" outlineLevel="1" x14ac:dyDescent="0.35">
      <c r="A309" s="733">
        <v>2</v>
      </c>
      <c r="B309" s="734" t="s">
        <v>600</v>
      </c>
      <c r="S309" s="524">
        <v>124.21400515955099</v>
      </c>
      <c r="T309" s="524">
        <v>127.95120743833699</v>
      </c>
      <c r="U309" s="524">
        <v>191.56743214461301</v>
      </c>
      <c r="V309" s="524">
        <v>184.62204847232201</v>
      </c>
      <c r="W309" s="524">
        <v>334.01861594496199</v>
      </c>
      <c r="X309" s="524">
        <v>403.27837185236302</v>
      </c>
      <c r="Y309" s="524">
        <v>481.95375475239001</v>
      </c>
      <c r="Z309" s="524">
        <v>524.53190356681102</v>
      </c>
      <c r="AA309" s="735">
        <v>387.39623480108202</v>
      </c>
      <c r="AB309" s="735">
        <v>365.67199070586901</v>
      </c>
      <c r="AC309" s="735">
        <v>409.65084905739701</v>
      </c>
      <c r="AD309" s="735">
        <v>970.30720486585005</v>
      </c>
      <c r="AE309" s="736">
        <v>388.74135525585444</v>
      </c>
      <c r="AT309" s="493">
        <f t="shared" si="857"/>
        <v>0</v>
      </c>
      <c r="AU309" s="493">
        <f t="shared" si="858"/>
        <v>0</v>
      </c>
      <c r="AV309" s="493">
        <f t="shared" si="859"/>
        <v>0</v>
      </c>
      <c r="AW309" s="493">
        <f t="shared" si="860"/>
        <v>0</v>
      </c>
      <c r="AX309" s="524">
        <f t="shared" si="861"/>
        <v>628.35469321482299</v>
      </c>
      <c r="AY309" s="524">
        <f t="shared" si="862"/>
        <v>1743.7826461165262</v>
      </c>
      <c r="AZ309" s="524">
        <f t="shared" si="863"/>
        <v>2133.026279430198</v>
      </c>
      <c r="BA309" s="524">
        <v>2473.4792412747302</v>
      </c>
      <c r="BB309" s="524">
        <v>2948.7742982128002</v>
      </c>
      <c r="BC309" s="524"/>
      <c r="BD309" s="524"/>
      <c r="BE309" s="524"/>
      <c r="BF309" s="524"/>
      <c r="BG309" s="524"/>
      <c r="BH309" s="524"/>
      <c r="BI309" s="524"/>
      <c r="BJ309" s="524"/>
      <c r="BL309" s="735">
        <v>365.67199070586901</v>
      </c>
      <c r="BM309" s="735">
        <v>409.65084905739701</v>
      </c>
    </row>
    <row r="310" spans="1:65" ht="12" customHeight="1" outlineLevel="1" x14ac:dyDescent="0.35">
      <c r="A310" s="733"/>
      <c r="B310" s="734" t="s">
        <v>601</v>
      </c>
      <c r="S310" s="524">
        <v>491.06365770330302</v>
      </c>
      <c r="T310" s="524">
        <v>462.13294735482799</v>
      </c>
      <c r="U310" s="524">
        <v>649.78926601496403</v>
      </c>
      <c r="V310" s="524">
        <v>558.07280597422402</v>
      </c>
      <c r="W310" s="524">
        <v>1136.60056657224</v>
      </c>
      <c r="X310" s="524">
        <v>1413.93032080028</v>
      </c>
      <c r="Y310" s="524">
        <v>1667.2277743745301</v>
      </c>
      <c r="Z310" s="524">
        <v>1592.71151164854</v>
      </c>
      <c r="AA310" s="735">
        <v>1319.12895419193</v>
      </c>
      <c r="AB310" s="735">
        <v>1267.7726013542699</v>
      </c>
      <c r="AC310" s="735">
        <v>1399.7565851004099</v>
      </c>
      <c r="AD310" s="735">
        <v>2876.7079060679398</v>
      </c>
      <c r="AE310" s="736">
        <v>1399.5356966051097</v>
      </c>
      <c r="AT310" s="493">
        <f t="shared" si="857"/>
        <v>0</v>
      </c>
      <c r="AU310" s="493">
        <f t="shared" si="858"/>
        <v>0</v>
      </c>
      <c r="AV310" s="493">
        <f t="shared" si="859"/>
        <v>0</v>
      </c>
      <c r="AW310" s="493">
        <f t="shared" si="860"/>
        <v>0</v>
      </c>
      <c r="AX310" s="524">
        <f t="shared" si="861"/>
        <v>2161.0586770473192</v>
      </c>
      <c r="AY310" s="524">
        <f t="shared" si="862"/>
        <v>5810.4701733955899</v>
      </c>
      <c r="AZ310" s="524">
        <f t="shared" si="863"/>
        <v>6863.3660467145501</v>
      </c>
      <c r="BA310" s="524">
        <v>8641.77077873909</v>
      </c>
      <c r="BB310" s="524">
        <v>10402.2447636575</v>
      </c>
      <c r="BC310" s="524"/>
      <c r="BD310" s="524"/>
      <c r="BE310" s="524"/>
      <c r="BF310" s="524"/>
      <c r="BG310" s="524"/>
      <c r="BH310" s="524"/>
      <c r="BI310" s="524"/>
      <c r="BJ310" s="524"/>
      <c r="BL310" s="735">
        <v>1267.7726013542699</v>
      </c>
      <c r="BM310" s="735">
        <v>1399.7565851004099</v>
      </c>
    </row>
    <row r="311" spans="1:65" ht="12" customHeight="1" outlineLevel="1" x14ac:dyDescent="0.35">
      <c r="A311" s="733">
        <v>3</v>
      </c>
      <c r="B311" s="734" t="s">
        <v>602</v>
      </c>
      <c r="S311" s="524">
        <v>22.581820717224101</v>
      </c>
      <c r="T311" s="524">
        <v>41.034953295165899</v>
      </c>
      <c r="U311" s="524">
        <v>60.041232046311002</v>
      </c>
      <c r="V311" s="524">
        <v>94.609257706631297</v>
      </c>
      <c r="W311" s="524">
        <v>173.83245649534601</v>
      </c>
      <c r="X311" s="524">
        <v>248.518454639531</v>
      </c>
      <c r="Y311" s="524">
        <v>270.027945509174</v>
      </c>
      <c r="Z311" s="524">
        <v>479.91654625193303</v>
      </c>
      <c r="AA311" s="735">
        <v>363.45714430663202</v>
      </c>
      <c r="AB311" s="735">
        <v>376.10312122397102</v>
      </c>
      <c r="AC311" s="735">
        <v>317.441094280188</v>
      </c>
      <c r="AD311" s="735">
        <v>1110.6046479393001</v>
      </c>
      <c r="AE311" s="736">
        <v>591.65093985808369</v>
      </c>
      <c r="AT311" s="493">
        <f t="shared" si="857"/>
        <v>0</v>
      </c>
      <c r="AU311" s="493">
        <f t="shared" si="858"/>
        <v>0</v>
      </c>
      <c r="AV311" s="493">
        <f t="shared" si="859"/>
        <v>0</v>
      </c>
      <c r="AW311" s="493">
        <f t="shared" si="860"/>
        <v>0</v>
      </c>
      <c r="AX311" s="524">
        <f t="shared" si="861"/>
        <v>218.2672637653323</v>
      </c>
      <c r="AY311" s="524">
        <f t="shared" si="862"/>
        <v>1172.2954028959839</v>
      </c>
      <c r="AZ311" s="524">
        <f t="shared" si="863"/>
        <v>2167.6060077500911</v>
      </c>
      <c r="BA311" s="524">
        <v>3142.1679433987601</v>
      </c>
      <c r="BB311" s="524">
        <v>4535.7916255597902</v>
      </c>
      <c r="BC311" s="524"/>
      <c r="BD311" s="524"/>
      <c r="BE311" s="524"/>
      <c r="BF311" s="524"/>
      <c r="BG311" s="524"/>
      <c r="BH311" s="524"/>
      <c r="BI311" s="524"/>
      <c r="BJ311" s="524"/>
      <c r="BL311" s="735">
        <v>376.10312122397102</v>
      </c>
      <c r="BM311" s="735">
        <v>317.441094280188</v>
      </c>
    </row>
    <row r="312" spans="1:65" ht="12" customHeight="1" outlineLevel="1" x14ac:dyDescent="0.35">
      <c r="A312" s="733"/>
      <c r="B312" s="737" t="s">
        <v>603</v>
      </c>
      <c r="S312" s="524">
        <v>4.6848025734294696</v>
      </c>
      <c r="T312" s="524">
        <v>12.6272001489006</v>
      </c>
      <c r="U312" s="524">
        <v>21.981777596457601</v>
      </c>
      <c r="V312" s="524">
        <v>33.321582920370503</v>
      </c>
      <c r="W312" s="524">
        <v>64.468774781213696</v>
      </c>
      <c r="X312" s="524">
        <v>117.760990724709</v>
      </c>
      <c r="Y312" s="524">
        <v>143.965072213588</v>
      </c>
      <c r="Z312" s="524">
        <v>275.91994458213202</v>
      </c>
      <c r="AA312" s="735">
        <v>204.640776448884</v>
      </c>
      <c r="AB312" s="735">
        <v>230.07938031994601</v>
      </c>
      <c r="AC312" s="735">
        <v>187.950896732149</v>
      </c>
      <c r="AD312" s="735">
        <v>661.08655709539403</v>
      </c>
      <c r="AE312" s="736">
        <v>287.55973431819359</v>
      </c>
      <c r="AT312" s="493">
        <f t="shared" si="857"/>
        <v>0</v>
      </c>
      <c r="AU312" s="493">
        <f t="shared" si="858"/>
        <v>0</v>
      </c>
      <c r="AV312" s="493">
        <f t="shared" si="859"/>
        <v>0</v>
      </c>
      <c r="AW312" s="493">
        <f t="shared" si="860"/>
        <v>0</v>
      </c>
      <c r="AX312" s="524">
        <f t="shared" si="861"/>
        <v>72.615363239158171</v>
      </c>
      <c r="AY312" s="524">
        <f t="shared" si="862"/>
        <v>602.11478230164266</v>
      </c>
      <c r="AZ312" s="524">
        <f t="shared" si="863"/>
        <v>1283.7576105963731</v>
      </c>
      <c r="BA312" s="524">
        <v>1886.95011506319</v>
      </c>
      <c r="BB312" s="524">
        <v>2557.9397200232702</v>
      </c>
      <c r="BC312" s="524"/>
      <c r="BD312" s="524"/>
      <c r="BE312" s="524"/>
      <c r="BF312" s="524"/>
      <c r="BG312" s="524"/>
      <c r="BH312" s="524"/>
      <c r="BI312" s="524"/>
      <c r="BJ312" s="524"/>
      <c r="BL312" s="735">
        <v>230.07938031994601</v>
      </c>
      <c r="BM312" s="735">
        <v>187.950896732149</v>
      </c>
    </row>
    <row r="313" spans="1:65" ht="12" customHeight="1" outlineLevel="1" x14ac:dyDescent="0.35">
      <c r="A313" s="733"/>
      <c r="B313" s="737" t="s">
        <v>604</v>
      </c>
      <c r="S313" s="524">
        <v>17.8970181437946</v>
      </c>
      <c r="T313" s="524">
        <v>28.4077531462653</v>
      </c>
      <c r="U313" s="524">
        <v>38.059454449853398</v>
      </c>
      <c r="V313" s="524">
        <v>61.287674786260801</v>
      </c>
      <c r="W313" s="524">
        <v>109.363681714132</v>
      </c>
      <c r="X313" s="524">
        <v>130.75746391482201</v>
      </c>
      <c r="Y313" s="524">
        <v>126.062873295587</v>
      </c>
      <c r="Z313" s="524">
        <v>203.99660166980101</v>
      </c>
      <c r="AA313" s="735">
        <v>158.81636785774799</v>
      </c>
      <c r="AB313" s="735">
        <v>146.023740904026</v>
      </c>
      <c r="AC313" s="735">
        <v>129.49019754803899</v>
      </c>
      <c r="AD313" s="735">
        <v>449.51809084390402</v>
      </c>
      <c r="AE313" s="736">
        <v>304.09120553989004</v>
      </c>
      <c r="AT313" s="493">
        <f t="shared" si="857"/>
        <v>0</v>
      </c>
      <c r="AU313" s="493">
        <f t="shared" si="858"/>
        <v>0</v>
      </c>
      <c r="AV313" s="493">
        <f t="shared" si="859"/>
        <v>0</v>
      </c>
      <c r="AW313" s="493">
        <f t="shared" si="860"/>
        <v>0</v>
      </c>
      <c r="AX313" s="524">
        <f t="shared" si="861"/>
        <v>145.6519005261741</v>
      </c>
      <c r="AY313" s="524">
        <f t="shared" si="862"/>
        <v>570.18062059434203</v>
      </c>
      <c r="AZ313" s="524">
        <f t="shared" si="863"/>
        <v>883.84839715371697</v>
      </c>
      <c r="BA313" s="524">
        <v>1255.21782833558</v>
      </c>
      <c r="BB313" s="524">
        <v>1977.85190553652</v>
      </c>
      <c r="BC313" s="524"/>
      <c r="BD313" s="524"/>
      <c r="BE313" s="524"/>
      <c r="BF313" s="524"/>
      <c r="BG313" s="524"/>
      <c r="BH313" s="524"/>
      <c r="BI313" s="524"/>
      <c r="BJ313" s="524"/>
      <c r="BL313" s="735">
        <v>146.023740904026</v>
      </c>
      <c r="BM313" s="735">
        <v>129.49019754803899</v>
      </c>
    </row>
    <row r="314" spans="1:65" ht="12" customHeight="1" outlineLevel="1" x14ac:dyDescent="0.35">
      <c r="A314" s="733"/>
      <c r="B314" s="734" t="s">
        <v>605</v>
      </c>
      <c r="S314" s="524">
        <v>513.64547842052696</v>
      </c>
      <c r="T314" s="524">
        <v>503.16790064999401</v>
      </c>
      <c r="U314" s="524">
        <v>709.83049806127497</v>
      </c>
      <c r="V314" s="524">
        <v>652.68206368085498</v>
      </c>
      <c r="W314" s="524">
        <v>1310.4330230675801</v>
      </c>
      <c r="X314" s="524">
        <v>1662.4487754398101</v>
      </c>
      <c r="Y314" s="524">
        <v>1937.2557198837101</v>
      </c>
      <c r="Z314" s="524">
        <v>2072.6280579004701</v>
      </c>
      <c r="AA314" s="735">
        <v>1682.58609849856</v>
      </c>
      <c r="AB314" s="735">
        <v>1643.8757225782499</v>
      </c>
      <c r="AC314" s="735">
        <v>1717.1976793806</v>
      </c>
      <c r="AD314" s="735">
        <v>3987.3125540072401</v>
      </c>
      <c r="AE314" s="736">
        <v>1991.1866364631933</v>
      </c>
      <c r="AT314" s="493">
        <f t="shared" si="857"/>
        <v>0</v>
      </c>
      <c r="AU314" s="493">
        <f t="shared" si="858"/>
        <v>0</v>
      </c>
      <c r="AV314" s="493">
        <f t="shared" si="859"/>
        <v>0</v>
      </c>
      <c r="AW314" s="493">
        <f t="shared" si="860"/>
        <v>0</v>
      </c>
      <c r="AX314" s="524">
        <f t="shared" si="861"/>
        <v>2379.325940812651</v>
      </c>
      <c r="AY314" s="524">
        <f t="shared" si="862"/>
        <v>6982.7655762915711</v>
      </c>
      <c r="AZ314" s="524">
        <f t="shared" si="863"/>
        <v>9030.9720544646498</v>
      </c>
      <c r="BA314" s="524">
        <v>11783.9387221379</v>
      </c>
      <c r="BB314" s="524">
        <v>14938.036389217301</v>
      </c>
      <c r="BC314" s="524"/>
      <c r="BD314" s="524"/>
      <c r="BF314" s="524"/>
      <c r="BG314" s="524"/>
      <c r="BH314" s="524"/>
      <c r="BI314" s="524"/>
      <c r="BJ314" s="524"/>
      <c r="BL314" s="735">
        <v>1643.8757225782499</v>
      </c>
      <c r="BM314" s="735">
        <v>1717.1976793806</v>
      </c>
    </row>
    <row r="315" spans="1:65" ht="12" customHeight="1" outlineLevel="1" x14ac:dyDescent="0.35">
      <c r="A315" s="733">
        <v>4</v>
      </c>
      <c r="B315" s="734" t="s">
        <v>606</v>
      </c>
      <c r="S315" s="524">
        <v>22.959583517326301</v>
      </c>
      <c r="T315" s="524">
        <v>21.802203951616399</v>
      </c>
      <c r="U315" s="524">
        <v>22.745753918409701</v>
      </c>
      <c r="V315" s="524">
        <v>30.583559186538501</v>
      </c>
      <c r="W315" s="524">
        <v>54.633751517604203</v>
      </c>
      <c r="X315" s="524">
        <v>76.658502932045494</v>
      </c>
      <c r="Y315" s="524">
        <v>64.387970012543406</v>
      </c>
      <c r="Z315" s="524">
        <v>90.330139174081694</v>
      </c>
      <c r="AA315" s="735">
        <v>64.352038252400604</v>
      </c>
      <c r="AB315" s="735">
        <v>70.857704409471395</v>
      </c>
      <c r="AC315" s="735">
        <v>56.6200415372086</v>
      </c>
      <c r="AD315" s="735">
        <v>173.99825646542499</v>
      </c>
      <c r="AE315" s="736">
        <v>68.468473874495572</v>
      </c>
      <c r="AT315" s="493">
        <f t="shared" si="857"/>
        <v>0</v>
      </c>
      <c r="AU315" s="493">
        <f t="shared" si="858"/>
        <v>0</v>
      </c>
      <c r="AV315" s="493">
        <f t="shared" si="859"/>
        <v>0</v>
      </c>
      <c r="AW315" s="493">
        <f t="shared" si="860"/>
        <v>0</v>
      </c>
      <c r="AX315" s="524">
        <f t="shared" si="861"/>
        <v>98.091100573890913</v>
      </c>
      <c r="AY315" s="524">
        <f t="shared" si="862"/>
        <v>286.0103636362748</v>
      </c>
      <c r="AZ315" s="524">
        <f t="shared" si="863"/>
        <v>365.82804066450558</v>
      </c>
      <c r="BA315" s="524">
        <v>427.33957749814601</v>
      </c>
      <c r="BB315" s="524">
        <v>538.29802418124905</v>
      </c>
      <c r="BC315" s="524"/>
      <c r="BD315" s="524"/>
      <c r="BE315" s="524"/>
      <c r="BF315" s="524"/>
      <c r="BG315" s="524"/>
      <c r="BH315" s="524"/>
      <c r="BI315" s="524"/>
      <c r="BJ315" s="524"/>
      <c r="BL315" s="735">
        <v>70.857704409471395</v>
      </c>
      <c r="BM315" s="735">
        <v>56.6200415372086</v>
      </c>
    </row>
    <row r="316" spans="1:65" ht="12" customHeight="1" outlineLevel="1" x14ac:dyDescent="0.35">
      <c r="A316" s="733"/>
      <c r="B316" s="734" t="s">
        <v>607</v>
      </c>
      <c r="S316" s="524">
        <v>536.60506193785295</v>
      </c>
      <c r="T316" s="524">
        <v>524.97010460161005</v>
      </c>
      <c r="U316" s="524">
        <v>732.576251979684</v>
      </c>
      <c r="V316" s="524">
        <v>683.26562286739295</v>
      </c>
      <c r="W316" s="524">
        <v>1365.0667745851899</v>
      </c>
      <c r="X316" s="524">
        <v>1739.10727837185</v>
      </c>
      <c r="Y316" s="524">
        <v>2001.64368989625</v>
      </c>
      <c r="Z316" s="524">
        <v>2162.9581970745598</v>
      </c>
      <c r="AA316" s="735">
        <v>1746.93813675096</v>
      </c>
      <c r="AB316" s="735">
        <v>1714.7334269877199</v>
      </c>
      <c r="AC316" s="735">
        <v>1773.81772091781</v>
      </c>
      <c r="AD316" s="735">
        <v>4161.3108104726598</v>
      </c>
      <c r="AE316" s="736">
        <v>2059.6551103376892</v>
      </c>
      <c r="AT316" s="493">
        <f t="shared" si="857"/>
        <v>0</v>
      </c>
      <c r="AU316" s="493">
        <f t="shared" si="858"/>
        <v>0</v>
      </c>
      <c r="AV316" s="493">
        <f t="shared" si="859"/>
        <v>0</v>
      </c>
      <c r="AW316" s="493">
        <f t="shared" si="860"/>
        <v>0</v>
      </c>
      <c r="AX316" s="524">
        <f t="shared" si="861"/>
        <v>2477.4170413865399</v>
      </c>
      <c r="AY316" s="524">
        <f t="shared" si="862"/>
        <v>7268.7759399278493</v>
      </c>
      <c r="AZ316" s="524">
        <f t="shared" si="863"/>
        <v>9396.8000951291506</v>
      </c>
      <c r="BA316" s="524">
        <v>12211.278299636</v>
      </c>
      <c r="BB316" s="524">
        <v>15476.334413398499</v>
      </c>
      <c r="BC316" s="524"/>
      <c r="BD316" s="524"/>
      <c r="BE316" s="524"/>
      <c r="BF316" s="524"/>
      <c r="BG316" s="524"/>
      <c r="BH316" s="524"/>
      <c r="BI316" s="524"/>
      <c r="BJ316" s="524"/>
      <c r="BL316" s="735">
        <v>1714.7334269877199</v>
      </c>
      <c r="BM316" s="735">
        <v>1773.81772091781</v>
      </c>
    </row>
    <row r="317" spans="1:65" ht="12" customHeight="1" outlineLevel="1" x14ac:dyDescent="0.35">
      <c r="A317" s="733">
        <v>5</v>
      </c>
      <c r="B317" s="734" t="s">
        <v>608</v>
      </c>
      <c r="S317" s="524">
        <v>0</v>
      </c>
      <c r="T317" s="524">
        <v>0</v>
      </c>
      <c r="U317" s="524">
        <v>46.141049096171699</v>
      </c>
      <c r="V317" s="524">
        <v>46.321991927779003</v>
      </c>
      <c r="W317" s="524">
        <v>80.785107244030797</v>
      </c>
      <c r="X317" s="524">
        <v>98.424974129009996</v>
      </c>
      <c r="Y317" s="524">
        <v>107.337183862781</v>
      </c>
      <c r="Z317" s="524">
        <v>136.93155373032201</v>
      </c>
      <c r="AA317" s="735">
        <v>87.469600465830993</v>
      </c>
      <c r="AB317" s="735">
        <v>83.471657863221694</v>
      </c>
      <c r="AC317" s="735">
        <v>86.7997079302949</v>
      </c>
      <c r="AD317" s="735">
        <v>241.65047852905701</v>
      </c>
      <c r="AE317" s="736">
        <v>151.57788145636749</v>
      </c>
      <c r="AT317" s="493">
        <f t="shared" si="857"/>
        <v>0</v>
      </c>
      <c r="AU317" s="493">
        <f t="shared" si="858"/>
        <v>0</v>
      </c>
      <c r="AV317" s="493">
        <f t="shared" si="859"/>
        <v>0</v>
      </c>
      <c r="AW317" s="493">
        <f t="shared" si="860"/>
        <v>0</v>
      </c>
      <c r="AX317" s="524">
        <f t="shared" si="861"/>
        <v>92.463041023950694</v>
      </c>
      <c r="AY317" s="524">
        <f t="shared" si="862"/>
        <v>423.47881896614376</v>
      </c>
      <c r="AZ317" s="524">
        <f t="shared" si="863"/>
        <v>499.39144478840461</v>
      </c>
      <c r="BA317" s="524">
        <v>538.39279173382602</v>
      </c>
      <c r="BB317" s="524">
        <v>620.67486737799595</v>
      </c>
      <c r="BC317" s="524"/>
      <c r="BD317" s="524"/>
      <c r="BE317" s="524"/>
      <c r="BF317" s="524"/>
      <c r="BG317" s="524"/>
      <c r="BH317" s="524"/>
      <c r="BI317" s="524"/>
      <c r="BJ317" s="524"/>
      <c r="BL317" s="735">
        <v>83.471657863221694</v>
      </c>
      <c r="BM317" s="735">
        <v>86.7997079302949</v>
      </c>
    </row>
    <row r="318" spans="1:65" ht="12" customHeight="1" outlineLevel="1" x14ac:dyDescent="0.35">
      <c r="A318" s="733">
        <v>6</v>
      </c>
      <c r="B318" s="734" t="s">
        <v>609</v>
      </c>
      <c r="S318" s="524">
        <v>0</v>
      </c>
      <c r="T318" s="524">
        <v>0</v>
      </c>
      <c r="U318" s="524">
        <v>0</v>
      </c>
      <c r="V318" s="524">
        <v>0</v>
      </c>
      <c r="W318" s="524">
        <v>63.423715095103198</v>
      </c>
      <c r="X318" s="524">
        <v>154.14591238358099</v>
      </c>
      <c r="Y318" s="524">
        <v>123.30272356893499</v>
      </c>
      <c r="Z318" s="524">
        <v>186.76031130377501</v>
      </c>
      <c r="AA318" s="735">
        <v>140.04489129728401</v>
      </c>
      <c r="AB318" s="735">
        <v>160.580586423894</v>
      </c>
      <c r="AC318" s="735">
        <v>122.400735606841</v>
      </c>
      <c r="AD318" s="735">
        <v>482.97285871792002</v>
      </c>
      <c r="AE318" s="736">
        <v>139.55069833030799</v>
      </c>
      <c r="AT318" s="493">
        <f t="shared" si="857"/>
        <v>0</v>
      </c>
      <c r="AU318" s="493">
        <f t="shared" si="858"/>
        <v>0</v>
      </c>
      <c r="AV318" s="493">
        <f t="shared" si="859"/>
        <v>0</v>
      </c>
      <c r="AW318" s="493">
        <f t="shared" si="860"/>
        <v>0</v>
      </c>
      <c r="AX318" s="524">
        <f t="shared" si="861"/>
        <v>0</v>
      </c>
      <c r="AY318" s="524">
        <f t="shared" si="862"/>
        <v>527.63266235139417</v>
      </c>
      <c r="AZ318" s="524">
        <f t="shared" si="863"/>
        <v>905.9990720459391</v>
      </c>
      <c r="BA318" s="524">
        <v>1223.7930737878</v>
      </c>
      <c r="BB318" s="524">
        <v>1710.4881789784999</v>
      </c>
      <c r="BC318" s="524"/>
      <c r="BD318" s="524"/>
      <c r="BE318" s="524"/>
      <c r="BF318" s="524"/>
      <c r="BG318" s="524"/>
      <c r="BH318" s="524"/>
      <c r="BI318" s="524"/>
      <c r="BJ318" s="524"/>
      <c r="BL318" s="735">
        <v>160.580586423894</v>
      </c>
      <c r="BM318" s="735">
        <v>122.400735606841</v>
      </c>
    </row>
    <row r="319" spans="1:65" ht="12" customHeight="1" outlineLevel="1" x14ac:dyDescent="0.35">
      <c r="A319" s="733"/>
      <c r="B319" s="734" t="s">
        <v>610</v>
      </c>
      <c r="S319" s="524">
        <v>536.60506193785295</v>
      </c>
      <c r="T319" s="524">
        <v>524.97010460161005</v>
      </c>
      <c r="U319" s="524">
        <v>778.71730107585597</v>
      </c>
      <c r="V319" s="524">
        <v>729.58761479517204</v>
      </c>
      <c r="W319" s="524">
        <v>1509.2755969243201</v>
      </c>
      <c r="X319" s="524">
        <v>1991.6781648844401</v>
      </c>
      <c r="Y319" s="524">
        <v>2232.2835973279698</v>
      </c>
      <c r="Z319" s="524">
        <v>2486.6500621086502</v>
      </c>
      <c r="AA319" s="735">
        <v>1974.4526285140801</v>
      </c>
      <c r="AB319" s="735">
        <v>1958.7856712748301</v>
      </c>
      <c r="AC319" s="735">
        <v>1983.01816445495</v>
      </c>
      <c r="AD319" s="735">
        <v>4885.9341477196404</v>
      </c>
      <c r="AE319" s="736">
        <v>2350.7836901243641</v>
      </c>
      <c r="AT319" s="493">
        <f t="shared" si="857"/>
        <v>0</v>
      </c>
      <c r="AU319" s="493">
        <f t="shared" si="858"/>
        <v>0</v>
      </c>
      <c r="AV319" s="493">
        <f t="shared" si="859"/>
        <v>0</v>
      </c>
      <c r="AW319" s="493">
        <f t="shared" si="860"/>
        <v>0</v>
      </c>
      <c r="AX319" s="524">
        <f t="shared" si="861"/>
        <v>2569.880082410491</v>
      </c>
      <c r="AY319" s="524">
        <f t="shared" si="862"/>
        <v>8219.8874212453811</v>
      </c>
      <c r="AZ319" s="524">
        <f t="shared" si="863"/>
        <v>10802.1906119635</v>
      </c>
      <c r="BA319" s="524">
        <v>13973.4641651576</v>
      </c>
      <c r="BB319" s="524">
        <v>17807.497459754999</v>
      </c>
      <c r="BC319" s="524"/>
      <c r="BD319" s="524"/>
      <c r="BE319" s="524"/>
      <c r="BF319" s="524"/>
      <c r="BG319" s="524"/>
      <c r="BH319" s="524"/>
      <c r="BI319" s="524"/>
      <c r="BJ319" s="524"/>
      <c r="BL319" s="735">
        <v>1958.7856712748301</v>
      </c>
      <c r="BM319" s="735">
        <v>1983.01816445495</v>
      </c>
    </row>
    <row r="320" spans="1:65" ht="12" customHeight="1" outlineLevel="1" x14ac:dyDescent="0.35">
      <c r="A320" s="733">
        <v>7</v>
      </c>
      <c r="B320" s="734" t="s">
        <v>611</v>
      </c>
      <c r="S320" s="524">
        <v>36.908824691472802</v>
      </c>
      <c r="T320" s="524">
        <v>36.608368128793401</v>
      </c>
      <c r="U320" s="524">
        <v>55.895977827535397</v>
      </c>
      <c r="V320" s="524">
        <v>64.431746836430307</v>
      </c>
      <c r="W320" s="524">
        <v>104.79967624443501</v>
      </c>
      <c r="X320" s="524">
        <v>137.04587788892701</v>
      </c>
      <c r="Y320" s="524">
        <v>139.43556683488401</v>
      </c>
      <c r="Z320" s="524">
        <v>175.340482165944</v>
      </c>
      <c r="AA320" s="735">
        <v>120.873420248567</v>
      </c>
      <c r="AB320" s="735">
        <v>129.01449856990499</v>
      </c>
      <c r="AC320" s="735">
        <v>124.59999735505799</v>
      </c>
      <c r="AD320" s="735">
        <v>362.69682610325998</v>
      </c>
      <c r="AE320" s="736">
        <v>137.8016471894268</v>
      </c>
      <c r="AT320" s="493">
        <f t="shared" si="857"/>
        <v>0</v>
      </c>
      <c r="AU320" s="493">
        <f t="shared" si="858"/>
        <v>0</v>
      </c>
      <c r="AV320" s="493">
        <f t="shared" si="859"/>
        <v>0</v>
      </c>
      <c r="AW320" s="493">
        <f t="shared" si="860"/>
        <v>0</v>
      </c>
      <c r="AX320" s="524">
        <f t="shared" si="861"/>
        <v>193.8449174842319</v>
      </c>
      <c r="AY320" s="524">
        <f t="shared" si="862"/>
        <v>556.62160313418997</v>
      </c>
      <c r="AZ320" s="524">
        <f t="shared" si="863"/>
        <v>737.18474227678996</v>
      </c>
      <c r="BA320" s="524">
        <v>941.21239825193095</v>
      </c>
      <c r="BB320" s="524">
        <v>1300.6684329641701</v>
      </c>
      <c r="BC320" s="524"/>
      <c r="BD320" s="524"/>
      <c r="BE320" s="524"/>
      <c r="BF320" s="524"/>
      <c r="BG320" s="524"/>
      <c r="BH320" s="524"/>
      <c r="BI320" s="524"/>
      <c r="BJ320" s="524"/>
      <c r="BL320" s="735">
        <v>129.01449856990499</v>
      </c>
      <c r="BM320" s="735">
        <v>124.59999735505799</v>
      </c>
    </row>
    <row r="321" spans="1:65" ht="12" customHeight="1" outlineLevel="1" x14ac:dyDescent="0.35">
      <c r="A321" s="733"/>
      <c r="B321" s="737" t="s">
        <v>612</v>
      </c>
      <c r="S321" s="524">
        <v>21.422465960472</v>
      </c>
      <c r="T321" s="524">
        <v>22.571558700012901</v>
      </c>
      <c r="U321" s="524">
        <v>29.158863729452399</v>
      </c>
      <c r="V321" s="524">
        <v>39.564762619045197</v>
      </c>
      <c r="W321" s="524">
        <v>59.485692852099703</v>
      </c>
      <c r="X321" s="524">
        <v>84.984233155157</v>
      </c>
      <c r="Y321" s="524">
        <v>74.944092563033294</v>
      </c>
      <c r="Z321" s="524">
        <v>83.118642891222507</v>
      </c>
      <c r="AA321" s="735">
        <v>59.2875004793855</v>
      </c>
      <c r="AB321" s="735">
        <v>69.650296395431198</v>
      </c>
      <c r="AC321" s="735">
        <v>76.392332418891797</v>
      </c>
      <c r="AD321" s="735">
        <v>197.587795982849</v>
      </c>
      <c r="AE321" s="736">
        <v>64.146504564830906</v>
      </c>
      <c r="AT321" s="493">
        <f t="shared" si="857"/>
        <v>0</v>
      </c>
      <c r="AU321" s="493">
        <f t="shared" si="858"/>
        <v>0</v>
      </c>
      <c r="AV321" s="493">
        <f t="shared" si="859"/>
        <v>0</v>
      </c>
      <c r="AW321" s="493">
        <f t="shared" si="860"/>
        <v>0</v>
      </c>
      <c r="AX321" s="524">
        <f t="shared" si="861"/>
        <v>112.71765100898249</v>
      </c>
      <c r="AY321" s="524">
        <f t="shared" si="862"/>
        <v>302.53266146151253</v>
      </c>
      <c r="AZ321" s="524">
        <f t="shared" si="863"/>
        <v>402.91792527655747</v>
      </c>
      <c r="BA321" s="524">
        <v>563.60373879158999</v>
      </c>
      <c r="BB321" s="524">
        <v>845.73411306830099</v>
      </c>
      <c r="BC321" s="524"/>
      <c r="BD321" s="524"/>
      <c r="BE321" s="524"/>
      <c r="BF321" s="524"/>
      <c r="BG321" s="524"/>
      <c r="BH321" s="524"/>
      <c r="BI321" s="524"/>
      <c r="BJ321" s="524"/>
      <c r="BL321" s="735">
        <v>69.650296395431198</v>
      </c>
      <c r="BM321" s="735">
        <v>76.392332418891797</v>
      </c>
    </row>
    <row r="322" spans="1:65" ht="12" customHeight="1" outlineLevel="1" x14ac:dyDescent="0.35">
      <c r="A322" s="733"/>
      <c r="B322" s="737" t="s">
        <v>613</v>
      </c>
      <c r="S322" s="524">
        <v>15.486358731000699</v>
      </c>
      <c r="T322" s="524">
        <v>14.036809428780501</v>
      </c>
      <c r="U322" s="524">
        <v>26.737114098083001</v>
      </c>
      <c r="V322" s="524">
        <v>24.866984217385099</v>
      </c>
      <c r="W322" s="524">
        <v>45.3139833923357</v>
      </c>
      <c r="X322" s="524">
        <v>52.061644733770301</v>
      </c>
      <c r="Y322" s="524">
        <v>64.491474271851004</v>
      </c>
      <c r="Z322" s="524">
        <v>92.221839274721702</v>
      </c>
      <c r="AA322" s="735">
        <v>61.585919769181601</v>
      </c>
      <c r="AB322" s="735">
        <v>59.364202174474102</v>
      </c>
      <c r="AC322" s="735">
        <v>48.207664936166303</v>
      </c>
      <c r="AD322" s="735">
        <v>165.109030120412</v>
      </c>
      <c r="AE322" s="736">
        <v>73.655142624595882</v>
      </c>
      <c r="AT322" s="493">
        <f t="shared" si="857"/>
        <v>0</v>
      </c>
      <c r="AU322" s="493">
        <f t="shared" si="858"/>
        <v>0</v>
      </c>
      <c r="AV322" s="493">
        <f t="shared" si="859"/>
        <v>0</v>
      </c>
      <c r="AW322" s="493">
        <f t="shared" si="860"/>
        <v>0</v>
      </c>
      <c r="AX322" s="524">
        <f t="shared" si="861"/>
        <v>81.1272664752493</v>
      </c>
      <c r="AY322" s="524">
        <f t="shared" si="862"/>
        <v>254.08894167267871</v>
      </c>
      <c r="AZ322" s="524">
        <f t="shared" si="863"/>
        <v>334.26681700023403</v>
      </c>
      <c r="BA322" s="524">
        <v>377.60865946034102</v>
      </c>
      <c r="BB322" s="524">
        <v>454.93431989586799</v>
      </c>
      <c r="BC322" s="524"/>
      <c r="BD322" s="524"/>
      <c r="BE322" s="524"/>
      <c r="BF322" s="524"/>
      <c r="BG322" s="524"/>
      <c r="BH322" s="524"/>
      <c r="BI322" s="524"/>
      <c r="BJ322" s="524"/>
      <c r="BL322" s="735">
        <v>59.364202174474102</v>
      </c>
      <c r="BM322" s="735">
        <v>48.207664936166303</v>
      </c>
    </row>
    <row r="323" spans="1:65" ht="12" customHeight="1" outlineLevel="1" x14ac:dyDescent="0.35">
      <c r="A323" s="733">
        <v>8</v>
      </c>
      <c r="B323" s="734" t="s">
        <v>614</v>
      </c>
      <c r="S323" s="524">
        <v>22.511864643131101</v>
      </c>
      <c r="T323" s="524">
        <v>21.000839395635101</v>
      </c>
      <c r="U323" s="524">
        <v>19.675195237835201</v>
      </c>
      <c r="V323" s="524">
        <v>27.5950435782947</v>
      </c>
      <c r="W323" s="524">
        <v>44.605422905706199</v>
      </c>
      <c r="X323" s="524">
        <v>62.075888237323198</v>
      </c>
      <c r="Y323" s="524">
        <v>51.983606079169199</v>
      </c>
      <c r="Z323" s="524">
        <v>75.647501711156707</v>
      </c>
      <c r="AA323" s="735">
        <v>49.9308306174877</v>
      </c>
      <c r="AB323" s="735">
        <v>54.655378839305797</v>
      </c>
      <c r="AC323" s="735">
        <v>43.642609121540801</v>
      </c>
      <c r="AD323" s="735">
        <v>139.435573841343</v>
      </c>
      <c r="AE323" s="736">
        <v>62.965841071723254</v>
      </c>
      <c r="AT323" s="493">
        <f t="shared" si="857"/>
        <v>0</v>
      </c>
      <c r="AU323" s="493">
        <f t="shared" si="858"/>
        <v>0</v>
      </c>
      <c r="AV323" s="493">
        <f t="shared" si="859"/>
        <v>0</v>
      </c>
      <c r="AW323" s="493">
        <f t="shared" si="860"/>
        <v>0</v>
      </c>
      <c r="AX323" s="524">
        <f t="shared" si="861"/>
        <v>90.782942854896106</v>
      </c>
      <c r="AY323" s="524">
        <f t="shared" si="862"/>
        <v>234.3124189333553</v>
      </c>
      <c r="AZ323" s="524">
        <f t="shared" si="863"/>
        <v>287.66439241967731</v>
      </c>
      <c r="BA323" s="524">
        <v>324.64327130950102</v>
      </c>
      <c r="BB323" s="524">
        <v>398.78171811806999</v>
      </c>
      <c r="BC323" s="524"/>
      <c r="BD323" s="524"/>
      <c r="BE323" s="524"/>
      <c r="BF323" s="524"/>
      <c r="BG323" s="524"/>
      <c r="BH323" s="524"/>
      <c r="BI323" s="524"/>
      <c r="BJ323" s="524"/>
      <c r="BL323" s="735">
        <v>54.655378839305797</v>
      </c>
      <c r="BM323" s="735">
        <v>43.642609121540801</v>
      </c>
    </row>
    <row r="324" spans="1:65" ht="12" customHeight="1" outlineLevel="1" x14ac:dyDescent="0.35">
      <c r="A324" s="733"/>
      <c r="B324" s="734" t="s">
        <v>615</v>
      </c>
      <c r="S324" s="524">
        <v>59.4206893346039</v>
      </c>
      <c r="T324" s="524">
        <v>57.609207524428598</v>
      </c>
      <c r="U324" s="524">
        <v>75.571173065370502</v>
      </c>
      <c r="V324" s="524">
        <v>92.026790414724999</v>
      </c>
      <c r="W324" s="524">
        <v>149.40509915014201</v>
      </c>
      <c r="X324" s="524">
        <v>199.12176612625001</v>
      </c>
      <c r="Y324" s="524">
        <v>191.41917291405301</v>
      </c>
      <c r="Z324" s="524">
        <v>250.98798387710099</v>
      </c>
      <c r="AA324" s="735">
        <v>170.80425086605501</v>
      </c>
      <c r="AB324" s="735">
        <v>183.66987740921101</v>
      </c>
      <c r="AC324" s="735">
        <v>168.24260647659901</v>
      </c>
      <c r="AD324" s="735">
        <v>502.132399944604</v>
      </c>
      <c r="AE324" s="736">
        <v>200.76748826115005</v>
      </c>
      <c r="AT324" s="493">
        <f t="shared" si="857"/>
        <v>0</v>
      </c>
      <c r="AU324" s="493">
        <f t="shared" si="858"/>
        <v>0</v>
      </c>
      <c r="AV324" s="493">
        <f t="shared" si="859"/>
        <v>0</v>
      </c>
      <c r="AW324" s="493">
        <f t="shared" si="860"/>
        <v>0</v>
      </c>
      <c r="AX324" s="524">
        <f t="shared" si="861"/>
        <v>284.62786033912801</v>
      </c>
      <c r="AY324" s="524">
        <f t="shared" si="862"/>
        <v>790.93402206754604</v>
      </c>
      <c r="AZ324" s="524">
        <f t="shared" si="863"/>
        <v>1024.849134696469</v>
      </c>
      <c r="BA324" s="524">
        <v>1265.85566956143</v>
      </c>
      <c r="BB324" s="524">
        <v>1699.4501510822399</v>
      </c>
      <c r="BC324" s="524"/>
      <c r="BD324" s="524"/>
      <c r="BE324" s="524"/>
      <c r="BF324" s="524"/>
      <c r="BG324" s="524"/>
      <c r="BH324" s="524"/>
      <c r="BI324" s="524"/>
      <c r="BJ324" s="524"/>
      <c r="BL324" s="735">
        <v>183.66987740921101</v>
      </c>
      <c r="BM324" s="735">
        <v>168.24260647659901</v>
      </c>
    </row>
    <row r="325" spans="1:65" ht="12" customHeight="1" outlineLevel="1" x14ac:dyDescent="0.35">
      <c r="A325" s="733">
        <v>9</v>
      </c>
      <c r="B325" s="734" t="s">
        <v>516</v>
      </c>
      <c r="S325" s="524">
        <v>5.9742487275431699</v>
      </c>
      <c r="T325" s="524">
        <v>8.4206878739615192</v>
      </c>
      <c r="U325" s="524">
        <v>10.711525858773401</v>
      </c>
      <c r="V325" s="524">
        <v>11.3855947901028</v>
      </c>
      <c r="W325" s="524">
        <v>21.3193039255362</v>
      </c>
      <c r="X325" s="524">
        <v>34.2000689893067</v>
      </c>
      <c r="Y325" s="524">
        <v>34.297229757980602</v>
      </c>
      <c r="Z325" s="524">
        <v>60.361954014246997</v>
      </c>
      <c r="AA325" s="735">
        <v>38.633223648278801</v>
      </c>
      <c r="AB325" s="735">
        <v>41.434554344367299</v>
      </c>
      <c r="AC325" s="735">
        <v>32.629332096866399</v>
      </c>
      <c r="AD325" s="735">
        <v>117.074535439027</v>
      </c>
      <c r="AE325" s="736">
        <v>68.448821614485666</v>
      </c>
      <c r="AT325" s="493">
        <f t="shared" si="857"/>
        <v>0</v>
      </c>
      <c r="AU325" s="493">
        <f t="shared" si="858"/>
        <v>0</v>
      </c>
      <c r="AV325" s="493">
        <f t="shared" si="859"/>
        <v>0</v>
      </c>
      <c r="AW325" s="493">
        <f t="shared" si="860"/>
        <v>0</v>
      </c>
      <c r="AX325" s="524">
        <f t="shared" si="861"/>
        <v>36.492057250380888</v>
      </c>
      <c r="AY325" s="524">
        <f t="shared" si="862"/>
        <v>150.17855668707051</v>
      </c>
      <c r="AZ325" s="524">
        <f t="shared" si="863"/>
        <v>229.77164552853952</v>
      </c>
      <c r="BA325" s="524">
        <v>284.39955234894597</v>
      </c>
      <c r="BB325" s="524">
        <v>328.91605041629902</v>
      </c>
      <c r="BC325" s="524"/>
      <c r="BD325" s="524"/>
      <c r="BE325" s="524"/>
      <c r="BF325" s="524"/>
      <c r="BG325" s="524"/>
      <c r="BH325" s="524"/>
      <c r="BI325" s="524"/>
      <c r="BJ325" s="524"/>
      <c r="BL325" s="735">
        <v>41.434554344367299</v>
      </c>
      <c r="BM325" s="735">
        <v>32.629332096866399</v>
      </c>
    </row>
    <row r="326" spans="1:65" ht="12" customHeight="1" outlineLevel="1" x14ac:dyDescent="0.35">
      <c r="A326" s="738"/>
      <c r="B326" s="739" t="s">
        <v>616</v>
      </c>
      <c r="S326" s="524">
        <v>602</v>
      </c>
      <c r="T326" s="524">
        <v>591</v>
      </c>
      <c r="U326" s="524">
        <v>865</v>
      </c>
      <c r="V326" s="524">
        <v>833</v>
      </c>
      <c r="W326" s="524">
        <v>1680</v>
      </c>
      <c r="X326" s="524">
        <v>2225</v>
      </c>
      <c r="Y326" s="524">
        <v>2458</v>
      </c>
      <c r="Z326" s="524">
        <v>2798</v>
      </c>
      <c r="AA326" s="735">
        <v>2183.8901030284101</v>
      </c>
      <c r="AB326" s="735">
        <v>2183.8901030284101</v>
      </c>
      <c r="AC326" s="735">
        <v>2183.8901030284101</v>
      </c>
      <c r="AD326" s="735">
        <v>5505.1410831032699</v>
      </c>
      <c r="AE326" s="736">
        <v>2620</v>
      </c>
      <c r="AT326" s="493">
        <f t="shared" si="857"/>
        <v>0</v>
      </c>
      <c r="AU326" s="493">
        <f t="shared" si="858"/>
        <v>0</v>
      </c>
      <c r="AV326" s="493">
        <f t="shared" si="859"/>
        <v>0</v>
      </c>
      <c r="AW326" s="493">
        <f t="shared" si="860"/>
        <v>0</v>
      </c>
      <c r="AX326" s="524">
        <f t="shared" si="861"/>
        <v>2891</v>
      </c>
      <c r="AY326" s="524">
        <f t="shared" si="862"/>
        <v>9161</v>
      </c>
      <c r="AZ326" s="524">
        <f t="shared" si="863"/>
        <v>12056.8113921885</v>
      </c>
      <c r="BA326" s="524">
        <v>15523.719387068</v>
      </c>
      <c r="BB326" s="524">
        <v>19835.863661253599</v>
      </c>
      <c r="BC326" s="524"/>
      <c r="BD326" s="524"/>
      <c r="BE326" s="524"/>
      <c r="BF326" s="524"/>
      <c r="BG326" s="524"/>
      <c r="BH326" s="524"/>
      <c r="BI326" s="524"/>
      <c r="BJ326" s="524"/>
      <c r="BL326" s="735">
        <v>2183.8901030284101</v>
      </c>
      <c r="BM326" s="735">
        <v>2183.8901030284101</v>
      </c>
    </row>
    <row r="327" spans="1:65" ht="12" customHeight="1" outlineLevel="1" x14ac:dyDescent="0.35">
      <c r="A327" s="733">
        <v>10</v>
      </c>
      <c r="B327" s="734" t="s">
        <v>617</v>
      </c>
      <c r="S327" s="524">
        <v>1</v>
      </c>
      <c r="T327" s="524">
        <v>4</v>
      </c>
      <c r="U327" s="524">
        <v>4</v>
      </c>
      <c r="V327" s="524">
        <v>3</v>
      </c>
      <c r="W327" s="524">
        <v>5</v>
      </c>
      <c r="X327" s="524">
        <v>5</v>
      </c>
      <c r="Y327" s="524">
        <v>5</v>
      </c>
      <c r="Z327" s="524">
        <v>3</v>
      </c>
      <c r="AA327" s="735">
        <v>2.3415547923821398</v>
      </c>
      <c r="AB327" s="735">
        <v>2.3415547923821398</v>
      </c>
      <c r="AC327" s="735">
        <v>2.3415547923821398</v>
      </c>
      <c r="AD327" s="735">
        <v>5.9025815758791396</v>
      </c>
      <c r="AE327" s="736">
        <v>7</v>
      </c>
      <c r="AT327" s="493">
        <f t="shared" si="857"/>
        <v>0</v>
      </c>
      <c r="AU327" s="493">
        <f t="shared" si="858"/>
        <v>0</v>
      </c>
      <c r="AV327" s="493">
        <f t="shared" si="859"/>
        <v>0</v>
      </c>
      <c r="AW327" s="493">
        <f t="shared" si="860"/>
        <v>0</v>
      </c>
      <c r="AX327" s="524">
        <f t="shared" si="861"/>
        <v>12</v>
      </c>
      <c r="AY327" s="524">
        <f t="shared" si="862"/>
        <v>18</v>
      </c>
      <c r="AZ327" s="524">
        <f t="shared" si="863"/>
        <v>12.927245953025558</v>
      </c>
      <c r="BA327" s="524">
        <v>16.6444453756984</v>
      </c>
      <c r="BB327" s="524">
        <v>21.2679024245035</v>
      </c>
      <c r="BC327" s="524"/>
      <c r="BD327" s="524"/>
      <c r="BE327" s="524"/>
      <c r="BF327" s="524"/>
      <c r="BG327" s="524"/>
      <c r="BH327" s="524"/>
      <c r="BI327" s="524"/>
      <c r="BJ327" s="524"/>
      <c r="BL327" s="735">
        <v>2.3415547923821398</v>
      </c>
      <c r="BM327" s="735">
        <v>2.3415547923821398</v>
      </c>
    </row>
    <row r="328" spans="1:65" ht="12" customHeight="1" outlineLevel="1" x14ac:dyDescent="0.35">
      <c r="A328" s="733">
        <v>11</v>
      </c>
      <c r="B328" s="734" t="s">
        <v>618</v>
      </c>
      <c r="S328" s="524">
        <v>1138</v>
      </c>
      <c r="T328" s="524">
        <v>1040</v>
      </c>
      <c r="U328" s="524">
        <v>1105</v>
      </c>
      <c r="V328" s="524">
        <v>410</v>
      </c>
      <c r="W328" s="524">
        <v>340</v>
      </c>
      <c r="X328" s="524">
        <v>293</v>
      </c>
      <c r="Y328" s="524">
        <v>294</v>
      </c>
      <c r="Z328" s="524">
        <v>335</v>
      </c>
      <c r="AA328" s="735">
        <v>261.47361848267201</v>
      </c>
      <c r="AB328" s="735">
        <v>261.47361848267201</v>
      </c>
      <c r="AC328" s="735">
        <v>261.47361848267201</v>
      </c>
      <c r="AD328" s="735">
        <v>659.12160930650305</v>
      </c>
      <c r="AE328" s="736">
        <v>245</v>
      </c>
      <c r="AT328" s="493">
        <f t="shared" si="857"/>
        <v>0</v>
      </c>
      <c r="AU328" s="493">
        <f t="shared" si="858"/>
        <v>0</v>
      </c>
      <c r="AV328" s="493">
        <f t="shared" si="859"/>
        <v>0</v>
      </c>
      <c r="AW328" s="493">
        <f t="shared" si="860"/>
        <v>0</v>
      </c>
      <c r="AX328" s="524">
        <f t="shared" si="861"/>
        <v>3693</v>
      </c>
      <c r="AY328" s="524">
        <f t="shared" si="862"/>
        <v>1262</v>
      </c>
      <c r="AZ328" s="524">
        <f t="shared" si="863"/>
        <v>1443.5424647545192</v>
      </c>
      <c r="BA328" s="524">
        <v>1858.6297336196501</v>
      </c>
      <c r="BB328" s="524">
        <v>2374.9157707362201</v>
      </c>
      <c r="BC328" s="524"/>
      <c r="BD328" s="524"/>
      <c r="BE328" s="524"/>
      <c r="BF328" s="524"/>
      <c r="BG328" s="524"/>
      <c r="BH328" s="524"/>
      <c r="BI328" s="524"/>
      <c r="BJ328" s="524"/>
      <c r="BL328" s="735">
        <v>261.47361848267201</v>
      </c>
      <c r="BM328" s="735">
        <v>261.47361848267201</v>
      </c>
    </row>
    <row r="329" spans="1:65" ht="12" customHeight="1" outlineLevel="1" x14ac:dyDescent="0.35">
      <c r="A329" s="733">
        <v>12</v>
      </c>
      <c r="B329" s="734" t="s">
        <v>619</v>
      </c>
      <c r="S329" s="524">
        <v>162</v>
      </c>
      <c r="T329" s="524">
        <v>30</v>
      </c>
      <c r="U329" s="524">
        <v>0</v>
      </c>
      <c r="V329" s="524">
        <v>6</v>
      </c>
      <c r="W329" s="524">
        <v>9</v>
      </c>
      <c r="X329" s="524">
        <v>8</v>
      </c>
      <c r="Y329" s="524">
        <v>13</v>
      </c>
      <c r="Z329" s="524">
        <v>20</v>
      </c>
      <c r="AA329" s="735">
        <v>15.610365282547599</v>
      </c>
      <c r="AB329" s="735">
        <v>15.610365282547599</v>
      </c>
      <c r="AC329" s="735">
        <v>15.610365282547599</v>
      </c>
      <c r="AD329" s="735">
        <v>39.350543839194202</v>
      </c>
      <c r="AE329" s="736">
        <v>23</v>
      </c>
      <c r="AT329" s="493">
        <f t="shared" si="857"/>
        <v>0</v>
      </c>
      <c r="AU329" s="493">
        <f t="shared" si="858"/>
        <v>0</v>
      </c>
      <c r="AV329" s="493">
        <f t="shared" si="859"/>
        <v>0</v>
      </c>
      <c r="AW329" s="493">
        <f t="shared" si="860"/>
        <v>0</v>
      </c>
      <c r="AX329" s="524">
        <f t="shared" si="861"/>
        <v>198</v>
      </c>
      <c r="AY329" s="524">
        <f t="shared" si="862"/>
        <v>50</v>
      </c>
      <c r="AZ329" s="524">
        <f t="shared" si="863"/>
        <v>86.181639686837002</v>
      </c>
      <c r="BA329" s="524">
        <v>110.962969171322</v>
      </c>
      <c r="BB329" s="524">
        <v>141.78601616335601</v>
      </c>
      <c r="BC329" s="524"/>
      <c r="BD329" s="524"/>
      <c r="BE329" s="524"/>
      <c r="BF329" s="524"/>
      <c r="BG329" s="524"/>
      <c r="BH329" s="524"/>
      <c r="BI329" s="524"/>
      <c r="BJ329" s="524"/>
      <c r="BL329" s="735">
        <v>15.610365282547599</v>
      </c>
      <c r="BM329" s="735">
        <v>15.610365282547599</v>
      </c>
    </row>
    <row r="330" spans="1:65" ht="12" customHeight="1" outlineLevel="1" x14ac:dyDescent="0.35">
      <c r="A330" s="733">
        <v>13</v>
      </c>
      <c r="B330" s="734" t="s">
        <v>620</v>
      </c>
      <c r="S330" s="524">
        <v>83</v>
      </c>
      <c r="T330" s="524">
        <v>83</v>
      </c>
      <c r="U330" s="524">
        <v>83</v>
      </c>
      <c r="V330" s="524">
        <v>77</v>
      </c>
      <c r="W330" s="524">
        <v>70</v>
      </c>
      <c r="X330" s="524">
        <v>80</v>
      </c>
      <c r="Y330" s="524">
        <v>39</v>
      </c>
      <c r="Z330" s="524">
        <v>47</v>
      </c>
      <c r="AA330" s="735">
        <v>36.684358413986899</v>
      </c>
      <c r="AB330" s="735">
        <v>36.684358413986899</v>
      </c>
      <c r="AC330" s="735">
        <v>36.684358413986899</v>
      </c>
      <c r="AD330" s="735">
        <v>92.473778022106401</v>
      </c>
      <c r="AE330" s="736">
        <v>57</v>
      </c>
      <c r="AT330" s="493">
        <f t="shared" si="857"/>
        <v>0</v>
      </c>
      <c r="AU330" s="493">
        <f t="shared" si="858"/>
        <v>0</v>
      </c>
      <c r="AV330" s="493">
        <f t="shared" si="859"/>
        <v>0</v>
      </c>
      <c r="AW330" s="493">
        <f t="shared" si="860"/>
        <v>0</v>
      </c>
      <c r="AX330" s="524">
        <f t="shared" si="861"/>
        <v>326</v>
      </c>
      <c r="AY330" s="524">
        <f t="shared" si="862"/>
        <v>236</v>
      </c>
      <c r="AZ330" s="524">
        <f t="shared" si="863"/>
        <v>202.52685326406709</v>
      </c>
      <c r="BA330" s="524">
        <v>260.76297755260799</v>
      </c>
      <c r="BB330" s="524">
        <v>333.19713798388699</v>
      </c>
      <c r="BC330" s="524"/>
      <c r="BD330" s="524"/>
      <c r="BE330" s="524"/>
      <c r="BF330" s="524"/>
      <c r="BG330" s="524"/>
      <c r="BH330" s="524"/>
      <c r="BI330" s="524"/>
      <c r="BJ330" s="524"/>
      <c r="BL330" s="735">
        <v>36.684358413986899</v>
      </c>
      <c r="BM330" s="735">
        <v>36.684358413986899</v>
      </c>
    </row>
    <row r="331" spans="1:65" ht="12" customHeight="1" outlineLevel="1" x14ac:dyDescent="0.35">
      <c r="S331" s="524">
        <v>1986</v>
      </c>
      <c r="T331" s="524">
        <v>1748</v>
      </c>
      <c r="U331" s="524">
        <v>2057</v>
      </c>
      <c r="V331" s="524">
        <v>1329</v>
      </c>
      <c r="W331" s="524">
        <v>2104</v>
      </c>
      <c r="X331" s="524">
        <v>2611</v>
      </c>
      <c r="Y331" s="524">
        <v>2809</v>
      </c>
      <c r="Z331" s="524">
        <v>3203</v>
      </c>
      <c r="AA331" s="735">
        <v>3066</v>
      </c>
      <c r="AB331" s="735">
        <v>3006</v>
      </c>
      <c r="AC331" s="735">
        <v>3272</v>
      </c>
      <c r="AD331" s="735">
        <v>4044</v>
      </c>
      <c r="AE331" s="493">
        <v>2952</v>
      </c>
      <c r="AT331" s="493">
        <f t="shared" si="857"/>
        <v>0</v>
      </c>
      <c r="AU331" s="493">
        <f t="shared" si="858"/>
        <v>0</v>
      </c>
      <c r="AV331" s="493">
        <f t="shared" si="859"/>
        <v>0</v>
      </c>
      <c r="AW331" s="493">
        <f t="shared" si="860"/>
        <v>0</v>
      </c>
      <c r="AX331" s="524">
        <f t="shared" si="861"/>
        <v>7120</v>
      </c>
      <c r="AY331" s="524">
        <f t="shared" si="862"/>
        <v>10727</v>
      </c>
      <c r="AZ331" s="524">
        <f t="shared" si="863"/>
        <v>13388</v>
      </c>
      <c r="BA331" s="524">
        <v>17770.719512787298</v>
      </c>
      <c r="BB331" s="524">
        <v>22707.030488561501</v>
      </c>
      <c r="BC331" s="524"/>
      <c r="BD331" s="524"/>
      <c r="BE331" s="524"/>
      <c r="BF331" s="524"/>
      <c r="BG331" s="524"/>
      <c r="BH331" s="524"/>
      <c r="BI331" s="524"/>
      <c r="BJ331" s="524"/>
      <c r="BL331" s="735">
        <v>2500</v>
      </c>
      <c r="BM331" s="735">
        <v>2500</v>
      </c>
    </row>
    <row r="332" spans="1:65" ht="12" customHeight="1" outlineLevel="1" x14ac:dyDescent="0.35"/>
    <row r="333" spans="1:65" ht="12" customHeight="1" outlineLevel="1" x14ac:dyDescent="0.35"/>
    <row r="334" spans="1:65" ht="12" customHeight="1" outlineLevel="1" x14ac:dyDescent="0.35"/>
  </sheetData>
  <phoneticPr fontId="4"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U113"/>
  <sheetViews>
    <sheetView showGridLines="0" zoomScaleNormal="100" workbookViewId="0">
      <pane xSplit="8" ySplit="9" topLeftCell="BF22" activePane="bottomRight" state="frozen"/>
      <selection pane="topRight" activeCell="I1" sqref="I1"/>
      <selection pane="bottomLeft" activeCell="A10" sqref="A10"/>
      <selection pane="bottomRight" activeCell="BI33" sqref="BI33"/>
    </sheetView>
  </sheetViews>
  <sheetFormatPr defaultRowHeight="13.5" outlineLevelRow="1" outlineLevelCol="1" x14ac:dyDescent="0.3"/>
  <cols>
    <col min="1" max="1" width="1.59765625" customWidth="1"/>
    <col min="2" max="5" width="2.1328125" customWidth="1"/>
    <col min="6" max="6" width="15.3984375" customWidth="1"/>
    <col min="7" max="7" width="8.1328125" customWidth="1"/>
    <col min="8" max="10" width="1.3984375" customWidth="1"/>
    <col min="11" max="22" width="9.86328125" customWidth="1" outlineLevel="1"/>
    <col min="23" max="39" width="9.86328125" customWidth="1"/>
    <col min="40" max="55" width="9.86328125" hidden="1" customWidth="1" outlineLevel="1"/>
    <col min="56" max="56" width="9.86328125" customWidth="1" collapsed="1"/>
    <col min="57" max="60" width="9.73046875" customWidth="1" outlineLevel="1"/>
    <col min="61" max="72" width="9.73046875" customWidth="1"/>
  </cols>
  <sheetData>
    <row r="1" spans="1:73" ht="20.25" customHeight="1" x14ac:dyDescent="0.5">
      <c r="A1" s="140" t="str">
        <f>Summary!A1</f>
        <v>Alibaba Group Holding-Sp Adr</v>
      </c>
      <c r="B1" s="141"/>
      <c r="C1" s="141"/>
      <c r="D1" s="142"/>
      <c r="E1" s="141"/>
      <c r="F1" s="141"/>
      <c r="G1" s="142"/>
      <c r="H1" s="147"/>
      <c r="I1" s="147"/>
      <c r="J1" s="147"/>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9"/>
      <c r="BE1" s="143"/>
      <c r="BF1" s="143"/>
      <c r="BG1" s="143"/>
      <c r="BH1" s="143"/>
      <c r="BI1" s="143"/>
      <c r="BJ1" s="143"/>
      <c r="BK1" s="143"/>
      <c r="BL1" s="143"/>
    </row>
    <row r="2" spans="1:73" ht="14.25" customHeight="1" x14ac:dyDescent="0.4">
      <c r="A2" s="144"/>
      <c r="B2" s="8" t="s">
        <v>0</v>
      </c>
      <c r="C2" s="143"/>
      <c r="D2" s="144"/>
      <c r="E2" s="141"/>
      <c r="F2" s="343" t="str">
        <f>Summary!$C$2</f>
        <v>BABA US</v>
      </c>
      <c r="G2" s="147"/>
      <c r="H2" s="66"/>
      <c r="I2" s="66"/>
      <c r="J2" s="66"/>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9"/>
      <c r="BE2" s="143"/>
      <c r="BF2" s="143"/>
      <c r="BG2" s="143"/>
      <c r="BH2" s="143"/>
      <c r="BI2" s="143"/>
      <c r="BJ2" s="143"/>
      <c r="BK2" s="143"/>
      <c r="BL2" s="143"/>
    </row>
    <row r="3" spans="1:73" ht="14.25" customHeight="1" x14ac:dyDescent="0.35">
      <c r="A3" s="143"/>
      <c r="B3" s="143"/>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143"/>
      <c r="AI3" s="149"/>
      <c r="BE3" s="143"/>
      <c r="BF3" s="143"/>
      <c r="BG3" s="143"/>
      <c r="BH3" s="143"/>
      <c r="BI3" s="143"/>
      <c r="BJ3" s="143"/>
      <c r="BK3" s="143"/>
      <c r="BL3" s="143"/>
    </row>
    <row r="4" spans="1:73" ht="13.9" hidden="1" outlineLevel="1" x14ac:dyDescent="0.35">
      <c r="A4" s="143"/>
      <c r="B4" s="143"/>
      <c r="C4" s="143"/>
      <c r="D4" s="143"/>
      <c r="E4" s="143"/>
      <c r="F4" s="143"/>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143"/>
      <c r="AI4" s="149"/>
      <c r="BE4" s="143"/>
      <c r="BF4" s="143"/>
      <c r="BG4" s="143"/>
      <c r="BH4" s="143"/>
      <c r="BI4" s="143"/>
      <c r="BJ4" s="143"/>
      <c r="BK4" s="143"/>
      <c r="BL4" s="143"/>
    </row>
    <row r="5" spans="1:73" ht="13.9" hidden="1" outlineLevel="1" x14ac:dyDescent="0.35">
      <c r="A5" s="282"/>
      <c r="B5" s="143"/>
      <c r="C5" s="143"/>
      <c r="D5" s="143"/>
      <c r="E5" s="147"/>
      <c r="F5" s="147"/>
      <c r="G5" s="147"/>
      <c r="H5" s="147"/>
      <c r="I5" s="147"/>
      <c r="J5" s="147"/>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9"/>
      <c r="BE5" s="143"/>
      <c r="BF5" s="143"/>
      <c r="BG5" s="143"/>
      <c r="BH5" s="143"/>
      <c r="BI5" s="143"/>
      <c r="BJ5" s="143"/>
      <c r="BK5" s="143"/>
      <c r="BL5" s="143"/>
    </row>
    <row r="6" spans="1:73" ht="13.9" hidden="1" outlineLevel="1" x14ac:dyDescent="0.35">
      <c r="A6" s="282"/>
      <c r="B6" s="143"/>
      <c r="C6" s="143"/>
      <c r="D6" s="143"/>
      <c r="E6" s="147"/>
      <c r="F6" s="147"/>
      <c r="G6" s="147"/>
      <c r="H6" s="147"/>
      <c r="I6" s="147"/>
      <c r="J6" s="147"/>
      <c r="K6" s="283" t="str">
        <f>"1Q" &amp; RIGHT(BF8,2)</f>
        <v>1Q31</v>
      </c>
      <c r="L6" s="283" t="str">
        <f>"2Q" &amp; RIGHT(BF8,2)</f>
        <v>2Q31</v>
      </c>
      <c r="M6" s="283" t="str">
        <f>"3Q" &amp; RIGHT(BF8,2)</f>
        <v>3Q31</v>
      </c>
      <c r="N6" s="283" t="str">
        <f>"4Q" &amp; RIGHT(BF8,2)</f>
        <v>4Q31</v>
      </c>
      <c r="O6" s="283" t="str">
        <f>"1Q" &amp; RIGHT(BG8,2)</f>
        <v>1Q31</v>
      </c>
      <c r="P6" s="283" t="str">
        <f>"2Q" &amp; RIGHT(BG8,2)</f>
        <v>2Q31</v>
      </c>
      <c r="Q6" s="283" t="str">
        <f>"3Q" &amp; RIGHT(BG8,2)</f>
        <v>3Q31</v>
      </c>
      <c r="R6" s="283" t="str">
        <f>"4Q" &amp; RIGHT(BG8,2)</f>
        <v>4Q31</v>
      </c>
      <c r="S6" s="283" t="str">
        <f>"1Q" &amp; RIGHT(BH8,2)</f>
        <v>1Q31</v>
      </c>
      <c r="T6" s="283" t="str">
        <f>"2Q" &amp; RIGHT(BH8,2)</f>
        <v>2Q31</v>
      </c>
      <c r="U6" s="283" t="str">
        <f>"3Q" &amp; RIGHT(BH8,2)</f>
        <v>3Q31</v>
      </c>
      <c r="V6" s="283" t="str">
        <f>"4Q" &amp; RIGHT(BH8,2)</f>
        <v>4Q31</v>
      </c>
      <c r="W6" s="284" t="str">
        <f>"1Q" &amp; RIGHT(BI8,2)</f>
        <v>1Q31</v>
      </c>
      <c r="X6" s="200" t="str">
        <f>"2Q" &amp; RIGHT(BI8,2)</f>
        <v>2Q31</v>
      </c>
      <c r="Y6" s="200" t="str">
        <f>"3Q" &amp; RIGHT(BI8,2)</f>
        <v>3Q31</v>
      </c>
      <c r="Z6" s="200" t="str">
        <f>"4Q" &amp; RIGHT(BI8,2)</f>
        <v>4Q31</v>
      </c>
      <c r="AA6" s="200" t="str">
        <f>"1Q" &amp; RIGHT(BJ8,2)</f>
        <v>1Q31</v>
      </c>
      <c r="AB6" s="200" t="str">
        <f>"2Q" &amp; RIGHT(BJ8,2)</f>
        <v>2Q31</v>
      </c>
      <c r="AC6" s="200" t="str">
        <f>"3Q" &amp; RIGHT(BJ8,2)</f>
        <v>3Q31</v>
      </c>
      <c r="AD6" s="200" t="str">
        <f>"4Q" &amp; RIGHT(BJ8,2)</f>
        <v>4Q31</v>
      </c>
      <c r="AE6" s="200" t="str">
        <f>"1Q" &amp; RIGHT(BK8,2)</f>
        <v>1Q31</v>
      </c>
      <c r="AF6" s="200" t="str">
        <f>"2Q" &amp; RIGHT(BK8,2)</f>
        <v>2Q31</v>
      </c>
      <c r="AG6" s="200" t="str">
        <f>"3Q" &amp; RIGHT(BK8,2)</f>
        <v>3Q31</v>
      </c>
      <c r="AH6" s="200" t="str">
        <f>"4Q" &amp; RIGHT(BK8,2)</f>
        <v>4Q31</v>
      </c>
      <c r="AI6" s="149"/>
      <c r="BE6" s="143"/>
      <c r="BF6" s="143"/>
      <c r="BG6" s="143"/>
      <c r="BH6" s="143"/>
      <c r="BI6" s="143"/>
      <c r="BJ6" s="143"/>
      <c r="BK6" s="143"/>
      <c r="BL6" s="143"/>
    </row>
    <row r="7" spans="1:73" ht="12.75" customHeight="1" collapsed="1" x14ac:dyDescent="0.35">
      <c r="A7" s="345"/>
      <c r="B7" s="193" t="s">
        <v>200</v>
      </c>
      <c r="C7" s="346"/>
      <c r="D7" s="346"/>
      <c r="E7" s="346"/>
      <c r="F7" s="346"/>
      <c r="G7" s="193"/>
      <c r="H7" s="193"/>
      <c r="I7" s="193"/>
      <c r="J7" s="193"/>
      <c r="K7" s="157">
        <f t="shared" ref="K7:X7" si="0">EDATE(L7,-3)</f>
        <v>42551</v>
      </c>
      <c r="L7" s="157">
        <f t="shared" si="0"/>
        <v>42643</v>
      </c>
      <c r="M7" s="157">
        <f t="shared" si="0"/>
        <v>42734</v>
      </c>
      <c r="N7" s="157">
        <f t="shared" si="0"/>
        <v>42824</v>
      </c>
      <c r="O7" s="157">
        <f t="shared" si="0"/>
        <v>42916</v>
      </c>
      <c r="P7" s="157">
        <f t="shared" si="0"/>
        <v>43008</v>
      </c>
      <c r="Q7" s="157">
        <f t="shared" si="0"/>
        <v>43099</v>
      </c>
      <c r="R7" s="157">
        <f t="shared" si="0"/>
        <v>43189</v>
      </c>
      <c r="S7" s="157">
        <f t="shared" si="0"/>
        <v>43281</v>
      </c>
      <c r="T7" s="157">
        <f t="shared" si="0"/>
        <v>43373</v>
      </c>
      <c r="U7" s="157">
        <f t="shared" si="0"/>
        <v>43464</v>
      </c>
      <c r="V7" s="157">
        <f t="shared" si="0"/>
        <v>43554</v>
      </c>
      <c r="W7" s="157">
        <f t="shared" si="0"/>
        <v>43646</v>
      </c>
      <c r="X7" s="157">
        <f t="shared" si="0"/>
        <v>43738</v>
      </c>
      <c r="Y7" s="157">
        <f>EDATE(Z7,-3)</f>
        <v>43830</v>
      </c>
      <c r="Z7" s="157">
        <f>EDATE(BI8,0)</f>
        <v>43921</v>
      </c>
      <c r="AA7" s="157">
        <f>EDATE(Z7,3)</f>
        <v>44012</v>
      </c>
      <c r="AB7" s="157">
        <f>EDATE(AA7,3)</f>
        <v>44104</v>
      </c>
      <c r="AC7" s="2829">
        <f>EDATE(AB7,3)</f>
        <v>44195</v>
      </c>
      <c r="AD7" s="2829">
        <f t="shared" ref="AD7:AL7" si="1">EDATE(AC7,3)</f>
        <v>44285</v>
      </c>
      <c r="AE7" s="2829">
        <f t="shared" si="1"/>
        <v>44377</v>
      </c>
      <c r="AF7" s="2829">
        <f t="shared" si="1"/>
        <v>44469</v>
      </c>
      <c r="AG7" s="2829">
        <f t="shared" si="1"/>
        <v>44560</v>
      </c>
      <c r="AH7" s="2829">
        <f t="shared" si="1"/>
        <v>44650</v>
      </c>
      <c r="AI7" s="2829">
        <f t="shared" si="1"/>
        <v>44742</v>
      </c>
      <c r="AJ7" s="2829">
        <f t="shared" si="1"/>
        <v>44834</v>
      </c>
      <c r="AK7" s="2829">
        <f t="shared" si="1"/>
        <v>44925</v>
      </c>
      <c r="AL7" s="2829">
        <f t="shared" si="1"/>
        <v>45015</v>
      </c>
      <c r="AM7" s="157"/>
      <c r="AN7" s="157">
        <f>[32]BS!AM8</f>
        <v>42277</v>
      </c>
      <c r="AO7" s="157">
        <f>[32]BS!AN8</f>
        <v>42460</v>
      </c>
      <c r="AP7" s="157">
        <f>[32]BS!AN8</f>
        <v>42460</v>
      </c>
      <c r="AQ7" s="157">
        <f>[32]BS!AP8</f>
        <v>42824</v>
      </c>
      <c r="AR7" s="157">
        <f>[32]BS!AQ8</f>
        <v>43008</v>
      </c>
      <c r="AS7" s="157">
        <f>[32]BS!AR8</f>
        <v>43189</v>
      </c>
      <c r="AT7" s="157">
        <f>[32]BS!AS8</f>
        <v>43373</v>
      </c>
      <c r="AU7" s="157">
        <f>[32]BS!AT8</f>
        <v>43554</v>
      </c>
      <c r="AV7" s="157">
        <f>[32]BS!AU8</f>
        <v>43738</v>
      </c>
      <c r="AW7" s="157">
        <f>[32]BS!AV8</f>
        <v>43920</v>
      </c>
      <c r="AX7" s="157">
        <f>[32]BS!AW8</f>
        <v>44104</v>
      </c>
      <c r="AY7" s="157">
        <f>[32]BS!AX8</f>
        <v>44285</v>
      </c>
      <c r="AZ7" s="157">
        <f>[32]BS!AY8</f>
        <v>44469</v>
      </c>
      <c r="BA7" s="157">
        <f>[32]BS!AZ8</f>
        <v>44650</v>
      </c>
      <c r="BB7" s="157">
        <f>[32]BS!BA8</f>
        <v>44834</v>
      </c>
      <c r="BC7" s="157">
        <f>[32]BS!BB8</f>
        <v>45015</v>
      </c>
      <c r="BD7" s="157"/>
      <c r="BE7" s="157" t="str">
        <f t="shared" ref="BE7:BI7" si="2">"FY"&amp;MID(BE8,3,2)</f>
        <v>FY16</v>
      </c>
      <c r="BF7" s="157" t="str">
        <f t="shared" si="2"/>
        <v>FY17</v>
      </c>
      <c r="BG7" s="157" t="str">
        <f t="shared" si="2"/>
        <v>FY18</v>
      </c>
      <c r="BH7" s="157" t="str">
        <f t="shared" si="2"/>
        <v>FY19</v>
      </c>
      <c r="BI7" s="157" t="str">
        <f t="shared" si="2"/>
        <v>FY20</v>
      </c>
      <c r="BJ7" s="2829" t="str">
        <f>"FY"&amp;MID(BJ8,3,2)</f>
        <v>FY21</v>
      </c>
      <c r="BK7" s="2829" t="str">
        <f t="shared" ref="BK7:BS7" si="3">"FY"&amp;MID(BK8,3,2)</f>
        <v>FY22</v>
      </c>
      <c r="BL7" s="2829" t="str">
        <f t="shared" si="3"/>
        <v>FY23</v>
      </c>
      <c r="BM7" s="2829" t="str">
        <f t="shared" si="3"/>
        <v>FY24</v>
      </c>
      <c r="BN7" s="2829" t="str">
        <f t="shared" si="3"/>
        <v>FY25</v>
      </c>
      <c r="BO7" s="2829" t="str">
        <f t="shared" si="3"/>
        <v>FY26</v>
      </c>
      <c r="BP7" s="2829" t="str">
        <f t="shared" si="3"/>
        <v>FY27</v>
      </c>
      <c r="BQ7" s="2829" t="str">
        <f t="shared" si="3"/>
        <v>FY28</v>
      </c>
      <c r="BR7" s="2829" t="str">
        <f t="shared" si="3"/>
        <v>FY29</v>
      </c>
      <c r="BS7" s="2829" t="str">
        <f t="shared" si="3"/>
        <v>FY30</v>
      </c>
      <c r="BT7" s="203"/>
      <c r="BU7" s="203"/>
    </row>
    <row r="8" spans="1:73" ht="12.75" customHeight="1" x14ac:dyDescent="0.35">
      <c r="A8" s="345"/>
      <c r="B8" s="347"/>
      <c r="C8" s="346"/>
      <c r="D8" s="346"/>
      <c r="E8" s="346"/>
      <c r="F8" s="346"/>
      <c r="G8" s="347"/>
      <c r="H8" s="347"/>
      <c r="I8" s="347"/>
      <c r="J8" s="347"/>
      <c r="K8" s="157" t="str">
        <f>"1Q" &amp; RIGHT(YEAR($N7),2)</f>
        <v>1Q17</v>
      </c>
      <c r="L8" s="157" t="str">
        <f>"2Q" &amp; RIGHT(YEAR($N7),2)</f>
        <v>2Q17</v>
      </c>
      <c r="M8" s="157" t="str">
        <f>"3Q" &amp; RIGHT(YEAR($N7),2)</f>
        <v>3Q17</v>
      </c>
      <c r="N8" s="157" t="str">
        <f>"4Q" &amp; RIGHT(YEAR($N7),2)</f>
        <v>4Q17</v>
      </c>
      <c r="O8" s="157" t="str">
        <f>"1Q" &amp; RIGHT(YEAR($R7),2)</f>
        <v>1Q18</v>
      </c>
      <c r="P8" s="157" t="str">
        <f>"2Q" &amp; RIGHT(YEAR($R7),2)</f>
        <v>2Q18</v>
      </c>
      <c r="Q8" s="157" t="str">
        <f>"3Q" &amp; RIGHT(YEAR($R7),2)</f>
        <v>3Q18</v>
      </c>
      <c r="R8" s="157" t="str">
        <f>"4Q" &amp; RIGHT(YEAR($R7),2)</f>
        <v>4Q18</v>
      </c>
      <c r="S8" s="157" t="str">
        <f>"1Q" &amp; RIGHT(YEAR($V7),2)</f>
        <v>1Q19</v>
      </c>
      <c r="T8" s="157" t="str">
        <f>"2Q" &amp; RIGHT(YEAR($V7),2)</f>
        <v>2Q19</v>
      </c>
      <c r="U8" s="157" t="str">
        <f>"3Q" &amp; RIGHT(YEAR($V7),2)</f>
        <v>3Q19</v>
      </c>
      <c r="V8" s="157" t="str">
        <f>"4Q" &amp; RIGHT(YEAR($V7),2)</f>
        <v>4Q19</v>
      </c>
      <c r="W8" s="157" t="str">
        <f>"1Q" &amp; RIGHT(YEAR($Z7),2)</f>
        <v>1Q20</v>
      </c>
      <c r="X8" s="157" t="str">
        <f>"2Q" &amp; RIGHT(YEAR($Z7),2)</f>
        <v>2Q20</v>
      </c>
      <c r="Y8" s="157" t="str">
        <f>"3Q" &amp; RIGHT(YEAR($Z7),2)</f>
        <v>3Q20</v>
      </c>
      <c r="Z8" s="157" t="str">
        <f>"4Q" &amp; RIGHT(YEAR($Z7),2)</f>
        <v>4Q20</v>
      </c>
      <c r="AA8" s="157" t="str">
        <f>"1Q" &amp; RIGHT(YEAR($AD7),2)</f>
        <v>1Q21</v>
      </c>
      <c r="AB8" s="157" t="str">
        <f>"2Q" &amp; RIGHT(YEAR($AD7),2)</f>
        <v>2Q21</v>
      </c>
      <c r="AC8" s="2829" t="str">
        <f>"3Q" &amp; RIGHT(YEAR($AD7),2)</f>
        <v>3Q21</v>
      </c>
      <c r="AD8" s="2829" t="str">
        <f>"4Q" &amp; RIGHT(YEAR($AD7),2)</f>
        <v>4Q21</v>
      </c>
      <c r="AE8" s="2829" t="str">
        <f>"1Q" &amp; RIGHT(YEAR($AH7),2)</f>
        <v>1Q22</v>
      </c>
      <c r="AF8" s="2829" t="str">
        <f>"2Q" &amp; RIGHT(YEAR($AH7),2)</f>
        <v>2Q22</v>
      </c>
      <c r="AG8" s="2829" t="str">
        <f>"3Q" &amp; RIGHT(YEAR($AH7),2)</f>
        <v>3Q22</v>
      </c>
      <c r="AH8" s="2829" t="str">
        <f>"4Q" &amp; RIGHT(YEAR($AH7),2)</f>
        <v>4Q22</v>
      </c>
      <c r="AI8" s="2829" t="str">
        <f>"1Q" &amp; RIGHT(YEAR($AL7),2)</f>
        <v>1Q23</v>
      </c>
      <c r="AJ8" s="2829" t="str">
        <f>"2Q" &amp; RIGHT(YEAR($AL7),2)</f>
        <v>2Q23</v>
      </c>
      <c r="AK8" s="2829" t="str">
        <f>"3Q" &amp; RIGHT(YEAR($AL7),2)</f>
        <v>3Q23</v>
      </c>
      <c r="AL8" s="2829" t="str">
        <f>"4Q" &amp; RIGHT(YEAR($AL7),2)</f>
        <v>4Q23</v>
      </c>
      <c r="AM8" s="157"/>
      <c r="AN8" s="157" t="str">
        <f>[32]BS!AM9</f>
        <v>1H15</v>
      </c>
      <c r="AO8" s="157" t="str">
        <f>[32]BS!AN9</f>
        <v>2H16</v>
      </c>
      <c r="AP8" s="157" t="str">
        <f>[32]BS!AN9</f>
        <v>2H16</v>
      </c>
      <c r="AQ8" s="157" t="str">
        <f>[32]BS!AP9</f>
        <v>2H17</v>
      </c>
      <c r="AR8" s="157" t="str">
        <f>[32]BS!AQ9</f>
        <v>1H17</v>
      </c>
      <c r="AS8" s="157" t="str">
        <f>[32]BS!AR9</f>
        <v>2H18</v>
      </c>
      <c r="AT8" s="157" t="str">
        <f>[32]BS!AS9</f>
        <v>1H18</v>
      </c>
      <c r="AU8" s="157" t="str">
        <f>[32]BS!AT9</f>
        <v>2H19</v>
      </c>
      <c r="AV8" s="157" t="str">
        <f>[32]BS!AU9</f>
        <v>1H19</v>
      </c>
      <c r="AW8" s="157" t="str">
        <f>[32]BS!AV9</f>
        <v>2H20</v>
      </c>
      <c r="AX8" s="157" t="str">
        <f>[32]BS!AW9</f>
        <v>1H20</v>
      </c>
      <c r="AY8" s="157" t="str">
        <f>[32]BS!AX9</f>
        <v>2H21</v>
      </c>
      <c r="AZ8" s="157" t="str">
        <f>[32]BS!AY9</f>
        <v>1H21</v>
      </c>
      <c r="BA8" s="157" t="str">
        <f>[32]BS!AZ9</f>
        <v>2H22</v>
      </c>
      <c r="BB8" s="157" t="str">
        <f>[32]BS!BA9</f>
        <v>1H22</v>
      </c>
      <c r="BC8" s="157" t="str">
        <f>[32]BS!BB9</f>
        <v>2H23</v>
      </c>
      <c r="BD8" s="157"/>
      <c r="BE8" s="157" t="str">
        <f>PnL!BE$10</f>
        <v>2016/03/31</v>
      </c>
      <c r="BF8" s="157" t="str">
        <f>PnL!BF$10</f>
        <v>2017/03/31</v>
      </c>
      <c r="BG8" s="157" t="str">
        <f>PnL!BG$10</f>
        <v>2018/03/31</v>
      </c>
      <c r="BH8" s="157" t="str">
        <f>PnL!BH$10</f>
        <v>2019/03/31</v>
      </c>
      <c r="BI8" s="157" t="str">
        <f>PnL!BI$10</f>
        <v>2020/03/31</v>
      </c>
      <c r="BJ8" s="2829" t="str">
        <f>PnL!BJ$10</f>
        <v>2021/03/31</v>
      </c>
      <c r="BK8" s="2829" t="str">
        <f>PnL!BK$10</f>
        <v>2022/03/31</v>
      </c>
      <c r="BL8" s="2829" t="str">
        <f>PnL!BL$10</f>
        <v>2023/03/31</v>
      </c>
      <c r="BM8" s="2829" t="str">
        <f>PnL!BM$10</f>
        <v>2024/03/31</v>
      </c>
      <c r="BN8" s="2829" t="str">
        <f>PnL!BN$10</f>
        <v>2025/03/31</v>
      </c>
      <c r="BO8" s="2829" t="str">
        <f>PnL!BO$10</f>
        <v>2026/03/31</v>
      </c>
      <c r="BP8" s="2829" t="str">
        <f>PnL!BP$10</f>
        <v>2027/03/31</v>
      </c>
      <c r="BQ8" s="2829" t="str">
        <f>PnL!BQ$10</f>
        <v>2028/03/31</v>
      </c>
      <c r="BR8" s="2829" t="str">
        <f>PnL!BR$10</f>
        <v>2029/03/31</v>
      </c>
      <c r="BS8" s="2829" t="str">
        <f>PnL!BS$10</f>
        <v>2030/03/31</v>
      </c>
      <c r="BT8" s="203"/>
      <c r="BU8" s="203"/>
    </row>
    <row r="9" spans="1:73" ht="12.75" customHeight="1" x14ac:dyDescent="0.35">
      <c r="A9" s="285" t="s">
        <v>201</v>
      </c>
      <c r="B9" s="286" t="s">
        <v>202</v>
      </c>
      <c r="C9" s="286"/>
      <c r="D9" s="286"/>
      <c r="E9" s="286"/>
      <c r="F9" s="286"/>
      <c r="G9" s="286"/>
      <c r="H9" s="286"/>
      <c r="I9" s="286"/>
      <c r="J9" s="286"/>
      <c r="K9" s="286"/>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6"/>
      <c r="BA9" s="286"/>
      <c r="BB9" s="286"/>
      <c r="BC9" s="286"/>
      <c r="BD9" s="286"/>
      <c r="BE9" s="286"/>
      <c r="BF9" s="286"/>
      <c r="BG9" s="286"/>
      <c r="BH9" s="286"/>
      <c r="BI9" s="286"/>
      <c r="BJ9" s="286"/>
      <c r="BK9" s="286"/>
      <c r="BL9" s="286"/>
      <c r="BM9" s="286"/>
      <c r="BN9" s="286"/>
      <c r="BO9" s="286"/>
      <c r="BP9" s="286"/>
      <c r="BQ9" s="286"/>
      <c r="BR9" s="286"/>
      <c r="BS9" s="286"/>
      <c r="BT9" s="203"/>
      <c r="BU9" s="203"/>
    </row>
    <row r="10" spans="1:73" ht="12.75" customHeight="1" x14ac:dyDescent="0.35">
      <c r="A10" s="287" t="s">
        <v>203</v>
      </c>
      <c r="B10" s="147"/>
      <c r="C10" s="197" t="s">
        <v>204</v>
      </c>
      <c r="D10" s="147"/>
      <c r="E10" s="147"/>
      <c r="F10" s="147"/>
      <c r="G10" s="197"/>
      <c r="H10" s="197"/>
      <c r="I10" s="197"/>
      <c r="J10" s="197"/>
      <c r="K10" s="288">
        <f>[32]BS!$I$11</f>
        <v>92088</v>
      </c>
      <c r="L10" s="288">
        <f>[32]BS!J11</f>
        <v>111008</v>
      </c>
      <c r="M10" s="288">
        <f>[32]BS!K11</f>
        <v>141796</v>
      </c>
      <c r="N10" s="288">
        <f>[32]BS!L11</f>
        <v>150801</v>
      </c>
      <c r="O10" s="288">
        <f>[32]BS!M11</f>
        <v>152614</v>
      </c>
      <c r="P10" s="288">
        <f>[32]BS!N11</f>
        <v>165010</v>
      </c>
      <c r="Q10" s="288">
        <f>[32]BS!O11</f>
        <v>224132</v>
      </c>
      <c r="R10" s="288">
        <f>[32]BS!P11</f>
        <v>210210</v>
      </c>
      <c r="S10" s="288">
        <f>[32]BS!Q11</f>
        <v>185151</v>
      </c>
      <c r="T10" s="288">
        <f>[32]BS!R11</f>
        <v>181537</v>
      </c>
      <c r="U10" s="288">
        <f>[32]BS!S11</f>
        <v>200591</v>
      </c>
      <c r="V10" s="288">
        <f>[32]BS!T11</f>
        <v>203165</v>
      </c>
      <c r="W10" s="288">
        <f>[32]BS!U11</f>
        <v>220620</v>
      </c>
      <c r="X10" s="288">
        <f>[32]BS!V11</f>
        <v>241010</v>
      </c>
      <c r="Y10" s="288">
        <f>[32]BS!W11</f>
        <v>357210</v>
      </c>
      <c r="Z10" s="288">
        <f>[32]BS!X11</f>
        <v>363215</v>
      </c>
      <c r="AA10" s="288">
        <f>[32]BS!Y11</f>
        <v>386558</v>
      </c>
      <c r="AB10" s="288">
        <f>[32]BS!Z11</f>
        <v>410703</v>
      </c>
      <c r="AC10" s="288">
        <f>IF(ISERR(PnL!AC19/PnL!AC19),"0",CF!AC38)</f>
        <v>417383.11047854484</v>
      </c>
      <c r="AD10" s="288">
        <f>IF(ISERR(PnL!AD19/PnL!AD19),"0",CF!AD38)</f>
        <v>425908.18841216236</v>
      </c>
      <c r="AE10" s="288">
        <f>IF(ISERR(PnL!AE19/PnL!AE19),"0",CF!AE38)</f>
        <v>429424.24439517048</v>
      </c>
      <c r="AF10" s="288">
        <f>IF(ISERR(PnL!AF19/PnL!AF19),"0",CF!AF38)</f>
        <v>426939.85344313219</v>
      </c>
      <c r="AG10" s="288">
        <f>IF(ISERR(PnL!AG19/PnL!AG19),"0",CF!AG38)</f>
        <v>473642.85226831533</v>
      </c>
      <c r="AH10" s="288">
        <f>IF(ISERR(PnL!AH19/PnL!AH19),"0",CF!AH38)</f>
        <v>471786.70137136983</v>
      </c>
      <c r="AI10" s="288">
        <f>IF(ISERR(PnL!AI19/PnL!AI19),"0",CF!AI38)</f>
        <v>485887.41226165002</v>
      </c>
      <c r="AJ10" s="288">
        <f>IF(ISERR(PnL!AJ19/PnL!AJ19),"0",CF!AJ38)</f>
        <v>479597.85276550753</v>
      </c>
      <c r="AK10" s="288">
        <f>IF(ISERR(PnL!AK19/PnL!AK19),"0",CF!AK38)</f>
        <v>531939.85523696628</v>
      </c>
      <c r="AL10" s="288">
        <f>IF(ISERR(PnL!AL19/PnL!AL19),"0",CF!AL38)</f>
        <v>532926.42661455972</v>
      </c>
      <c r="AM10" s="289"/>
      <c r="AN10" s="293">
        <f>[32]BS!AM11</f>
        <v>0</v>
      </c>
      <c r="AO10" s="293">
        <f>[32]BS!AN11</f>
        <v>0</v>
      </c>
      <c r="AP10" s="293">
        <f>[32]BS!AO11</f>
        <v>0</v>
      </c>
      <c r="AQ10" s="293">
        <f>[32]BS!AP11</f>
        <v>0</v>
      </c>
      <c r="AR10" s="293">
        <f>[32]BS!AQ11</f>
        <v>0</v>
      </c>
      <c r="AS10" s="293">
        <f>[32]BS!AR11</f>
        <v>0</v>
      </c>
      <c r="AT10" s="293">
        <f>[32]BS!AS11</f>
        <v>0</v>
      </c>
      <c r="AU10" s="293">
        <f>[32]BS!AT11</f>
        <v>0</v>
      </c>
      <c r="AV10" s="293">
        <f>[32]BS!AU11</f>
        <v>0</v>
      </c>
      <c r="AW10" s="293">
        <f>[32]BS!AV11</f>
        <v>0</v>
      </c>
      <c r="AX10" s="288" t="e">
        <f>CF!AX38</f>
        <v>#REF!</v>
      </c>
      <c r="AY10" s="288" t="e">
        <f>CF!AY38</f>
        <v>#REF!</v>
      </c>
      <c r="AZ10" s="288" t="e">
        <f>CF!AZ38</f>
        <v>#REF!</v>
      </c>
      <c r="BA10" s="288" t="e">
        <f>CF!BA38</f>
        <v>#REF!</v>
      </c>
      <c r="BB10" s="288" t="e">
        <f>CF!BB38</f>
        <v>#REF!</v>
      </c>
      <c r="BC10" s="288" t="e">
        <f>CF!BC38</f>
        <v>#REF!</v>
      </c>
      <c r="BD10" s="293"/>
      <c r="BE10" s="288">
        <f>[32]BS!$BE$11</f>
        <v>115696</v>
      </c>
      <c r="BF10" s="288">
        <f>[32]BS!BF11</f>
        <v>150801</v>
      </c>
      <c r="BG10" s="288">
        <f>[32]BS!BG11</f>
        <v>210210</v>
      </c>
      <c r="BH10" s="288">
        <f>[32]BS!BH11</f>
        <v>203165</v>
      </c>
      <c r="BI10" s="288">
        <f>[32]BS!BI11</f>
        <v>363215</v>
      </c>
      <c r="BJ10" s="288">
        <f t="shared" ref="BJ10:BJ23" si="4">AD10</f>
        <v>425908.18841216236</v>
      </c>
      <c r="BK10" s="288">
        <f t="shared" ref="BK10:BK23" si="5">AH10</f>
        <v>471786.70137136983</v>
      </c>
      <c r="BL10" s="288">
        <f t="shared" ref="BL10:BL23" si="6">AL10</f>
        <v>532926.42661455972</v>
      </c>
      <c r="BM10" s="288">
        <f>IF(ISERR(PnL!BM19/PnL!BM19),"0",CF!BM38)</f>
        <v>798162.33510030271</v>
      </c>
      <c r="BN10" s="288">
        <f>IF(ISERR(PnL!BN19/PnL!BN19),"0",CF!BN38)</f>
        <v>947038.83991438197</v>
      </c>
      <c r="BO10" s="288">
        <f>IF(ISERR(PnL!BO19/PnL!BO19),"0",CF!BO38)</f>
        <v>1102060.1163614206</v>
      </c>
      <c r="BP10" s="288">
        <f>IF(ISERR(PnL!BP19/PnL!BP19),"0",CF!BP38)</f>
        <v>1262521.7337803522</v>
      </c>
      <c r="BQ10" s="288">
        <f>IF(ISERR(PnL!BQ19/PnL!BQ19),"0",CF!BQ38)</f>
        <v>1419872.8697752962</v>
      </c>
      <c r="BR10" s="288">
        <f>IF(ISERR(PnL!BR19/PnL!BR19),"0",CF!BR38)</f>
        <v>1570110.4485409488</v>
      </c>
      <c r="BS10" s="288">
        <f>IF(ISERR(PnL!BS19/PnL!BS19),"0",CF!BS38)</f>
        <v>1708424.3720231433</v>
      </c>
      <c r="BT10" s="203"/>
      <c r="BU10" s="203"/>
    </row>
    <row r="11" spans="1:73" ht="12.75" customHeight="1" x14ac:dyDescent="0.35">
      <c r="A11" s="290"/>
      <c r="B11" s="147"/>
      <c r="C11" s="291" t="s">
        <v>205</v>
      </c>
      <c r="D11" s="147"/>
      <c r="E11" s="147"/>
      <c r="F11" s="147"/>
      <c r="G11" s="197"/>
      <c r="H11" s="197"/>
      <c r="I11" s="197"/>
      <c r="J11" s="197"/>
      <c r="K11" s="288">
        <f>[32]BS!I12</f>
        <v>0</v>
      </c>
      <c r="L11" s="288">
        <f>[32]BS!J12</f>
        <v>0</v>
      </c>
      <c r="M11" s="288">
        <f>[32]BS!K12</f>
        <v>0</v>
      </c>
      <c r="N11" s="288">
        <f>[32]BS!L12</f>
        <v>4388</v>
      </c>
      <c r="O11" s="288">
        <f>[32]BS!M12</f>
        <v>0</v>
      </c>
      <c r="P11" s="288">
        <f>[32]BS!N12</f>
        <v>0</v>
      </c>
      <c r="Q11" s="288">
        <f>[32]BS!O12</f>
        <v>0</v>
      </c>
      <c r="R11" s="288">
        <f>[32]BS!P12</f>
        <v>7284</v>
      </c>
      <c r="S11" s="288">
        <f>[32]BS!Q12</f>
        <v>0</v>
      </c>
      <c r="T11" s="288">
        <f>[32]BS!R12</f>
        <v>0</v>
      </c>
      <c r="U11" s="288">
        <f>[32]BS!S12</f>
        <v>0</v>
      </c>
      <c r="V11" s="288">
        <f>[32]BS!T12</f>
        <v>13771</v>
      </c>
      <c r="W11" s="288">
        <f>[32]BS!U12</f>
        <v>0</v>
      </c>
      <c r="X11" s="288">
        <f>[32]BS!V12</f>
        <v>0</v>
      </c>
      <c r="Y11" s="288">
        <f>[32]BS!W12</f>
        <v>0</v>
      </c>
      <c r="Z11" s="288">
        <f>[32]BS!X12</f>
        <v>19786</v>
      </c>
      <c r="AA11" s="288">
        <f>[32]BS!Y12</f>
        <v>0</v>
      </c>
      <c r="AB11" s="288">
        <f>[32]BS!Z12</f>
        <v>0</v>
      </c>
      <c r="AC11" s="288" t="str">
        <f>IF(ISERR(PnL!AC12/BS!AC65),"-",PnL!AC12/BS!AC65)</f>
        <v>-</v>
      </c>
      <c r="AD11" s="288">
        <f>IF(ISERR(PnL!AD12/BS!AD65),"-",PnL!AD12/BS!AD65)</f>
        <v>21336.233982579659</v>
      </c>
      <c r="AE11" s="288" t="str">
        <f>IF(ISERR(PnL!AE12/BS!AE65),"-",PnL!AE12/BS!AE65)</f>
        <v>-</v>
      </c>
      <c r="AF11" s="288" t="str">
        <f>IF(ISERR(PnL!AF12/BS!AF65),"-",PnL!AF12/BS!AF65)</f>
        <v>-</v>
      </c>
      <c r="AG11" s="288" t="str">
        <f>IF(ISERR(PnL!AG12/BS!AG65),"-",PnL!AG12/BS!AG65)</f>
        <v>-</v>
      </c>
      <c r="AH11" s="288">
        <f>IF(ISERR(PnL!AH12/BS!AH65),"-",PnL!AH12/BS!AH65)</f>
        <v>27548.681666634915</v>
      </c>
      <c r="AI11" s="288" t="str">
        <f>IF(ISERR(PnL!AI12/BS!AI65),"-",PnL!AI12/BS!AI65)</f>
        <v>-</v>
      </c>
      <c r="AJ11" s="288" t="str">
        <f>IF(ISERR(PnL!AJ12/BS!AJ65),"-",PnL!AJ12/BS!AJ65)</f>
        <v>-</v>
      </c>
      <c r="AK11" s="288" t="str">
        <f>IF(ISERR(PnL!AK12/BS!AK65),"-",PnL!AK12/BS!AK65)</f>
        <v>-</v>
      </c>
      <c r="AL11" s="288">
        <f>IF(ISERR(PnL!AL12/BS!AL65),"-",PnL!AL12/BS!AL65)</f>
        <v>35560.665330084033</v>
      </c>
      <c r="AM11" s="292"/>
      <c r="AN11" s="292">
        <f>[32]BS!AM12</f>
        <v>0</v>
      </c>
      <c r="AO11" s="292">
        <f>[32]BS!AN12</f>
        <v>0</v>
      </c>
      <c r="AP11" s="292">
        <f>[32]BS!AO12</f>
        <v>0</v>
      </c>
      <c r="AQ11" s="292">
        <f>[32]BS!AP12</f>
        <v>0</v>
      </c>
      <c r="AR11" s="292">
        <f>[32]BS!AQ12</f>
        <v>0</v>
      </c>
      <c r="AS11" s="292">
        <f>[32]BS!AR12</f>
        <v>0</v>
      </c>
      <c r="AT11" s="292">
        <f>[32]BS!AS12</f>
        <v>0</v>
      </c>
      <c r="AU11" s="292">
        <f>[32]BS!AT12</f>
        <v>0</v>
      </c>
      <c r="AV11" s="292">
        <f>[32]BS!AU12</f>
        <v>0</v>
      </c>
      <c r="AW11" s="292">
        <f>[32]BS!AV12</f>
        <v>0</v>
      </c>
      <c r="AX11" s="288" t="str">
        <f>IF(ISERR(PnL!AX12/BS!AX65),"-",PnL!AX12/BS!AX65)</f>
        <v>-</v>
      </c>
      <c r="AY11" s="288" t="str">
        <f>IF(ISERR(PnL!AY12/BS!AY65),"-",PnL!AY12/BS!AY65)</f>
        <v>-</v>
      </c>
      <c r="AZ11" s="288" t="str">
        <f>IF(ISERR(PnL!AZ12/BS!AZ65),"-",PnL!AZ12/BS!AZ65)</f>
        <v>-</v>
      </c>
      <c r="BA11" s="288" t="str">
        <f>IF(ISERR(PnL!BA12/BS!BA65),"-",PnL!BA12/BS!BA65)</f>
        <v>-</v>
      </c>
      <c r="BB11" s="288" t="str">
        <f>IF(ISERR(PnL!BB12/BS!BB65),"-",PnL!BB12/BS!BB65)</f>
        <v>-</v>
      </c>
      <c r="BC11" s="288" t="str">
        <f>IF(ISERR(PnL!BC12/BS!BC65),"-",PnL!BC12/BS!BC65)</f>
        <v>-</v>
      </c>
      <c r="BD11" s="292"/>
      <c r="BE11" s="288">
        <f>[32]BS!BE12</f>
        <v>1209</v>
      </c>
      <c r="BF11" s="288">
        <f>[32]BS!BF12</f>
        <v>4388</v>
      </c>
      <c r="BG11" s="288">
        <f>[32]BS!BG12</f>
        <v>7284</v>
      </c>
      <c r="BH11" s="288">
        <f>[32]BS!BH12</f>
        <v>13771</v>
      </c>
      <c r="BI11" s="288">
        <f>[32]BS!BI12</f>
        <v>19786</v>
      </c>
      <c r="BJ11" s="288">
        <f t="shared" si="4"/>
        <v>21336.233982579659</v>
      </c>
      <c r="BK11" s="288">
        <f t="shared" si="5"/>
        <v>27548.681666634915</v>
      </c>
      <c r="BL11" s="288">
        <f t="shared" si="6"/>
        <v>35560.665330084033</v>
      </c>
      <c r="BM11" s="288">
        <f>IF(ISERR(PnL!BM12/BS!BM65),"-",PnL!BM12/BS!BM65)</f>
        <v>42920.193390289147</v>
      </c>
      <c r="BN11" s="288">
        <f>IF(ISERR(PnL!BN12/BS!BN65),"-",PnL!BN12/BS!BN65)</f>
        <v>49559.42974701467</v>
      </c>
      <c r="BO11" s="288">
        <f>IF(ISERR(PnL!BO12/BS!BO65),"-",PnL!BO12/BS!BO65)</f>
        <v>54789.989339105014</v>
      </c>
      <c r="BP11" s="288">
        <f>IF(ISERR(PnL!BP12/BS!BP65),"-",PnL!BP12/BS!BP65)</f>
        <v>62564.033458656937</v>
      </c>
      <c r="BQ11" s="288">
        <f>IF(ISERR(PnL!BQ12/BS!BQ65),"-",PnL!BQ12/BS!BQ65)</f>
        <v>69034.963660401991</v>
      </c>
      <c r="BR11" s="288">
        <f>IF(ISERR(PnL!BR12/BS!BR65),"-",PnL!BR12/BS!BR65)</f>
        <v>74799.146660887971</v>
      </c>
      <c r="BS11" s="288">
        <f>IF(ISERR(PnL!BS12/BS!BS65),"-",PnL!BS12/BS!BS65)</f>
        <v>79790.627784571756</v>
      </c>
      <c r="BT11" s="203"/>
      <c r="BU11" s="203"/>
    </row>
    <row r="12" spans="1:73" ht="12.75" customHeight="1" x14ac:dyDescent="0.35">
      <c r="A12" s="285" t="s">
        <v>206</v>
      </c>
      <c r="B12" s="147"/>
      <c r="C12" s="291" t="s">
        <v>207</v>
      </c>
      <c r="D12" s="147"/>
      <c r="E12" s="147"/>
      <c r="F12" s="147"/>
      <c r="G12" s="197"/>
      <c r="H12" s="197"/>
      <c r="I12" s="197"/>
      <c r="J12" s="197"/>
      <c r="K12" s="288">
        <f>[32]BS!I13</f>
        <v>0</v>
      </c>
      <c r="L12" s="288">
        <f>[32]BS!J13</f>
        <v>0</v>
      </c>
      <c r="M12" s="288">
        <f>[32]BS!K13</f>
        <v>0</v>
      </c>
      <c r="N12" s="288">
        <f>[32]BS!L13</f>
        <v>0</v>
      </c>
      <c r="O12" s="288">
        <f>[32]BS!M13</f>
        <v>0</v>
      </c>
      <c r="P12" s="288">
        <f>[32]BS!N13</f>
        <v>0</v>
      </c>
      <c r="Q12" s="288">
        <f>[32]BS!O13</f>
        <v>0</v>
      </c>
      <c r="R12" s="288">
        <f>[32]BS!P13</f>
        <v>0</v>
      </c>
      <c r="S12" s="288">
        <f>[32]BS!Q13</f>
        <v>0</v>
      </c>
      <c r="T12" s="288">
        <f>[32]BS!R13</f>
        <v>0</v>
      </c>
      <c r="U12" s="288">
        <f>[32]BS!S13</f>
        <v>0</v>
      </c>
      <c r="V12" s="288">
        <f>[32]BS!T13</f>
        <v>0</v>
      </c>
      <c r="W12" s="288">
        <f>[32]BS!U13</f>
        <v>0</v>
      </c>
      <c r="X12" s="288">
        <f>[32]BS!V13</f>
        <v>0</v>
      </c>
      <c r="Y12" s="288">
        <f>[32]BS!W13</f>
        <v>0</v>
      </c>
      <c r="Z12" s="288">
        <f>[32]BS!X13</f>
        <v>0</v>
      </c>
      <c r="AA12" s="288">
        <f>[32]BS!Y13</f>
        <v>0</v>
      </c>
      <c r="AB12" s="288">
        <f>[32]BS!Z13</f>
        <v>0</v>
      </c>
      <c r="AC12" s="288">
        <f>IF(ISERR(PnL!AC16/AVERAGE(Y66:AB66)),0,PnL!AC16/AVERAGE(Y66:AB66))</f>
        <v>0</v>
      </c>
      <c r="AD12" s="288">
        <f>IF(ISERR(PnL!AD16/AVERAGE(Z66:AC66)),0,PnL!AD16/AVERAGE(Z66:AC66))</f>
        <v>0</v>
      </c>
      <c r="AE12" s="288">
        <f>IF(ISERR(PnL!AE16/AVERAGE(AA66:AD66)),0,PnL!AE16/AVERAGE(AA66:AD66))</f>
        <v>0</v>
      </c>
      <c r="AF12" s="288">
        <f>IF(ISERR(PnL!AF16/AVERAGE(AB66:AE66)),0,PnL!AF16/AVERAGE(AB66:AE66))</f>
        <v>0</v>
      </c>
      <c r="AG12" s="288">
        <f>IF(ISERR(PnL!AG16/AVERAGE(AC66:AF66)),0,PnL!AG16/AVERAGE(AC66:AF66))</f>
        <v>0</v>
      </c>
      <c r="AH12" s="288">
        <f>IF(ISERR(PnL!AH16/AVERAGE(AD66:AG66)),0,PnL!AH16/AVERAGE(AD66:AG66))</f>
        <v>0</v>
      </c>
      <c r="AI12" s="288">
        <f>IF(ISERR(PnL!AI16/AVERAGE(AE66:AH66)),0,PnL!AI16/AVERAGE(AE66:AH66))</f>
        <v>0</v>
      </c>
      <c r="AJ12" s="288">
        <f>IF(ISERR(PnL!AJ16/AVERAGE(AF66:AI66)),0,PnL!AJ16/AVERAGE(AF66:AI66))</f>
        <v>0</v>
      </c>
      <c r="AK12" s="288">
        <f>IF(ISERR(PnL!AK16/AVERAGE(AG66:AJ66)),0,PnL!AK16/AVERAGE(AG66:AJ66))</f>
        <v>0</v>
      </c>
      <c r="AL12" s="288">
        <f>IF(ISERR(PnL!AL16/AVERAGE(AH66:AK66)),0,PnL!AL16/AVERAGE(AH66:AK66))</f>
        <v>0</v>
      </c>
      <c r="AM12" s="293"/>
      <c r="AN12" s="293">
        <f>[32]BS!AM13</f>
        <v>0</v>
      </c>
      <c r="AO12" s="293">
        <f>[32]BS!AN13</f>
        <v>0</v>
      </c>
      <c r="AP12" s="293">
        <f>[32]BS!AO13</f>
        <v>0</v>
      </c>
      <c r="AQ12" s="293">
        <f>[32]BS!AP13</f>
        <v>0</v>
      </c>
      <c r="AR12" s="293">
        <f>[32]BS!AQ13</f>
        <v>0</v>
      </c>
      <c r="AS12" s="293">
        <f>[32]BS!AR13</f>
        <v>0</v>
      </c>
      <c r="AT12" s="293">
        <f>[32]BS!AS13</f>
        <v>0</v>
      </c>
      <c r="AU12" s="293">
        <f>[32]BS!AT13</f>
        <v>0</v>
      </c>
      <c r="AV12" s="293">
        <f>[32]BS!AU13</f>
        <v>0</v>
      </c>
      <c r="AW12" s="293">
        <f>[32]BS!AV13</f>
        <v>0</v>
      </c>
      <c r="AX12" s="288">
        <f>IF(ISERR(PnL!AX16/AVERAGE(AT66:AW66)),0,PnL!AX16/AVERAGE(AT66:AW66))</f>
        <v>0</v>
      </c>
      <c r="AY12" s="288">
        <f>IF(ISERR(PnL!AY16/AVERAGE(AU66:AX66)),0,PnL!AY16/AVERAGE(AU66:AX66))</f>
        <v>0</v>
      </c>
      <c r="AZ12" s="288">
        <f>IF(ISERR(PnL!AZ16/AVERAGE(AV66:AY66)),0,PnL!BA16/AVERAGE(AV66:AY66))</f>
        <v>0</v>
      </c>
      <c r="BA12" s="288">
        <f>IF(ISERR(PnL!BA16/AVERAGE(AW66:AZ66)),0,PnL!BB16/AVERAGE(AW66:AZ66))</f>
        <v>0</v>
      </c>
      <c r="BB12" s="288">
        <f>IF(ISERR(PnL!BB16/AVERAGE(AX66:BA66)),0,PnL!BC16/AVERAGE(AX66:BA66))</f>
        <v>0</v>
      </c>
      <c r="BC12" s="288">
        <f>IF(ISERR(PnL!BC16/AVERAGE(AY66:BB66)),0,PnL!BD16/AVERAGE(AY66:BB66))</f>
        <v>0</v>
      </c>
      <c r="BD12" s="293"/>
      <c r="BE12" s="288">
        <f>[32]BS!BE13</f>
        <v>0</v>
      </c>
      <c r="BF12" s="288">
        <f>[32]BS!BF13</f>
        <v>0</v>
      </c>
      <c r="BG12" s="288">
        <f>[32]BS!BG13</f>
        <v>0</v>
      </c>
      <c r="BH12" s="288">
        <f>[32]BS!BH13</f>
        <v>0</v>
      </c>
      <c r="BI12" s="288">
        <f>[32]BS!BI13</f>
        <v>0</v>
      </c>
      <c r="BJ12" s="288">
        <f t="shared" si="4"/>
        <v>0</v>
      </c>
      <c r="BK12" s="288">
        <f t="shared" si="5"/>
        <v>0</v>
      </c>
      <c r="BL12" s="288">
        <f t="shared" si="6"/>
        <v>0</v>
      </c>
      <c r="BM12" s="293">
        <f>BL12</f>
        <v>0</v>
      </c>
      <c r="BN12" s="293">
        <f t="shared" ref="BN12:BS12" si="7">BM12</f>
        <v>0</v>
      </c>
      <c r="BO12" s="293">
        <f t="shared" si="7"/>
        <v>0</v>
      </c>
      <c r="BP12" s="293">
        <f t="shared" si="7"/>
        <v>0</v>
      </c>
      <c r="BQ12" s="293">
        <f t="shared" si="7"/>
        <v>0</v>
      </c>
      <c r="BR12" s="293">
        <f t="shared" si="7"/>
        <v>0</v>
      </c>
      <c r="BS12" s="293">
        <f t="shared" si="7"/>
        <v>0</v>
      </c>
      <c r="BT12" s="203"/>
      <c r="BU12" s="203"/>
    </row>
    <row r="13" spans="1:73" ht="12.75" customHeight="1" x14ac:dyDescent="0.35">
      <c r="A13" s="285" t="s">
        <v>208</v>
      </c>
      <c r="B13" s="147"/>
      <c r="C13" s="291" t="s">
        <v>209</v>
      </c>
      <c r="D13" s="147"/>
      <c r="E13" s="147"/>
      <c r="F13" s="147"/>
      <c r="G13" s="197"/>
      <c r="H13" s="197"/>
      <c r="I13" s="197"/>
      <c r="J13" s="197"/>
      <c r="K13" s="288">
        <f>[32]BS!I14</f>
        <v>21000</v>
      </c>
      <c r="L13" s="288">
        <f>[32]BS!J14</f>
        <v>25318</v>
      </c>
      <c r="M13" s="288">
        <f>[32]BS!K14</f>
        <v>26732</v>
      </c>
      <c r="N13" s="288">
        <f>[32]BS!L14</f>
        <v>26675</v>
      </c>
      <c r="O13" s="288">
        <f>[32]BS!M14</f>
        <v>33780</v>
      </c>
      <c r="P13" s="288">
        <f>[32]BS!N14</f>
        <v>39638</v>
      </c>
      <c r="Q13" s="288">
        <f>[32]BS!O14</f>
        <v>44158</v>
      </c>
      <c r="R13" s="288">
        <f>[32]BS!P14</f>
        <v>39361</v>
      </c>
      <c r="S13" s="288">
        <f>[32]BS!Q14</f>
        <v>51843</v>
      </c>
      <c r="T13" s="288">
        <f>[32]BS!R14</f>
        <v>56346</v>
      </c>
      <c r="U13" s="288">
        <f>[32]BS!S14</f>
        <v>61089</v>
      </c>
      <c r="V13" s="288">
        <f>[32]BS!T14</f>
        <v>53337</v>
      </c>
      <c r="W13" s="288">
        <f>[32]BS!U14</f>
        <v>70012</v>
      </c>
      <c r="X13" s="288">
        <f>[32]BS!V14</f>
        <v>94677</v>
      </c>
      <c r="Y13" s="288">
        <f>[32]BS!W14</f>
        <v>102236</v>
      </c>
      <c r="Z13" s="288">
        <f>[32]BS!X14</f>
        <v>79922</v>
      </c>
      <c r="AA13" s="288">
        <f>[32]BS!Y14</f>
        <v>104754</v>
      </c>
      <c r="AB13" s="288">
        <f>[32]BS!Z14</f>
        <v>112232</v>
      </c>
      <c r="AC13" s="288">
        <f>IF(ISERR(PnL!AC19/PnL!AC19),"0",AB13)</f>
        <v>112232</v>
      </c>
      <c r="AD13" s="288">
        <f>IF(ISERR(PnL!AD19/PnL!AD19),"0",AC13)</f>
        <v>112232</v>
      </c>
      <c r="AE13" s="288">
        <f>IF(ISERR(PnL!AE19/PnL!AE19),"0",AD13)</f>
        <v>112232</v>
      </c>
      <c r="AF13" s="288">
        <f>IF(ISERR(PnL!AF19/PnL!AF19),"0",AE13)</f>
        <v>112232</v>
      </c>
      <c r="AG13" s="288">
        <f>IF(ISERR(PnL!AG19/PnL!AG19),"0",AF13)</f>
        <v>112232</v>
      </c>
      <c r="AH13" s="288">
        <f>IF(ISERR(PnL!AH19/PnL!AH19),"0",AG13)</f>
        <v>112232</v>
      </c>
      <c r="AI13" s="288">
        <f>IF(ISERR(PnL!AI19/PnL!AI19),"0",AH13)</f>
        <v>112232</v>
      </c>
      <c r="AJ13" s="288">
        <f>IF(ISERR(PnL!AJ19/PnL!AJ19),"0",AI13)</f>
        <v>112232</v>
      </c>
      <c r="AK13" s="288">
        <f>IF(ISERR(PnL!AK19/PnL!AK19),"0",AJ13)</f>
        <v>112232</v>
      </c>
      <c r="AL13" s="288">
        <f>IF(ISERR(PnL!AL19/PnL!AL19),"0",AK13)</f>
        <v>112232</v>
      </c>
      <c r="AM13" s="293"/>
      <c r="AN13" s="293">
        <f>[32]BS!AM14</f>
        <v>0</v>
      </c>
      <c r="AO13" s="293">
        <f>[32]BS!AN14</f>
        <v>0</v>
      </c>
      <c r="AP13" s="293">
        <f>[32]BS!AO14</f>
        <v>0</v>
      </c>
      <c r="AQ13" s="293">
        <f>[32]BS!AP14</f>
        <v>0</v>
      </c>
      <c r="AR13" s="293">
        <f>[32]BS!AQ14</f>
        <v>0</v>
      </c>
      <c r="AS13" s="293">
        <f>[32]BS!AR14</f>
        <v>0</v>
      </c>
      <c r="AT13" s="293">
        <f>[32]BS!AS14</f>
        <v>0</v>
      </c>
      <c r="AU13" s="293">
        <f>[32]BS!AT14</f>
        <v>0</v>
      </c>
      <c r="AV13" s="293">
        <f>[32]BS!AU14</f>
        <v>0</v>
      </c>
      <c r="AW13" s="293">
        <f>[32]BS!AV14</f>
        <v>0</v>
      </c>
      <c r="AX13" s="288" t="str">
        <f>IF(ISERR(PnL!AX19/PnL!AX19),"0",AW13)</f>
        <v>0</v>
      </c>
      <c r="AY13" s="288" t="str">
        <f>IF(ISERR(PnL!AY19/PnL!AY19),"0",AX13)</f>
        <v>0</v>
      </c>
      <c r="AZ13" s="288" t="str">
        <f>IF(ISERR(PnL!AZ19/PnL!AZ19),"0",AY13)</f>
        <v>0</v>
      </c>
      <c r="BA13" s="288" t="str">
        <f>IF(ISERR(PnL!BA19/PnL!BA19),"0",AZ13)</f>
        <v>0</v>
      </c>
      <c r="BB13" s="288" t="str">
        <f>IF(ISERR(PnL!BB19/PnL!BB19),"0",BA13)</f>
        <v>0</v>
      </c>
      <c r="BC13" s="288" t="str">
        <f>IF(ISERR(PnL!BC19/PnL!BC19),"0",BB13)</f>
        <v>0</v>
      </c>
      <c r="BD13" s="293"/>
      <c r="BE13" s="288">
        <f>[32]BS!BE14</f>
        <v>17165</v>
      </c>
      <c r="BF13" s="288">
        <f>[32]BS!BF14</f>
        <v>26675</v>
      </c>
      <c r="BG13" s="288">
        <f>[32]BS!BG14</f>
        <v>39361</v>
      </c>
      <c r="BH13" s="288">
        <f>[32]BS!BH14</f>
        <v>53337</v>
      </c>
      <c r="BI13" s="288">
        <f>[32]BS!BI14</f>
        <v>79922</v>
      </c>
      <c r="BJ13" s="288">
        <f t="shared" si="4"/>
        <v>112232</v>
      </c>
      <c r="BK13" s="288">
        <f t="shared" si="5"/>
        <v>112232</v>
      </c>
      <c r="BL13" s="288">
        <f t="shared" si="6"/>
        <v>112232</v>
      </c>
      <c r="BM13" s="288">
        <f>IF(ISERR(PnL!BM19/PnL!BM19),"0",BL13)</f>
        <v>112232</v>
      </c>
      <c r="BN13" s="288">
        <f>IF(ISERR(PnL!BN19/PnL!BN19),"0",BM13)</f>
        <v>112232</v>
      </c>
      <c r="BO13" s="288">
        <f>IF(ISERR(PnL!BO19/PnL!BO19),"0",BN13)</f>
        <v>112232</v>
      </c>
      <c r="BP13" s="288">
        <f>IF(ISERR(PnL!BP19/PnL!BP19),"0",BO13)</f>
        <v>112232</v>
      </c>
      <c r="BQ13" s="288">
        <f>IF(ISERR(PnL!BQ19/PnL!BQ19),"0",BP13)</f>
        <v>112232</v>
      </c>
      <c r="BR13" s="288">
        <f>IF(ISERR(PnL!BR19/PnL!BR19),"0",BQ13)</f>
        <v>112232</v>
      </c>
      <c r="BS13" s="288">
        <f>IF(ISERR(PnL!BS19/PnL!BS19),"0",BR13)</f>
        <v>112232</v>
      </c>
      <c r="BT13" s="203"/>
      <c r="BU13" s="203"/>
    </row>
    <row r="14" spans="1:73" ht="12.75" customHeight="1" x14ac:dyDescent="0.35">
      <c r="A14" s="285" t="s">
        <v>210</v>
      </c>
      <c r="B14" s="258" t="s">
        <v>211</v>
      </c>
      <c r="C14" s="166"/>
      <c r="D14" s="304"/>
      <c r="E14" s="304"/>
      <c r="F14" s="304"/>
      <c r="G14" s="258"/>
      <c r="H14" s="258"/>
      <c r="I14" s="258"/>
      <c r="J14" s="258"/>
      <c r="K14" s="294">
        <f>[32]BS!I15</f>
        <v>113088</v>
      </c>
      <c r="L14" s="294">
        <f>[32]BS!J15</f>
        <v>136326</v>
      </c>
      <c r="M14" s="294">
        <f>[32]BS!K15</f>
        <v>168528</v>
      </c>
      <c r="N14" s="294">
        <f>[32]BS!L15</f>
        <v>181864</v>
      </c>
      <c r="O14" s="294">
        <f>[32]BS!M15</f>
        <v>186394</v>
      </c>
      <c r="P14" s="294">
        <f>[32]BS!N15</f>
        <v>204648</v>
      </c>
      <c r="Q14" s="294">
        <f>[32]BS!O15</f>
        <v>268290</v>
      </c>
      <c r="R14" s="294">
        <f>[32]BS!P15</f>
        <v>256855</v>
      </c>
      <c r="S14" s="294">
        <f>[32]BS!Q15</f>
        <v>236994</v>
      </c>
      <c r="T14" s="294">
        <f>[32]BS!R15</f>
        <v>237883</v>
      </c>
      <c r="U14" s="294">
        <f>[32]BS!S15</f>
        <v>261680</v>
      </c>
      <c r="V14" s="294">
        <f>[32]BS!T15</f>
        <v>270273</v>
      </c>
      <c r="W14" s="294">
        <f>[32]BS!U15</f>
        <v>290632</v>
      </c>
      <c r="X14" s="294">
        <f>[32]BS!V15</f>
        <v>335687</v>
      </c>
      <c r="Y14" s="294">
        <f>[32]BS!W15</f>
        <v>459446</v>
      </c>
      <c r="Z14" s="294">
        <f>[32]BS!X15</f>
        <v>462923</v>
      </c>
      <c r="AA14" s="294">
        <f>[32]BS!Y15</f>
        <v>491312</v>
      </c>
      <c r="AB14" s="294">
        <f>[32]BS!Z15</f>
        <v>522935</v>
      </c>
      <c r="AC14" s="294">
        <f t="shared" ref="AC14" si="8">SUM(AC10:AC13)</f>
        <v>529615.11047854484</v>
      </c>
      <c r="AD14" s="294">
        <f>SUM(AD10:AD13)</f>
        <v>559476.42239474203</v>
      </c>
      <c r="AE14" s="294">
        <f t="shared" ref="AE14:AL14" si="9">SUM(AE10:AE13)</f>
        <v>541656.24439517048</v>
      </c>
      <c r="AF14" s="294">
        <f t="shared" si="9"/>
        <v>539171.85344313225</v>
      </c>
      <c r="AG14" s="294">
        <f t="shared" si="9"/>
        <v>585874.85226831539</v>
      </c>
      <c r="AH14" s="294">
        <f t="shared" si="9"/>
        <v>611567.38303800474</v>
      </c>
      <c r="AI14" s="294">
        <f t="shared" si="9"/>
        <v>598119.41226164997</v>
      </c>
      <c r="AJ14" s="294">
        <f t="shared" si="9"/>
        <v>591829.85276550753</v>
      </c>
      <c r="AK14" s="294">
        <f t="shared" si="9"/>
        <v>644171.85523696628</v>
      </c>
      <c r="AL14" s="294">
        <f t="shared" si="9"/>
        <v>680719.09194464376</v>
      </c>
      <c r="AM14" s="289"/>
      <c r="AN14" s="289">
        <f>[32]BS!AM15</f>
        <v>0</v>
      </c>
      <c r="AO14" s="289">
        <f>[32]BS!AN15</f>
        <v>0</v>
      </c>
      <c r="AP14" s="289">
        <f>[32]BS!AO15</f>
        <v>0</v>
      </c>
      <c r="AQ14" s="289">
        <f>[32]BS!AP15</f>
        <v>0</v>
      </c>
      <c r="AR14" s="289">
        <f>[32]BS!AQ15</f>
        <v>0</v>
      </c>
      <c r="AS14" s="289">
        <f>[32]BS!AR15</f>
        <v>0</v>
      </c>
      <c r="AT14" s="289">
        <f>[32]BS!AS15</f>
        <v>0</v>
      </c>
      <c r="AU14" s="289">
        <f>[32]BS!AT15</f>
        <v>0</v>
      </c>
      <c r="AV14" s="289">
        <f>[32]BS!AU15</f>
        <v>0</v>
      </c>
      <c r="AW14" s="289">
        <f>[32]BS!AV15</f>
        <v>0</v>
      </c>
      <c r="AX14" s="294" t="e">
        <f t="shared" ref="AX14" si="10">SUM(AX10:AX13)</f>
        <v>#REF!</v>
      </c>
      <c r="AY14" s="294" t="e">
        <f>SUM(AY10:AY13)</f>
        <v>#REF!</v>
      </c>
      <c r="AZ14" s="294" t="e">
        <f>SUM(AZ10:AZ13)</f>
        <v>#REF!</v>
      </c>
      <c r="BA14" s="294" t="e">
        <f>SUM(BA10:BA13)</f>
        <v>#REF!</v>
      </c>
      <c r="BB14" s="294" t="e">
        <f>SUM(BB10:BB13)</f>
        <v>#REF!</v>
      </c>
      <c r="BC14" s="294" t="e">
        <f>SUM(BC10:BC13)</f>
        <v>#REF!</v>
      </c>
      <c r="BD14" s="289"/>
      <c r="BE14" s="294">
        <f>[32]BS!BE15</f>
        <v>134070</v>
      </c>
      <c r="BF14" s="294">
        <f>[32]BS!BF15</f>
        <v>181864</v>
      </c>
      <c r="BG14" s="294">
        <f>[32]BS!BG15</f>
        <v>256855</v>
      </c>
      <c r="BH14" s="294">
        <f>[32]BS!BH15</f>
        <v>270273</v>
      </c>
      <c r="BI14" s="294">
        <f>[32]BS!BI15</f>
        <v>462923</v>
      </c>
      <c r="BJ14" s="294">
        <f t="shared" si="4"/>
        <v>559476.42239474203</v>
      </c>
      <c r="BK14" s="294">
        <f t="shared" si="5"/>
        <v>611567.38303800474</v>
      </c>
      <c r="BL14" s="294">
        <f t="shared" si="6"/>
        <v>680719.09194464376</v>
      </c>
      <c r="BM14" s="2830">
        <f>BM10+BM11+BM12+BM13</f>
        <v>953314.52849059179</v>
      </c>
      <c r="BN14" s="2830">
        <f t="shared" ref="BN14:BS14" si="11">BN10+BN11+BN12+BN13</f>
        <v>1108830.2696613967</v>
      </c>
      <c r="BO14" s="2830">
        <f t="shared" si="11"/>
        <v>1269082.1057005257</v>
      </c>
      <c r="BP14" s="2830">
        <f t="shared" si="11"/>
        <v>1437317.767239009</v>
      </c>
      <c r="BQ14" s="2830">
        <f t="shared" si="11"/>
        <v>1601139.8334356982</v>
      </c>
      <c r="BR14" s="2830">
        <f t="shared" si="11"/>
        <v>1757141.5952018367</v>
      </c>
      <c r="BS14" s="2830">
        <f t="shared" si="11"/>
        <v>1900446.9998077152</v>
      </c>
      <c r="BT14" s="203"/>
      <c r="BU14" s="203"/>
    </row>
    <row r="15" spans="1:73" ht="12.75" customHeight="1" x14ac:dyDescent="0.35">
      <c r="A15" s="285" t="s">
        <v>212</v>
      </c>
      <c r="B15" s="295"/>
      <c r="C15" s="296"/>
      <c r="D15" s="297" t="s">
        <v>213</v>
      </c>
      <c r="E15" s="295"/>
      <c r="F15" s="295"/>
      <c r="G15" s="298"/>
      <c r="H15" s="298"/>
      <c r="I15" s="298"/>
      <c r="J15" s="298"/>
      <c r="K15" s="299" t="str">
        <f t="shared" ref="K15:AC15" si="12">IF(K14=SUM(K10:K13),"Check","FALSE")</f>
        <v>Check</v>
      </c>
      <c r="L15" s="299" t="str">
        <f t="shared" si="12"/>
        <v>Check</v>
      </c>
      <c r="M15" s="299" t="str">
        <f t="shared" si="12"/>
        <v>Check</v>
      </c>
      <c r="N15" s="299" t="str">
        <f t="shared" si="12"/>
        <v>Check</v>
      </c>
      <c r="O15" s="299" t="str">
        <f t="shared" si="12"/>
        <v>Check</v>
      </c>
      <c r="P15" s="299" t="str">
        <f t="shared" si="12"/>
        <v>Check</v>
      </c>
      <c r="Q15" s="299" t="str">
        <f t="shared" si="12"/>
        <v>Check</v>
      </c>
      <c r="R15" s="299" t="str">
        <f t="shared" si="12"/>
        <v>Check</v>
      </c>
      <c r="S15" s="299" t="str">
        <f t="shared" si="12"/>
        <v>Check</v>
      </c>
      <c r="T15" s="299" t="str">
        <f t="shared" si="12"/>
        <v>Check</v>
      </c>
      <c r="U15" s="299" t="str">
        <f t="shared" si="12"/>
        <v>Check</v>
      </c>
      <c r="V15" s="299" t="str">
        <f t="shared" si="12"/>
        <v>Check</v>
      </c>
      <c r="W15" s="299" t="str">
        <f t="shared" si="12"/>
        <v>Check</v>
      </c>
      <c r="X15" s="299" t="str">
        <f t="shared" si="12"/>
        <v>Check</v>
      </c>
      <c r="Y15" s="299" t="str">
        <f t="shared" si="12"/>
        <v>Check</v>
      </c>
      <c r="Z15" s="299" t="str">
        <f t="shared" si="12"/>
        <v>Check</v>
      </c>
      <c r="AA15" s="299" t="str">
        <f t="shared" ref="AA15:AB15" si="13">IF(AA14=SUM(AA10:AA13),"Check","FALSE")</f>
        <v>Check</v>
      </c>
      <c r="AB15" s="299" t="str">
        <f t="shared" si="13"/>
        <v>Check</v>
      </c>
      <c r="AC15" s="299" t="str">
        <f t="shared" si="12"/>
        <v>Check</v>
      </c>
      <c r="AD15" s="299" t="str">
        <f>IF(AD14=SUM(AD10:AD13),"Check","FALSE")</f>
        <v>Check</v>
      </c>
      <c r="AE15" s="299" t="str">
        <f t="shared" ref="AE15:AL15" si="14">IF(AE14=SUM(AE10:AE13),"Check","FALSE")</f>
        <v>Check</v>
      </c>
      <c r="AF15" s="299" t="str">
        <f t="shared" si="14"/>
        <v>Check</v>
      </c>
      <c r="AG15" s="299" t="str">
        <f t="shared" si="14"/>
        <v>Check</v>
      </c>
      <c r="AH15" s="299" t="str">
        <f t="shared" si="14"/>
        <v>Check</v>
      </c>
      <c r="AI15" s="299" t="str">
        <f t="shared" si="14"/>
        <v>Check</v>
      </c>
      <c r="AJ15" s="299" t="str">
        <f t="shared" si="14"/>
        <v>Check</v>
      </c>
      <c r="AK15" s="299" t="str">
        <f t="shared" si="14"/>
        <v>Check</v>
      </c>
      <c r="AL15" s="299" t="str">
        <f t="shared" si="14"/>
        <v>Check</v>
      </c>
      <c r="AM15" s="147"/>
      <c r="AN15" s="299" t="str">
        <f t="shared" ref="AN15" si="15">IF(AN14=SUM(AN10:AN13),"Check","FALSE")</f>
        <v>Check</v>
      </c>
      <c r="AO15" s="299" t="str">
        <f t="shared" ref="AO15:AX15" si="16">IF(AO14=SUM(AO10:AO13),"Check","FALSE")</f>
        <v>Check</v>
      </c>
      <c r="AP15" s="299" t="str">
        <f t="shared" si="16"/>
        <v>Check</v>
      </c>
      <c r="AQ15" s="299" t="str">
        <f t="shared" si="16"/>
        <v>Check</v>
      </c>
      <c r="AR15" s="299" t="str">
        <f t="shared" si="16"/>
        <v>Check</v>
      </c>
      <c r="AS15" s="299" t="str">
        <f t="shared" si="16"/>
        <v>Check</v>
      </c>
      <c r="AT15" s="299" t="str">
        <f t="shared" si="16"/>
        <v>Check</v>
      </c>
      <c r="AU15" s="299" t="str">
        <f t="shared" si="16"/>
        <v>Check</v>
      </c>
      <c r="AV15" s="299" t="str">
        <f t="shared" si="16"/>
        <v>Check</v>
      </c>
      <c r="AW15" s="299" t="str">
        <f t="shared" si="16"/>
        <v>Check</v>
      </c>
      <c r="AX15" s="299" t="e">
        <f t="shared" si="16"/>
        <v>#REF!</v>
      </c>
      <c r="AY15" s="299" t="e">
        <f>IF(AY14=SUM(AY10:AY13),"Check","FALSE")</f>
        <v>#REF!</v>
      </c>
      <c r="AZ15" s="299" t="e">
        <f>IF(AZ14=SUM(AZ10:AZ13),"Check","FALSE")</f>
        <v>#REF!</v>
      </c>
      <c r="BA15" s="299" t="e">
        <f>IF(BA14=SUM(BA10:BA13),"Check","FALSE")</f>
        <v>#REF!</v>
      </c>
      <c r="BB15" s="299" t="e">
        <f>IF(BB14=SUM(BB10:BB13),"Check","FALSE")</f>
        <v>#REF!</v>
      </c>
      <c r="BC15" s="299" t="e">
        <f>IF(BC14=SUM(BC10:BC13),"Check","FALSE")</f>
        <v>#REF!</v>
      </c>
      <c r="BD15" s="147"/>
      <c r="BE15" s="300" t="str">
        <f t="shared" ref="BE15:BI15" si="17">IF(BE14=SUM(BE10:BE13),"Check","FALSE")</f>
        <v>Check</v>
      </c>
      <c r="BF15" s="300" t="str">
        <f t="shared" si="17"/>
        <v>Check</v>
      </c>
      <c r="BG15" s="300" t="str">
        <f t="shared" si="17"/>
        <v>Check</v>
      </c>
      <c r="BH15" s="300" t="str">
        <f t="shared" si="17"/>
        <v>Check</v>
      </c>
      <c r="BI15" s="300" t="str">
        <f t="shared" si="17"/>
        <v>Check</v>
      </c>
      <c r="BJ15" s="300" t="str">
        <f t="shared" si="4"/>
        <v>Check</v>
      </c>
      <c r="BK15" s="300" t="str">
        <f t="shared" si="5"/>
        <v>Check</v>
      </c>
      <c r="BL15" s="300" t="str">
        <f t="shared" si="6"/>
        <v>Check</v>
      </c>
      <c r="BM15" s="300" t="str">
        <f>BL15</f>
        <v>Check</v>
      </c>
      <c r="BN15" s="300" t="str">
        <f t="shared" ref="BN15:BP15" si="18">BM15</f>
        <v>Check</v>
      </c>
      <c r="BO15" s="300" t="str">
        <f t="shared" si="18"/>
        <v>Check</v>
      </c>
      <c r="BP15" s="300" t="str">
        <f t="shared" si="18"/>
        <v>Check</v>
      </c>
      <c r="BQ15" s="300" t="str">
        <f>AP15</f>
        <v>Check</v>
      </c>
      <c r="BR15" s="300" t="str">
        <f>AQ15</f>
        <v>Check</v>
      </c>
      <c r="BS15" s="300" t="str">
        <f>AR15</f>
        <v>Check</v>
      </c>
      <c r="BT15" s="203"/>
      <c r="BU15" s="203"/>
    </row>
    <row r="16" spans="1:73" ht="12.75" customHeight="1" x14ac:dyDescent="0.35">
      <c r="A16" s="285" t="s">
        <v>214</v>
      </c>
      <c r="B16" s="147"/>
      <c r="C16" s="291" t="s">
        <v>215</v>
      </c>
      <c r="D16" s="166"/>
      <c r="E16" s="166"/>
      <c r="F16" s="166"/>
      <c r="G16" s="197"/>
      <c r="H16" s="197"/>
      <c r="I16" s="197"/>
      <c r="J16" s="197"/>
      <c r="K16" s="288">
        <f>[32]BS!I17</f>
        <v>0</v>
      </c>
      <c r="L16" s="288">
        <f>[32]BS!J17</f>
        <v>0</v>
      </c>
      <c r="M16" s="288">
        <f>[32]BS!K17</f>
        <v>0</v>
      </c>
      <c r="N16" s="288">
        <f>[32]BS!L17</f>
        <v>32467</v>
      </c>
      <c r="O16" s="288">
        <f>[32]BS!M17</f>
        <v>0</v>
      </c>
      <c r="P16" s="288">
        <f>[32]BS!N17</f>
        <v>0</v>
      </c>
      <c r="Q16" s="288">
        <f>[32]BS!O17</f>
        <v>0</v>
      </c>
      <c r="R16" s="288">
        <f>[32]BS!P17</f>
        <v>86928</v>
      </c>
      <c r="S16" s="288">
        <f>[32]BS!Q17</f>
        <v>0</v>
      </c>
      <c r="T16" s="288">
        <f>[32]BS!R17</f>
        <v>0</v>
      </c>
      <c r="U16" s="288">
        <f>[32]BS!S17</f>
        <v>0</v>
      </c>
      <c r="V16" s="288">
        <f>[32]BS!T17</f>
        <v>125975</v>
      </c>
      <c r="W16" s="288">
        <f>[32]BS!U17</f>
        <v>0</v>
      </c>
      <c r="X16" s="288">
        <f>[32]BS!V17</f>
        <v>0</v>
      </c>
      <c r="Y16" s="288">
        <f>[32]BS!W17</f>
        <v>0</v>
      </c>
      <c r="Z16" s="288">
        <f>[32]BS!X17</f>
        <v>180281</v>
      </c>
      <c r="AA16" s="288">
        <f>[32]BS!Y17</f>
        <v>0</v>
      </c>
      <c r="AB16" s="288">
        <f>[32]BS!Z17</f>
        <v>0</v>
      </c>
      <c r="AC16" s="288" t="str">
        <f>IF(ISERR(AB16/AB16),"-",AB16-CF!AC23+CF!AC41)</f>
        <v>-</v>
      </c>
      <c r="AD16" s="288" t="str">
        <f>IF(ISERR(AC16/AC16),"-",AC16-CF!AD23+CF!AD41)</f>
        <v>-</v>
      </c>
      <c r="AE16" s="288" t="str">
        <f>IF(ISERR(AD16/AD16),"-",AD16-CF!AE23+CF!AE41)</f>
        <v>-</v>
      </c>
      <c r="AF16" s="288" t="str">
        <f>IF(ISERR(AE16/AE16),"-",AE16-CF!AF23+CF!AF41)</f>
        <v>-</v>
      </c>
      <c r="AG16" s="288" t="str">
        <f>IF(ISERR(AF16/AF16),"-",AF16-CF!AG23+CF!AG41)</f>
        <v>-</v>
      </c>
      <c r="AH16" s="288" t="str">
        <f>IF(ISERR(AG16/AG16),"-",AG16-CF!AH23+CF!AH41)</f>
        <v>-</v>
      </c>
      <c r="AI16" s="288" t="str">
        <f>IF(ISERR(AH16/AH16),"-",AH16-CF!AI23+CF!AI41)</f>
        <v>-</v>
      </c>
      <c r="AJ16" s="288" t="str">
        <f>IF(ISERR(AI16/AI16),"-",AI16-CF!AJ23+CF!AJ41)</f>
        <v>-</v>
      </c>
      <c r="AK16" s="288" t="str">
        <f>IF(ISERR(AJ16/AJ16),"-",AJ16-CF!AK23+CF!AK41)</f>
        <v>-</v>
      </c>
      <c r="AL16" s="288" t="str">
        <f>IF(ISERR(AK16/AK16),"-",AK16-CF!AL23+CF!AL41)</f>
        <v>-</v>
      </c>
      <c r="AM16" s="293"/>
      <c r="AN16" s="293">
        <f>[32]BS!AM17</f>
        <v>0</v>
      </c>
      <c r="AO16" s="293">
        <f>[32]BS!AN17</f>
        <v>0</v>
      </c>
      <c r="AP16" s="293">
        <f>[32]BS!AO17</f>
        <v>0</v>
      </c>
      <c r="AQ16" s="293">
        <f>[32]BS!AP17</f>
        <v>0</v>
      </c>
      <c r="AR16" s="293">
        <f>[32]BS!AQ17</f>
        <v>0</v>
      </c>
      <c r="AS16" s="293">
        <f>[32]BS!AR17</f>
        <v>0</v>
      </c>
      <c r="AT16" s="293">
        <f>[32]BS!AS17</f>
        <v>0</v>
      </c>
      <c r="AU16" s="293">
        <f>[32]BS!AT17</f>
        <v>0</v>
      </c>
      <c r="AV16" s="293">
        <f>[32]BS!AU17</f>
        <v>0</v>
      </c>
      <c r="AW16" s="293">
        <f>[32]BS!AV17</f>
        <v>0</v>
      </c>
      <c r="AX16" s="288" t="str">
        <f>IF(ISERR(AW16/AW16),"-",AW16-CF!AX23+CF!AX41)</f>
        <v>-</v>
      </c>
      <c r="AY16" s="288" t="str">
        <f>IF(ISERR(AX16/AX16),"-",AX16-CF!AY23+CF!AY41)</f>
        <v>-</v>
      </c>
      <c r="AZ16" s="288" t="str">
        <f>IF(ISERR(AY16/AY16),"-",AY16-CF!AZ23+CF!AZ41)</f>
        <v>-</v>
      </c>
      <c r="BA16" s="288" t="str">
        <f>IF(ISERR(AZ16/AZ16),"-",AZ16-CF!BA23+CF!BA41)</f>
        <v>-</v>
      </c>
      <c r="BB16" s="288" t="str">
        <f>IF(ISERR(BA16/BA16),"-",BA16-CF!BB23+CF!BB41)</f>
        <v>-</v>
      </c>
      <c r="BC16" s="288" t="str">
        <f>IF(ISERR(BB16/BB16),"-",BB16-CF!BC23+CF!BC41)</f>
        <v>-</v>
      </c>
      <c r="BD16" s="293"/>
      <c r="BE16" s="288">
        <f>[32]BS!BE17</f>
        <v>21810</v>
      </c>
      <c r="BF16" s="288">
        <f>[32]BS!BF17</f>
        <v>32467</v>
      </c>
      <c r="BG16" s="288">
        <f>[32]BS!BG17</f>
        <v>86928</v>
      </c>
      <c r="BH16" s="288">
        <f>[32]BS!BH17</f>
        <v>125975</v>
      </c>
      <c r="BI16" s="288">
        <f>[32]BS!BI17</f>
        <v>180281</v>
      </c>
      <c r="BJ16" s="288" t="str">
        <f t="shared" si="4"/>
        <v>-</v>
      </c>
      <c r="BK16" s="288" t="str">
        <f t="shared" si="5"/>
        <v>-</v>
      </c>
      <c r="BL16" s="288" t="str">
        <f t="shared" si="6"/>
        <v>-</v>
      </c>
      <c r="BM16" s="293">
        <v>0</v>
      </c>
      <c r="BN16" s="293">
        <v>0</v>
      </c>
      <c r="BO16" s="293">
        <v>0</v>
      </c>
      <c r="BP16" s="293">
        <v>0</v>
      </c>
      <c r="BQ16" s="293">
        <v>0</v>
      </c>
      <c r="BR16" s="293">
        <v>0</v>
      </c>
      <c r="BS16" s="293">
        <v>0</v>
      </c>
      <c r="BT16" s="203"/>
      <c r="BU16" s="203"/>
    </row>
    <row r="17" spans="1:73" ht="12.75" customHeight="1" x14ac:dyDescent="0.35">
      <c r="A17" s="285" t="s">
        <v>216</v>
      </c>
      <c r="B17" s="147"/>
      <c r="C17" s="166"/>
      <c r="D17" s="301" t="s">
        <v>217</v>
      </c>
      <c r="E17" s="166"/>
      <c r="F17" s="166"/>
      <c r="G17" s="302"/>
      <c r="H17" s="302"/>
      <c r="I17" s="302"/>
      <c r="J17" s="302"/>
      <c r="K17" s="288">
        <f>[32]BS!I18</f>
        <v>0</v>
      </c>
      <c r="L17" s="288">
        <f>[32]BS!J18</f>
        <v>0</v>
      </c>
      <c r="M17" s="288">
        <f>[32]BS!K18</f>
        <v>0</v>
      </c>
      <c r="N17" s="288">
        <f>[32]BS!L18</f>
        <v>12261</v>
      </c>
      <c r="O17" s="288">
        <f>[32]BS!M18</f>
        <v>0</v>
      </c>
      <c r="P17" s="288">
        <f>[32]BS!N18</f>
        <v>0</v>
      </c>
      <c r="Q17" s="288">
        <f>[32]BS!O18</f>
        <v>0</v>
      </c>
      <c r="R17" s="288">
        <f>[32]BS!P18</f>
        <v>20439</v>
      </c>
      <c r="S17" s="288">
        <f>[32]BS!Q18</f>
        <v>0</v>
      </c>
      <c r="T17" s="288">
        <f>[32]BS!R18</f>
        <v>0</v>
      </c>
      <c r="U17" s="288">
        <f>[32]BS!S18</f>
        <v>0</v>
      </c>
      <c r="V17" s="288">
        <f>[32]BS!T18</f>
        <v>33945</v>
      </c>
      <c r="W17" s="288">
        <f>[32]BS!U18</f>
        <v>0</v>
      </c>
      <c r="X17" s="288">
        <f>[32]BS!V18</f>
        <v>0</v>
      </c>
      <c r="Y17" s="288">
        <f>[32]BS!W18</f>
        <v>0</v>
      </c>
      <c r="Z17" s="288">
        <f>[32]BS!X18</f>
        <v>51994</v>
      </c>
      <c r="AA17" s="288">
        <f>[32]BS!Y18</f>
        <v>0</v>
      </c>
      <c r="AB17" s="288">
        <f>[32]BS!Z18</f>
        <v>0</v>
      </c>
      <c r="AC17" s="288">
        <f>IF($A$8="E",AB17+CF!AC11,AB17+CF!AC12)</f>
        <v>0</v>
      </c>
      <c r="AD17" s="288">
        <f>IF($A$8="E",AC17+CF!AD11,AC17+CF!AD12)</f>
        <v>0</v>
      </c>
      <c r="AE17" s="288">
        <f>IF($A$8="E",AD17+CF!AE11,AD17+CF!AE12)</f>
        <v>0</v>
      </c>
      <c r="AF17" s="288">
        <f>IF($A$8="E",AE17+CF!AF11,AE17+CF!AF12)</f>
        <v>0</v>
      </c>
      <c r="AG17" s="288">
        <f>IF($A$8="E",AF17+CF!AG11,AF17+CF!AG12)</f>
        <v>0</v>
      </c>
      <c r="AH17" s="288">
        <f>IF($A$8="E",AG17+CF!AH11,AG17+CF!AH12)</f>
        <v>0</v>
      </c>
      <c r="AI17" s="288">
        <f>IF($A$8="E",AH17+CF!AI11,AH17+CF!AI12)</f>
        <v>0</v>
      </c>
      <c r="AJ17" s="288">
        <f>IF($A$8="E",AI17+CF!AJ11,AI17+CF!AJ12)</f>
        <v>0</v>
      </c>
      <c r="AK17" s="288">
        <f>IF($A$8="E",AJ17+CF!AK11,AJ17+CF!AK12)</f>
        <v>0</v>
      </c>
      <c r="AL17" s="288">
        <f>IF($A$8="E",AK17+CF!AL11,AK17+CF!AL12)</f>
        <v>0</v>
      </c>
      <c r="AM17" s="293"/>
      <c r="AN17" s="293">
        <f>[32]BS!AM18</f>
        <v>0</v>
      </c>
      <c r="AO17" s="293">
        <f>[32]BS!AN18</f>
        <v>0</v>
      </c>
      <c r="AP17" s="293">
        <f>[32]BS!AO18</f>
        <v>0</v>
      </c>
      <c r="AQ17" s="293">
        <f>[32]BS!AP18</f>
        <v>0</v>
      </c>
      <c r="AR17" s="293">
        <f>[32]BS!AQ18</f>
        <v>0</v>
      </c>
      <c r="AS17" s="293">
        <f>[32]BS!AR18</f>
        <v>0</v>
      </c>
      <c r="AT17" s="293">
        <f>[32]BS!AS18</f>
        <v>0</v>
      </c>
      <c r="AU17" s="293">
        <f>[32]BS!AT18</f>
        <v>0</v>
      </c>
      <c r="AV17" s="293">
        <f>[32]BS!AU18</f>
        <v>0</v>
      </c>
      <c r="AW17" s="293">
        <f>[32]BS!AV18</f>
        <v>0</v>
      </c>
      <c r="AX17" s="288">
        <f>IF($A$8="E",AW17+CF!AX11,AW17+CF!AX12)</f>
        <v>0</v>
      </c>
      <c r="AY17" s="288" t="e">
        <f>IF($A$8="E",AX17+CF!AY11,AX17+CF!AY12)</f>
        <v>#DIV/0!</v>
      </c>
      <c r="AZ17" s="288" t="e">
        <f>IF($A$8="E",AY17+CF!AZ11,AY17+CF!AZ12)</f>
        <v>#DIV/0!</v>
      </c>
      <c r="BA17" s="288" t="e">
        <f>IF($A$8="E",AZ17+CF!BA11,AZ17+CF!BA12)</f>
        <v>#DIV/0!</v>
      </c>
      <c r="BB17" s="288" t="e">
        <f>IF($A$8="E",BA17+CF!BB11,BA17+CF!BB12)</f>
        <v>#DIV/0!</v>
      </c>
      <c r="BC17" s="288" t="e">
        <f>IF($A$8="E",BB17+CF!BC11,BB17+CF!BC12)</f>
        <v>#DIV/0!</v>
      </c>
      <c r="BD17" s="293"/>
      <c r="BE17" s="288">
        <f>[32]BS!BE18</f>
        <v>8181</v>
      </c>
      <c r="BF17" s="288">
        <f>[32]BS!BF18</f>
        <v>12261</v>
      </c>
      <c r="BG17" s="288">
        <f>[32]BS!BG18</f>
        <v>20439</v>
      </c>
      <c r="BH17" s="288">
        <f>[32]BS!BH18</f>
        <v>33945</v>
      </c>
      <c r="BI17" s="288">
        <f>[32]BS!BI18</f>
        <v>51994</v>
      </c>
      <c r="BJ17" s="288">
        <f t="shared" si="4"/>
        <v>0</v>
      </c>
      <c r="BK17" s="288">
        <f t="shared" si="5"/>
        <v>0</v>
      </c>
      <c r="BL17" s="288">
        <f t="shared" si="6"/>
        <v>0</v>
      </c>
      <c r="BM17" s="293">
        <v>0</v>
      </c>
      <c r="BN17" s="293">
        <f t="shared" ref="BN17:BS17" si="19">BM17</f>
        <v>0</v>
      </c>
      <c r="BO17" s="293">
        <f t="shared" si="19"/>
        <v>0</v>
      </c>
      <c r="BP17" s="293">
        <f t="shared" si="19"/>
        <v>0</v>
      </c>
      <c r="BQ17" s="293">
        <f t="shared" si="19"/>
        <v>0</v>
      </c>
      <c r="BR17" s="293">
        <f t="shared" si="19"/>
        <v>0</v>
      </c>
      <c r="BS17" s="293">
        <f t="shared" si="19"/>
        <v>0</v>
      </c>
      <c r="BT17" s="203"/>
      <c r="BU17" s="203"/>
    </row>
    <row r="18" spans="1:73" ht="12.75" customHeight="1" x14ac:dyDescent="0.35">
      <c r="A18" s="285" t="s">
        <v>218</v>
      </c>
      <c r="B18" s="147"/>
      <c r="C18" s="291" t="s">
        <v>219</v>
      </c>
      <c r="D18" s="166"/>
      <c r="E18" s="166"/>
      <c r="F18" s="166"/>
      <c r="G18" s="197"/>
      <c r="H18" s="197"/>
      <c r="I18" s="197"/>
      <c r="J18" s="197"/>
      <c r="K18" s="288">
        <f>[32]BS!I19</f>
        <v>15791</v>
      </c>
      <c r="L18" s="288">
        <f>[32]BS!J19</f>
        <v>16400</v>
      </c>
      <c r="M18" s="288">
        <f>[32]BS!K19</f>
        <v>19899</v>
      </c>
      <c r="N18" s="288">
        <f>[32]BS!L19</f>
        <v>20206</v>
      </c>
      <c r="O18" s="288">
        <f>[32]BS!M19</f>
        <v>43922</v>
      </c>
      <c r="P18" s="288">
        <f>[32]BS!N19</f>
        <v>49587</v>
      </c>
      <c r="Q18" s="288">
        <f>[32]BS!O19</f>
        <v>64973</v>
      </c>
      <c r="R18" s="288">
        <f>[32]BS!P19</f>
        <v>66489</v>
      </c>
      <c r="S18" s="288">
        <f>[32]BS!Q19</f>
        <v>78659</v>
      </c>
      <c r="T18" s="288">
        <f>[32]BS!R19</f>
        <v>87025</v>
      </c>
      <c r="U18" s="288">
        <f>[32]BS!S19</f>
        <v>90814</v>
      </c>
      <c r="V18" s="288">
        <f>[32]BS!T19</f>
        <v>92030</v>
      </c>
      <c r="W18" s="288">
        <f>[32]BS!U19</f>
        <v>119084</v>
      </c>
      <c r="X18" s="288">
        <f>[32]BS!V19</f>
        <v>125807</v>
      </c>
      <c r="Y18" s="288">
        <f>[32]BS!W19</f>
        <v>126420</v>
      </c>
      <c r="Z18" s="288">
        <f>[32]BS!X19</f>
        <v>128287</v>
      </c>
      <c r="AA18" s="288">
        <f>[32]BS!Y19</f>
        <v>111461</v>
      </c>
      <c r="AB18" s="288">
        <f>[32]BS!Z19</f>
        <v>118037</v>
      </c>
      <c r="AC18" s="303">
        <f>Y18*1.03</f>
        <v>130212.6</v>
      </c>
      <c r="AD18" s="303">
        <f t="shared" ref="AD18:AL18" si="20">Z18*1.03</f>
        <v>132135.61000000002</v>
      </c>
      <c r="AE18" s="303">
        <f t="shared" si="20"/>
        <v>114804.83</v>
      </c>
      <c r="AF18" s="303">
        <f t="shared" si="20"/>
        <v>121578.11</v>
      </c>
      <c r="AG18" s="303">
        <f t="shared" si="20"/>
        <v>134118.978</v>
      </c>
      <c r="AH18" s="303">
        <f t="shared" si="20"/>
        <v>136099.67830000003</v>
      </c>
      <c r="AI18" s="303">
        <f t="shared" si="20"/>
        <v>118248.9749</v>
      </c>
      <c r="AJ18" s="303">
        <f t="shared" si="20"/>
        <v>125225.45330000001</v>
      </c>
      <c r="AK18" s="303">
        <f t="shared" si="20"/>
        <v>138142.54734000002</v>
      </c>
      <c r="AL18" s="303">
        <f t="shared" si="20"/>
        <v>140182.66864900003</v>
      </c>
      <c r="AM18" s="293"/>
      <c r="AN18" s="293">
        <f>[32]BS!AM19</f>
        <v>0</v>
      </c>
      <c r="AO18" s="293">
        <f>[32]BS!AN19</f>
        <v>0</v>
      </c>
      <c r="AP18" s="293">
        <f>[32]BS!AO19</f>
        <v>0</v>
      </c>
      <c r="AQ18" s="293">
        <f>[32]BS!AP19</f>
        <v>0</v>
      </c>
      <c r="AR18" s="293">
        <f>[32]BS!AQ19</f>
        <v>0</v>
      </c>
      <c r="AS18" s="293">
        <f>[32]BS!AR19</f>
        <v>0</v>
      </c>
      <c r="AT18" s="293">
        <f>[32]BS!AS19</f>
        <v>0</v>
      </c>
      <c r="AU18" s="293">
        <f>[32]BS!AT19</f>
        <v>0</v>
      </c>
      <c r="AV18" s="293">
        <f>[32]BS!AU19</f>
        <v>0</v>
      </c>
      <c r="AW18" s="293">
        <f>[32]BS!AV19</f>
        <v>0</v>
      </c>
      <c r="AX18" s="288" t="e">
        <f t="shared" ref="AX18" si="21">AX16-AX17</f>
        <v>#VALUE!</v>
      </c>
      <c r="AY18" s="288" t="e">
        <f>AY16-AY17</f>
        <v>#VALUE!</v>
      </c>
      <c r="AZ18" s="288" t="e">
        <f>AZ16-AZ17</f>
        <v>#VALUE!</v>
      </c>
      <c r="BA18" s="288" t="e">
        <f>BA16-BA17</f>
        <v>#VALUE!</v>
      </c>
      <c r="BB18" s="288" t="e">
        <f>BB16-BB17</f>
        <v>#VALUE!</v>
      </c>
      <c r="BC18" s="288" t="e">
        <f>BC16-BC17</f>
        <v>#VALUE!</v>
      </c>
      <c r="BD18" s="293"/>
      <c r="BE18" s="288">
        <f>[32]BS!BE19</f>
        <v>13629</v>
      </c>
      <c r="BF18" s="288">
        <f>[32]BS!BF19</f>
        <v>20206</v>
      </c>
      <c r="BG18" s="288">
        <f>[32]BS!BG19</f>
        <v>66489</v>
      </c>
      <c r="BH18" s="288">
        <f>[32]BS!BH19</f>
        <v>92030</v>
      </c>
      <c r="BI18" s="288">
        <f>[32]BS!BI19</f>
        <v>128287</v>
      </c>
      <c r="BJ18" s="303">
        <f t="shared" si="4"/>
        <v>132135.61000000002</v>
      </c>
      <c r="BK18" s="303">
        <f t="shared" si="5"/>
        <v>136099.67830000003</v>
      </c>
      <c r="BL18" s="303">
        <f t="shared" si="6"/>
        <v>140182.66864900003</v>
      </c>
      <c r="BM18" s="2725">
        <f>BL18*1.03</f>
        <v>144388.14870847002</v>
      </c>
      <c r="BN18" s="2725">
        <f t="shared" ref="BN18:BS18" si="22">BM18*1.03</f>
        <v>148719.79316972411</v>
      </c>
      <c r="BO18" s="2725">
        <f t="shared" si="22"/>
        <v>153181.38696481584</v>
      </c>
      <c r="BP18" s="2725">
        <f t="shared" si="22"/>
        <v>157776.82857376031</v>
      </c>
      <c r="BQ18" s="2725">
        <f t="shared" si="22"/>
        <v>162510.13343097313</v>
      </c>
      <c r="BR18" s="2725">
        <f t="shared" si="22"/>
        <v>167385.43743390232</v>
      </c>
      <c r="BS18" s="2725">
        <f t="shared" si="22"/>
        <v>172407.0005569194</v>
      </c>
      <c r="BT18" s="203"/>
      <c r="BU18" s="203"/>
    </row>
    <row r="19" spans="1:73" ht="12.75" customHeight="1" x14ac:dyDescent="0.35">
      <c r="A19" s="287" t="s">
        <v>220</v>
      </c>
      <c r="B19" s="147"/>
      <c r="C19" s="191" t="s">
        <v>221</v>
      </c>
      <c r="D19" s="166"/>
      <c r="E19" s="166"/>
      <c r="F19" s="166"/>
      <c r="G19" s="197"/>
      <c r="H19" s="197"/>
      <c r="I19" s="197"/>
      <c r="J19" s="197"/>
      <c r="K19" s="288">
        <f>[32]BS!I20</f>
        <v>32174</v>
      </c>
      <c r="L19" s="288">
        <f>[32]BS!J20</f>
        <v>82109</v>
      </c>
      <c r="M19" s="288">
        <f>[32]BS!K20</f>
        <v>81645</v>
      </c>
      <c r="N19" s="288">
        <f>[32]BS!L20</f>
        <v>125420</v>
      </c>
      <c r="O19" s="288">
        <f>[32]BS!M20</f>
        <v>114214</v>
      </c>
      <c r="P19" s="288">
        <f>[32]BS!N20</f>
        <v>121353</v>
      </c>
      <c r="Q19" s="288">
        <f>[32]BS!O20</f>
        <v>122540</v>
      </c>
      <c r="R19" s="288">
        <f>[32]BS!P20</f>
        <v>162149</v>
      </c>
      <c r="S19" s="288">
        <f>[32]BS!Q20</f>
        <v>129539</v>
      </c>
      <c r="T19" s="288">
        <f>[32]BS!R20</f>
        <v>130196</v>
      </c>
      <c r="U19" s="288">
        <f>[32]BS!S20</f>
        <v>162683</v>
      </c>
      <c r="V19" s="288">
        <f>[32]BS!T20</f>
        <v>264935</v>
      </c>
      <c r="W19" s="288">
        <f>[32]BS!U20</f>
        <v>266894</v>
      </c>
      <c r="X19" s="288">
        <f>[32]BS!V20</f>
        <v>276633</v>
      </c>
      <c r="Y19" s="288">
        <f>[32]BS!W20</f>
        <v>277029</v>
      </c>
      <c r="Z19" s="288">
        <f>[32]BS!X20</f>
        <v>276782</v>
      </c>
      <c r="AA19" s="288">
        <f>[32]BS!Y20</f>
        <v>276896</v>
      </c>
      <c r="AB19" s="288">
        <f>[32]BS!Z20</f>
        <v>276172</v>
      </c>
      <c r="AC19" s="303">
        <f>Y19*1.03</f>
        <v>285339.87</v>
      </c>
      <c r="AD19" s="303">
        <f t="shared" ref="AD19" si="23">Z19*1.03</f>
        <v>285085.46000000002</v>
      </c>
      <c r="AE19" s="303">
        <f t="shared" ref="AE19" si="24">AA19*1.03</f>
        <v>285202.88</v>
      </c>
      <c r="AF19" s="303">
        <f t="shared" ref="AF19" si="25">AB19*1.03</f>
        <v>284457.16000000003</v>
      </c>
      <c r="AG19" s="303">
        <f t="shared" ref="AG19" si="26">AC19*1.03</f>
        <v>293900.0661</v>
      </c>
      <c r="AH19" s="303">
        <f t="shared" ref="AH19" si="27">AD19*1.03</f>
        <v>293638.02380000002</v>
      </c>
      <c r="AI19" s="303">
        <f t="shared" ref="AI19" si="28">AE19*1.03</f>
        <v>293758.96640000003</v>
      </c>
      <c r="AJ19" s="303">
        <f t="shared" ref="AJ19" si="29">AF19*1.03</f>
        <v>292990.87480000005</v>
      </c>
      <c r="AK19" s="303">
        <f t="shared" ref="AK19" si="30">AG19*1.03</f>
        <v>302717.06808300002</v>
      </c>
      <c r="AL19" s="303">
        <f t="shared" ref="AL19" si="31">AH19*1.03</f>
        <v>302447.16451400006</v>
      </c>
      <c r="AM19" s="289"/>
      <c r="AN19" s="293">
        <f>[32]BS!AM20</f>
        <v>0</v>
      </c>
      <c r="AO19" s="293">
        <f>[32]BS!AN20</f>
        <v>0</v>
      </c>
      <c r="AP19" s="293">
        <f>[32]BS!AO20</f>
        <v>0</v>
      </c>
      <c r="AQ19" s="293">
        <f>[32]BS!AP20</f>
        <v>0</v>
      </c>
      <c r="AR19" s="293">
        <f>[32]BS!AQ20</f>
        <v>0</v>
      </c>
      <c r="AS19" s="293">
        <f>[32]BS!AR20</f>
        <v>0</v>
      </c>
      <c r="AT19" s="293">
        <f>[32]BS!AS20</f>
        <v>0</v>
      </c>
      <c r="AU19" s="293">
        <f>[32]BS!AT20</f>
        <v>0</v>
      </c>
      <c r="AV19" s="293">
        <f>[32]BS!AU20</f>
        <v>0</v>
      </c>
      <c r="AW19" s="293">
        <f>[32]BS!AV20</f>
        <v>0</v>
      </c>
      <c r="AX19" s="303">
        <f t="shared" ref="AX19" si="32">AW19</f>
        <v>0</v>
      </c>
      <c r="AY19" s="303">
        <f>AX19</f>
        <v>0</v>
      </c>
      <c r="AZ19" s="303">
        <f>AY19</f>
        <v>0</v>
      </c>
      <c r="BA19" s="303">
        <f>AZ19</f>
        <v>0</v>
      </c>
      <c r="BB19" s="303">
        <f>BA19</f>
        <v>0</v>
      </c>
      <c r="BC19" s="303">
        <f>BB19</f>
        <v>0</v>
      </c>
      <c r="BD19" s="289"/>
      <c r="BE19" s="288">
        <f>[32]BS!BE20</f>
        <v>81645</v>
      </c>
      <c r="BF19" s="288">
        <f>[32]BS!BF20</f>
        <v>125420</v>
      </c>
      <c r="BG19" s="288">
        <f>[32]BS!BG20</f>
        <v>162149</v>
      </c>
      <c r="BH19" s="288">
        <f>[32]BS!BH20</f>
        <v>264935</v>
      </c>
      <c r="BI19" s="288">
        <f>[32]BS!BI20</f>
        <v>276782</v>
      </c>
      <c r="BJ19" s="303">
        <f t="shared" si="4"/>
        <v>285085.46000000002</v>
      </c>
      <c r="BK19" s="303">
        <f t="shared" si="5"/>
        <v>293638.02380000002</v>
      </c>
      <c r="BL19" s="303">
        <f t="shared" si="6"/>
        <v>302447.16451400006</v>
      </c>
      <c r="BM19" s="303">
        <f>BL19*1.03</f>
        <v>311520.5794494201</v>
      </c>
      <c r="BN19" s="303">
        <f t="shared" ref="BN19:BS19" si="33">BM19*1.03</f>
        <v>320866.19683290273</v>
      </c>
      <c r="BO19" s="303">
        <f t="shared" si="33"/>
        <v>330492.18273788982</v>
      </c>
      <c r="BP19" s="303">
        <f t="shared" si="33"/>
        <v>340406.9482200265</v>
      </c>
      <c r="BQ19" s="303">
        <f t="shared" si="33"/>
        <v>350619.15666662733</v>
      </c>
      <c r="BR19" s="303">
        <f t="shared" si="33"/>
        <v>361137.73136662616</v>
      </c>
      <c r="BS19" s="303">
        <f t="shared" si="33"/>
        <v>371971.86330762494</v>
      </c>
      <c r="BT19" s="203"/>
      <c r="BU19" s="203"/>
    </row>
    <row r="20" spans="1:73" ht="12.75" customHeight="1" x14ac:dyDescent="0.35">
      <c r="A20" s="285"/>
      <c r="B20" s="147"/>
      <c r="C20" s="191" t="s">
        <v>222</v>
      </c>
      <c r="D20" s="166"/>
      <c r="E20" s="166"/>
      <c r="F20" s="166"/>
      <c r="G20" s="197"/>
      <c r="H20" s="197"/>
      <c r="I20" s="197"/>
      <c r="J20" s="197"/>
      <c r="K20" s="288">
        <f>[32]BS!I21</f>
        <v>6202</v>
      </c>
      <c r="L20" s="288">
        <f>[32]BS!J21</f>
        <v>6661</v>
      </c>
      <c r="M20" s="288">
        <f>[32]BS!K21</f>
        <v>5980</v>
      </c>
      <c r="N20" s="288">
        <f>[32]BS!L21</f>
        <v>14108</v>
      </c>
      <c r="O20" s="288">
        <f>[32]BS!M21</f>
        <v>14236</v>
      </c>
      <c r="P20" s="288">
        <f>[32]BS!N21</f>
        <v>14010</v>
      </c>
      <c r="Q20" s="288">
        <f>[32]BS!O21</f>
        <v>12921</v>
      </c>
      <c r="R20" s="288">
        <f>[32]BS!P21</f>
        <v>27465</v>
      </c>
      <c r="S20" s="288">
        <f>[32]BS!Q21</f>
        <v>16244</v>
      </c>
      <c r="T20" s="288">
        <f>[32]BS!R21</f>
        <v>14542</v>
      </c>
      <c r="U20" s="288">
        <f>[32]BS!S21</f>
        <v>27119</v>
      </c>
      <c r="V20" s="288">
        <f>[32]BS!T21</f>
        <v>68276</v>
      </c>
      <c r="W20" s="288">
        <f>[32]BS!U21</f>
        <v>66019</v>
      </c>
      <c r="X20" s="288">
        <f>[32]BS!V21</f>
        <v>66100</v>
      </c>
      <c r="Y20" s="288">
        <f>[32]BS!W21</f>
        <v>64748</v>
      </c>
      <c r="Z20" s="288">
        <f>[32]BS!X21</f>
        <v>60947</v>
      </c>
      <c r="AA20" s="288">
        <f>[32]BS!Y21</f>
        <v>57580</v>
      </c>
      <c r="AB20" s="288">
        <f>[32]BS!Z21</f>
        <v>56378</v>
      </c>
      <c r="AC20" s="288">
        <f>IF(AND($A$8="E",CF!AC21="-"),AB20,AB20-CF!AC49-CF!AC21)</f>
        <v>53550.287877735325</v>
      </c>
      <c r="AD20" s="288">
        <f>IF(AND($A$8="E",CF!AD21="-"),AC20,AC20-CF!AD49-CF!AD21)</f>
        <v>50864.403345069477</v>
      </c>
      <c r="AE20" s="288">
        <f>IF(AND($A$8="E",CF!AE21="-"),AD20,AD20-CF!AE49-CF!AE21)</f>
        <v>48313.232854264323</v>
      </c>
      <c r="AF20" s="288">
        <f>IF(AND($A$8="E",CF!AF21="-"),AE20,AE20-CF!AF49-CF!AF21)</f>
        <v>45890.019646846551</v>
      </c>
      <c r="AG20" s="288">
        <f>IF(AND($A$8="E",CF!AG21="-"),AF20,AF20-CF!AG49-CF!AG21)</f>
        <v>43588.345858376721</v>
      </c>
      <c r="AH20" s="288">
        <f>IF(AND($A$8="E",CF!AH21="-"),AG20,AG20-CF!AH49-CF!AH21)</f>
        <v>41402.115520776999</v>
      </c>
      <c r="AI20" s="288">
        <f>IF(AND($A$8="E",CF!AI21="-"),AH20,AH20-CF!AI49-CF!AI21)</f>
        <v>39325.538417199299</v>
      </c>
      <c r="AJ20" s="288">
        <f>IF(AND($A$8="E",CF!AJ21="-"),AI20,AI20-CF!AJ49-CF!AJ21)</f>
        <v>37353.114746673571</v>
      </c>
      <c r="AK20" s="288">
        <f>IF(AND($A$8="E",CF!AK21="-"),AJ20,AJ20-CF!AK49-CF!AK21)</f>
        <v>35479.620557920651</v>
      </c>
      <c r="AL20" s="288">
        <f>IF(AND($A$8="E",CF!AL21="-"),AK20,AK20-CF!AL49-CF!AL21)</f>
        <v>33700.09391375124</v>
      </c>
      <c r="AM20" s="293"/>
      <c r="AN20" s="293">
        <f>[32]BS!AM21</f>
        <v>0</v>
      </c>
      <c r="AO20" s="293">
        <f>[32]BS!AN21</f>
        <v>0</v>
      </c>
      <c r="AP20" s="293">
        <f>[32]BS!AO21</f>
        <v>0</v>
      </c>
      <c r="AQ20" s="293">
        <f>[32]BS!AP21</f>
        <v>0</v>
      </c>
      <c r="AR20" s="293">
        <f>[32]BS!AQ21</f>
        <v>0</v>
      </c>
      <c r="AS20" s="293">
        <f>[32]BS!AR21</f>
        <v>0</v>
      </c>
      <c r="AT20" s="293">
        <f>[32]BS!AS21</f>
        <v>0</v>
      </c>
      <c r="AU20" s="293">
        <f>[32]BS!AT21</f>
        <v>0</v>
      </c>
      <c r="AV20" s="293">
        <f>[32]BS!AU21</f>
        <v>0</v>
      </c>
      <c r="AW20" s="293">
        <f>[32]BS!AV21</f>
        <v>0</v>
      </c>
      <c r="AX20" s="288">
        <f>IF(AND($A$8="E",CF!BO21="-"),AW20,AW20-CF!BO49-CF!BO21)</f>
        <v>-4313.6120209601586</v>
      </c>
      <c r="AY20" s="288">
        <f>IF(AND($A$8="E",CF!BP21="-"),AX20,AX20-CF!BP49-CF!BP21)</f>
        <v>-7764.5016377282855</v>
      </c>
      <c r="AZ20" s="288">
        <f>IF(AND($A$8="E",CF!BQ21="-"),AY20,AY20-CF!BQ49-CF!BQ21)</f>
        <v>-10525.213331142786</v>
      </c>
      <c r="BA20" s="288">
        <f>IF(AND($A$8="E",CF!BT21="-"),AZ20,AZ20-CF!BT49-CF!BT21)</f>
        <v>-10525.213331142786</v>
      </c>
      <c r="BB20" s="288">
        <f>IF(AND($A$8="E",CF!BU21="-"),BA20,BA20-CF!BU49-CF!BU21)</f>
        <v>-10525.213331142786</v>
      </c>
      <c r="BC20" s="288">
        <f>IF(AND($A$8="E",CF!BV21="-"),BB20,BB20-CF!BV49-CF!BV21)</f>
        <v>-10525.213331142786</v>
      </c>
      <c r="BD20" s="293"/>
      <c r="BE20" s="288">
        <f>[32]BS!BE21</f>
        <v>5370</v>
      </c>
      <c r="BF20" s="288">
        <f>[32]BS!BF21</f>
        <v>14108</v>
      </c>
      <c r="BG20" s="288">
        <f>[32]BS!BG21</f>
        <v>27465</v>
      </c>
      <c r="BH20" s="288">
        <f>[32]BS!BH21</f>
        <v>68276</v>
      </c>
      <c r="BI20" s="288">
        <f>[32]BS!BI21</f>
        <v>60947</v>
      </c>
      <c r="BJ20" s="288">
        <f t="shared" si="4"/>
        <v>50864.403345069477</v>
      </c>
      <c r="BK20" s="288">
        <f t="shared" si="5"/>
        <v>41402.115520776999</v>
      </c>
      <c r="BL20" s="288">
        <f t="shared" si="6"/>
        <v>33700.09391375124</v>
      </c>
      <c r="BM20" s="288">
        <f>IF(AND($A$8="E",CF!BM21="-"),BL20,BL20-CF!BM49-CF!BM21)</f>
        <v>26960.075131000991</v>
      </c>
      <c r="BN20" s="288">
        <f>IF(AND($A$8="E",CF!BN21="-"),BM20,BM20-CF!BN49-CF!BN21)</f>
        <v>21568.060104800792</v>
      </c>
      <c r="BO20" s="288">
        <f>IF(AND($A$8="E",CF!BO21="-"),BN20,BN20-CF!BO49-CF!BO21)</f>
        <v>17254.448083840634</v>
      </c>
      <c r="BP20" s="288">
        <f>IF(AND($A$8="E",CF!BP21="-"),BO20,BO20-CF!BP49-CF!BP21)</f>
        <v>13803.558467072507</v>
      </c>
      <c r="BQ20" s="288">
        <f>IF(AND($A$8="E",CF!BQ21="-"),BP20,BP20-CF!BQ49-CF!BQ21)</f>
        <v>11042.846773658006</v>
      </c>
      <c r="BR20" s="288">
        <f>IF(AND($A$8="E",CF!BR21="-"),BQ20,BQ20-CF!BR49-CF!BR21)</f>
        <v>8834.2774189264055</v>
      </c>
      <c r="BS20" s="288">
        <f>IF(AND($A$8="E",CF!BS21="-"),BR20,BR20-CF!BS49-CF!BS21)</f>
        <v>7067.4219351411248</v>
      </c>
      <c r="BT20" s="203"/>
      <c r="BU20" s="203"/>
    </row>
    <row r="21" spans="1:73" ht="12.75" customHeight="1" x14ac:dyDescent="0.35">
      <c r="A21" s="287"/>
      <c r="B21" s="147"/>
      <c r="C21" s="191" t="s">
        <v>223</v>
      </c>
      <c r="D21" s="166"/>
      <c r="E21" s="166"/>
      <c r="F21" s="166"/>
      <c r="G21" s="197"/>
      <c r="H21" s="197"/>
      <c r="I21" s="197"/>
      <c r="J21" s="197"/>
      <c r="K21" s="288">
        <f>[32]BS!I22</f>
        <v>25775</v>
      </c>
      <c r="L21" s="288">
        <f>[32]BS!J22</f>
        <v>37758</v>
      </c>
      <c r="M21" s="288">
        <f>[32]BS!K22</f>
        <v>34331</v>
      </c>
      <c r="N21" s="288">
        <f>[32]BS!L22</f>
        <v>31452</v>
      </c>
      <c r="O21" s="288">
        <f>[32]BS!M22</f>
        <v>30888</v>
      </c>
      <c r="P21" s="288">
        <f>[32]BS!N22</f>
        <v>33049</v>
      </c>
      <c r="Q21" s="288">
        <f>[32]BS!O22</f>
        <v>34855</v>
      </c>
      <c r="R21" s="288">
        <f>[32]BS!P22</f>
        <v>38192</v>
      </c>
      <c r="S21" s="288">
        <f>[32]BS!Q22</f>
        <v>115286</v>
      </c>
      <c r="T21" s="288">
        <f>[32]BS!R22</f>
        <v>132467</v>
      </c>
      <c r="U21" s="288">
        <f>[32]BS!S22</f>
        <v>137000</v>
      </c>
      <c r="V21" s="288">
        <f>[32]BS!T22</f>
        <v>157090</v>
      </c>
      <c r="W21" s="288">
        <f>[32]BS!U22</f>
        <v>168709</v>
      </c>
      <c r="X21" s="288">
        <f>[32]BS!V22</f>
        <v>167690</v>
      </c>
      <c r="Y21" s="288">
        <f>[32]BS!W22</f>
        <v>178155</v>
      </c>
      <c r="Z21" s="288">
        <f>[32]BS!X22</f>
        <v>161329</v>
      </c>
      <c r="AA21" s="288">
        <f>[32]BS!Y22</f>
        <v>182209</v>
      </c>
      <c r="AB21" s="288">
        <f>[32]BS!Z22</f>
        <v>189134</v>
      </c>
      <c r="AC21" s="303">
        <f>Y21*1.03</f>
        <v>183499.65</v>
      </c>
      <c r="AD21" s="303">
        <f t="shared" ref="AD21:AL22" si="34">Z21*1.03</f>
        <v>166168.87</v>
      </c>
      <c r="AE21" s="303">
        <f t="shared" si="34"/>
        <v>187675.27000000002</v>
      </c>
      <c r="AF21" s="303">
        <f t="shared" si="34"/>
        <v>194808.02000000002</v>
      </c>
      <c r="AG21" s="303">
        <f t="shared" si="34"/>
        <v>189004.63949999999</v>
      </c>
      <c r="AH21" s="303">
        <f t="shared" si="34"/>
        <v>171153.93609999999</v>
      </c>
      <c r="AI21" s="303">
        <f t="shared" si="34"/>
        <v>193305.52810000003</v>
      </c>
      <c r="AJ21" s="303">
        <f t="shared" si="34"/>
        <v>200652.26060000004</v>
      </c>
      <c r="AK21" s="303">
        <f t="shared" si="34"/>
        <v>194674.778685</v>
      </c>
      <c r="AL21" s="303">
        <f t="shared" si="34"/>
        <v>176288.554183</v>
      </c>
      <c r="AM21" s="293"/>
      <c r="AN21" s="293">
        <f>[32]BS!AM22</f>
        <v>0</v>
      </c>
      <c r="AO21" s="293">
        <f>[32]BS!AN22</f>
        <v>0</v>
      </c>
      <c r="AP21" s="293">
        <f>[32]BS!AO22</f>
        <v>0</v>
      </c>
      <c r="AQ21" s="293">
        <f>[32]BS!AP22</f>
        <v>0</v>
      </c>
      <c r="AR21" s="293">
        <f>[32]BS!AQ22</f>
        <v>0</v>
      </c>
      <c r="AS21" s="293">
        <f>[32]BS!AR22</f>
        <v>0</v>
      </c>
      <c r="AT21" s="293">
        <f>[32]BS!AS22</f>
        <v>0</v>
      </c>
      <c r="AU21" s="293">
        <f>[32]BS!AT22</f>
        <v>0</v>
      </c>
      <c r="AV21" s="293">
        <f>[32]BS!AU22</f>
        <v>0</v>
      </c>
      <c r="AW21" s="293">
        <f>[32]BS!AV22</f>
        <v>0</v>
      </c>
      <c r="AX21" s="303">
        <f t="shared" ref="AX21:AX22" si="35">AW21</f>
        <v>0</v>
      </c>
      <c r="AY21" s="303">
        <f>AX21</f>
        <v>0</v>
      </c>
      <c r="AZ21" s="303">
        <f>AY21</f>
        <v>0</v>
      </c>
      <c r="BA21" s="303">
        <f>AZ21</f>
        <v>0</v>
      </c>
      <c r="BB21" s="303">
        <f>BA21</f>
        <v>0</v>
      </c>
      <c r="BC21" s="303">
        <f>BB21</f>
        <v>0</v>
      </c>
      <c r="BD21" s="293"/>
      <c r="BE21" s="288">
        <f>[32]BS!BE22</f>
        <v>29392</v>
      </c>
      <c r="BF21" s="288">
        <f>[32]BS!BF22</f>
        <v>31452</v>
      </c>
      <c r="BG21" s="288">
        <f>[32]BS!BG22</f>
        <v>38192</v>
      </c>
      <c r="BH21" s="288">
        <f>[32]BS!BH22</f>
        <v>157090</v>
      </c>
      <c r="BI21" s="288">
        <f>[32]BS!BI22</f>
        <v>161329</v>
      </c>
      <c r="BJ21" s="303">
        <f t="shared" si="4"/>
        <v>166168.87</v>
      </c>
      <c r="BK21" s="303">
        <f t="shared" si="5"/>
        <v>171153.93609999999</v>
      </c>
      <c r="BL21" s="303">
        <f t="shared" si="6"/>
        <v>176288.554183</v>
      </c>
      <c r="BM21" s="2725">
        <f>BL21*1.03</f>
        <v>181577.21080849</v>
      </c>
      <c r="BN21" s="2725">
        <f t="shared" ref="BN21:BS21" si="36">BM21*1.03</f>
        <v>187024.5271327447</v>
      </c>
      <c r="BO21" s="2725">
        <f t="shared" si="36"/>
        <v>192635.26294672705</v>
      </c>
      <c r="BP21" s="2725">
        <f t="shared" si="36"/>
        <v>198414.32083512886</v>
      </c>
      <c r="BQ21" s="2725">
        <f t="shared" si="36"/>
        <v>204366.75046018272</v>
      </c>
      <c r="BR21" s="2725">
        <f t="shared" si="36"/>
        <v>210497.75297398822</v>
      </c>
      <c r="BS21" s="2725">
        <f t="shared" si="36"/>
        <v>216812.68556320787</v>
      </c>
      <c r="BT21" s="203"/>
      <c r="BU21" s="203"/>
    </row>
    <row r="22" spans="1:73" ht="12.75" customHeight="1" x14ac:dyDescent="0.35">
      <c r="A22" s="285" t="s">
        <v>224</v>
      </c>
      <c r="B22" s="147"/>
      <c r="C22" s="291" t="s">
        <v>225</v>
      </c>
      <c r="D22" s="166"/>
      <c r="E22" s="166"/>
      <c r="F22" s="166"/>
      <c r="G22" s="197"/>
      <c r="H22" s="197"/>
      <c r="I22" s="197"/>
      <c r="J22" s="197"/>
      <c r="K22" s="288">
        <f>[32]BS!I23</f>
        <v>216940</v>
      </c>
      <c r="L22" s="288">
        <f>[32]BS!J23</f>
        <v>177148</v>
      </c>
      <c r="M22" s="288">
        <f>[32]BS!K23</f>
        <v>180483</v>
      </c>
      <c r="N22" s="288">
        <f>[32]BS!L23</f>
        <v>133762</v>
      </c>
      <c r="O22" s="288">
        <f>[32]BS!M23</f>
        <v>154060</v>
      </c>
      <c r="P22" s="288">
        <f>[32]BS!N23</f>
        <v>156177</v>
      </c>
      <c r="Q22" s="288">
        <f>[32]BS!O23</f>
        <v>207853</v>
      </c>
      <c r="R22" s="288">
        <f>[32]BS!P23</f>
        <v>165974</v>
      </c>
      <c r="S22" s="288">
        <f>[32]BS!Q23</f>
        <v>219940</v>
      </c>
      <c r="T22" s="288">
        <f>[32]BS!R23</f>
        <v>222654</v>
      </c>
      <c r="U22" s="288">
        <f>[32]BS!S23</f>
        <v>238647</v>
      </c>
      <c r="V22" s="288">
        <f>[32]BS!T23</f>
        <v>112472</v>
      </c>
      <c r="W22" s="288">
        <f>[32]BS!U23</f>
        <v>107516</v>
      </c>
      <c r="X22" s="288">
        <f>[32]BS!V23</f>
        <v>187660</v>
      </c>
      <c r="Y22" s="288">
        <f>[32]BS!W23</f>
        <v>213697</v>
      </c>
      <c r="Z22" s="288">
        <f>[32]BS!X23</f>
        <v>222717</v>
      </c>
      <c r="AA22" s="288">
        <f>[32]BS!Y23</f>
        <v>249719</v>
      </c>
      <c r="AB22" s="288">
        <f>[32]BS!Z23</f>
        <v>270970</v>
      </c>
      <c r="AC22" s="303">
        <f>Y22*1.03</f>
        <v>220107.91</v>
      </c>
      <c r="AD22" s="303">
        <f t="shared" si="34"/>
        <v>229398.51</v>
      </c>
      <c r="AE22" s="303">
        <f t="shared" si="34"/>
        <v>257210.57</v>
      </c>
      <c r="AF22" s="303">
        <f t="shared" si="34"/>
        <v>279099.10000000003</v>
      </c>
      <c r="AG22" s="303">
        <f t="shared" si="34"/>
        <v>226711.14730000001</v>
      </c>
      <c r="AH22" s="303">
        <f t="shared" si="34"/>
        <v>236280.46530000001</v>
      </c>
      <c r="AI22" s="303">
        <f t="shared" si="34"/>
        <v>264926.88709999999</v>
      </c>
      <c r="AJ22" s="303">
        <f t="shared" si="34"/>
        <v>287472.07300000003</v>
      </c>
      <c r="AK22" s="303">
        <f t="shared" si="34"/>
        <v>233512.48171900003</v>
      </c>
      <c r="AL22" s="303">
        <f t="shared" si="34"/>
        <v>243368.87925900001</v>
      </c>
      <c r="AM22" s="293"/>
      <c r="AN22" s="293">
        <f>[32]BS!AM23</f>
        <v>0</v>
      </c>
      <c r="AO22" s="293">
        <f>[32]BS!AN23</f>
        <v>0</v>
      </c>
      <c r="AP22" s="293">
        <f>[32]BS!AO23</f>
        <v>0</v>
      </c>
      <c r="AQ22" s="293">
        <f>[32]BS!AP23</f>
        <v>0</v>
      </c>
      <c r="AR22" s="293">
        <f>[32]BS!AQ23</f>
        <v>0</v>
      </c>
      <c r="AS22" s="293">
        <f>[32]BS!AR23</f>
        <v>0</v>
      </c>
      <c r="AT22" s="293">
        <f>[32]BS!AS23</f>
        <v>0</v>
      </c>
      <c r="AU22" s="293">
        <f>[32]BS!AT23</f>
        <v>0</v>
      </c>
      <c r="AV22" s="293">
        <f>[32]BS!AU23</f>
        <v>0</v>
      </c>
      <c r="AW22" s="293">
        <f>[32]BS!AV23</f>
        <v>0</v>
      </c>
      <c r="AX22" s="303">
        <f t="shared" si="35"/>
        <v>0</v>
      </c>
      <c r="AY22" s="303">
        <f t="shared" ref="AY22:BC22" si="37">AX22</f>
        <v>0</v>
      </c>
      <c r="AZ22" s="303">
        <f t="shared" si="37"/>
        <v>0</v>
      </c>
      <c r="BA22" s="303">
        <f t="shared" si="37"/>
        <v>0</v>
      </c>
      <c r="BB22" s="303">
        <f t="shared" si="37"/>
        <v>0</v>
      </c>
      <c r="BC22" s="303">
        <f t="shared" si="37"/>
        <v>0</v>
      </c>
      <c r="BD22" s="293"/>
      <c r="BE22" s="288">
        <f>[32]BS!BE23</f>
        <v>100344</v>
      </c>
      <c r="BF22" s="288">
        <f>[32]BS!BF23</f>
        <v>133762</v>
      </c>
      <c r="BG22" s="288">
        <f>[32]BS!BG23</f>
        <v>165974</v>
      </c>
      <c r="BH22" s="288">
        <f>[32]BS!BH23</f>
        <v>112472</v>
      </c>
      <c r="BI22" s="288">
        <f>[32]BS!BI23</f>
        <v>222717</v>
      </c>
      <c r="BJ22" s="303">
        <f t="shared" si="4"/>
        <v>229398.51</v>
      </c>
      <c r="BK22" s="303">
        <f t="shared" si="5"/>
        <v>236280.46530000001</v>
      </c>
      <c r="BL22" s="303">
        <f t="shared" si="6"/>
        <v>243368.87925900001</v>
      </c>
      <c r="BM22" s="2725">
        <f>BL22</f>
        <v>243368.87925900001</v>
      </c>
      <c r="BN22" s="2725">
        <f>BM22*1.03</f>
        <v>250669.94563677002</v>
      </c>
      <c r="BO22" s="2725">
        <f t="shared" ref="BO22:BS22" si="38">BN22*1.03</f>
        <v>258190.04400587312</v>
      </c>
      <c r="BP22" s="2725">
        <f t="shared" si="38"/>
        <v>265935.74532604933</v>
      </c>
      <c r="BQ22" s="2725">
        <f t="shared" si="38"/>
        <v>273913.81768583081</v>
      </c>
      <c r="BR22" s="2725">
        <f t="shared" si="38"/>
        <v>282131.23221640574</v>
      </c>
      <c r="BS22" s="2725">
        <f t="shared" si="38"/>
        <v>290595.16918289789</v>
      </c>
      <c r="BT22" s="203"/>
      <c r="BU22" s="203"/>
    </row>
    <row r="23" spans="1:73" ht="12.75" customHeight="1" x14ac:dyDescent="0.35">
      <c r="A23" s="285" t="s">
        <v>226</v>
      </c>
      <c r="B23" s="258" t="s">
        <v>227</v>
      </c>
      <c r="C23" s="166"/>
      <c r="D23" s="147"/>
      <c r="E23" s="147"/>
      <c r="F23" s="147"/>
      <c r="G23" s="258"/>
      <c r="H23" s="258"/>
      <c r="I23" s="258"/>
      <c r="J23" s="258"/>
      <c r="K23" s="294">
        <f>[32]BS!I24</f>
        <v>409970</v>
      </c>
      <c r="L23" s="294">
        <f>[32]BS!J24</f>
        <v>456402</v>
      </c>
      <c r="M23" s="294">
        <f>[32]BS!K24</f>
        <v>490866</v>
      </c>
      <c r="N23" s="294">
        <f>[32]BS!L24</f>
        <v>506812</v>
      </c>
      <c r="O23" s="294">
        <f>[32]BS!M24</f>
        <v>543714</v>
      </c>
      <c r="P23" s="294">
        <f>[32]BS!N24</f>
        <v>578824</v>
      </c>
      <c r="Q23" s="294">
        <f>[32]BS!O24</f>
        <v>711432</v>
      </c>
      <c r="R23" s="294">
        <f>[32]BS!P24</f>
        <v>717124</v>
      </c>
      <c r="S23" s="294">
        <f>[32]BS!Q24</f>
        <v>796662</v>
      </c>
      <c r="T23" s="294">
        <f>[32]BS!R24</f>
        <v>824767</v>
      </c>
      <c r="U23" s="294">
        <f>[32]BS!S24</f>
        <v>917943</v>
      </c>
      <c r="V23" s="294">
        <f>[32]BS!T24</f>
        <v>965076</v>
      </c>
      <c r="W23" s="294">
        <f>[32]BS!U24</f>
        <v>1018854</v>
      </c>
      <c r="X23" s="294">
        <f>[32]BS!V24</f>
        <v>1159577</v>
      </c>
      <c r="Y23" s="294">
        <f>[32]BS!W24</f>
        <v>1319495</v>
      </c>
      <c r="Z23" s="294">
        <f>[32]BS!X24</f>
        <v>1312985</v>
      </c>
      <c r="AA23" s="294">
        <f>[32]BS!Y24</f>
        <v>1369177</v>
      </c>
      <c r="AB23" s="294">
        <f>[32]BS!Z24</f>
        <v>1433626</v>
      </c>
      <c r="AC23" s="294">
        <f t="shared" ref="AC23" si="39">SUM(AC18:AC22,AC14)</f>
        <v>1402325.4283562801</v>
      </c>
      <c r="AD23" s="294">
        <f>SUM(AD18:AD22,AD14)</f>
        <v>1423129.2757398116</v>
      </c>
      <c r="AE23" s="294">
        <f t="shared" ref="AE23:AL23" si="40">SUM(AE18:AE22,AE14)</f>
        <v>1434863.027249435</v>
      </c>
      <c r="AF23" s="294">
        <f t="shared" si="40"/>
        <v>1465004.2630899788</v>
      </c>
      <c r="AG23" s="294">
        <f t="shared" si="40"/>
        <v>1473198.029026692</v>
      </c>
      <c r="AH23" s="294">
        <f t="shared" si="40"/>
        <v>1490141.6020587818</v>
      </c>
      <c r="AI23" s="294">
        <f t="shared" si="40"/>
        <v>1507685.3071788494</v>
      </c>
      <c r="AJ23" s="294">
        <f t="shared" si="40"/>
        <v>1535523.6292121813</v>
      </c>
      <c r="AK23" s="294">
        <f t="shared" si="40"/>
        <v>1548698.3516218872</v>
      </c>
      <c r="AL23" s="294">
        <f t="shared" si="40"/>
        <v>1576706.4524633952</v>
      </c>
      <c r="AM23" s="293"/>
      <c r="AN23" s="289">
        <f>[32]BS!AM24</f>
        <v>0</v>
      </c>
      <c r="AO23" s="289">
        <f>[32]BS!AN24</f>
        <v>0</v>
      </c>
      <c r="AP23" s="289">
        <f>[32]BS!AO24</f>
        <v>0</v>
      </c>
      <c r="AQ23" s="289">
        <f>[32]BS!AP24</f>
        <v>0</v>
      </c>
      <c r="AR23" s="289">
        <f>[32]BS!AQ24</f>
        <v>0</v>
      </c>
      <c r="AS23" s="289">
        <f>[32]BS!AR24</f>
        <v>0</v>
      </c>
      <c r="AT23" s="289">
        <f>[32]BS!AS24</f>
        <v>0</v>
      </c>
      <c r="AU23" s="289">
        <f>[32]BS!AT24</f>
        <v>0</v>
      </c>
      <c r="AV23" s="289">
        <f>[32]BS!AU24</f>
        <v>0</v>
      </c>
      <c r="AW23" s="289">
        <f>[32]BS!AV24</f>
        <v>0</v>
      </c>
      <c r="AX23" s="294" t="e">
        <f t="shared" ref="AX23" si="41">SUM(AX18:AX22,AX14)</f>
        <v>#VALUE!</v>
      </c>
      <c r="AY23" s="294" t="e">
        <f>SUM(AY18:AY22,AY14)</f>
        <v>#VALUE!</v>
      </c>
      <c r="AZ23" s="294" t="e">
        <f>SUM(AZ18:AZ22,AZ14)</f>
        <v>#VALUE!</v>
      </c>
      <c r="BA23" s="294" t="e">
        <f>SUM(BA18:BA22,BA14)</f>
        <v>#VALUE!</v>
      </c>
      <c r="BB23" s="294" t="e">
        <f>SUM(BB18:BB22,BB14)</f>
        <v>#VALUE!</v>
      </c>
      <c r="BC23" s="294" t="e">
        <f>SUM(BC18:BC22,BC14)</f>
        <v>#VALUE!</v>
      </c>
      <c r="BD23" s="293"/>
      <c r="BE23" s="294">
        <f>[32]BS!BE24</f>
        <v>364450</v>
      </c>
      <c r="BF23" s="294">
        <f>[32]BS!BF24</f>
        <v>506812</v>
      </c>
      <c r="BG23" s="294">
        <f>[32]BS!BG24</f>
        <v>717124</v>
      </c>
      <c r="BH23" s="294">
        <f>[32]BS!BH24</f>
        <v>965076</v>
      </c>
      <c r="BI23" s="294">
        <f>[32]BS!BI24</f>
        <v>1312985</v>
      </c>
      <c r="BJ23" s="294">
        <f t="shared" si="4"/>
        <v>1423129.2757398116</v>
      </c>
      <c r="BK23" s="294">
        <f t="shared" si="5"/>
        <v>1490141.6020587818</v>
      </c>
      <c r="BL23" s="294">
        <f t="shared" si="6"/>
        <v>1576706.4524633952</v>
      </c>
      <c r="BM23" s="289">
        <f>BM14+BM16+BM17+BM18+BM19+BM20+BM21+BM22</f>
        <v>1861129.4218469728</v>
      </c>
      <c r="BN23" s="289">
        <f t="shared" ref="BN23:BS23" si="42">BN14+BN16+BN17+BN18+BN19+BN20+BN21+BN22</f>
        <v>2037678.792538339</v>
      </c>
      <c r="BO23" s="289">
        <f t="shared" si="42"/>
        <v>2220835.430439672</v>
      </c>
      <c r="BP23" s="289">
        <f t="shared" si="42"/>
        <v>2413655.1686610463</v>
      </c>
      <c r="BQ23" s="289">
        <f t="shared" si="42"/>
        <v>2603592.5384529703</v>
      </c>
      <c r="BR23" s="289">
        <f t="shared" si="42"/>
        <v>2787128.0266116853</v>
      </c>
      <c r="BS23" s="289">
        <f t="shared" si="42"/>
        <v>2959301.1403535069</v>
      </c>
      <c r="BT23" s="203"/>
      <c r="BU23" s="203"/>
    </row>
    <row r="24" spans="1:73" ht="12.75" customHeight="1" x14ac:dyDescent="0.35">
      <c r="A24" s="285" t="s">
        <v>228</v>
      </c>
      <c r="B24" s="297"/>
      <c r="C24" s="147"/>
      <c r="D24" s="147"/>
      <c r="E24" s="147"/>
      <c r="F24" s="147"/>
      <c r="G24" s="298"/>
      <c r="H24" s="298"/>
      <c r="I24" s="298"/>
      <c r="J24" s="298"/>
      <c r="K24" s="288"/>
      <c r="L24" s="288"/>
      <c r="M24" s="288"/>
      <c r="N24" s="288"/>
      <c r="O24" s="288"/>
      <c r="P24" s="288"/>
      <c r="Q24" s="288"/>
      <c r="R24" s="288"/>
      <c r="S24" s="288"/>
      <c r="T24" s="288"/>
      <c r="U24" s="288"/>
      <c r="V24" s="288"/>
      <c r="W24" s="288"/>
      <c r="X24" s="288"/>
      <c r="Y24" s="288"/>
      <c r="Z24" s="288"/>
      <c r="AA24" s="288"/>
      <c r="AB24" s="288"/>
      <c r="AC24" s="288"/>
      <c r="AD24" s="288"/>
      <c r="AE24" s="288"/>
      <c r="AF24" s="288"/>
      <c r="AG24" s="288"/>
      <c r="AH24" s="288"/>
      <c r="AI24" s="288"/>
      <c r="AJ24" s="288"/>
      <c r="AK24" s="288"/>
      <c r="AL24" s="288"/>
      <c r="AM24" s="293"/>
      <c r="AN24" s="293"/>
      <c r="AO24" s="293"/>
      <c r="AP24" s="293"/>
      <c r="AQ24" s="293"/>
      <c r="AR24" s="293"/>
      <c r="AS24" s="293"/>
      <c r="AT24" s="293"/>
      <c r="AU24" s="293"/>
      <c r="AV24" s="293"/>
      <c r="AW24" s="293"/>
      <c r="AX24" s="288"/>
      <c r="AY24" s="288"/>
      <c r="AZ24" s="288"/>
      <c r="BA24" s="288"/>
      <c r="BB24" s="288"/>
      <c r="BC24" s="288"/>
      <c r="BD24" s="293"/>
      <c r="BE24" s="288"/>
      <c r="BF24" s="288"/>
      <c r="BG24" s="288"/>
      <c r="BH24" s="288"/>
      <c r="BI24" s="288"/>
      <c r="BJ24" s="288"/>
      <c r="BK24" s="288"/>
      <c r="BL24" s="288"/>
      <c r="BM24" s="293"/>
      <c r="BN24" s="293"/>
      <c r="BO24" s="293"/>
      <c r="BP24" s="293"/>
      <c r="BQ24" s="293"/>
      <c r="BR24" s="293"/>
      <c r="BS24" s="293"/>
      <c r="BT24" s="203"/>
      <c r="BU24" s="203"/>
    </row>
    <row r="25" spans="1:73" ht="12.75" customHeight="1" x14ac:dyDescent="0.35">
      <c r="A25" s="285" t="s">
        <v>229</v>
      </c>
      <c r="B25" s="286" t="s">
        <v>230</v>
      </c>
      <c r="C25" s="286"/>
      <c r="D25" s="286"/>
      <c r="E25" s="286"/>
      <c r="F25" s="286"/>
      <c r="G25" s="286"/>
      <c r="H25" s="286"/>
      <c r="I25" s="286"/>
      <c r="J25" s="286"/>
      <c r="K25" s="286"/>
      <c r="L25" s="286"/>
      <c r="M25" s="286"/>
      <c r="N25" s="286"/>
      <c r="O25" s="286"/>
      <c r="P25" s="286"/>
      <c r="Q25" s="286"/>
      <c r="R25" s="286"/>
      <c r="S25" s="286"/>
      <c r="T25" s="286"/>
      <c r="U25" s="286"/>
      <c r="V25" s="286"/>
      <c r="W25" s="286"/>
      <c r="X25" s="286"/>
      <c r="Y25" s="286"/>
      <c r="Z25" s="286"/>
      <c r="AA25" s="286"/>
      <c r="AB25" s="286"/>
      <c r="AC25" s="286"/>
      <c r="AD25" s="286"/>
      <c r="AE25" s="286"/>
      <c r="AF25" s="286"/>
      <c r="AG25" s="286"/>
      <c r="AH25" s="286"/>
      <c r="AI25" s="286"/>
      <c r="AJ25" s="286"/>
      <c r="AK25" s="286"/>
      <c r="AL25" s="286"/>
      <c r="AM25" s="286"/>
      <c r="AN25" s="286"/>
      <c r="AO25" s="286"/>
      <c r="AP25" s="286"/>
      <c r="AQ25" s="286"/>
      <c r="AR25" s="286"/>
      <c r="AS25" s="286"/>
      <c r="AT25" s="286"/>
      <c r="AU25" s="286"/>
      <c r="AV25" s="286"/>
      <c r="AW25" s="286"/>
      <c r="AX25" s="286"/>
      <c r="AY25" s="286"/>
      <c r="AZ25" s="286"/>
      <c r="BA25" s="286"/>
      <c r="BB25" s="286"/>
      <c r="BC25" s="286"/>
      <c r="BD25" s="286"/>
      <c r="BE25" s="2861">
        <f>BE29/OperatingMetrics!AV5</f>
        <v>0.10180635338085681</v>
      </c>
      <c r="BF25" s="2861">
        <f>BF29/OperatingMetrics!AW5</f>
        <v>9.5101501835436239E-2</v>
      </c>
      <c r="BG25" s="2861">
        <f>BG29/OperatingMetrics!AX5</f>
        <v>8.9093204830060821E-2</v>
      </c>
      <c r="BH25" s="2861">
        <f>BH29/OperatingMetrics!AY5</f>
        <v>8.1718164545541386E-2</v>
      </c>
      <c r="BI25" s="2861">
        <f>BI29/OperatingMetrics!AZ5</f>
        <v>7.521517094981274E-2</v>
      </c>
      <c r="BJ25" s="286"/>
      <c r="BK25" s="286"/>
      <c r="BL25" s="286"/>
      <c r="BM25" s="286"/>
      <c r="BN25" s="286"/>
      <c r="BO25" s="286"/>
      <c r="BP25" s="286"/>
      <c r="BQ25" s="286"/>
      <c r="BR25" s="286"/>
      <c r="BS25" s="286"/>
      <c r="BT25" s="203"/>
      <c r="BU25" s="203"/>
    </row>
    <row r="26" spans="1:73" ht="12.75" customHeight="1" x14ac:dyDescent="0.35">
      <c r="A26" s="285" t="s">
        <v>231</v>
      </c>
      <c r="B26" s="147"/>
      <c r="C26" s="291" t="s">
        <v>232</v>
      </c>
      <c r="D26" s="147"/>
      <c r="E26" s="147"/>
      <c r="F26" s="147"/>
      <c r="G26" s="197"/>
      <c r="H26" s="197"/>
      <c r="I26" s="197"/>
      <c r="J26" s="197"/>
      <c r="K26" s="288">
        <f>[32]BS!I27</f>
        <v>4684</v>
      </c>
      <c r="L26" s="288">
        <f>[32]BS!J27</f>
        <v>5520</v>
      </c>
      <c r="M26" s="288">
        <f>[32]BS!K27</f>
        <v>13679</v>
      </c>
      <c r="N26" s="288">
        <f>[32]BS!L27</f>
        <v>14897</v>
      </c>
      <c r="O26" s="288">
        <f>[32]BS!M27</f>
        <v>16455</v>
      </c>
      <c r="P26" s="288">
        <f>[32]BS!N27</f>
        <v>16361</v>
      </c>
      <c r="Q26" s="288">
        <f>[32]BS!O27</f>
        <v>6447</v>
      </c>
      <c r="R26" s="288">
        <f>[32]BS!P27</f>
        <v>6028</v>
      </c>
      <c r="S26" s="288">
        <f>[32]BS!Q27</f>
        <v>13693</v>
      </c>
      <c r="T26" s="288">
        <f>[32]BS!R27</f>
        <v>9022</v>
      </c>
      <c r="U26" s="288">
        <f>[32]BS!S27</f>
        <v>22812</v>
      </c>
      <c r="V26" s="288">
        <f>[32]BS!T27</f>
        <v>22466</v>
      </c>
      <c r="W26" s="288">
        <f>[32]BS!U27</f>
        <v>23019</v>
      </c>
      <c r="X26" s="288">
        <f>[32]BS!V27</f>
        <v>24155</v>
      </c>
      <c r="Y26" s="288">
        <f>[32]BS!W27</f>
        <v>4215</v>
      </c>
      <c r="Z26" s="288">
        <f>[32]BS!X27</f>
        <v>5154</v>
      </c>
      <c r="AA26" s="288">
        <f>[32]BS!Y27</f>
        <v>4543</v>
      </c>
      <c r="AB26" s="288">
        <f>[32]BS!Z27</f>
        <v>4903</v>
      </c>
      <c r="AC26" s="288">
        <f t="shared" ref="AC26" si="43">AC96</f>
        <v>4903</v>
      </c>
      <c r="AD26" s="288">
        <f>AD96</f>
        <v>4903</v>
      </c>
      <c r="AE26" s="288">
        <f t="shared" ref="AE26:AL26" si="44">AE96</f>
        <v>4903</v>
      </c>
      <c r="AF26" s="288">
        <f t="shared" si="44"/>
        <v>4903</v>
      </c>
      <c r="AG26" s="288">
        <f t="shared" si="44"/>
        <v>4903</v>
      </c>
      <c r="AH26" s="288">
        <f t="shared" si="44"/>
        <v>4903</v>
      </c>
      <c r="AI26" s="288">
        <f t="shared" si="44"/>
        <v>4903</v>
      </c>
      <c r="AJ26" s="288">
        <f t="shared" si="44"/>
        <v>4903</v>
      </c>
      <c r="AK26" s="288">
        <f t="shared" si="44"/>
        <v>4903</v>
      </c>
      <c r="AL26" s="288">
        <f t="shared" si="44"/>
        <v>4903</v>
      </c>
      <c r="AM26" s="293"/>
      <c r="AN26" s="288">
        <f>[32]BS!AM27</f>
        <v>0</v>
      </c>
      <c r="AO26" s="288">
        <f>[32]BS!AN27</f>
        <v>0</v>
      </c>
      <c r="AP26" s="288">
        <f>[32]BS!AO27</f>
        <v>0</v>
      </c>
      <c r="AQ26" s="288">
        <f>[32]BS!AP27</f>
        <v>0</v>
      </c>
      <c r="AR26" s="288">
        <f>[32]BS!AQ27</f>
        <v>0</v>
      </c>
      <c r="AS26" s="288">
        <f>[32]BS!AR27</f>
        <v>0</v>
      </c>
      <c r="AT26" s="288">
        <f>[32]BS!AS27</f>
        <v>0</v>
      </c>
      <c r="AU26" s="288">
        <f>[32]BS!AT27</f>
        <v>0</v>
      </c>
      <c r="AV26" s="288">
        <f>[32]BS!AU27</f>
        <v>0</v>
      </c>
      <c r="AW26" s="288">
        <f>[32]BS!AV27</f>
        <v>0</v>
      </c>
      <c r="AX26" s="288" t="e">
        <f t="shared" ref="AX26" si="45">AX96</f>
        <v>#DIV/0!</v>
      </c>
      <c r="AY26" s="288" t="e">
        <f>AY96</f>
        <v>#DIV/0!</v>
      </c>
      <c r="AZ26" s="288" t="e">
        <f>AZ96</f>
        <v>#DIV/0!</v>
      </c>
      <c r="BA26" s="288" t="e">
        <f>BA96</f>
        <v>#DIV/0!</v>
      </c>
      <c r="BB26" s="288" t="e">
        <f>BB96</f>
        <v>#DIV/0!</v>
      </c>
      <c r="BC26" s="288" t="e">
        <f>BC96</f>
        <v>#DIV/0!</v>
      </c>
      <c r="BD26" s="293"/>
      <c r="BE26" s="288">
        <f>[32]BS!BE27</f>
        <v>4304</v>
      </c>
      <c r="BF26" s="288">
        <f>[32]BS!BF27</f>
        <v>14897</v>
      </c>
      <c r="BG26" s="288">
        <f>[32]BS!BG27</f>
        <v>6028</v>
      </c>
      <c r="BH26" s="288">
        <f>[32]BS!BH27</f>
        <v>22466</v>
      </c>
      <c r="BI26" s="288">
        <f>[32]BS!BI27</f>
        <v>5154</v>
      </c>
      <c r="BJ26" s="303">
        <f t="shared" ref="BJ26:BJ39" si="46">AD26</f>
        <v>4903</v>
      </c>
      <c r="BK26" s="303">
        <f t="shared" ref="BK26:BK39" si="47">AH26</f>
        <v>4903</v>
      </c>
      <c r="BL26" s="303">
        <f t="shared" ref="BL26:BL39" si="48">AL26</f>
        <v>4903</v>
      </c>
      <c r="BM26" s="2725">
        <f>BL26</f>
        <v>4903</v>
      </c>
      <c r="BN26" s="2725">
        <f t="shared" ref="BN26:BS26" si="49">BM26</f>
        <v>4903</v>
      </c>
      <c r="BO26" s="2725">
        <f t="shared" si="49"/>
        <v>4903</v>
      </c>
      <c r="BP26" s="2725">
        <f t="shared" si="49"/>
        <v>4903</v>
      </c>
      <c r="BQ26" s="2725">
        <f t="shared" si="49"/>
        <v>4903</v>
      </c>
      <c r="BR26" s="2725">
        <f t="shared" si="49"/>
        <v>4903</v>
      </c>
      <c r="BS26" s="2725">
        <f t="shared" si="49"/>
        <v>4903</v>
      </c>
      <c r="BT26" s="203"/>
      <c r="BU26" s="203"/>
    </row>
    <row r="27" spans="1:73" ht="12.75" customHeight="1" x14ac:dyDescent="0.35">
      <c r="A27" s="287" t="s">
        <v>233</v>
      </c>
      <c r="B27" s="147"/>
      <c r="C27" s="291" t="s">
        <v>234</v>
      </c>
      <c r="D27" s="147"/>
      <c r="E27" s="147"/>
      <c r="F27" s="147"/>
      <c r="G27" s="197"/>
      <c r="H27" s="197"/>
      <c r="I27" s="197"/>
      <c r="J27" s="197"/>
      <c r="K27" s="288">
        <f>[32]BS!I28</f>
        <v>0</v>
      </c>
      <c r="L27" s="288">
        <f>[32]BS!J28</f>
        <v>0</v>
      </c>
      <c r="M27" s="288">
        <f>[32]BS!K28</f>
        <v>0</v>
      </c>
      <c r="N27" s="288">
        <f>[32]BS!L28</f>
        <v>0</v>
      </c>
      <c r="O27" s="288">
        <f>[32]BS!M28</f>
        <v>0</v>
      </c>
      <c r="P27" s="288">
        <f>[32]BS!N28</f>
        <v>0</v>
      </c>
      <c r="Q27" s="288">
        <f>[32]BS!O28</f>
        <v>0</v>
      </c>
      <c r="R27" s="288">
        <f>[32]BS!P28</f>
        <v>0</v>
      </c>
      <c r="S27" s="288">
        <f>[32]BS!Q28</f>
        <v>0</v>
      </c>
      <c r="T27" s="288">
        <f>[32]BS!R28</f>
        <v>0</v>
      </c>
      <c r="U27" s="288">
        <f>[32]BS!S28</f>
        <v>0</v>
      </c>
      <c r="V27" s="288">
        <f>[32]BS!T28</f>
        <v>0</v>
      </c>
      <c r="W27" s="288">
        <f>[32]BS!U28</f>
        <v>0</v>
      </c>
      <c r="X27" s="288">
        <f>[32]BS!V28</f>
        <v>0</v>
      </c>
      <c r="Y27" s="288">
        <f>[32]BS!W28</f>
        <v>0</v>
      </c>
      <c r="Z27" s="288">
        <f>[32]BS!X28</f>
        <v>0</v>
      </c>
      <c r="AA27" s="288">
        <f>[32]BS!Y28</f>
        <v>0</v>
      </c>
      <c r="AB27" s="288">
        <f>[32]BS!Z28</f>
        <v>0</v>
      </c>
      <c r="AC27" s="288" t="str">
        <f>IF(ISERR(PnL!AC16/BS!AC67),"-",PnL!AC16/BS!AC67)</f>
        <v>-</v>
      </c>
      <c r="AD27" s="288" t="str">
        <f>IF(ISERR(PnL!AD16/BS!AD67),"-",PnL!AD16/BS!AD67)</f>
        <v>-</v>
      </c>
      <c r="AE27" s="288" t="str">
        <f>IF(ISERR(PnL!AE16/BS!AE67),"-",PnL!AE16/BS!AE67)</f>
        <v>-</v>
      </c>
      <c r="AF27" s="288" t="str">
        <f>IF(ISERR(PnL!AF16/BS!AF67),"-",PnL!AF16/BS!AF67)</f>
        <v>-</v>
      </c>
      <c r="AG27" s="288" t="str">
        <f>IF(ISERR(PnL!AG16/BS!AG67),"-",PnL!AG16/BS!AG67)</f>
        <v>-</v>
      </c>
      <c r="AH27" s="288" t="str">
        <f>IF(ISERR(PnL!AH16/BS!AH67),"-",PnL!AH16/BS!AH67)</f>
        <v>-</v>
      </c>
      <c r="AI27" s="288" t="str">
        <f>IF(ISERR(PnL!AI16/BS!AI67),"-",PnL!AI16/BS!AI67)</f>
        <v>-</v>
      </c>
      <c r="AJ27" s="288" t="str">
        <f>IF(ISERR(PnL!AJ16/BS!AJ67),"-",PnL!AJ16/BS!AJ67)</f>
        <v>-</v>
      </c>
      <c r="AK27" s="288" t="str">
        <f>IF(ISERR(PnL!AK16/BS!AK67),"-",PnL!AK16/BS!AK67)</f>
        <v>-</v>
      </c>
      <c r="AL27" s="288" t="str">
        <f>IF(ISERR(PnL!AL16/BS!AL67),"-",PnL!AL16/BS!AL67)</f>
        <v>-</v>
      </c>
      <c r="AM27" s="289"/>
      <c r="AN27" s="288">
        <f>[32]BS!AM28</f>
        <v>0</v>
      </c>
      <c r="AO27" s="288">
        <f>[32]BS!AN28</f>
        <v>0</v>
      </c>
      <c r="AP27" s="288">
        <f>[32]BS!AO28</f>
        <v>0</v>
      </c>
      <c r="AQ27" s="288">
        <f>[32]BS!AP28</f>
        <v>0</v>
      </c>
      <c r="AR27" s="288">
        <f>[32]BS!AQ28</f>
        <v>0</v>
      </c>
      <c r="AS27" s="288">
        <f>[32]BS!AR28</f>
        <v>0</v>
      </c>
      <c r="AT27" s="288">
        <f>[32]BS!AS28</f>
        <v>0</v>
      </c>
      <c r="AU27" s="288">
        <f>[32]BS!AT28</f>
        <v>0</v>
      </c>
      <c r="AV27" s="288">
        <f>[32]BS!AU28</f>
        <v>0</v>
      </c>
      <c r="AW27" s="288">
        <f>[32]BS!AV28</f>
        <v>0</v>
      </c>
      <c r="AX27" s="288" t="str">
        <f>IF(ISERR(PnL!AX16/BS!AX67),"-",PnL!AX16/BS!AX67)</f>
        <v>-</v>
      </c>
      <c r="AY27" s="288" t="str">
        <f>IF(ISERR(PnL!AY16/BS!AY67),"-",PnL!AY16/BS!AY67)</f>
        <v>-</v>
      </c>
      <c r="AZ27" s="288" t="str">
        <f>IF(ISERR(PnL!AZ16/BS!AZ67),"-",PnL!AZ16/BS!AZ67)</f>
        <v>-</v>
      </c>
      <c r="BA27" s="288" t="str">
        <f>IF(ISERR(PnL!BA16/BS!BA67),"-",PnL!BA16/BS!BA67)</f>
        <v>-</v>
      </c>
      <c r="BB27" s="288" t="str">
        <f>IF(ISERR(PnL!BB16/BS!BB67),"-",PnL!BB16/BS!BB67)</f>
        <v>-</v>
      </c>
      <c r="BC27" s="288" t="str">
        <f>IF(ISERR(PnL!BC16/BS!BC67),"-",PnL!BC16/BS!BC67)</f>
        <v>-</v>
      </c>
      <c r="BD27" s="289"/>
      <c r="BE27" s="288">
        <f>[32]BS!BE28</f>
        <v>0</v>
      </c>
      <c r="BF27" s="288">
        <f>[32]BS!BF28</f>
        <v>0</v>
      </c>
      <c r="BG27" s="288">
        <f>[32]BS!BG28</f>
        <v>0</v>
      </c>
      <c r="BH27" s="288">
        <f>[32]BS!BH28</f>
        <v>0</v>
      </c>
      <c r="BI27" s="288">
        <f>[32]BS!BI28</f>
        <v>0</v>
      </c>
      <c r="BJ27" s="288" t="str">
        <f t="shared" si="46"/>
        <v>-</v>
      </c>
      <c r="BK27" s="288" t="str">
        <f t="shared" si="47"/>
        <v>-</v>
      </c>
      <c r="BL27" s="288" t="str">
        <f t="shared" si="48"/>
        <v>-</v>
      </c>
      <c r="BM27" s="289">
        <v>0</v>
      </c>
      <c r="BN27" s="289">
        <v>0</v>
      </c>
      <c r="BO27" s="289">
        <v>0</v>
      </c>
      <c r="BP27" s="289">
        <v>0</v>
      </c>
      <c r="BQ27" s="289">
        <v>0</v>
      </c>
      <c r="BR27" s="289">
        <v>0</v>
      </c>
      <c r="BS27" s="289">
        <v>0</v>
      </c>
      <c r="BT27" s="203"/>
      <c r="BU27" s="203"/>
    </row>
    <row r="28" spans="1:73" ht="12.75" customHeight="1" x14ac:dyDescent="0.35">
      <c r="A28" s="287"/>
      <c r="B28" s="147"/>
      <c r="C28" s="291" t="s">
        <v>235</v>
      </c>
      <c r="D28" s="166"/>
      <c r="E28" s="166"/>
      <c r="F28" s="147"/>
      <c r="G28" s="197"/>
      <c r="H28" s="197"/>
      <c r="I28" s="197"/>
      <c r="J28" s="197"/>
      <c r="K28" s="288">
        <f>[32]BS!I29</f>
        <v>2348</v>
      </c>
      <c r="L28" s="288">
        <f>[32]BS!J29</f>
        <v>3158</v>
      </c>
      <c r="M28" s="288">
        <f>[32]BS!K29</f>
        <v>5736</v>
      </c>
      <c r="N28" s="288">
        <f>[32]BS!L29</f>
        <v>6125</v>
      </c>
      <c r="O28" s="288">
        <f>[32]BS!M29</f>
        <v>10229</v>
      </c>
      <c r="P28" s="288">
        <f>[32]BS!N29</f>
        <v>11637</v>
      </c>
      <c r="Q28" s="288">
        <f>[32]BS!O29</f>
        <v>12474</v>
      </c>
      <c r="R28" s="288">
        <f>[32]BS!P29</f>
        <v>13689</v>
      </c>
      <c r="S28" s="288">
        <f>[32]BS!Q29</f>
        <v>14247</v>
      </c>
      <c r="T28" s="288">
        <f>[32]BS!R29</f>
        <v>12361</v>
      </c>
      <c r="U28" s="288">
        <f>[32]BS!S29</f>
        <v>17348</v>
      </c>
      <c r="V28" s="288">
        <f>[32]BS!T29</f>
        <v>17685</v>
      </c>
      <c r="W28" s="288">
        <f>[32]BS!U29</f>
        <v>17764</v>
      </c>
      <c r="X28" s="288">
        <f>[32]BS!V29</f>
        <v>17152</v>
      </c>
      <c r="Y28" s="288">
        <f>[32]BS!W29</f>
        <v>21883</v>
      </c>
      <c r="Z28" s="288">
        <f>[32]BS!X29</f>
        <v>20190</v>
      </c>
      <c r="AA28" s="288">
        <f>[32]BS!Y29</f>
        <v>22327</v>
      </c>
      <c r="AB28" s="288">
        <f>[32]BS!Z29</f>
        <v>19564</v>
      </c>
      <c r="AC28" s="2725">
        <f>PnL!AC41*17%</f>
        <v>9719.6458039330046</v>
      </c>
      <c r="AD28" s="2725">
        <f>PnL!AD41*17%</f>
        <v>1828.0917460218361</v>
      </c>
      <c r="AE28" s="2725">
        <f>PnL!AE41*17%</f>
        <v>8828.4931231493538</v>
      </c>
      <c r="AF28" s="2725">
        <f>PnL!AF41*17%</f>
        <v>4498.7683980082293</v>
      </c>
      <c r="AG28" s="2725">
        <f>PnL!AG41*17%</f>
        <v>10555.813861661471</v>
      </c>
      <c r="AH28" s="2725">
        <f>PnL!AH41*17%</f>
        <v>1889.0235982855734</v>
      </c>
      <c r="AI28" s="2725">
        <f>PnL!AI41*17%</f>
        <v>9693.6936796987666</v>
      </c>
      <c r="AJ28" s="2725">
        <f>PnL!AJ41*17%</f>
        <v>4353.8082905091815</v>
      </c>
      <c r="AK28" s="2725">
        <f>PnL!AK41*17%</f>
        <v>11592.825443232206</v>
      </c>
      <c r="AL28" s="2725">
        <f>PnL!AL41*17%</f>
        <v>1824.9623802947795</v>
      </c>
      <c r="AM28" s="289"/>
      <c r="AN28" s="288">
        <f>[32]BS!AM29</f>
        <v>0</v>
      </c>
      <c r="AO28" s="288">
        <f>[32]BS!AN29</f>
        <v>0</v>
      </c>
      <c r="AP28" s="288">
        <f>[32]BS!AO29</f>
        <v>0</v>
      </c>
      <c r="AQ28" s="288">
        <f>[32]BS!AP29</f>
        <v>0</v>
      </c>
      <c r="AR28" s="288">
        <f>[32]BS!AQ29</f>
        <v>0</v>
      </c>
      <c r="AS28" s="288">
        <f>[32]BS!AR29</f>
        <v>0</v>
      </c>
      <c r="AT28" s="288">
        <f>[32]BS!AS29</f>
        <v>0</v>
      </c>
      <c r="AU28" s="288">
        <f>[32]BS!AT29</f>
        <v>0</v>
      </c>
      <c r="AV28" s="288">
        <f>[32]BS!AU29</f>
        <v>0</v>
      </c>
      <c r="AW28" s="288">
        <f>[32]BS!AV29</f>
        <v>0</v>
      </c>
      <c r="AX28" s="303">
        <f t="shared" ref="AX28" si="50">AW28</f>
        <v>0</v>
      </c>
      <c r="AY28" s="303">
        <f t="shared" ref="AY28:BC28" si="51">AX28</f>
        <v>0</v>
      </c>
      <c r="AZ28" s="303">
        <f t="shared" si="51"/>
        <v>0</v>
      </c>
      <c r="BA28" s="303">
        <f t="shared" si="51"/>
        <v>0</v>
      </c>
      <c r="BB28" s="303">
        <f t="shared" si="51"/>
        <v>0</v>
      </c>
      <c r="BC28" s="303">
        <f t="shared" si="51"/>
        <v>0</v>
      </c>
      <c r="BD28" s="289"/>
      <c r="BE28" s="288">
        <f>[32]BS!BE29</f>
        <v>2790</v>
      </c>
      <c r="BF28" s="288">
        <f>[32]BS!BF29</f>
        <v>6125</v>
      </c>
      <c r="BG28" s="288">
        <f>[32]BS!BG29</f>
        <v>13689</v>
      </c>
      <c r="BH28" s="288">
        <f>[32]BS!BH29</f>
        <v>17685</v>
      </c>
      <c r="BI28" s="288">
        <f>[32]BS!BI29</f>
        <v>20190</v>
      </c>
      <c r="BJ28" s="2725">
        <f>PnL!BJ41*17%</f>
        <v>24537.267549954842</v>
      </c>
      <c r="BK28" s="2725">
        <f>PnL!BK41*17%</f>
        <v>25772.098981104627</v>
      </c>
      <c r="BL28" s="2725">
        <f>PnL!BL41*17%</f>
        <v>27465.289793734933</v>
      </c>
      <c r="BM28" s="2725">
        <f>PnL!BM41*17%</f>
        <v>31082.961769699679</v>
      </c>
      <c r="BN28" s="2725">
        <f>PnL!BN41*17%</f>
        <v>34543.060803821791</v>
      </c>
      <c r="BO28" s="2725">
        <f>PnL!BO41*17%</f>
        <v>37677.184555432716</v>
      </c>
      <c r="BP28" s="2725">
        <f>PnL!BP41*17%</f>
        <v>40402.204471661913</v>
      </c>
      <c r="BQ28" s="2725">
        <f>PnL!BQ41*17%</f>
        <v>42701.078342989582</v>
      </c>
      <c r="BR28" s="2725">
        <f>PnL!BR41*17%</f>
        <v>44603.215427109171</v>
      </c>
      <c r="BS28" s="2725">
        <f>PnL!BS41*17%</f>
        <v>46141.772722355068</v>
      </c>
      <c r="BT28" s="203"/>
      <c r="BU28" s="203"/>
    </row>
    <row r="29" spans="1:73" ht="12.75" customHeight="1" x14ac:dyDescent="0.35">
      <c r="A29" s="285" t="s">
        <v>236</v>
      </c>
      <c r="B29" s="147"/>
      <c r="C29" s="291" t="s">
        <v>237</v>
      </c>
      <c r="D29" s="166"/>
      <c r="E29" s="166"/>
      <c r="F29" s="147"/>
      <c r="G29" s="197"/>
      <c r="H29" s="197"/>
      <c r="I29" s="197"/>
      <c r="J29" s="197"/>
      <c r="K29" s="288">
        <f>[32]BS!I30</f>
        <v>12577</v>
      </c>
      <c r="L29" s="288">
        <f>[32]BS!J30</f>
        <v>13422</v>
      </c>
      <c r="M29" s="288">
        <f>[32]BS!K30</f>
        <v>14494</v>
      </c>
      <c r="N29" s="288">
        <f>[32]BS!L30</f>
        <v>15052</v>
      </c>
      <c r="O29" s="288">
        <f>[32]BS!M30</f>
        <v>17312</v>
      </c>
      <c r="P29" s="288">
        <f>[32]BS!N30</f>
        <v>19665</v>
      </c>
      <c r="Q29" s="288">
        <f>[32]BS!O30</f>
        <v>22028</v>
      </c>
      <c r="R29" s="288">
        <f>[32]BS!P30</f>
        <v>22297</v>
      </c>
      <c r="S29" s="288">
        <f>[32]BS!Q30</f>
        <v>24436</v>
      </c>
      <c r="T29" s="288">
        <f>[32]BS!R30</f>
        <v>26625</v>
      </c>
      <c r="U29" s="288">
        <f>[32]BS!S30</f>
        <v>28944</v>
      </c>
      <c r="V29" s="288">
        <f>[32]BS!T30</f>
        <v>30795</v>
      </c>
      <c r="W29" s="288">
        <f>[32]BS!U30</f>
        <v>31917</v>
      </c>
      <c r="X29" s="288">
        <f>[32]BS!V30</f>
        <v>35422</v>
      </c>
      <c r="Y29" s="288">
        <f>[32]BS!W30</f>
        <v>37913</v>
      </c>
      <c r="Z29" s="288">
        <f>[32]BS!X30</f>
        <v>38338</v>
      </c>
      <c r="AA29" s="288">
        <f>[32]BS!Y30</f>
        <v>40797</v>
      </c>
      <c r="AB29" s="288">
        <f>[32]BS!Z30</f>
        <v>45905</v>
      </c>
      <c r="AC29" s="303">
        <f>PnL!AC12*8%</f>
        <v>16371.505470388309</v>
      </c>
      <c r="AD29" s="303">
        <f>PnL!AD12*8%</f>
        <v>12375.002287719495</v>
      </c>
      <c r="AE29" s="303">
        <f>PnL!AE12*8%</f>
        <v>15536.746022260773</v>
      </c>
      <c r="AF29" s="303">
        <f>PnL!AF12*8%</f>
        <v>16232.661340030365</v>
      </c>
      <c r="AG29" s="303">
        <f>PnL!AG12*8%</f>
        <v>20678.170615308125</v>
      </c>
      <c r="AH29" s="303">
        <f>PnL!AH12*8%</f>
        <v>15307.074448586576</v>
      </c>
      <c r="AI29" s="303">
        <f>PnL!AI12*8%</f>
        <v>19203.524682992902</v>
      </c>
      <c r="AJ29" s="303">
        <f>PnL!AJ12*8%</f>
        <v>20320.323264344599</v>
      </c>
      <c r="AK29" s="303">
        <f>PnL!AK12*8%</f>
        <v>25520.742914465303</v>
      </c>
      <c r="AL29" s="303">
        <f>PnL!AL12*8%</f>
        <v>18893.852499040073</v>
      </c>
      <c r="AM29" s="293"/>
      <c r="AN29" s="288">
        <f>[32]BS!AM30</f>
        <v>0</v>
      </c>
      <c r="AO29" s="288">
        <f>[32]BS!AN30</f>
        <v>0</v>
      </c>
      <c r="AP29" s="288">
        <f>[32]BS!AO30</f>
        <v>0</v>
      </c>
      <c r="AQ29" s="288">
        <f>[32]BS!AP30</f>
        <v>0</v>
      </c>
      <c r="AR29" s="288">
        <f>[32]BS!AQ30</f>
        <v>0</v>
      </c>
      <c r="AS29" s="288">
        <f>[32]BS!AR30</f>
        <v>0</v>
      </c>
      <c r="AT29" s="288">
        <f>[32]BS!AS30</f>
        <v>0</v>
      </c>
      <c r="AU29" s="288">
        <f>[32]BS!AT30</f>
        <v>0</v>
      </c>
      <c r="AV29" s="288">
        <f>[32]BS!AU30</f>
        <v>0</v>
      </c>
      <c r="AW29" s="288">
        <f>[32]BS!AV30</f>
        <v>0</v>
      </c>
      <c r="AX29" s="303" t="str">
        <f>IF(ISERR(PnL!AX19/PnL!AX19),"0",AW29)</f>
        <v>0</v>
      </c>
      <c r="AY29" s="303" t="str">
        <f>IF(ISERR(PnL!AY19/PnL!AY19),"0",AX29)</f>
        <v>0</v>
      </c>
      <c r="AZ29" s="303" t="str">
        <f>IF(ISERR(PnL!AZ19/PnL!AZ19),"0",AY29)</f>
        <v>0</v>
      </c>
      <c r="BA29" s="303" t="str">
        <f>IF(ISERR(PnL!BA19/PnL!BA19),"0",AZ29)</f>
        <v>0</v>
      </c>
      <c r="BB29" s="303" t="str">
        <f>IF(ISERR(PnL!BB19/PnL!BB19),"0",BA29)</f>
        <v>0</v>
      </c>
      <c r="BC29" s="303" t="str">
        <f>IF(ISERR(PnL!BC19/PnL!BC19),"0",BB29)</f>
        <v>0</v>
      </c>
      <c r="BD29" s="293"/>
      <c r="BE29" s="288">
        <f>[32]BS!BE30</f>
        <v>10297</v>
      </c>
      <c r="BF29" s="288">
        <f>[32]BS!BF30</f>
        <v>15052</v>
      </c>
      <c r="BG29" s="288">
        <f>[32]BS!BG30</f>
        <v>22297</v>
      </c>
      <c r="BH29" s="288">
        <f>[32]BS!BH30</f>
        <v>30795</v>
      </c>
      <c r="BI29" s="288">
        <f>[32]BS!BI30</f>
        <v>38338</v>
      </c>
      <c r="BJ29" s="303">
        <f>PnL!BJ12*8%</f>
        <v>53451.307758107803</v>
      </c>
      <c r="BK29" s="303">
        <f>PnL!BK12*8%</f>
        <v>67754.652426185829</v>
      </c>
      <c r="BL29" s="303">
        <f>PnL!BL12*8%</f>
        <v>83938.443360842881</v>
      </c>
      <c r="BM29" s="303">
        <f>PnL!BM12*8%</f>
        <v>101290.57847171996</v>
      </c>
      <c r="BN29" s="303">
        <f>PnL!BN12*8%</f>
        <v>118812.63448491314</v>
      </c>
      <c r="BO29" s="303">
        <f>PnL!BO12*8%</f>
        <v>135786.2063560168</v>
      </c>
      <c r="BP29" s="303">
        <f>PnL!BP12*8%</f>
        <v>151806.40146896424</v>
      </c>
      <c r="BQ29" s="303">
        <f>PnL!BQ12*8%</f>
        <v>166732.21182832064</v>
      </c>
      <c r="BR29" s="303">
        <f>PnL!BR12*8%</f>
        <v>180627.57378861171</v>
      </c>
      <c r="BS29" s="303">
        <f>PnL!BS12*8%</f>
        <v>193581.17022427489</v>
      </c>
      <c r="BT29" s="203"/>
      <c r="BU29" s="203"/>
    </row>
    <row r="30" spans="1:73" ht="12.75" customHeight="1" x14ac:dyDescent="0.35">
      <c r="A30" s="285" t="s">
        <v>238</v>
      </c>
      <c r="B30" s="147"/>
      <c r="C30" s="291" t="s">
        <v>239</v>
      </c>
      <c r="D30" s="166"/>
      <c r="E30" s="166"/>
      <c r="F30" s="147"/>
      <c r="G30" s="197"/>
      <c r="H30" s="197"/>
      <c r="I30" s="197"/>
      <c r="J30" s="197"/>
      <c r="K30" s="288">
        <f>[32]BS!I31</f>
        <v>41229</v>
      </c>
      <c r="L30" s="288">
        <f>[32]BS!J31</f>
        <v>45331</v>
      </c>
      <c r="M30" s="288">
        <f>[32]BS!K31</f>
        <v>58687</v>
      </c>
      <c r="N30" s="288">
        <f>[32]BS!L31</f>
        <v>57490</v>
      </c>
      <c r="O30" s="288">
        <f>[32]BS!M31</f>
        <v>63010</v>
      </c>
      <c r="P30" s="288">
        <f>[32]BS!N31</f>
        <v>71871</v>
      </c>
      <c r="Q30" s="288">
        <f>[32]BS!O31</f>
        <v>95489</v>
      </c>
      <c r="R30" s="288">
        <f>[32]BS!P31</f>
        <v>93796</v>
      </c>
      <c r="S30" s="288">
        <f>[32]BS!Q31</f>
        <v>111820</v>
      </c>
      <c r="T30" s="288">
        <f>[32]BS!R31</f>
        <v>120088</v>
      </c>
      <c r="U30" s="288">
        <f>[32]BS!S31</f>
        <v>139668</v>
      </c>
      <c r="V30" s="288">
        <f>[32]BS!T31</f>
        <v>136723</v>
      </c>
      <c r="W30" s="288">
        <f>[32]BS!U31</f>
        <v>138000</v>
      </c>
      <c r="X30" s="288">
        <f>[32]BS!V31</f>
        <v>167220</v>
      </c>
      <c r="Y30" s="288">
        <f>[32]BS!W31</f>
        <v>198447</v>
      </c>
      <c r="Z30" s="288">
        <f>[32]BS!X31</f>
        <v>178190</v>
      </c>
      <c r="AA30" s="288">
        <f>[32]BS!Y31</f>
        <v>180426</v>
      </c>
      <c r="AB30" s="288">
        <f>[32]BS!Z31</f>
        <v>192570</v>
      </c>
      <c r="AC30" s="303">
        <f>AB30</f>
        <v>192570</v>
      </c>
      <c r="AD30" s="303">
        <f t="shared" ref="AD30:AL30" si="52">AC30</f>
        <v>192570</v>
      </c>
      <c r="AE30" s="303">
        <f t="shared" si="52"/>
        <v>192570</v>
      </c>
      <c r="AF30" s="303">
        <f t="shared" si="52"/>
        <v>192570</v>
      </c>
      <c r="AG30" s="303">
        <f t="shared" si="52"/>
        <v>192570</v>
      </c>
      <c r="AH30" s="303">
        <f t="shared" si="52"/>
        <v>192570</v>
      </c>
      <c r="AI30" s="303">
        <f t="shared" si="52"/>
        <v>192570</v>
      </c>
      <c r="AJ30" s="303">
        <f t="shared" si="52"/>
        <v>192570</v>
      </c>
      <c r="AK30" s="303">
        <f t="shared" si="52"/>
        <v>192570</v>
      </c>
      <c r="AL30" s="303">
        <f t="shared" si="52"/>
        <v>192570</v>
      </c>
      <c r="AM30" s="293"/>
      <c r="AN30" s="288">
        <f>[32]BS!AM31</f>
        <v>0</v>
      </c>
      <c r="AO30" s="288">
        <f>[32]BS!AN31</f>
        <v>0</v>
      </c>
      <c r="AP30" s="288">
        <f>[32]BS!AO31</f>
        <v>0</v>
      </c>
      <c r="AQ30" s="288">
        <f>[32]BS!AP31</f>
        <v>0</v>
      </c>
      <c r="AR30" s="288">
        <f>[32]BS!AQ31</f>
        <v>0</v>
      </c>
      <c r="AS30" s="288">
        <f>[32]BS!AR31</f>
        <v>0</v>
      </c>
      <c r="AT30" s="288">
        <f>[32]BS!AS31</f>
        <v>0</v>
      </c>
      <c r="AU30" s="288">
        <f>[32]BS!AT31</f>
        <v>0</v>
      </c>
      <c r="AV30" s="288">
        <f>[32]BS!AU31</f>
        <v>0</v>
      </c>
      <c r="AW30" s="288">
        <f>[32]BS!AV31</f>
        <v>0</v>
      </c>
      <c r="AX30" s="303" t="str">
        <f>IF(ISERR(PnL!AX19/PnL!AX19),"0",AW30)</f>
        <v>0</v>
      </c>
      <c r="AY30" s="303" t="str">
        <f>IF(ISERR(PnL!AY19/PnL!AY19),"0",AX30)</f>
        <v>0</v>
      </c>
      <c r="AZ30" s="303" t="str">
        <f>IF(ISERR(PnL!AZ19/PnL!AZ19),"0",AY30)</f>
        <v>0</v>
      </c>
      <c r="BA30" s="303" t="str">
        <f>IF(ISERR(PnL!BA19/PnL!BA19),"0",AZ30)</f>
        <v>0</v>
      </c>
      <c r="BB30" s="303" t="str">
        <f>IF(ISERR(PnL!BB19/PnL!BB19),"0",BA30)</f>
        <v>0</v>
      </c>
      <c r="BC30" s="303" t="str">
        <f>IF(ISERR(PnL!BC19/PnL!BC19),"0",BB30)</f>
        <v>0</v>
      </c>
      <c r="BD30" s="293"/>
      <c r="BE30" s="288">
        <f>[32]BS!BE31</f>
        <v>34648</v>
      </c>
      <c r="BF30" s="288">
        <f>[32]BS!BF31</f>
        <v>57490</v>
      </c>
      <c r="BG30" s="288">
        <f>[32]BS!BG31</f>
        <v>93796</v>
      </c>
      <c r="BH30" s="288">
        <f>[32]BS!BH31</f>
        <v>136723</v>
      </c>
      <c r="BI30" s="288">
        <f>[32]BS!BI31</f>
        <v>178190</v>
      </c>
      <c r="BJ30" s="303">
        <f>AD30</f>
        <v>192570</v>
      </c>
      <c r="BK30" s="303">
        <f>AH30</f>
        <v>192570</v>
      </c>
      <c r="BL30" s="303">
        <f>AL30</f>
        <v>192570</v>
      </c>
      <c r="BM30" s="303">
        <f t="shared" ref="BM30:BS30" si="53">BL30</f>
        <v>192570</v>
      </c>
      <c r="BN30" s="303">
        <f t="shared" si="53"/>
        <v>192570</v>
      </c>
      <c r="BO30" s="303">
        <f t="shared" si="53"/>
        <v>192570</v>
      </c>
      <c r="BP30" s="303">
        <f t="shared" si="53"/>
        <v>192570</v>
      </c>
      <c r="BQ30" s="303">
        <f t="shared" si="53"/>
        <v>192570</v>
      </c>
      <c r="BR30" s="303">
        <f t="shared" si="53"/>
        <v>192570</v>
      </c>
      <c r="BS30" s="303">
        <f t="shared" si="53"/>
        <v>192570</v>
      </c>
      <c r="BT30" s="203" t="s">
        <v>1341</v>
      </c>
      <c r="BU30" s="203"/>
    </row>
    <row r="31" spans="1:73" s="2860" customFormat="1" ht="12.75" customHeight="1" x14ac:dyDescent="0.35">
      <c r="A31" s="287" t="s">
        <v>240</v>
      </c>
      <c r="B31" s="258" t="s">
        <v>241</v>
      </c>
      <c r="C31" s="182"/>
      <c r="D31" s="182"/>
      <c r="E31" s="182"/>
      <c r="F31" s="304"/>
      <c r="G31" s="258"/>
      <c r="H31" s="258"/>
      <c r="I31" s="258"/>
      <c r="J31" s="258"/>
      <c r="K31" s="294">
        <f>[32]BS!I32</f>
        <v>60838</v>
      </c>
      <c r="L31" s="294">
        <f>[32]BS!J32</f>
        <v>67431</v>
      </c>
      <c r="M31" s="294">
        <f>[32]BS!K32</f>
        <v>92596</v>
      </c>
      <c r="N31" s="294">
        <f>[32]BS!L32</f>
        <v>93564</v>
      </c>
      <c r="O31" s="294">
        <f>[32]BS!M32</f>
        <v>107006</v>
      </c>
      <c r="P31" s="294">
        <f>[32]BS!N32</f>
        <v>119534</v>
      </c>
      <c r="Q31" s="294">
        <f>[32]BS!O32</f>
        <v>136438</v>
      </c>
      <c r="R31" s="294">
        <f>[32]BS!P32</f>
        <v>135810</v>
      </c>
      <c r="S31" s="294">
        <f>[32]BS!Q32</f>
        <v>164196</v>
      </c>
      <c r="T31" s="294">
        <f>[32]BS!R32</f>
        <v>168096</v>
      </c>
      <c r="U31" s="294">
        <f>[32]BS!S32</f>
        <v>208772</v>
      </c>
      <c r="V31" s="294">
        <f>[32]BS!T32</f>
        <v>207669</v>
      </c>
      <c r="W31" s="294">
        <f>[32]BS!U32</f>
        <v>210700</v>
      </c>
      <c r="X31" s="294">
        <f>[32]BS!V32</f>
        <v>243949</v>
      </c>
      <c r="Y31" s="294">
        <f>[32]BS!W32</f>
        <v>262458</v>
      </c>
      <c r="Z31" s="294">
        <f>[32]BS!X32</f>
        <v>241872</v>
      </c>
      <c r="AA31" s="294">
        <f>[32]BS!Y32</f>
        <v>248093</v>
      </c>
      <c r="AB31" s="294">
        <f>[32]BS!Z32</f>
        <v>262942</v>
      </c>
      <c r="AC31" s="294">
        <f t="shared" ref="AC31" si="54">SUM(AC26:AC30)</f>
        <v>223564.15127432131</v>
      </c>
      <c r="AD31" s="294">
        <f>SUM(AD26:AD30)</f>
        <v>211676.09403374133</v>
      </c>
      <c r="AE31" s="294">
        <f t="shared" ref="AE31:AL31" si="55">SUM(AE26:AE30)</f>
        <v>221838.23914541013</v>
      </c>
      <c r="AF31" s="294">
        <f t="shared" si="55"/>
        <v>218204.4297380386</v>
      </c>
      <c r="AG31" s="294">
        <f t="shared" si="55"/>
        <v>228706.98447696958</v>
      </c>
      <c r="AH31" s="294">
        <f t="shared" si="55"/>
        <v>214669.09804687215</v>
      </c>
      <c r="AI31" s="294">
        <f t="shared" si="55"/>
        <v>226370.21836269167</v>
      </c>
      <c r="AJ31" s="294">
        <f t="shared" si="55"/>
        <v>222147.13155485378</v>
      </c>
      <c r="AK31" s="294">
        <f t="shared" si="55"/>
        <v>234586.56835769751</v>
      </c>
      <c r="AL31" s="294">
        <f t="shared" si="55"/>
        <v>218191.81487933485</v>
      </c>
      <c r="AM31" s="289"/>
      <c r="AN31" s="294">
        <f>[32]BS!AM32</f>
        <v>0</v>
      </c>
      <c r="AO31" s="294">
        <f>[32]BS!AN32</f>
        <v>0</v>
      </c>
      <c r="AP31" s="294">
        <f>[32]BS!AO32</f>
        <v>0</v>
      </c>
      <c r="AQ31" s="294">
        <f>[32]BS!AP32</f>
        <v>0</v>
      </c>
      <c r="AR31" s="294">
        <f>[32]BS!AQ32</f>
        <v>0</v>
      </c>
      <c r="AS31" s="294">
        <f>[32]BS!AR32</f>
        <v>0</v>
      </c>
      <c r="AT31" s="294">
        <f>[32]BS!AS32</f>
        <v>0</v>
      </c>
      <c r="AU31" s="294">
        <f>[32]BS!AT32</f>
        <v>0</v>
      </c>
      <c r="AV31" s="294">
        <f>[32]BS!AU32</f>
        <v>0</v>
      </c>
      <c r="AW31" s="294">
        <f>[32]BS!AV32</f>
        <v>0</v>
      </c>
      <c r="AX31" s="294" t="e">
        <f t="shared" ref="AX31" si="56">SUM(AX26:AX30)</f>
        <v>#DIV/0!</v>
      </c>
      <c r="AY31" s="294" t="e">
        <f>SUM(AY26:AY30)</f>
        <v>#DIV/0!</v>
      </c>
      <c r="AZ31" s="294" t="e">
        <f>SUM(AZ26:AZ30)</f>
        <v>#DIV/0!</v>
      </c>
      <c r="BA31" s="294" t="e">
        <f>SUM(BA26:BA30)</f>
        <v>#DIV/0!</v>
      </c>
      <c r="BB31" s="294" t="e">
        <f>SUM(BB26:BB30)</f>
        <v>#DIV/0!</v>
      </c>
      <c r="BC31" s="294" t="e">
        <f>SUM(BC26:BC30)</f>
        <v>#DIV/0!</v>
      </c>
      <c r="BD31" s="289"/>
      <c r="BE31" s="294">
        <f>[32]BS!BE32</f>
        <v>52039</v>
      </c>
      <c r="BF31" s="294">
        <f>[32]BS!BF32</f>
        <v>93564</v>
      </c>
      <c r="BG31" s="294">
        <f>[32]BS!BG32</f>
        <v>135810</v>
      </c>
      <c r="BH31" s="294">
        <f>[32]BS!BH32</f>
        <v>207669</v>
      </c>
      <c r="BI31" s="294">
        <f>[32]BS!BI32</f>
        <v>241872</v>
      </c>
      <c r="BJ31" s="289">
        <f>AD31</f>
        <v>211676.09403374133</v>
      </c>
      <c r="BK31" s="289">
        <f>AH31</f>
        <v>214669.09804687215</v>
      </c>
      <c r="BL31" s="289">
        <f>AL31</f>
        <v>218191.81487933485</v>
      </c>
      <c r="BM31" s="289">
        <f>BM26+BM27+BM28+BM29+BM30</f>
        <v>329846.54024141963</v>
      </c>
      <c r="BN31" s="289">
        <f t="shared" ref="BN31:BS31" si="57">BN26+BN27+BN28+BN29+BN30</f>
        <v>350828.69528873492</v>
      </c>
      <c r="BO31" s="289">
        <f t="shared" si="57"/>
        <v>370936.3909114495</v>
      </c>
      <c r="BP31" s="289">
        <f t="shared" si="57"/>
        <v>389681.60594062612</v>
      </c>
      <c r="BQ31" s="289">
        <f t="shared" si="57"/>
        <v>406906.29017131019</v>
      </c>
      <c r="BR31" s="289">
        <f t="shared" si="57"/>
        <v>422703.7892157209</v>
      </c>
      <c r="BS31" s="289">
        <f t="shared" si="57"/>
        <v>437195.94294662995</v>
      </c>
      <c r="BT31" s="2859"/>
      <c r="BU31" s="2859"/>
    </row>
    <row r="32" spans="1:73" ht="12.75" customHeight="1" x14ac:dyDescent="0.35">
      <c r="A32" s="287" t="s">
        <v>242</v>
      </c>
      <c r="B32" s="258"/>
      <c r="C32" s="182"/>
      <c r="D32" s="182"/>
      <c r="E32" s="182"/>
      <c r="F32" s="304"/>
      <c r="G32" s="258"/>
      <c r="H32" s="258"/>
      <c r="I32" s="258"/>
      <c r="J32" s="258"/>
      <c r="K32" s="288"/>
      <c r="L32" s="288"/>
      <c r="M32" s="288"/>
      <c r="N32" s="288"/>
      <c r="O32" s="288"/>
      <c r="P32" s="288"/>
      <c r="Q32" s="288"/>
      <c r="R32" s="288"/>
      <c r="S32" s="288"/>
      <c r="T32" s="288"/>
      <c r="U32" s="288"/>
      <c r="V32" s="288"/>
      <c r="W32" s="288"/>
      <c r="X32" s="288"/>
      <c r="Y32" s="288"/>
      <c r="Z32" s="288"/>
      <c r="AA32" s="288"/>
      <c r="AB32" s="288"/>
      <c r="AC32" s="288"/>
      <c r="AD32" s="288"/>
      <c r="AE32" s="288"/>
      <c r="AF32" s="288"/>
      <c r="AG32" s="288"/>
      <c r="AH32" s="288"/>
      <c r="AI32" s="288"/>
      <c r="AJ32" s="288"/>
      <c r="AK32" s="288"/>
      <c r="AL32" s="288"/>
      <c r="AM32" s="289"/>
      <c r="AN32" s="288"/>
      <c r="AO32" s="288"/>
      <c r="AP32" s="288"/>
      <c r="AQ32" s="288"/>
      <c r="AR32" s="288"/>
      <c r="AS32" s="288"/>
      <c r="AT32" s="288"/>
      <c r="AU32" s="288"/>
      <c r="AV32" s="288"/>
      <c r="AW32" s="288"/>
      <c r="AX32" s="288"/>
      <c r="AY32" s="288"/>
      <c r="AZ32" s="288"/>
      <c r="BA32" s="288"/>
      <c r="BB32" s="288"/>
      <c r="BC32" s="288"/>
      <c r="BD32" s="289"/>
      <c r="BE32" s="288"/>
      <c r="BF32" s="288"/>
      <c r="BG32" s="288"/>
      <c r="BH32" s="288"/>
      <c r="BI32" s="288"/>
      <c r="BJ32" s="288">
        <f t="shared" si="46"/>
        <v>0</v>
      </c>
      <c r="BK32" s="288">
        <f t="shared" si="47"/>
        <v>0</v>
      </c>
      <c r="BL32" s="288">
        <f t="shared" si="48"/>
        <v>0</v>
      </c>
      <c r="BM32" s="289"/>
      <c r="BN32" s="289"/>
      <c r="BO32" s="289"/>
      <c r="BP32" s="289"/>
      <c r="BQ32" s="289"/>
      <c r="BR32" s="289"/>
      <c r="BS32" s="289"/>
      <c r="BT32" s="203"/>
      <c r="BU32" s="203"/>
    </row>
    <row r="33" spans="1:73" ht="12.75" customHeight="1" x14ac:dyDescent="0.35">
      <c r="A33" s="285"/>
      <c r="B33" s="147"/>
      <c r="C33" s="291" t="s">
        <v>243</v>
      </c>
      <c r="D33" s="166"/>
      <c r="E33" s="166"/>
      <c r="F33" s="147"/>
      <c r="G33" s="197"/>
      <c r="H33" s="197"/>
      <c r="I33" s="197"/>
      <c r="J33" s="197"/>
      <c r="K33" s="288">
        <f>[32]BS!I34</f>
        <v>74510</v>
      </c>
      <c r="L33" s="288">
        <f>[32]BS!J34</f>
        <v>82575</v>
      </c>
      <c r="M33" s="288">
        <f>[32]BS!K34</f>
        <v>77146</v>
      </c>
      <c r="N33" s="288">
        <f>[32]BS!L34</f>
        <v>76835</v>
      </c>
      <c r="O33" s="288">
        <f>[32]BS!M34</f>
        <v>76863</v>
      </c>
      <c r="P33" s="288">
        <f>[32]BS!N34</f>
        <v>75373</v>
      </c>
      <c r="Q33" s="288">
        <f>[32]BS!O34</f>
        <v>122884</v>
      </c>
      <c r="R33" s="288">
        <f>[32]BS!P34</f>
        <v>119525</v>
      </c>
      <c r="S33" s="288">
        <f>[32]BS!Q34</f>
        <v>124400</v>
      </c>
      <c r="T33" s="288">
        <f>[32]BS!R34</f>
        <v>129194</v>
      </c>
      <c r="U33" s="288">
        <f>[32]BS!S34</f>
        <v>113241</v>
      </c>
      <c r="V33" s="288">
        <f>[32]BS!T34</f>
        <v>111834</v>
      </c>
      <c r="W33" s="288">
        <f>[32]BS!U34</f>
        <v>135770</v>
      </c>
      <c r="X33" s="288">
        <f>[32]BS!V34</f>
        <v>140922</v>
      </c>
      <c r="Y33" s="288">
        <f>[32]BS!W34</f>
        <v>137572</v>
      </c>
      <c r="Z33" s="288">
        <f>[32]BS!X34</f>
        <v>139676</v>
      </c>
      <c r="AA33" s="288">
        <f>[32]BS!Y34</f>
        <v>120894</v>
      </c>
      <c r="AB33" s="288">
        <f>[32]BS!Z34</f>
        <v>116885</v>
      </c>
      <c r="AC33" s="303">
        <f>IF(ISERR(PnL!AC19/PnL!AC19),"0",AB33)</f>
        <v>116885</v>
      </c>
      <c r="AD33" s="303">
        <f>IF(ISERR(PnL!AD19/PnL!AD19),"0",AC33)</f>
        <v>116885</v>
      </c>
      <c r="AE33" s="303">
        <f>IF(ISERR(PnL!AE19/PnL!AE19),"0",AD33)</f>
        <v>116885</v>
      </c>
      <c r="AF33" s="303">
        <f>IF(ISERR(PnL!AF19/PnL!AF19),"0",AE33)</f>
        <v>116885</v>
      </c>
      <c r="AG33" s="303">
        <f>IF(ISERR(PnL!AG19/PnL!AG19),"0",AF33)</f>
        <v>116885</v>
      </c>
      <c r="AH33" s="303">
        <f>IF(ISERR(PnL!AH19/PnL!AH19),"0",AG33)</f>
        <v>116885</v>
      </c>
      <c r="AI33" s="303">
        <f>IF(ISERR(PnL!AI19/PnL!AI19),"0",AH33)</f>
        <v>116885</v>
      </c>
      <c r="AJ33" s="303">
        <f>IF(ISERR(PnL!AJ19/PnL!AJ19),"0",AI33)</f>
        <v>116885</v>
      </c>
      <c r="AK33" s="303">
        <f>IF(ISERR(PnL!AK19/PnL!AK19),"0",AJ33)</f>
        <v>116885</v>
      </c>
      <c r="AL33" s="303">
        <f>IF(ISERR(PnL!AL19/PnL!AL19),"0",AK33)</f>
        <v>116885</v>
      </c>
      <c r="AM33" s="293"/>
      <c r="AN33" s="288">
        <f>[32]BS!AM34</f>
        <v>0</v>
      </c>
      <c r="AO33" s="288">
        <f>[32]BS!AN34</f>
        <v>0</v>
      </c>
      <c r="AP33" s="288">
        <f>[32]BS!AO34</f>
        <v>0</v>
      </c>
      <c r="AQ33" s="288">
        <f>[32]BS!AP34</f>
        <v>0</v>
      </c>
      <c r="AR33" s="288">
        <f>[32]BS!AQ34</f>
        <v>0</v>
      </c>
      <c r="AS33" s="288">
        <f>[32]BS!AR34</f>
        <v>0</v>
      </c>
      <c r="AT33" s="288">
        <f>[32]BS!AS34</f>
        <v>0</v>
      </c>
      <c r="AU33" s="288">
        <f>[32]BS!AT34</f>
        <v>0</v>
      </c>
      <c r="AV33" s="288">
        <f>[32]BS!AU34</f>
        <v>0</v>
      </c>
      <c r="AW33" s="288">
        <f>[32]BS!AV34</f>
        <v>0</v>
      </c>
      <c r="AX33" s="303" t="str">
        <f>IF(ISERR(PnL!AX19/PnL!AX19),"0",AW33)</f>
        <v>0</v>
      </c>
      <c r="AY33" s="303" t="str">
        <f>IF(ISERR(PnL!AY19/PnL!AY19),"0",AX33)</f>
        <v>0</v>
      </c>
      <c r="AZ33" s="303" t="str">
        <f>IF(ISERR(PnL!AZ19/PnL!AZ19),"0",AY33)</f>
        <v>0</v>
      </c>
      <c r="BA33" s="303" t="str">
        <f>IF(ISERR(PnL!BA19/PnL!BA19),"0",AZ33)</f>
        <v>0</v>
      </c>
      <c r="BB33" s="303" t="str">
        <f>IF(ISERR(PnL!BB19/PnL!BB19),"0",BA33)</f>
        <v>0</v>
      </c>
      <c r="BC33" s="303" t="str">
        <f>IF(ISERR(PnL!BC19/PnL!BC19),"0",BB33)</f>
        <v>0</v>
      </c>
      <c r="BD33" s="293"/>
      <c r="BE33" s="288">
        <f>[32]BS!BE34</f>
        <v>53467</v>
      </c>
      <c r="BF33" s="288">
        <f>[32]BS!BF34</f>
        <v>76835</v>
      </c>
      <c r="BG33" s="288">
        <f>[32]BS!BG34</f>
        <v>119525</v>
      </c>
      <c r="BH33" s="288">
        <f>[32]BS!BH34</f>
        <v>111834</v>
      </c>
      <c r="BI33" s="288">
        <f>[32]BS!BI34</f>
        <v>139676</v>
      </c>
      <c r="BJ33" s="303">
        <f t="shared" si="46"/>
        <v>116885</v>
      </c>
      <c r="BK33" s="303">
        <f t="shared" si="47"/>
        <v>116885</v>
      </c>
      <c r="BL33" s="303">
        <f t="shared" si="48"/>
        <v>116885</v>
      </c>
      <c r="BM33" s="2725">
        <f>BL33</f>
        <v>116885</v>
      </c>
      <c r="BN33" s="2725">
        <f t="shared" ref="BN33:BS34" si="58">BM33</f>
        <v>116885</v>
      </c>
      <c r="BO33" s="2725">
        <f t="shared" si="58"/>
        <v>116885</v>
      </c>
      <c r="BP33" s="2725">
        <f t="shared" si="58"/>
        <v>116885</v>
      </c>
      <c r="BQ33" s="2725">
        <f t="shared" si="58"/>
        <v>116885</v>
      </c>
      <c r="BR33" s="2725">
        <f t="shared" si="58"/>
        <v>116885</v>
      </c>
      <c r="BS33" s="2725">
        <f t="shared" si="58"/>
        <v>116885</v>
      </c>
      <c r="BT33" s="203"/>
      <c r="BU33" s="203"/>
    </row>
    <row r="34" spans="1:73" ht="12.75" customHeight="1" x14ac:dyDescent="0.35">
      <c r="A34" s="285" t="s">
        <v>244</v>
      </c>
      <c r="B34" s="147"/>
      <c r="C34" s="291" t="s">
        <v>245</v>
      </c>
      <c r="D34" s="166"/>
      <c r="E34" s="166"/>
      <c r="F34" s="147"/>
      <c r="G34" s="197"/>
      <c r="H34" s="197"/>
      <c r="I34" s="197"/>
      <c r="J34" s="197"/>
      <c r="K34" s="288">
        <f>[32]BS!I35</f>
        <v>8469</v>
      </c>
      <c r="L34" s="288">
        <f>[32]BS!J35</f>
        <v>10030</v>
      </c>
      <c r="M34" s="288">
        <f>[32]BS!K35</f>
        <v>9734</v>
      </c>
      <c r="N34" s="288">
        <f>[32]BS!L35</f>
        <v>10361</v>
      </c>
      <c r="O34" s="288">
        <f>[32]BS!M35</f>
        <v>12968</v>
      </c>
      <c r="P34" s="288">
        <f>[32]BS!N35</f>
        <v>13523</v>
      </c>
      <c r="Q34" s="288">
        <f>[32]BS!O35</f>
        <v>19076</v>
      </c>
      <c r="R34" s="288">
        <f>[32]BS!P35</f>
        <v>19312</v>
      </c>
      <c r="S34" s="288">
        <f>[32]BS!Q35</f>
        <v>26041</v>
      </c>
      <c r="T34" s="288">
        <f>[32]BS!R35</f>
        <v>19628</v>
      </c>
      <c r="U34" s="288">
        <f>[32]BS!S35</f>
        <v>21006</v>
      </c>
      <c r="V34" s="288">
        <f>[32]BS!T35</f>
        <v>22517</v>
      </c>
      <c r="W34" s="288">
        <f>[32]BS!U35</f>
        <v>21874</v>
      </c>
      <c r="X34" s="288">
        <f>[32]BS!V35</f>
        <v>41892</v>
      </c>
      <c r="Y34" s="288">
        <f>[32]BS!W35</f>
        <v>43879</v>
      </c>
      <c r="Z34" s="288">
        <f>[32]BS!X35</f>
        <v>43898</v>
      </c>
      <c r="AA34" s="288">
        <f>[32]BS!Y35</f>
        <v>46557</v>
      </c>
      <c r="AB34" s="288">
        <f>[32]BS!Z35</f>
        <v>48374</v>
      </c>
      <c r="AC34" s="303">
        <f t="shared" ref="AC34" si="59">AB34</f>
        <v>48374</v>
      </c>
      <c r="AD34" s="303">
        <f>AC34</f>
        <v>48374</v>
      </c>
      <c r="AE34" s="303">
        <f t="shared" ref="AE34:AL34" si="60">AD34</f>
        <v>48374</v>
      </c>
      <c r="AF34" s="303">
        <f t="shared" si="60"/>
        <v>48374</v>
      </c>
      <c r="AG34" s="303">
        <f t="shared" si="60"/>
        <v>48374</v>
      </c>
      <c r="AH34" s="303">
        <f t="shared" si="60"/>
        <v>48374</v>
      </c>
      <c r="AI34" s="303">
        <f t="shared" si="60"/>
        <v>48374</v>
      </c>
      <c r="AJ34" s="303">
        <f t="shared" si="60"/>
        <v>48374</v>
      </c>
      <c r="AK34" s="303">
        <f t="shared" si="60"/>
        <v>48374</v>
      </c>
      <c r="AL34" s="303">
        <f t="shared" si="60"/>
        <v>48374</v>
      </c>
      <c r="AM34" s="293"/>
      <c r="AN34" s="288">
        <f>[32]BS!AM35</f>
        <v>0</v>
      </c>
      <c r="AO34" s="288">
        <f>[32]BS!AN35</f>
        <v>0</v>
      </c>
      <c r="AP34" s="288">
        <f>[32]BS!AO35</f>
        <v>0</v>
      </c>
      <c r="AQ34" s="288">
        <f>[32]BS!AP35</f>
        <v>0</v>
      </c>
      <c r="AR34" s="288">
        <f>[32]BS!AQ35</f>
        <v>0</v>
      </c>
      <c r="AS34" s="288">
        <f>[32]BS!AR35</f>
        <v>0</v>
      </c>
      <c r="AT34" s="288">
        <f>[32]BS!AS35</f>
        <v>0</v>
      </c>
      <c r="AU34" s="288">
        <f>[32]BS!AT35</f>
        <v>0</v>
      </c>
      <c r="AV34" s="288">
        <f>[32]BS!AU35</f>
        <v>0</v>
      </c>
      <c r="AW34" s="288">
        <f>[32]BS!AV35</f>
        <v>0</v>
      </c>
      <c r="AX34" s="303">
        <f t="shared" ref="AX34" si="61">AW34</f>
        <v>0</v>
      </c>
      <c r="AY34" s="303">
        <f>AX34</f>
        <v>0</v>
      </c>
      <c r="AZ34" s="303">
        <f>AY34</f>
        <v>0</v>
      </c>
      <c r="BA34" s="303">
        <f>AZ34</f>
        <v>0</v>
      </c>
      <c r="BB34" s="303">
        <f>BA34</f>
        <v>0</v>
      </c>
      <c r="BC34" s="303">
        <f>BB34</f>
        <v>0</v>
      </c>
      <c r="BD34" s="293"/>
      <c r="BE34" s="288">
        <f>[32]BS!BE35</f>
        <v>6471</v>
      </c>
      <c r="BF34" s="288">
        <f>[32]BS!BF35</f>
        <v>10361</v>
      </c>
      <c r="BG34" s="288">
        <f>[32]BS!BG35</f>
        <v>19312</v>
      </c>
      <c r="BH34" s="288">
        <f>[32]BS!BH35</f>
        <v>22517</v>
      </c>
      <c r="BI34" s="288">
        <f>[32]BS!BI35</f>
        <v>43898</v>
      </c>
      <c r="BJ34" s="303">
        <f t="shared" si="46"/>
        <v>48374</v>
      </c>
      <c r="BK34" s="303">
        <f t="shared" si="47"/>
        <v>48374</v>
      </c>
      <c r="BL34" s="303">
        <f t="shared" si="48"/>
        <v>48374</v>
      </c>
      <c r="BM34" s="2725">
        <f>BL34</f>
        <v>48374</v>
      </c>
      <c r="BN34" s="2725">
        <f t="shared" si="58"/>
        <v>48374</v>
      </c>
      <c r="BO34" s="2725">
        <f t="shared" si="58"/>
        <v>48374</v>
      </c>
      <c r="BP34" s="2725">
        <f t="shared" si="58"/>
        <v>48374</v>
      </c>
      <c r="BQ34" s="2725">
        <f t="shared" si="58"/>
        <v>48374</v>
      </c>
      <c r="BR34" s="2725">
        <f t="shared" si="58"/>
        <v>48374</v>
      </c>
      <c r="BS34" s="2725">
        <f t="shared" si="58"/>
        <v>48374</v>
      </c>
      <c r="BT34" s="203"/>
      <c r="BU34" s="203"/>
    </row>
    <row r="35" spans="1:73" ht="12.75" customHeight="1" x14ac:dyDescent="0.35">
      <c r="A35" s="285" t="s">
        <v>246</v>
      </c>
      <c r="B35" s="147"/>
      <c r="C35" s="291" t="s">
        <v>247</v>
      </c>
      <c r="D35" s="166"/>
      <c r="E35" s="166"/>
      <c r="F35" s="147"/>
      <c r="G35" s="197"/>
      <c r="H35" s="197"/>
      <c r="I35" s="197"/>
      <c r="J35" s="197"/>
      <c r="K35" s="288">
        <f>[32]BS!I36</f>
        <v>3057</v>
      </c>
      <c r="L35" s="288">
        <f>[32]BS!J36</f>
        <v>3294</v>
      </c>
      <c r="M35" s="288">
        <f>[32]BS!K36</f>
        <v>1831</v>
      </c>
      <c r="N35" s="288">
        <f>[32]BS!L36</f>
        <v>1931</v>
      </c>
      <c r="O35" s="288">
        <f>[32]BS!M36</f>
        <v>2472</v>
      </c>
      <c r="P35" s="288">
        <f>[32]BS!N36</f>
        <v>2395</v>
      </c>
      <c r="Q35" s="288">
        <f>[32]BS!O36</f>
        <v>3084</v>
      </c>
      <c r="R35" s="288">
        <f>[32]BS!P36</f>
        <v>3038</v>
      </c>
      <c r="S35" s="288">
        <f>[32]BS!Q36</f>
        <v>6276</v>
      </c>
      <c r="T35" s="288">
        <f>[32]BS!R36</f>
        <v>6501</v>
      </c>
      <c r="U35" s="288">
        <f>[32]BS!S36</f>
        <v>6837</v>
      </c>
      <c r="V35" s="288">
        <f>[32]BS!T36</f>
        <v>7654</v>
      </c>
      <c r="W35" s="288">
        <f>[32]BS!U36</f>
        <v>5453</v>
      </c>
      <c r="X35" s="288">
        <f>[32]BS!V36</f>
        <v>5077</v>
      </c>
      <c r="Y35" s="288">
        <f>[32]BS!W36</f>
        <v>8476</v>
      </c>
      <c r="Z35" s="288">
        <f>[32]BS!X36</f>
        <v>7888</v>
      </c>
      <c r="AA35" s="288">
        <f>[32]BS!Y36</f>
        <v>25151</v>
      </c>
      <c r="AB35" s="288">
        <f>[32]BS!Z36</f>
        <v>24202</v>
      </c>
      <c r="AC35" s="2831">
        <f>IF('CHECK LIST'!$A$7="Yes",0,IF(ISERR(PnL!AC19/PnL!AC19),"0",AC23-AC31-AC33-AC34-AC44))</f>
        <v>-29182.110000000102</v>
      </c>
      <c r="AD35" s="2831">
        <f>IF('CHECK LIST'!$A$7="Yes",0,IF(ISERR(PnL!AD19/PnL!AD19),"0",AD23-AD31-AD33-AD34-AD44))</f>
        <v>-7243.6862348404247</v>
      </c>
      <c r="AE35" s="2831">
        <f>IF('CHECK LIST'!$A$7="Yes",0,IF(ISERR(PnL!AE19/PnL!AE19),"0",AE23-AE31-AE33-AE34-AE44))</f>
        <v>-57604.392325999914</v>
      </c>
      <c r="AF35" s="2831">
        <f>IF('CHECK LIST'!$A$7="Yes",0,IF(ISERR(PnL!AF19/PnL!AF19),"0",AF23-AF31-AF33-AF34-AF44))</f>
        <v>-50292.690595779801</v>
      </c>
      <c r="AG35" s="2831">
        <f>IF('CHECK LIST'!$A$7="Yes",0,IF(ISERR(PnL!AG19/PnL!AG19),"0",AG23-AG31-AG33-AG34-AG44))</f>
        <v>-114694.50211365335</v>
      </c>
      <c r="AH35" s="2831">
        <f>IF('CHECK LIST'!$A$7="Yes",0,IF(ISERR(PnL!AH19/PnL!AH19),"0",AH23-AH31-AH33-AH34-AH44))</f>
        <v>-94824.946170793148</v>
      </c>
      <c r="AI35" s="2831">
        <f>IF('CHECK LIST'!$A$7="Yes",0,IF(ISERR(PnL!AI19/PnL!AI19),"0",AI23-AI31-AI33-AI34-AI44))</f>
        <v>-146004.08889418491</v>
      </c>
      <c r="AJ35" s="2831">
        <f>IF('CHECK LIST'!$A$7="Yes",0,IF(ISERR(PnL!AJ19/PnL!AJ19),"0",AJ23-AJ31-AJ33-AJ34-AJ44))</f>
        <v>-139553.31705601048</v>
      </c>
      <c r="AK35" s="2831">
        <f>IF('CHECK LIST'!$A$7="Yes",0,IF(ISERR(PnL!AK19/PnL!AK19),"0",AK23-AK31-AK33-AK34-AK44))</f>
        <v>-207011.12229169044</v>
      </c>
      <c r="AL35" s="2831">
        <f>IF('CHECK LIST'!$A$7="Yes",0,IF(ISERR(PnL!AL19/PnL!AL19),"0",AL23-AL31-AL33-AL34-AL44))</f>
        <v>-173343.34079708299</v>
      </c>
      <c r="AM35" s="293"/>
      <c r="AN35" s="288">
        <f>[32]BS!AM36</f>
        <v>0</v>
      </c>
      <c r="AO35" s="288">
        <f>[32]BS!AN36</f>
        <v>0</v>
      </c>
      <c r="AP35" s="288">
        <f>[32]BS!AO36</f>
        <v>0</v>
      </c>
      <c r="AQ35" s="288">
        <f>[32]BS!AP36</f>
        <v>0</v>
      </c>
      <c r="AR35" s="288">
        <f>[32]BS!AQ36</f>
        <v>0</v>
      </c>
      <c r="AS35" s="288">
        <f>[32]BS!AR36</f>
        <v>0</v>
      </c>
      <c r="AT35" s="288">
        <f>[32]BS!AS36</f>
        <v>0</v>
      </c>
      <c r="AU35" s="288">
        <f>[32]BS!AT36</f>
        <v>0</v>
      </c>
      <c r="AV35" s="288">
        <f>[32]BS!AU36</f>
        <v>0</v>
      </c>
      <c r="AW35" s="288">
        <f>[32]BS!AV36</f>
        <v>0</v>
      </c>
      <c r="AX35" s="305" t="str">
        <f>IF('CHECK LIST'!$A$7="Yes",0,IF(ISERR(PnL!AX19/PnL!AX19),"0",AX23-AX31-AX33-AX34-AX44))</f>
        <v>0</v>
      </c>
      <c r="AY35" s="305" t="str">
        <f>IF('CHECK LIST'!$A$7="Yes",0,IF(ISERR(PnL!AY19/PnL!AY19),"0",AY23-AY31-AY33-AY34-AY44))</f>
        <v>0</v>
      </c>
      <c r="AZ35" s="305" t="str">
        <f>IF('CHECK LIST'!$A$7="Yes",0,IF(ISERR(PnL!AZ19/PnL!AZ19),"0",AZ23-AZ31-AZ33-AZ34-AZ44))</f>
        <v>0</v>
      </c>
      <c r="BA35" s="305" t="str">
        <f>IF('CHECK LIST'!$A$7="Yes",0,IF(ISERR(PnL!BA19/PnL!BA19),"0",BA23-BA31-BA33-BA34-BA44))</f>
        <v>0</v>
      </c>
      <c r="BB35" s="305" t="str">
        <f>IF('CHECK LIST'!$A$7="Yes",0,IF(ISERR(PnL!BB19/PnL!BB19),"0",BB23-BB31-BB33-BB34-BB44))</f>
        <v>0</v>
      </c>
      <c r="BC35" s="305" t="str">
        <f>IF('CHECK LIST'!$A$7="Yes",0,IF(ISERR(PnL!BC19/PnL!BC19),"0",BC23-BC31-BC33-BC34-BC44))</f>
        <v>0</v>
      </c>
      <c r="BD35" s="293"/>
      <c r="BE35" s="288">
        <f>[32]BS!BE36</f>
        <v>2584</v>
      </c>
      <c r="BF35" s="288">
        <f>[32]BS!BF36</f>
        <v>1931</v>
      </c>
      <c r="BG35" s="288">
        <f>[32]BS!BG36</f>
        <v>3038</v>
      </c>
      <c r="BH35" s="288">
        <f>[32]BS!BH36</f>
        <v>7654</v>
      </c>
      <c r="BI35" s="288">
        <f>[32]BS!BI36</f>
        <v>7888</v>
      </c>
      <c r="BJ35" s="303">
        <f t="shared" si="46"/>
        <v>-7243.6862348404247</v>
      </c>
      <c r="BK35" s="303">
        <f t="shared" si="47"/>
        <v>-94824.946170793148</v>
      </c>
      <c r="BL35" s="303">
        <f t="shared" si="48"/>
        <v>-173343.34079708299</v>
      </c>
      <c r="BM35" s="303">
        <f>IF('CHECK LIST'!$A$7="Yes",0,IF(ISERR(PnL!BM19/PnL!BM19),"0",BM23-BM31-BM33-BM34-BM44))</f>
        <v>-184192.04836205905</v>
      </c>
      <c r="BN35" s="303">
        <f>IF('CHECK LIST'!$A$7="Yes",0,IF(ISERR(PnL!BN19/PnL!BN19),"0",BN23-BN31-BN33-BN34-BN44))</f>
        <v>-231819.30803460698</v>
      </c>
      <c r="BO35" s="303">
        <f>IF('CHECK LIST'!$A$7="Yes",0,IF(ISERR(PnL!BO19/PnL!BO19),"0",BO23-BO31-BO33-BO34-BO44))</f>
        <v>-290400.86314088688</v>
      </c>
      <c r="BP35" s="303">
        <f>IF('CHECK LIST'!$A$7="Yes",0,IF(ISERR(PnL!BP19/PnL!BP19),"0",BP23-BP31-BP33-BP34-BP44))</f>
        <v>-353986.36625258299</v>
      </c>
      <c r="BQ35" s="303">
        <f>IF('CHECK LIST'!$A$7="Yes",0,IF(ISERR(PnL!BQ19/PnL!BQ19),"0",BQ23-BQ31-BQ33-BQ34-BQ44))</f>
        <v>-432456.49447363475</v>
      </c>
      <c r="BR35" s="303">
        <f>IF('CHECK LIST'!$A$7="Yes",0,IF(ISERR(PnL!BR19/PnL!BR19),"0",BR23-BR31-BR33-BR34-BR44))</f>
        <v>-527090.36081291363</v>
      </c>
      <c r="BS35" s="303">
        <f>IF('CHECK LIST'!$A$7="Yes",0,IF(ISERR(PnL!BS19/PnL!BS19),"0",BS23-BS31-BS33-BS34-BS44))</f>
        <v>-640831.59328644304</v>
      </c>
      <c r="BT35" s="2862" t="s">
        <v>1342</v>
      </c>
      <c r="BU35" s="203"/>
    </row>
    <row r="36" spans="1:73" s="2860" customFormat="1" ht="12.75" customHeight="1" x14ac:dyDescent="0.35">
      <c r="A36" s="287" t="s">
        <v>248</v>
      </c>
      <c r="B36" s="258" t="s">
        <v>249</v>
      </c>
      <c r="C36" s="182"/>
      <c r="D36" s="182"/>
      <c r="E36" s="182"/>
      <c r="F36" s="304"/>
      <c r="G36" s="258"/>
      <c r="H36" s="258"/>
      <c r="I36" s="258"/>
      <c r="J36" s="258"/>
      <c r="K36" s="294">
        <f>[32]BS!I37</f>
        <v>146874</v>
      </c>
      <c r="L36" s="294">
        <f>[32]BS!J37</f>
        <v>163330</v>
      </c>
      <c r="M36" s="294">
        <f>[32]BS!K37</f>
        <v>181307</v>
      </c>
      <c r="N36" s="294">
        <f>[32]BS!L37</f>
        <v>182691</v>
      </c>
      <c r="O36" s="294">
        <f>[32]BS!M37</f>
        <v>199309</v>
      </c>
      <c r="P36" s="294">
        <f>[32]BS!N37</f>
        <v>210825</v>
      </c>
      <c r="Q36" s="294">
        <f>[32]BS!O37</f>
        <v>281482</v>
      </c>
      <c r="R36" s="294">
        <f>[32]BS!P37</f>
        <v>277685</v>
      </c>
      <c r="S36" s="294">
        <f>[32]BS!Q37</f>
        <v>320913</v>
      </c>
      <c r="T36" s="294">
        <f>[32]BS!R37</f>
        <v>323419</v>
      </c>
      <c r="U36" s="294">
        <f>[32]BS!S37</f>
        <v>349856</v>
      </c>
      <c r="V36" s="294">
        <f>[32]BS!T37</f>
        <v>349674</v>
      </c>
      <c r="W36" s="294">
        <f>[32]BS!U37</f>
        <v>373797</v>
      </c>
      <c r="X36" s="294">
        <f>[32]BS!V37</f>
        <v>431840</v>
      </c>
      <c r="Y36" s="294">
        <f>[32]BS!W37</f>
        <v>452385</v>
      </c>
      <c r="Z36" s="294">
        <f>[32]BS!X37</f>
        <v>433334</v>
      </c>
      <c r="AA36" s="294">
        <f>[32]BS!Y37</f>
        <v>440695</v>
      </c>
      <c r="AB36" s="294">
        <f>[32]BS!Z37</f>
        <v>452403</v>
      </c>
      <c r="AC36" s="294">
        <f t="shared" ref="AC36" si="62">SUM(AC31:AC35)</f>
        <v>359641.04127432121</v>
      </c>
      <c r="AD36" s="294">
        <f>SUM(AD31:AD35)</f>
        <v>369691.40779890091</v>
      </c>
      <c r="AE36" s="294">
        <f t="shared" ref="AE36:AL36" si="63">SUM(AE31:AE35)</f>
        <v>329492.84681941022</v>
      </c>
      <c r="AF36" s="294">
        <f t="shared" si="63"/>
        <v>333170.73914225877</v>
      </c>
      <c r="AG36" s="294">
        <f t="shared" si="63"/>
        <v>279271.48236331623</v>
      </c>
      <c r="AH36" s="294">
        <f t="shared" si="63"/>
        <v>285103.15187607903</v>
      </c>
      <c r="AI36" s="294">
        <f t="shared" si="63"/>
        <v>245625.12946850678</v>
      </c>
      <c r="AJ36" s="294">
        <f t="shared" si="63"/>
        <v>247852.81449884328</v>
      </c>
      <c r="AK36" s="294">
        <f t="shared" si="63"/>
        <v>192834.44606600708</v>
      </c>
      <c r="AL36" s="294">
        <f t="shared" si="63"/>
        <v>210107.47408225189</v>
      </c>
      <c r="AM36" s="289"/>
      <c r="AN36" s="294">
        <f>[32]BS!AM37</f>
        <v>0</v>
      </c>
      <c r="AO36" s="294">
        <f>[32]BS!AN37</f>
        <v>0</v>
      </c>
      <c r="AP36" s="294">
        <f>[32]BS!AO37</f>
        <v>0</v>
      </c>
      <c r="AQ36" s="294">
        <f>[32]BS!AP37</f>
        <v>0</v>
      </c>
      <c r="AR36" s="294">
        <f>[32]BS!AQ37</f>
        <v>0</v>
      </c>
      <c r="AS36" s="294">
        <f>[32]BS!AR37</f>
        <v>0</v>
      </c>
      <c r="AT36" s="294">
        <f>[32]BS!AS37</f>
        <v>0</v>
      </c>
      <c r="AU36" s="294">
        <f>[32]BS!AT37</f>
        <v>0</v>
      </c>
      <c r="AV36" s="294">
        <f>[32]BS!AU37</f>
        <v>0</v>
      </c>
      <c r="AW36" s="294">
        <f>[32]BS!AV37</f>
        <v>0</v>
      </c>
      <c r="AX36" s="294" t="e">
        <f t="shared" ref="AX36" si="64">SUM(AX31:AX35)</f>
        <v>#DIV/0!</v>
      </c>
      <c r="AY36" s="294" t="e">
        <f>SUM(AY31:AY35)</f>
        <v>#DIV/0!</v>
      </c>
      <c r="AZ36" s="294" t="e">
        <f>SUM(AZ31:AZ35)</f>
        <v>#DIV/0!</v>
      </c>
      <c r="BA36" s="294" t="e">
        <f>SUM(BA31:BA35)</f>
        <v>#DIV/0!</v>
      </c>
      <c r="BB36" s="294" t="e">
        <f>SUM(BB31:BB35)</f>
        <v>#DIV/0!</v>
      </c>
      <c r="BC36" s="294" t="e">
        <f>SUM(BC31:BC35)</f>
        <v>#DIV/0!</v>
      </c>
      <c r="BD36" s="289"/>
      <c r="BE36" s="294">
        <f>[32]BS!BE37</f>
        <v>114561</v>
      </c>
      <c r="BF36" s="294">
        <f>[32]BS!BF37</f>
        <v>182691</v>
      </c>
      <c r="BG36" s="294">
        <f>[32]BS!BG37</f>
        <v>277685</v>
      </c>
      <c r="BH36" s="294">
        <f>[32]BS!BH37</f>
        <v>349674</v>
      </c>
      <c r="BI36" s="294">
        <f>[32]BS!BI37</f>
        <v>433334</v>
      </c>
      <c r="BJ36" s="294">
        <f t="shared" si="46"/>
        <v>369691.40779890091</v>
      </c>
      <c r="BK36" s="294">
        <f t="shared" si="47"/>
        <v>285103.15187607903</v>
      </c>
      <c r="BL36" s="294">
        <f t="shared" si="48"/>
        <v>210107.47408225189</v>
      </c>
      <c r="BM36" s="289">
        <f>BM31+BM33+BM34+BM35</f>
        <v>310913.49187936058</v>
      </c>
      <c r="BN36" s="289">
        <f t="shared" ref="BN36:BS36" si="65">BN31+BN33+BN34+BN35</f>
        <v>284268.38725412794</v>
      </c>
      <c r="BO36" s="289">
        <f t="shared" si="65"/>
        <v>245794.52777056256</v>
      </c>
      <c r="BP36" s="289">
        <f t="shared" si="65"/>
        <v>200954.23968804313</v>
      </c>
      <c r="BQ36" s="289">
        <f t="shared" si="65"/>
        <v>139708.79569767544</v>
      </c>
      <c r="BR36" s="289">
        <f t="shared" si="65"/>
        <v>60872.428402807331</v>
      </c>
      <c r="BS36" s="289">
        <f t="shared" si="65"/>
        <v>-38376.650339813088</v>
      </c>
      <c r="BT36" s="2859"/>
      <c r="BU36" s="2859"/>
    </row>
    <row r="37" spans="1:73" ht="12.75" customHeight="1" x14ac:dyDescent="0.35">
      <c r="A37" s="285" t="s">
        <v>250</v>
      </c>
      <c r="B37" s="197"/>
      <c r="C37" s="166"/>
      <c r="D37" s="166"/>
      <c r="E37" s="166"/>
      <c r="F37" s="147"/>
      <c r="G37" s="197"/>
      <c r="H37" s="197"/>
      <c r="I37" s="197"/>
      <c r="J37" s="197"/>
      <c r="K37" s="288"/>
      <c r="L37" s="288"/>
      <c r="M37" s="288"/>
      <c r="N37" s="288"/>
      <c r="O37" s="288"/>
      <c r="P37" s="288"/>
      <c r="Q37" s="288"/>
      <c r="R37" s="288"/>
      <c r="S37" s="288"/>
      <c r="T37" s="288"/>
      <c r="U37" s="288"/>
      <c r="V37" s="288"/>
      <c r="W37" s="288"/>
      <c r="X37" s="288"/>
      <c r="Y37" s="288"/>
      <c r="Z37" s="288"/>
      <c r="AA37" s="288"/>
      <c r="AB37" s="288"/>
      <c r="AC37" s="288"/>
      <c r="AD37" s="288"/>
      <c r="AE37" s="288"/>
      <c r="AF37" s="288"/>
      <c r="AG37" s="288"/>
      <c r="AH37" s="288"/>
      <c r="AI37" s="288"/>
      <c r="AJ37" s="288"/>
      <c r="AK37" s="288"/>
      <c r="AL37" s="288"/>
      <c r="AM37" s="293"/>
      <c r="AN37" s="288"/>
      <c r="AO37" s="288"/>
      <c r="AP37" s="288"/>
      <c r="AQ37" s="288"/>
      <c r="AR37" s="288"/>
      <c r="AS37" s="288"/>
      <c r="AT37" s="288"/>
      <c r="AU37" s="288"/>
      <c r="AV37" s="288"/>
      <c r="AW37" s="288"/>
      <c r="AX37" s="288"/>
      <c r="AY37" s="288"/>
      <c r="AZ37" s="288"/>
      <c r="BA37" s="288"/>
      <c r="BB37" s="288"/>
      <c r="BC37" s="288"/>
      <c r="BD37" s="293"/>
      <c r="BE37" s="288"/>
      <c r="BF37" s="288"/>
      <c r="BG37" s="288"/>
      <c r="BH37" s="288"/>
      <c r="BI37" s="288"/>
      <c r="BJ37" s="288">
        <f t="shared" si="46"/>
        <v>0</v>
      </c>
      <c r="BK37" s="288">
        <f t="shared" si="47"/>
        <v>0</v>
      </c>
      <c r="BL37" s="288">
        <f t="shared" si="48"/>
        <v>0</v>
      </c>
      <c r="BM37" s="293"/>
      <c r="BN37" s="293"/>
      <c r="BO37" s="293"/>
      <c r="BP37" s="293"/>
      <c r="BQ37" s="293"/>
      <c r="BR37" s="293"/>
      <c r="BS37" s="293"/>
      <c r="BT37" s="203"/>
      <c r="BU37" s="203"/>
    </row>
    <row r="38" spans="1:73" ht="12.75" customHeight="1" x14ac:dyDescent="0.35">
      <c r="A38" s="287"/>
      <c r="B38" s="147"/>
      <c r="C38" s="291" t="s">
        <v>251</v>
      </c>
      <c r="D38" s="166"/>
      <c r="E38" s="166"/>
      <c r="F38" s="147"/>
      <c r="G38" s="197"/>
      <c r="H38" s="197"/>
      <c r="I38" s="197"/>
      <c r="J38" s="197"/>
      <c r="K38" s="288">
        <f>[32]BS!I39</f>
        <v>4424</v>
      </c>
      <c r="L38" s="288">
        <f>[32]BS!J39</f>
        <v>3863</v>
      </c>
      <c r="M38" s="288">
        <f>[32]BS!K39</f>
        <v>3547</v>
      </c>
      <c r="N38" s="288">
        <f>[32]BS!L39</f>
        <v>2992</v>
      </c>
      <c r="O38" s="288">
        <f>[32]BS!M39</f>
        <v>763</v>
      </c>
      <c r="P38" s="288">
        <f>[32]BS!N39</f>
        <v>898</v>
      </c>
      <c r="Q38" s="288">
        <f>[32]BS!O39</f>
        <v>2979</v>
      </c>
      <c r="R38" s="288">
        <f>[32]BS!P39</f>
        <v>3001</v>
      </c>
      <c r="S38" s="288">
        <f>[32]BS!Q39</f>
        <v>3155</v>
      </c>
      <c r="T38" s="288">
        <f>[32]BS!R39</f>
        <v>6001</v>
      </c>
      <c r="U38" s="288">
        <f>[32]BS!S39</f>
        <v>7165</v>
      </c>
      <c r="V38" s="288">
        <f>[32]BS!T39</f>
        <v>6819</v>
      </c>
      <c r="W38" s="288">
        <f>[32]BS!U39</f>
        <v>7091</v>
      </c>
      <c r="X38" s="288">
        <f>[32]BS!V39</f>
        <v>7506</v>
      </c>
      <c r="Y38" s="288">
        <f>[32]BS!W39</f>
        <v>7795</v>
      </c>
      <c r="Z38" s="288">
        <f>[32]BS!X39</f>
        <v>9103</v>
      </c>
      <c r="AA38" s="288">
        <f>[32]BS!Y39</f>
        <v>7820</v>
      </c>
      <c r="AB38" s="288">
        <f>[32]BS!Z39</f>
        <v>8033</v>
      </c>
      <c r="AC38" s="303">
        <f>IF(ISERR(PnL!AC19/PnL!AC19),"0",AB38)</f>
        <v>8033</v>
      </c>
      <c r="AD38" s="303">
        <f>IF(ISERR(PnL!AD19/PnL!AD19),"0",AC38)</f>
        <v>8033</v>
      </c>
      <c r="AE38" s="303">
        <f>IF(ISERR(PnL!AE19/PnL!AE19),"0",AD38)</f>
        <v>8033</v>
      </c>
      <c r="AF38" s="303">
        <f>IF(ISERR(PnL!AF19/PnL!AF19),"0",AE38)</f>
        <v>8033</v>
      </c>
      <c r="AG38" s="303">
        <f>IF(ISERR(PnL!AG19/PnL!AG19),"0",AF38)</f>
        <v>8033</v>
      </c>
      <c r="AH38" s="303">
        <f>IF(ISERR(PnL!AH19/PnL!AH19),"0",AG38)</f>
        <v>8033</v>
      </c>
      <c r="AI38" s="303">
        <f>IF(ISERR(PnL!AI19/PnL!AI19),"0",AH38)</f>
        <v>8033</v>
      </c>
      <c r="AJ38" s="303">
        <f>IF(ISERR(PnL!AJ19/PnL!AJ19),"0",AI38)</f>
        <v>8033</v>
      </c>
      <c r="AK38" s="303">
        <f>IF(ISERR(PnL!AK19/PnL!AK19),"0",AJ38)</f>
        <v>8033</v>
      </c>
      <c r="AL38" s="303">
        <f>IF(ISERR(PnL!AL19/PnL!AL19),"0",AK38)</f>
        <v>8033</v>
      </c>
      <c r="AM38" s="289"/>
      <c r="AN38" s="288">
        <f>[32]BS!AM39</f>
        <v>0</v>
      </c>
      <c r="AO38" s="288">
        <f>[32]BS!AN39</f>
        <v>0</v>
      </c>
      <c r="AP38" s="288">
        <f>[32]BS!AO39</f>
        <v>0</v>
      </c>
      <c r="AQ38" s="288">
        <f>[32]BS!AP39</f>
        <v>0</v>
      </c>
      <c r="AR38" s="288">
        <f>[32]BS!AQ39</f>
        <v>0</v>
      </c>
      <c r="AS38" s="288">
        <f>[32]BS!AR39</f>
        <v>0</v>
      </c>
      <c r="AT38" s="288">
        <f>[32]BS!AS39</f>
        <v>0</v>
      </c>
      <c r="AU38" s="288">
        <f>[32]BS!AT39</f>
        <v>0</v>
      </c>
      <c r="AV38" s="288">
        <f>[32]BS!AU39</f>
        <v>0</v>
      </c>
      <c r="AW38" s="288">
        <f>[32]BS!AV39</f>
        <v>0</v>
      </c>
      <c r="AX38" s="303" t="str">
        <f>IF(ISERR(PnL!AX19/PnL!AX19),"0",AW38)</f>
        <v>0</v>
      </c>
      <c r="AY38" s="303" t="str">
        <f>IF(ISERR(PnL!AY19/PnL!AY19),"0",AX38)</f>
        <v>0</v>
      </c>
      <c r="AZ38" s="303" t="str">
        <f>IF(ISERR(PnL!AZ19/PnL!AZ19),"0",AY38)</f>
        <v>0</v>
      </c>
      <c r="BA38" s="303" t="str">
        <f>IF(ISERR(PnL!BA19/PnL!BA19),"0",AZ38)</f>
        <v>0</v>
      </c>
      <c r="BB38" s="303" t="str">
        <f>IF(ISERR(PnL!BB19/PnL!BB19),"0",BA38)</f>
        <v>0</v>
      </c>
      <c r="BC38" s="303" t="str">
        <f>IF(ISERR(PnL!BC19/PnL!BC19),"0",BB38)</f>
        <v>0</v>
      </c>
      <c r="BD38" s="289"/>
      <c r="BE38" s="288">
        <f>[32]BS!BE39</f>
        <v>350</v>
      </c>
      <c r="BF38" s="288">
        <f>[32]BS!BF39</f>
        <v>2992</v>
      </c>
      <c r="BG38" s="288">
        <f>[32]BS!BG39</f>
        <v>3001</v>
      </c>
      <c r="BH38" s="288">
        <f>[32]BS!BH39</f>
        <v>6819</v>
      </c>
      <c r="BI38" s="288">
        <f>[32]BS!BI39</f>
        <v>9103</v>
      </c>
      <c r="BJ38" s="303">
        <f t="shared" si="46"/>
        <v>8033</v>
      </c>
      <c r="BK38" s="303">
        <f t="shared" si="47"/>
        <v>8033</v>
      </c>
      <c r="BL38" s="303">
        <f t="shared" si="48"/>
        <v>8033</v>
      </c>
      <c r="BM38" s="2725">
        <f>BL38</f>
        <v>8033</v>
      </c>
      <c r="BN38" s="2725">
        <f t="shared" ref="BN38:BS38" si="66">BM38</f>
        <v>8033</v>
      </c>
      <c r="BO38" s="2725">
        <f t="shared" si="66"/>
        <v>8033</v>
      </c>
      <c r="BP38" s="2725">
        <f t="shared" si="66"/>
        <v>8033</v>
      </c>
      <c r="BQ38" s="2725">
        <f t="shared" si="66"/>
        <v>8033</v>
      </c>
      <c r="BR38" s="2725">
        <f t="shared" si="66"/>
        <v>8033</v>
      </c>
      <c r="BS38" s="2725">
        <f t="shared" si="66"/>
        <v>8033</v>
      </c>
      <c r="BT38" s="203"/>
      <c r="BU38" s="203"/>
    </row>
    <row r="39" spans="1:73" ht="12.75" customHeight="1" x14ac:dyDescent="0.35">
      <c r="A39" s="285" t="s">
        <v>252</v>
      </c>
      <c r="B39" s="147"/>
      <c r="C39" s="291" t="s">
        <v>253</v>
      </c>
      <c r="D39" s="166"/>
      <c r="E39" s="166"/>
      <c r="F39" s="147"/>
      <c r="G39" s="197"/>
      <c r="H39" s="197"/>
      <c r="I39" s="197"/>
      <c r="J39" s="197"/>
      <c r="K39" s="288">
        <f>[32]BS!I40</f>
        <v>150554</v>
      </c>
      <c r="L39" s="288">
        <f>[32]BS!J40</f>
        <v>154928</v>
      </c>
      <c r="M39" s="288">
        <f>[32]BS!K40</f>
        <v>158597</v>
      </c>
      <c r="N39" s="288">
        <f>[32]BS!L40</f>
        <v>164586</v>
      </c>
      <c r="O39" s="288">
        <f>[32]BS!M40</f>
        <v>170708</v>
      </c>
      <c r="P39" s="288">
        <f>[32]BS!N40</f>
        <v>175187</v>
      </c>
      <c r="Q39" s="288">
        <f>[32]BS!O40</f>
        <v>179687</v>
      </c>
      <c r="R39" s="288">
        <f>[32]BS!P40</f>
        <v>186765</v>
      </c>
      <c r="S39" s="288">
        <f>[32]BS!Q40</f>
        <v>203368</v>
      </c>
      <c r="T39" s="288">
        <f>[32]BS!R40</f>
        <v>212683</v>
      </c>
      <c r="U39" s="288">
        <f>[32]BS!S40</f>
        <v>225329</v>
      </c>
      <c r="V39" s="288">
        <f>[32]BS!T40</f>
        <v>231784</v>
      </c>
      <c r="W39" s="288">
        <f>[32]BS!U40</f>
        <v>238024</v>
      </c>
      <c r="X39" s="288">
        <f>[32]BS!V40</f>
        <v>246074</v>
      </c>
      <c r="Y39" s="288">
        <f>[32]BS!W40</f>
        <v>337047</v>
      </c>
      <c r="Z39" s="288">
        <f>[32]BS!X40</f>
        <v>343708</v>
      </c>
      <c r="AA39" s="288">
        <f>[32]BS!Y40</f>
        <v>349743</v>
      </c>
      <c r="AB39" s="288">
        <f>[32]BS!Z40</f>
        <v>377770</v>
      </c>
      <c r="AC39" s="303">
        <f>IF(ISERR(PnL!AC19/PnL!AC19),"0",AB39)</f>
        <v>377770</v>
      </c>
      <c r="AD39" s="303">
        <f>IF(ISERR(PnL!AD19/PnL!AD19),"0",AC39)</f>
        <v>377770</v>
      </c>
      <c r="AE39" s="303">
        <f>IF(ISERR(PnL!AE19/PnL!AE19),"0",AD39)</f>
        <v>377770</v>
      </c>
      <c r="AF39" s="303">
        <f>IF(ISERR(PnL!AF19/PnL!AF19),"0",AE39)</f>
        <v>377770</v>
      </c>
      <c r="AG39" s="303">
        <f>IF(ISERR(PnL!AG19/PnL!AG19),"0",AF39)</f>
        <v>377770</v>
      </c>
      <c r="AH39" s="303">
        <f>IF(ISERR(PnL!AH19/PnL!AH19),"0",AG39)</f>
        <v>377770</v>
      </c>
      <c r="AI39" s="303">
        <f>IF(ISERR(PnL!AI19/PnL!AI19),"0",AH39)</f>
        <v>377770</v>
      </c>
      <c r="AJ39" s="303">
        <f>IF(ISERR(PnL!AJ19/PnL!AJ19),"0",AI39)</f>
        <v>377770</v>
      </c>
      <c r="AK39" s="303">
        <f>IF(ISERR(PnL!AK19/PnL!AK19),"0",AJ39)</f>
        <v>377770</v>
      </c>
      <c r="AL39" s="303">
        <f>IF(ISERR(PnL!AL19/PnL!AL19),"0",AK39)</f>
        <v>377770</v>
      </c>
      <c r="AM39" s="293"/>
      <c r="AN39" s="288">
        <f>[32]BS!AM40</f>
        <v>0</v>
      </c>
      <c r="AO39" s="288">
        <f>[32]BS!AN40</f>
        <v>0</v>
      </c>
      <c r="AP39" s="288">
        <f>[32]BS!AO40</f>
        <v>0</v>
      </c>
      <c r="AQ39" s="288">
        <f>[32]BS!AP40</f>
        <v>0</v>
      </c>
      <c r="AR39" s="288">
        <f>[32]BS!AQ40</f>
        <v>0</v>
      </c>
      <c r="AS39" s="288">
        <f>[32]BS!AR40</f>
        <v>0</v>
      </c>
      <c r="AT39" s="288">
        <f>[32]BS!AS40</f>
        <v>0</v>
      </c>
      <c r="AU39" s="288">
        <f>[32]BS!AT40</f>
        <v>0</v>
      </c>
      <c r="AV39" s="288">
        <f>[32]BS!AU40</f>
        <v>0</v>
      </c>
      <c r="AW39" s="288">
        <f>[32]BS!AV40</f>
        <v>0</v>
      </c>
      <c r="AX39" s="303" t="str">
        <f>IF(ISERR(PnL!AX19/PnL!AX19),"0",AW39)</f>
        <v>0</v>
      </c>
      <c r="AY39" s="303" t="str">
        <f>IF(ISERR(PnL!AY19/PnL!AY19),"0",AX39)</f>
        <v>0</v>
      </c>
      <c r="AZ39" s="303" t="str">
        <f>IF(ISERR(PnL!AZ19/PnL!AZ19),"0",AY39)</f>
        <v>0</v>
      </c>
      <c r="BA39" s="303" t="str">
        <f>IF(ISERR(PnL!BA19/PnL!BA19),"0",AZ39)</f>
        <v>0</v>
      </c>
      <c r="BB39" s="303" t="str">
        <f>IF(ISERR(PnL!BB19/PnL!BB19),"0",BA39)</f>
        <v>0</v>
      </c>
      <c r="BC39" s="303" t="str">
        <f>IF(ISERR(PnL!BC19/PnL!BC19),"0",BB39)</f>
        <v>0</v>
      </c>
      <c r="BD39" s="293"/>
      <c r="BE39" s="288">
        <f>[32]BS!BE40</f>
        <v>132207</v>
      </c>
      <c r="BF39" s="288">
        <f>[32]BS!BF40</f>
        <v>164586</v>
      </c>
      <c r="BG39" s="288">
        <f>[32]BS!BG40</f>
        <v>186765</v>
      </c>
      <c r="BH39" s="288">
        <f>[32]BS!BH40</f>
        <v>231784</v>
      </c>
      <c r="BI39" s="288">
        <f>[32]BS!BI40</f>
        <v>343708</v>
      </c>
      <c r="BJ39" s="303">
        <f t="shared" si="46"/>
        <v>377770</v>
      </c>
      <c r="BK39" s="303">
        <f t="shared" si="47"/>
        <v>377770</v>
      </c>
      <c r="BL39" s="303">
        <f t="shared" si="48"/>
        <v>377770</v>
      </c>
      <c r="BM39" s="303">
        <f>IF(ISERR(PnL!BM19/PnL!BM19),"0",BL39)</f>
        <v>377770</v>
      </c>
      <c r="BN39" s="303">
        <f>IF(ISERR(PnL!BN19/PnL!BN19),"0",BM39)</f>
        <v>377770</v>
      </c>
      <c r="BO39" s="303">
        <f>IF(ISERR(PnL!BO19/PnL!BO19),"0",BN39)</f>
        <v>377770</v>
      </c>
      <c r="BP39" s="303">
        <f>IF(ISERR(PnL!BP19/PnL!BP19),"0",BO39)</f>
        <v>377770</v>
      </c>
      <c r="BQ39" s="303">
        <f>IF(ISERR(PnL!BQ19/PnL!BQ19),"0",BP39)</f>
        <v>377770</v>
      </c>
      <c r="BR39" s="303">
        <f>IF(ISERR(PnL!BR19/PnL!BR19),"0",BQ39)</f>
        <v>377770</v>
      </c>
      <c r="BS39" s="303">
        <f>IF(ISERR(PnL!BS19/PnL!BS19),"0",BR39)</f>
        <v>377770</v>
      </c>
      <c r="BT39" s="203"/>
      <c r="BU39" s="203"/>
    </row>
    <row r="40" spans="1:73" ht="12.75" customHeight="1" x14ac:dyDescent="0.35">
      <c r="A40" s="287" t="s">
        <v>254</v>
      </c>
      <c r="B40" s="147"/>
      <c r="C40" s="291" t="s">
        <v>255</v>
      </c>
      <c r="D40" s="166"/>
      <c r="E40" s="166"/>
      <c r="F40" s="147"/>
      <c r="G40" s="197"/>
      <c r="H40" s="197"/>
      <c r="I40" s="197"/>
      <c r="J40" s="197"/>
      <c r="K40" s="288">
        <f>[32]BS!I41</f>
        <v>72992</v>
      </c>
      <c r="L40" s="288">
        <f>[32]BS!J41</f>
        <v>80484</v>
      </c>
      <c r="M40" s="288">
        <f>[32]BS!K41</f>
        <v>97969</v>
      </c>
      <c r="N40" s="288">
        <f>[32]BS!L41</f>
        <v>108558</v>
      </c>
      <c r="O40" s="288">
        <f>[32]BS!M41</f>
        <v>123271</v>
      </c>
      <c r="P40" s="288">
        <f>[32]BS!N41</f>
        <v>140872</v>
      </c>
      <c r="Q40" s="288">
        <f>[32]BS!O41</f>
        <v>164879</v>
      </c>
      <c r="R40" s="288">
        <f>[32]BS!P41</f>
        <v>172353</v>
      </c>
      <c r="S40" s="288">
        <f>[32]BS!Q41</f>
        <v>189119</v>
      </c>
      <c r="T40" s="288">
        <f>[32]BS!R41</f>
        <v>207847</v>
      </c>
      <c r="U40" s="288">
        <f>[32]BS!S41</f>
        <v>232850</v>
      </c>
      <c r="V40" s="288">
        <f>[32]BS!T41</f>
        <v>257886</v>
      </c>
      <c r="W40" s="288">
        <f>[32]BS!U41</f>
        <v>279236</v>
      </c>
      <c r="X40" s="288">
        <f>[32]BS!V41</f>
        <v>351412</v>
      </c>
      <c r="Y40" s="288">
        <f>[32]BS!W41</f>
        <v>403198</v>
      </c>
      <c r="Z40" s="288">
        <f>[32]BS!X41</f>
        <v>406287</v>
      </c>
      <c r="AA40" s="288">
        <f>[32]BS!Y41</f>
        <v>453528</v>
      </c>
      <c r="AB40" s="288">
        <f>[32]BS!Z41</f>
        <v>481920</v>
      </c>
      <c r="AC40" s="288">
        <f>IF(ISERR(AB40/AB40),"-",AB40+PnL!AC41+CF!AC29)</f>
        <v>539094.38708195882</v>
      </c>
      <c r="AD40" s="288">
        <f>IF(ISERR(AC40/AC40),"-",AC40+PnL!AD41+CF!AD29)</f>
        <v>549847.86794091074</v>
      </c>
      <c r="AE40" s="288">
        <f>IF(ISERR(AD40/AD40),"-",AD40+PnL!AE41+CF!AE29)</f>
        <v>601780.18043002463</v>
      </c>
      <c r="AF40" s="288">
        <f>IF(ISERR(AE40/AE40),"-",AE40+PnL!AF41+CF!AF29)</f>
        <v>628243.52394772007</v>
      </c>
      <c r="AG40" s="288">
        <f>IF(ISERR(AF40/AF40),"-",AF40+PnL!AG41+CF!AG29)</f>
        <v>690336.5466633758</v>
      </c>
      <c r="AH40" s="288">
        <f>IF(ISERR(AG40/AG40),"-",AG40+PnL!AH41+CF!AH29)</f>
        <v>701448.45018270274</v>
      </c>
      <c r="AI40" s="288">
        <f>IF(ISERR(AH40/AH40),"-",AH40+PnL!AI41+CF!AI29)</f>
        <v>758470.17771034257</v>
      </c>
      <c r="AJ40" s="288">
        <f>IF(ISERR(AI40/AI40),"-",AI40+PnL!AJ41+CF!AJ29)</f>
        <v>784080.81471333781</v>
      </c>
      <c r="AK40" s="288">
        <f>IF(ISERR(AJ40/AJ40),"-",AJ40+PnL!AK41+CF!AK29)</f>
        <v>852273.90555588016</v>
      </c>
      <c r="AL40" s="288">
        <f>IF(ISERR(AK40/AK40),"-",AK40+PnL!AL41+CF!AL29)</f>
        <v>863008.97838114353</v>
      </c>
      <c r="AM40" s="289"/>
      <c r="AN40" s="288">
        <f>[32]BS!AM41</f>
        <v>0</v>
      </c>
      <c r="AO40" s="288">
        <f>[32]BS!AN41</f>
        <v>0</v>
      </c>
      <c r="AP40" s="288">
        <f>[32]BS!AO41</f>
        <v>0</v>
      </c>
      <c r="AQ40" s="288">
        <f>[32]BS!AP41</f>
        <v>0</v>
      </c>
      <c r="AR40" s="288">
        <f>[32]BS!AQ41</f>
        <v>0</v>
      </c>
      <c r="AS40" s="288">
        <f>[32]BS!AR41</f>
        <v>0</v>
      </c>
      <c r="AT40" s="288">
        <f>[32]BS!AS41</f>
        <v>0</v>
      </c>
      <c r="AU40" s="288">
        <f>[32]BS!AT41</f>
        <v>0</v>
      </c>
      <c r="AV40" s="288">
        <f>[32]BS!AU41</f>
        <v>0</v>
      </c>
      <c r="AW40" s="288">
        <f>[32]BS!AV41</f>
        <v>0</v>
      </c>
      <c r="AX40" s="288" t="str">
        <f>IF(ISERR(AW40/AW40),"-",AW40+PnL!AX41+CF!BO29)</f>
        <v>-</v>
      </c>
      <c r="AY40" s="288" t="str">
        <f>IF(ISERR(AX40/AX40),"-",AX40+PnL!AY41+CF!BP29)</f>
        <v>-</v>
      </c>
      <c r="AZ40" s="288" t="str">
        <f>IF(ISERR(AY40/AY40),"-",AY40+PnL!AZ41+CF!BQ29)</f>
        <v>-</v>
      </c>
      <c r="BA40" s="288" t="str">
        <f>IF(ISERR(AZ40/AZ40),"-",AZ40+PnL!BA41+CF!BT29)</f>
        <v>-</v>
      </c>
      <c r="BB40" s="288" t="str">
        <f>IF(ISERR(BA40/BA40),"-",BA40+PnL!BB41+CF!BU29)</f>
        <v>-</v>
      </c>
      <c r="BC40" s="288" t="str">
        <f>IF(ISERR(BB40/BB40),"-",BB40+PnL!BC41+CF!BV29)</f>
        <v>-</v>
      </c>
      <c r="BD40" s="289"/>
      <c r="BE40" s="288">
        <f>[32]BS!BE41</f>
        <v>78752</v>
      </c>
      <c r="BF40" s="288">
        <f>[32]BS!BF41</f>
        <v>108558</v>
      </c>
      <c r="BG40" s="288">
        <f>[32]BS!BG41</f>
        <v>172353</v>
      </c>
      <c r="BH40" s="288">
        <f>[32]BS!BH41</f>
        <v>257886</v>
      </c>
      <c r="BI40" s="288">
        <f>[32]BS!BI41</f>
        <v>406287</v>
      </c>
      <c r="BJ40" s="288">
        <f>IF(ISERR(BI40/BI40),"-",BI40+PnL!BJ41+CF!BJ29)</f>
        <v>550623.86794091086</v>
      </c>
      <c r="BK40" s="288">
        <f>IF(ISERR(BJ40/BJ40),"-",BJ40+PnL!BK41+CF!BK29)</f>
        <v>702224.45018270274</v>
      </c>
      <c r="BL40" s="288">
        <f>IF(ISERR(BK40/BK40),"-",BK40+PnL!BL41+CF!BL29)</f>
        <v>863784.97838114353</v>
      </c>
      <c r="BM40" s="288">
        <f>IF(ISERR(BL40/BL40),"-",BL40+PnL!BM41+CF!BM29)</f>
        <v>1046625.9299676123</v>
      </c>
      <c r="BN40" s="288">
        <f>IF(ISERR(BM40/BM40),"-",BM40+PnL!BN41+CF!BN29)</f>
        <v>1249820.405284211</v>
      </c>
      <c r="BO40" s="288">
        <f>IF(ISERR(BN40/BN40),"-",BN40+PnL!BO41+CF!BO29)</f>
        <v>1471450.9026691094</v>
      </c>
      <c r="BP40" s="288">
        <f>IF(ISERR(BO40/BO40),"-",BO40+PnL!BP41+CF!BP29)</f>
        <v>1709110.9289730031</v>
      </c>
      <c r="BQ40" s="288">
        <f>IF(ISERR(BP40/BP40),"-",BP40+PnL!BQ41+CF!BQ29)</f>
        <v>1960293.7427552948</v>
      </c>
      <c r="BR40" s="288">
        <f>IF(ISERR(BQ40/BQ40),"-",BQ40+PnL!BR41+CF!BR29)</f>
        <v>2222665.5982088782</v>
      </c>
      <c r="BS40" s="288">
        <f>IF(ISERR(BR40/BR40),"-",BR40+PnL!BS41+CF!BS29)</f>
        <v>2494087.7906933199</v>
      </c>
      <c r="BT40" s="203"/>
      <c r="BU40" s="203"/>
    </row>
    <row r="41" spans="1:73" ht="12.75" customHeight="1" x14ac:dyDescent="0.35">
      <c r="A41" s="287" t="s">
        <v>256</v>
      </c>
      <c r="B41" s="147"/>
      <c r="C41" s="291" t="s">
        <v>257</v>
      </c>
      <c r="D41" s="166"/>
      <c r="E41" s="166"/>
      <c r="F41" s="147"/>
      <c r="G41" s="197"/>
      <c r="H41" s="197"/>
      <c r="I41" s="197"/>
      <c r="J41" s="197"/>
      <c r="K41" s="288">
        <f>K42-SUM(K38:K40)</f>
        <v>1701</v>
      </c>
      <c r="L41" s="288">
        <f t="shared" ref="L41:Z41" si="67">L42-SUM(L38:L40)</f>
        <v>11004</v>
      </c>
      <c r="M41" s="288">
        <f t="shared" si="67"/>
        <v>7119</v>
      </c>
      <c r="N41" s="288">
        <f t="shared" si="67"/>
        <v>5655</v>
      </c>
      <c r="O41" s="288">
        <f t="shared" si="67"/>
        <v>4641</v>
      </c>
      <c r="P41" s="288">
        <f t="shared" si="67"/>
        <v>6113</v>
      </c>
      <c r="Q41" s="288">
        <f t="shared" si="67"/>
        <v>5395</v>
      </c>
      <c r="R41" s="288">
        <f t="shared" si="67"/>
        <v>6704</v>
      </c>
      <c r="S41" s="288">
        <f t="shared" si="67"/>
        <v>602</v>
      </c>
      <c r="T41" s="288">
        <f t="shared" si="67"/>
        <v>1030</v>
      </c>
      <c r="U41" s="288">
        <f t="shared" si="67"/>
        <v>2714</v>
      </c>
      <c r="V41" s="288">
        <f t="shared" si="67"/>
        <v>2587</v>
      </c>
      <c r="W41" s="288">
        <f t="shared" si="67"/>
        <v>3773</v>
      </c>
      <c r="X41" s="288">
        <f t="shared" si="67"/>
        <v>5313</v>
      </c>
      <c r="Y41" s="288">
        <f t="shared" si="67"/>
        <v>3871</v>
      </c>
      <c r="Z41" s="288">
        <f t="shared" si="67"/>
        <v>5406</v>
      </c>
      <c r="AA41" s="288">
        <f t="shared" ref="AA41:AB41" si="68">AA42-SUM(AA38:AA40)</f>
        <v>5432</v>
      </c>
      <c r="AB41" s="288">
        <f t="shared" si="68"/>
        <v>-2287</v>
      </c>
      <c r="AC41" s="303">
        <v>2000</v>
      </c>
      <c r="AD41" s="303">
        <f>AC41</f>
        <v>2000</v>
      </c>
      <c r="AE41" s="303">
        <f t="shared" ref="AE41:AL41" si="69">AD41</f>
        <v>2000</v>
      </c>
      <c r="AF41" s="303">
        <f t="shared" si="69"/>
        <v>2000</v>
      </c>
      <c r="AG41" s="303">
        <f t="shared" si="69"/>
        <v>2000</v>
      </c>
      <c r="AH41" s="303">
        <f t="shared" si="69"/>
        <v>2000</v>
      </c>
      <c r="AI41" s="303">
        <f t="shared" si="69"/>
        <v>2000</v>
      </c>
      <c r="AJ41" s="303">
        <f t="shared" si="69"/>
        <v>2000</v>
      </c>
      <c r="AK41" s="303">
        <f t="shared" si="69"/>
        <v>2000</v>
      </c>
      <c r="AL41" s="303">
        <f t="shared" si="69"/>
        <v>2000</v>
      </c>
      <c r="AM41" s="289"/>
      <c r="AN41" s="288">
        <f t="shared" ref="AN41" si="70">AN42-SUM(AN38:AN40)</f>
        <v>0</v>
      </c>
      <c r="AO41" s="288">
        <f t="shared" ref="AO41:AW41" si="71">AO42-SUM(AO38:AO40)</f>
        <v>0</v>
      </c>
      <c r="AP41" s="288">
        <f t="shared" si="71"/>
        <v>0</v>
      </c>
      <c r="AQ41" s="288">
        <f t="shared" si="71"/>
        <v>0</v>
      </c>
      <c r="AR41" s="288">
        <f t="shared" si="71"/>
        <v>0</v>
      </c>
      <c r="AS41" s="288">
        <f t="shared" si="71"/>
        <v>0</v>
      </c>
      <c r="AT41" s="288">
        <f t="shared" si="71"/>
        <v>0</v>
      </c>
      <c r="AU41" s="288">
        <f t="shared" si="71"/>
        <v>0</v>
      </c>
      <c r="AV41" s="288">
        <f t="shared" si="71"/>
        <v>0</v>
      </c>
      <c r="AW41" s="288">
        <f t="shared" si="71"/>
        <v>0</v>
      </c>
      <c r="AX41" s="303">
        <f t="shared" ref="AX41" si="72">AW41</f>
        <v>0</v>
      </c>
      <c r="AY41" s="303">
        <f>AX41</f>
        <v>0</v>
      </c>
      <c r="AZ41" s="303">
        <f>AY41</f>
        <v>0</v>
      </c>
      <c r="BA41" s="303">
        <f>AZ41</f>
        <v>0</v>
      </c>
      <c r="BB41" s="303">
        <f>BA41</f>
        <v>0</v>
      </c>
      <c r="BC41" s="303">
        <f>BB41</f>
        <v>0</v>
      </c>
      <c r="BD41" s="289"/>
      <c r="BE41" s="288">
        <f t="shared" ref="BE41:BI41" si="73">BE42-SUM(BE38:BE40)</f>
        <v>6028</v>
      </c>
      <c r="BF41" s="288">
        <f t="shared" si="73"/>
        <v>5655</v>
      </c>
      <c r="BG41" s="288">
        <f t="shared" si="73"/>
        <v>6704</v>
      </c>
      <c r="BH41" s="288">
        <f t="shared" si="73"/>
        <v>2587</v>
      </c>
      <c r="BI41" s="288">
        <f t="shared" si="73"/>
        <v>5406</v>
      </c>
      <c r="BJ41" s="303">
        <f>AD41</f>
        <v>2000</v>
      </c>
      <c r="BK41" s="303">
        <f>AH41</f>
        <v>2000</v>
      </c>
      <c r="BL41" s="303">
        <f>AL41</f>
        <v>2000</v>
      </c>
      <c r="BM41" s="2725">
        <f>BL41</f>
        <v>2000</v>
      </c>
      <c r="BN41" s="2725">
        <f t="shared" ref="BN41:BR41" si="74">BM41</f>
        <v>2000</v>
      </c>
      <c r="BO41" s="2725">
        <f t="shared" si="74"/>
        <v>2000</v>
      </c>
      <c r="BP41" s="2725">
        <f t="shared" si="74"/>
        <v>2000</v>
      </c>
      <c r="BQ41" s="2725">
        <f t="shared" si="74"/>
        <v>2000</v>
      </c>
      <c r="BR41" s="2725">
        <f t="shared" si="74"/>
        <v>2000</v>
      </c>
      <c r="BS41" s="2725">
        <f>BR41</f>
        <v>2000</v>
      </c>
      <c r="BT41" s="203"/>
      <c r="BU41" s="203"/>
    </row>
    <row r="42" spans="1:73" ht="12.75" customHeight="1" x14ac:dyDescent="0.35">
      <c r="A42" s="290"/>
      <c r="B42" s="258" t="s">
        <v>258</v>
      </c>
      <c r="C42" s="166"/>
      <c r="D42" s="166"/>
      <c r="E42" s="166"/>
      <c r="F42" s="147"/>
      <c r="G42" s="258"/>
      <c r="H42" s="258"/>
      <c r="I42" s="258"/>
      <c r="J42" s="258"/>
      <c r="K42" s="294">
        <f>[32]BS!I43</f>
        <v>229671</v>
      </c>
      <c r="L42" s="294">
        <f>[32]BS!J43</f>
        <v>250279</v>
      </c>
      <c r="M42" s="294">
        <f>[32]BS!K43</f>
        <v>267232</v>
      </c>
      <c r="N42" s="294">
        <f>[32]BS!L43</f>
        <v>281791</v>
      </c>
      <c r="O42" s="294">
        <f>[32]BS!M43</f>
        <v>299383</v>
      </c>
      <c r="P42" s="294">
        <f>[32]BS!N43</f>
        <v>323070</v>
      </c>
      <c r="Q42" s="294">
        <f>[32]BS!O43</f>
        <v>352940</v>
      </c>
      <c r="R42" s="294">
        <f>[32]BS!P43</f>
        <v>368823</v>
      </c>
      <c r="S42" s="294">
        <f>[32]BS!Q43</f>
        <v>396244</v>
      </c>
      <c r="T42" s="294">
        <f>[32]BS!R43</f>
        <v>427561</v>
      </c>
      <c r="U42" s="294">
        <f>[32]BS!S43</f>
        <v>468058</v>
      </c>
      <c r="V42" s="294">
        <f>[32]BS!T43</f>
        <v>499076</v>
      </c>
      <c r="W42" s="294">
        <f>[32]BS!U43</f>
        <v>528124</v>
      </c>
      <c r="X42" s="294">
        <f>[32]BS!V43</f>
        <v>610305</v>
      </c>
      <c r="Y42" s="294">
        <f>[32]BS!W43</f>
        <v>751911</v>
      </c>
      <c r="Z42" s="294">
        <f>[32]BS!X43</f>
        <v>764504</v>
      </c>
      <c r="AA42" s="294">
        <f>[32]BS!Y43</f>
        <v>816523</v>
      </c>
      <c r="AB42" s="294">
        <f>[32]BS!Z43</f>
        <v>865436</v>
      </c>
      <c r="AC42" s="294">
        <f t="shared" ref="AC42" si="75">SUM(AC38:AC41)</f>
        <v>926897.38708195882</v>
      </c>
      <c r="AD42" s="294">
        <f>SUM(AD38:AD41)</f>
        <v>937650.86794091074</v>
      </c>
      <c r="AE42" s="294">
        <f t="shared" ref="AE42:AL42" si="76">SUM(AE38:AE41)</f>
        <v>989583.18043002463</v>
      </c>
      <c r="AF42" s="294">
        <f t="shared" si="76"/>
        <v>1016046.5239477201</v>
      </c>
      <c r="AG42" s="294">
        <f t="shared" si="76"/>
        <v>1078139.5466633758</v>
      </c>
      <c r="AH42" s="294">
        <f t="shared" si="76"/>
        <v>1089251.4501827029</v>
      </c>
      <c r="AI42" s="294">
        <f t="shared" si="76"/>
        <v>1146273.1777103427</v>
      </c>
      <c r="AJ42" s="294">
        <f t="shared" si="76"/>
        <v>1171883.8147133379</v>
      </c>
      <c r="AK42" s="294">
        <f t="shared" si="76"/>
        <v>1240076.9055558802</v>
      </c>
      <c r="AL42" s="294">
        <f t="shared" si="76"/>
        <v>1250811.9783811434</v>
      </c>
      <c r="AM42" s="292"/>
      <c r="AN42" s="294">
        <f>[32]BS!AM43</f>
        <v>0</v>
      </c>
      <c r="AO42" s="294">
        <f>[32]BS!AN43</f>
        <v>0</v>
      </c>
      <c r="AP42" s="294">
        <f>[32]BS!AO43</f>
        <v>0</v>
      </c>
      <c r="AQ42" s="294">
        <f>[32]BS!AP43</f>
        <v>0</v>
      </c>
      <c r="AR42" s="294">
        <f>[32]BS!AQ43</f>
        <v>0</v>
      </c>
      <c r="AS42" s="294">
        <f>[32]BS!AR43</f>
        <v>0</v>
      </c>
      <c r="AT42" s="294">
        <f>[32]BS!AS43</f>
        <v>0</v>
      </c>
      <c r="AU42" s="294">
        <f>[32]BS!AT43</f>
        <v>0</v>
      </c>
      <c r="AV42" s="294">
        <f>[32]BS!AU43</f>
        <v>0</v>
      </c>
      <c r="AW42" s="294">
        <f>[32]BS!AV43</f>
        <v>0</v>
      </c>
      <c r="AX42" s="294">
        <f t="shared" ref="AX42" si="77">SUM(AX38:AX41)</f>
        <v>0</v>
      </c>
      <c r="AY42" s="294">
        <f>SUM(AY38:AY41)</f>
        <v>0</v>
      </c>
      <c r="AZ42" s="294">
        <f>SUM(AZ38:AZ41)</f>
        <v>0</v>
      </c>
      <c r="BA42" s="294">
        <f>SUM(BA38:BA41)</f>
        <v>0</v>
      </c>
      <c r="BB42" s="294">
        <f>SUM(BB38:BB41)</f>
        <v>0</v>
      </c>
      <c r="BC42" s="294">
        <f>SUM(BC38:BC41)</f>
        <v>0</v>
      </c>
      <c r="BD42" s="292"/>
      <c r="BE42" s="294">
        <f>[32]BS!BE43</f>
        <v>217337</v>
      </c>
      <c r="BF42" s="294">
        <f>[32]BS!BF43</f>
        <v>281791</v>
      </c>
      <c r="BG42" s="294">
        <f>[32]BS!BG43</f>
        <v>368823</v>
      </c>
      <c r="BH42" s="294">
        <f>[32]BS!BH43</f>
        <v>499076</v>
      </c>
      <c r="BI42" s="294">
        <f>[32]BS!BI43</f>
        <v>764504</v>
      </c>
      <c r="BJ42" s="294">
        <f t="shared" ref="BJ42:BS42" si="78">SUM(BJ38:BJ41)</f>
        <v>938426.86794091086</v>
      </c>
      <c r="BK42" s="294">
        <f t="shared" si="78"/>
        <v>1090027.4501827029</v>
      </c>
      <c r="BL42" s="294">
        <f t="shared" si="78"/>
        <v>1251587.9783811434</v>
      </c>
      <c r="BM42" s="294">
        <f t="shared" si="78"/>
        <v>1434428.9299676123</v>
      </c>
      <c r="BN42" s="294">
        <f t="shared" si="78"/>
        <v>1637623.405284211</v>
      </c>
      <c r="BO42" s="294">
        <f t="shared" si="78"/>
        <v>1859253.9026691094</v>
      </c>
      <c r="BP42" s="294">
        <f t="shared" si="78"/>
        <v>2096913.9289730031</v>
      </c>
      <c r="BQ42" s="294">
        <f t="shared" si="78"/>
        <v>2348096.7427552948</v>
      </c>
      <c r="BR42" s="294">
        <f t="shared" si="78"/>
        <v>2610468.5982088782</v>
      </c>
      <c r="BS42" s="294">
        <f t="shared" si="78"/>
        <v>2881890.7906933199</v>
      </c>
      <c r="BT42" s="203"/>
      <c r="BU42" s="203"/>
    </row>
    <row r="43" spans="1:73" ht="12.75" customHeight="1" x14ac:dyDescent="0.35">
      <c r="A43" s="287" t="s">
        <v>259</v>
      </c>
      <c r="B43" s="147"/>
      <c r="C43" s="197" t="s">
        <v>260</v>
      </c>
      <c r="D43" s="147"/>
      <c r="E43" s="147"/>
      <c r="F43" s="147"/>
      <c r="G43" s="197"/>
      <c r="H43" s="197"/>
      <c r="I43" s="197"/>
      <c r="J43" s="197"/>
      <c r="K43" s="288">
        <f>[32]BS!I44</f>
        <v>33425</v>
      </c>
      <c r="L43" s="288">
        <f>[32]BS!J44</f>
        <v>42793</v>
      </c>
      <c r="M43" s="288">
        <f>[32]BS!K44</f>
        <v>42327</v>
      </c>
      <c r="N43" s="288">
        <f>[32]BS!L44</f>
        <v>42330</v>
      </c>
      <c r="O43" s="288">
        <f>[32]BS!M44</f>
        <v>45022</v>
      </c>
      <c r="P43" s="288">
        <f>[32]BS!N44</f>
        <v>44929</v>
      </c>
      <c r="Q43" s="288">
        <f>[32]BS!O44</f>
        <v>77010</v>
      </c>
      <c r="R43" s="288">
        <f>[32]BS!P44</f>
        <v>70616</v>
      </c>
      <c r="S43" s="288">
        <f>[32]BS!Q44</f>
        <v>79505</v>
      </c>
      <c r="T43" s="288">
        <f>[32]BS!R44</f>
        <v>73787</v>
      </c>
      <c r="U43" s="288">
        <f>[32]BS!S44</f>
        <v>100029</v>
      </c>
      <c r="V43" s="288">
        <f>[32]BS!T44</f>
        <v>116326</v>
      </c>
      <c r="W43" s="288">
        <f>[32]BS!U44</f>
        <v>116933</v>
      </c>
      <c r="X43" s="288">
        <f>[32]BS!V44</f>
        <v>117432</v>
      </c>
      <c r="Y43" s="288">
        <f>[32]BS!W44</f>
        <v>115199</v>
      </c>
      <c r="Z43" s="288">
        <f>[32]BS!X44</f>
        <v>115147</v>
      </c>
      <c r="AA43" s="288">
        <f>[32]BS!Y44</f>
        <v>111959</v>
      </c>
      <c r="AB43" s="288">
        <f>[32]BS!Z44</f>
        <v>115787</v>
      </c>
      <c r="AC43" s="303">
        <f>IF(ISERR(PnL!AC19/PnL!AC19),"0",AB43+PnL!AC47)</f>
        <v>115787</v>
      </c>
      <c r="AD43" s="303">
        <f>IF(ISERR(PnL!AD19/PnL!AD19),"0",AC43+PnL!AD47)</f>
        <v>115787</v>
      </c>
      <c r="AE43" s="303">
        <f>IF(ISERR(PnL!AE19/PnL!AE19),"0",AD43+PnL!AE47)</f>
        <v>115787</v>
      </c>
      <c r="AF43" s="303">
        <f>IF(ISERR(PnL!AF19/PnL!AF19),"0",AE43+PnL!AF47)</f>
        <v>115787</v>
      </c>
      <c r="AG43" s="303">
        <f>IF(ISERR(PnL!AG19/PnL!AG19),"0",AF43+PnL!AG47)</f>
        <v>115787</v>
      </c>
      <c r="AH43" s="303">
        <f>IF(ISERR(PnL!AH19/PnL!AH19),"0",AG43+PnL!AH47)</f>
        <v>115787</v>
      </c>
      <c r="AI43" s="303">
        <f>IF(ISERR(PnL!AI19/PnL!AI19),"0",AH43+PnL!AI47)</f>
        <v>115787</v>
      </c>
      <c r="AJ43" s="303">
        <f>IF(ISERR(PnL!AJ19/PnL!AJ19),"0",AI43+PnL!AJ47)</f>
        <v>115787</v>
      </c>
      <c r="AK43" s="303">
        <f>IF(ISERR(PnL!AK19/PnL!AK19),"0",AJ43+PnL!AK47)</f>
        <v>115787</v>
      </c>
      <c r="AL43" s="303">
        <f>IF(ISERR(PnL!AL19/PnL!AL19),"0",AK43+PnL!AL47)</f>
        <v>115787</v>
      </c>
      <c r="AM43" s="293"/>
      <c r="AN43" s="288">
        <f>[32]BS!AM44</f>
        <v>0</v>
      </c>
      <c r="AO43" s="288">
        <f>[32]BS!AN44</f>
        <v>0</v>
      </c>
      <c r="AP43" s="288">
        <f>[32]BS!AO44</f>
        <v>0</v>
      </c>
      <c r="AQ43" s="288">
        <f>[32]BS!AP44</f>
        <v>0</v>
      </c>
      <c r="AR43" s="288">
        <f>[32]BS!AQ44</f>
        <v>0</v>
      </c>
      <c r="AS43" s="288">
        <f>[32]BS!AR44</f>
        <v>0</v>
      </c>
      <c r="AT43" s="288">
        <f>[32]BS!AS44</f>
        <v>0</v>
      </c>
      <c r="AU43" s="288">
        <f>[32]BS!AT44</f>
        <v>0</v>
      </c>
      <c r="AV43" s="288">
        <f>[32]BS!AU44</f>
        <v>0</v>
      </c>
      <c r="AW43" s="288">
        <f>[32]BS!AV44</f>
        <v>0</v>
      </c>
      <c r="AX43" s="303" t="str">
        <f>IF(ISERR(PnL!AX19/PnL!AX19),"0",AW43+PnL!AX47)</f>
        <v>0</v>
      </c>
      <c r="AY43" s="303" t="str">
        <f>IF(ISERR(PnL!AY19/PnL!AY19),"0",AX43+PnL!AY47)</f>
        <v>0</v>
      </c>
      <c r="AZ43" s="303" t="str">
        <f>IF(ISERR(PnL!AZ19/PnL!AZ19),"0",AY43+PnL!AZ47)</f>
        <v>0</v>
      </c>
      <c r="BA43" s="303" t="str">
        <f>IF(ISERR(PnL!BA19/PnL!BA19),"0",AZ43+PnL!BA47)</f>
        <v>0</v>
      </c>
      <c r="BB43" s="303" t="str">
        <f>IF(ISERR(PnL!BB19/PnL!BB19),"0",BA43+PnL!BB47)</f>
        <v>0</v>
      </c>
      <c r="BC43" s="303" t="str">
        <f>IF(ISERR(PnL!BC19/PnL!BC19),"0",BB43+PnL!BC47)</f>
        <v>0</v>
      </c>
      <c r="BD43" s="293"/>
      <c r="BE43" s="288">
        <f>[32]BS!BE44</f>
        <v>32552</v>
      </c>
      <c r="BF43" s="288">
        <f>[32]BS!BF44</f>
        <v>42330</v>
      </c>
      <c r="BG43" s="288">
        <f>[32]BS!BG44</f>
        <v>70616</v>
      </c>
      <c r="BH43" s="288">
        <f>[32]BS!BH44</f>
        <v>116326</v>
      </c>
      <c r="BI43" s="288">
        <f>[32]BS!BI44</f>
        <v>115147</v>
      </c>
      <c r="BJ43" s="303">
        <f>AD43</f>
        <v>115787</v>
      </c>
      <c r="BK43" s="303">
        <f>AH43</f>
        <v>115787</v>
      </c>
      <c r="BL43" s="303">
        <f>AL43</f>
        <v>115787</v>
      </c>
      <c r="BM43" s="2725">
        <f>BL43</f>
        <v>115787</v>
      </c>
      <c r="BN43" s="2725">
        <f t="shared" ref="BN43:BS43" si="79">BM43</f>
        <v>115787</v>
      </c>
      <c r="BO43" s="2725">
        <f t="shared" si="79"/>
        <v>115787</v>
      </c>
      <c r="BP43" s="2725">
        <f t="shared" si="79"/>
        <v>115787</v>
      </c>
      <c r="BQ43" s="2725">
        <f t="shared" si="79"/>
        <v>115787</v>
      </c>
      <c r="BR43" s="2725">
        <f t="shared" si="79"/>
        <v>115787</v>
      </c>
      <c r="BS43" s="2725">
        <f t="shared" si="79"/>
        <v>115787</v>
      </c>
      <c r="BT43" s="203"/>
      <c r="BU43" s="203"/>
    </row>
    <row r="44" spans="1:73" s="2860" customFormat="1" ht="12.75" customHeight="1" x14ac:dyDescent="0.35">
      <c r="A44" s="306" t="s">
        <v>261</v>
      </c>
      <c r="B44" s="258" t="s">
        <v>262</v>
      </c>
      <c r="C44" s="304"/>
      <c r="D44" s="304"/>
      <c r="E44" s="304"/>
      <c r="F44" s="304"/>
      <c r="G44" s="258"/>
      <c r="H44" s="258"/>
      <c r="I44" s="258"/>
      <c r="J44" s="258"/>
      <c r="K44" s="294">
        <f>[32]BS!I45</f>
        <v>263096</v>
      </c>
      <c r="L44" s="294">
        <f>[32]BS!J45</f>
        <v>293072</v>
      </c>
      <c r="M44" s="294">
        <f>[32]BS!K45</f>
        <v>309559</v>
      </c>
      <c r="N44" s="294">
        <f>[32]BS!L45</f>
        <v>324121</v>
      </c>
      <c r="O44" s="294">
        <f>[32]BS!M45</f>
        <v>344405</v>
      </c>
      <c r="P44" s="294">
        <f>[32]BS!N45</f>
        <v>367999</v>
      </c>
      <c r="Q44" s="294">
        <f>[32]BS!O45</f>
        <v>429950</v>
      </c>
      <c r="R44" s="294">
        <f>[32]BS!P45</f>
        <v>439439</v>
      </c>
      <c r="S44" s="294">
        <f>[32]BS!Q45</f>
        <v>475749</v>
      </c>
      <c r="T44" s="294">
        <f>[32]BS!R45</f>
        <v>501348</v>
      </c>
      <c r="U44" s="294">
        <f>[32]BS!S45</f>
        <v>568087</v>
      </c>
      <c r="V44" s="294">
        <f>[32]BS!T45</f>
        <v>615402</v>
      </c>
      <c r="W44" s="294">
        <f>[32]BS!U45</f>
        <v>645057</v>
      </c>
      <c r="X44" s="294">
        <f>[32]BS!V45</f>
        <v>727737</v>
      </c>
      <c r="Y44" s="294">
        <f>[32]BS!W45</f>
        <v>867110</v>
      </c>
      <c r="Z44" s="294">
        <f>[32]BS!X45</f>
        <v>879651</v>
      </c>
      <c r="AA44" s="294">
        <f>[32]BS!Y45</f>
        <v>928482</v>
      </c>
      <c r="AB44" s="294">
        <f>[32]BS!Z45</f>
        <v>981223</v>
      </c>
      <c r="AC44" s="294">
        <f t="shared" ref="AC44" si="80">SUM(AC42:AC43)</f>
        <v>1042684.3870819588</v>
      </c>
      <c r="AD44" s="294">
        <f t="shared" ref="AD44:AH44" si="81">SUM(AD42:AD43)</f>
        <v>1053437.8679409106</v>
      </c>
      <c r="AE44" s="294">
        <f t="shared" si="81"/>
        <v>1105370.1804300246</v>
      </c>
      <c r="AF44" s="294">
        <f t="shared" si="81"/>
        <v>1131833.52394772</v>
      </c>
      <c r="AG44" s="294">
        <f t="shared" si="81"/>
        <v>1193926.5466633758</v>
      </c>
      <c r="AH44" s="294">
        <f t="shared" si="81"/>
        <v>1205038.4501827029</v>
      </c>
      <c r="AI44" s="294">
        <f t="shared" ref="AI44:AL44" si="82">SUM(AI42:AI43)</f>
        <v>1262060.1777103427</v>
      </c>
      <c r="AJ44" s="294">
        <f t="shared" si="82"/>
        <v>1287670.8147133379</v>
      </c>
      <c r="AK44" s="294">
        <f t="shared" si="82"/>
        <v>1355863.9055558802</v>
      </c>
      <c r="AL44" s="294">
        <f t="shared" si="82"/>
        <v>1366598.9783811434</v>
      </c>
      <c r="AM44" s="289"/>
      <c r="AN44" s="294">
        <f>[32]BS!AM45</f>
        <v>0</v>
      </c>
      <c r="AO44" s="294">
        <f>[32]BS!AN45</f>
        <v>0</v>
      </c>
      <c r="AP44" s="294">
        <f>[32]BS!AO45</f>
        <v>0</v>
      </c>
      <c r="AQ44" s="294">
        <f>[32]BS!AP45</f>
        <v>0</v>
      </c>
      <c r="AR44" s="294">
        <f>[32]BS!AQ45</f>
        <v>0</v>
      </c>
      <c r="AS44" s="294">
        <f>[32]BS!AR45</f>
        <v>0</v>
      </c>
      <c r="AT44" s="294">
        <f>[32]BS!AS45</f>
        <v>0</v>
      </c>
      <c r="AU44" s="294">
        <f>[32]BS!AT45</f>
        <v>0</v>
      </c>
      <c r="AV44" s="294">
        <f>[32]BS!AU45</f>
        <v>0</v>
      </c>
      <c r="AW44" s="294">
        <f>[32]BS!AV45</f>
        <v>0</v>
      </c>
      <c r="AX44" s="294">
        <f t="shared" ref="AX44" si="83">SUM(AX42:AX43)</f>
        <v>0</v>
      </c>
      <c r="AY44" s="294">
        <f t="shared" ref="AY44:AZ44" si="84">SUM(AY42:AY43)</f>
        <v>0</v>
      </c>
      <c r="AZ44" s="294">
        <f t="shared" si="84"/>
        <v>0</v>
      </c>
      <c r="BA44" s="294">
        <f t="shared" ref="BA44:BC44" si="85">SUM(BA42:BA43)</f>
        <v>0</v>
      </c>
      <c r="BB44" s="294">
        <f t="shared" si="85"/>
        <v>0</v>
      </c>
      <c r="BC44" s="294">
        <f t="shared" si="85"/>
        <v>0</v>
      </c>
      <c r="BD44" s="289"/>
      <c r="BE44" s="294">
        <f>[32]BS!BE45</f>
        <v>249889</v>
      </c>
      <c r="BF44" s="294">
        <f>[32]BS!BF45</f>
        <v>324121</v>
      </c>
      <c r="BG44" s="294">
        <f>[32]BS!BG45</f>
        <v>439439</v>
      </c>
      <c r="BH44" s="294">
        <f>[32]BS!BH45</f>
        <v>615402</v>
      </c>
      <c r="BI44" s="294">
        <f>[32]BS!BI45</f>
        <v>879651</v>
      </c>
      <c r="BJ44" s="294">
        <f>AD44</f>
        <v>1053437.8679409106</v>
      </c>
      <c r="BK44" s="294">
        <f>AH44</f>
        <v>1205038.4501827029</v>
      </c>
      <c r="BL44" s="294">
        <f>AL44</f>
        <v>1366598.9783811434</v>
      </c>
      <c r="BM44" s="289">
        <f>BM42+BM43</f>
        <v>1550215.9299676123</v>
      </c>
      <c r="BN44" s="289">
        <f t="shared" ref="BN44:BS44" si="86">BN42+BN43</f>
        <v>1753410.405284211</v>
      </c>
      <c r="BO44" s="289">
        <f t="shared" si="86"/>
        <v>1975040.9026691094</v>
      </c>
      <c r="BP44" s="289">
        <f t="shared" si="86"/>
        <v>2212700.9289730033</v>
      </c>
      <c r="BQ44" s="289">
        <f t="shared" si="86"/>
        <v>2463883.7427552948</v>
      </c>
      <c r="BR44" s="289">
        <f t="shared" si="86"/>
        <v>2726255.5982088782</v>
      </c>
      <c r="BS44" s="289">
        <f t="shared" si="86"/>
        <v>2997677.7906933199</v>
      </c>
      <c r="BT44" s="2859"/>
      <c r="BU44" s="2859"/>
    </row>
    <row r="45" spans="1:73" ht="12.75" customHeight="1" x14ac:dyDescent="0.35">
      <c r="A45" s="285"/>
      <c r="B45" s="286" t="s">
        <v>263</v>
      </c>
      <c r="C45" s="307"/>
      <c r="D45" s="307"/>
      <c r="E45" s="307"/>
      <c r="F45" s="307"/>
      <c r="G45" s="286"/>
      <c r="H45" s="286"/>
      <c r="I45" s="286"/>
      <c r="J45" s="286"/>
      <c r="K45" s="308">
        <f>[32]BS!I46</f>
        <v>409970</v>
      </c>
      <c r="L45" s="308">
        <f>[32]BS!J46</f>
        <v>456402</v>
      </c>
      <c r="M45" s="308">
        <f>[32]BS!K46</f>
        <v>490866</v>
      </c>
      <c r="N45" s="308">
        <f>[32]BS!L46</f>
        <v>506812</v>
      </c>
      <c r="O45" s="308">
        <f>[32]BS!M46</f>
        <v>543714</v>
      </c>
      <c r="P45" s="308">
        <f>[32]BS!N46</f>
        <v>578824</v>
      </c>
      <c r="Q45" s="308">
        <f>[32]BS!O46</f>
        <v>711432</v>
      </c>
      <c r="R45" s="308">
        <f>[32]BS!P46</f>
        <v>717124</v>
      </c>
      <c r="S45" s="308">
        <f>[32]BS!Q46</f>
        <v>796662</v>
      </c>
      <c r="T45" s="308">
        <f>[32]BS!R46</f>
        <v>824767</v>
      </c>
      <c r="U45" s="308">
        <f>[32]BS!S46</f>
        <v>917943</v>
      </c>
      <c r="V45" s="308">
        <f>[32]BS!T46</f>
        <v>965076</v>
      </c>
      <c r="W45" s="308">
        <f>[32]BS!U46</f>
        <v>1018854</v>
      </c>
      <c r="X45" s="308">
        <f>[32]BS!V46</f>
        <v>1159577</v>
      </c>
      <c r="Y45" s="308">
        <f>[32]BS!W46</f>
        <v>1319495</v>
      </c>
      <c r="Z45" s="308">
        <f>[32]BS!X46</f>
        <v>1312985</v>
      </c>
      <c r="AA45" s="308">
        <f>[32]BS!Y46</f>
        <v>1369177</v>
      </c>
      <c r="AB45" s="308">
        <f>[32]BS!Z46</f>
        <v>1433626</v>
      </c>
      <c r="AC45" s="309">
        <f t="shared" ref="AC45" si="87">AC42+AC36</f>
        <v>1286538.4283562801</v>
      </c>
      <c r="AD45" s="309">
        <f>AD42+AD36</f>
        <v>1307342.2757398116</v>
      </c>
      <c r="AE45" s="309">
        <f t="shared" ref="AE45:AL45" si="88">AE42+AE36</f>
        <v>1319076.027249435</v>
      </c>
      <c r="AF45" s="309">
        <f t="shared" si="88"/>
        <v>1349217.2630899788</v>
      </c>
      <c r="AG45" s="309">
        <f t="shared" si="88"/>
        <v>1357411.029026692</v>
      </c>
      <c r="AH45" s="309">
        <f t="shared" si="88"/>
        <v>1374354.6020587818</v>
      </c>
      <c r="AI45" s="308">
        <f t="shared" si="88"/>
        <v>1391898.3071788494</v>
      </c>
      <c r="AJ45" s="308">
        <f t="shared" si="88"/>
        <v>1419736.6292121811</v>
      </c>
      <c r="AK45" s="308">
        <f t="shared" si="88"/>
        <v>1432911.3516218872</v>
      </c>
      <c r="AL45" s="308">
        <f t="shared" si="88"/>
        <v>1460919.4524633954</v>
      </c>
      <c r="AM45" s="310"/>
      <c r="AN45" s="308">
        <f>[32]BS!AM46</f>
        <v>0</v>
      </c>
      <c r="AO45" s="308">
        <f>[32]BS!AN46</f>
        <v>0</v>
      </c>
      <c r="AP45" s="308">
        <f>[32]BS!AO46</f>
        <v>0</v>
      </c>
      <c r="AQ45" s="308">
        <f>[32]BS!AP46</f>
        <v>0</v>
      </c>
      <c r="AR45" s="308">
        <f>[32]BS!AQ46</f>
        <v>0</v>
      </c>
      <c r="AS45" s="308">
        <f>[32]BS!AR46</f>
        <v>0</v>
      </c>
      <c r="AT45" s="308">
        <f>[32]BS!AS46</f>
        <v>0</v>
      </c>
      <c r="AU45" s="308">
        <f>[32]BS!AT46</f>
        <v>0</v>
      </c>
      <c r="AV45" s="308">
        <f>[32]BS!AU46</f>
        <v>0</v>
      </c>
      <c r="AW45" s="308">
        <f>[32]BS!AV46</f>
        <v>0</v>
      </c>
      <c r="AX45" s="309" t="e">
        <f t="shared" ref="AX45" si="89">AX42+AX36</f>
        <v>#DIV/0!</v>
      </c>
      <c r="AY45" s="309" t="e">
        <f>AY42+AY36</f>
        <v>#DIV/0!</v>
      </c>
      <c r="AZ45" s="309" t="e">
        <f>AZ42+AZ36</f>
        <v>#DIV/0!</v>
      </c>
      <c r="BA45" s="309" t="e">
        <f>BA42+BA36</f>
        <v>#DIV/0!</v>
      </c>
      <c r="BB45" s="309" t="e">
        <f>BB42+BB36</f>
        <v>#DIV/0!</v>
      </c>
      <c r="BC45" s="309" t="e">
        <f>BC42+BC36</f>
        <v>#DIV/0!</v>
      </c>
      <c r="BD45" s="310"/>
      <c r="BE45" s="308">
        <f>[32]BS!BE46</f>
        <v>364450</v>
      </c>
      <c r="BF45" s="308">
        <f>[32]BS!BF46</f>
        <v>506812</v>
      </c>
      <c r="BG45" s="308">
        <f>[32]BS!BG46</f>
        <v>717124</v>
      </c>
      <c r="BH45" s="308">
        <f>[32]BS!BH46</f>
        <v>965076</v>
      </c>
      <c r="BI45" s="308">
        <f>[32]BS!BI46</f>
        <v>1312985</v>
      </c>
      <c r="BJ45" s="308">
        <f t="shared" ref="BJ45:BS45" si="90">BJ42+BJ36</f>
        <v>1308118.2757398118</v>
      </c>
      <c r="BK45" s="308">
        <f t="shared" si="90"/>
        <v>1375130.6020587818</v>
      </c>
      <c r="BL45" s="308">
        <f t="shared" si="90"/>
        <v>1461695.4524633954</v>
      </c>
      <c r="BM45" s="308">
        <f t="shared" si="90"/>
        <v>1745342.4218469728</v>
      </c>
      <c r="BN45" s="308">
        <f t="shared" si="90"/>
        <v>1921891.792538339</v>
      </c>
      <c r="BO45" s="308">
        <f t="shared" si="90"/>
        <v>2105048.430439672</v>
      </c>
      <c r="BP45" s="308">
        <f t="shared" si="90"/>
        <v>2297868.1686610463</v>
      </c>
      <c r="BQ45" s="308">
        <f t="shared" si="90"/>
        <v>2487805.5384529703</v>
      </c>
      <c r="BR45" s="308">
        <f t="shared" si="90"/>
        <v>2671341.0266116858</v>
      </c>
      <c r="BS45" s="308">
        <f t="shared" si="90"/>
        <v>2843514.1403535069</v>
      </c>
      <c r="BT45" s="203"/>
      <c r="BU45" s="203"/>
    </row>
    <row r="46" spans="1:73" ht="12.75" customHeight="1" x14ac:dyDescent="0.35">
      <c r="A46" s="285"/>
      <c r="B46" s="295"/>
      <c r="C46" s="295"/>
      <c r="D46" s="297" t="s">
        <v>213</v>
      </c>
      <c r="E46" s="295"/>
      <c r="F46" s="295"/>
      <c r="G46" s="298"/>
      <c r="H46" s="298"/>
      <c r="I46" s="298"/>
      <c r="J46" s="298"/>
      <c r="K46" s="311" t="str">
        <f>IF(K23=K44+K36,"Check","False")</f>
        <v>Check</v>
      </c>
      <c r="L46" s="311" t="str">
        <f t="shared" ref="L46:AL46" si="91">IF(L23=L44+L36,"Check","False")</f>
        <v>Check</v>
      </c>
      <c r="M46" s="311" t="str">
        <f t="shared" si="91"/>
        <v>Check</v>
      </c>
      <c r="N46" s="311" t="str">
        <f t="shared" si="91"/>
        <v>Check</v>
      </c>
      <c r="O46" s="311" t="str">
        <f t="shared" si="91"/>
        <v>Check</v>
      </c>
      <c r="P46" s="311" t="str">
        <f t="shared" si="91"/>
        <v>Check</v>
      </c>
      <c r="Q46" s="311" t="str">
        <f t="shared" si="91"/>
        <v>Check</v>
      </c>
      <c r="R46" s="311" t="str">
        <f t="shared" si="91"/>
        <v>Check</v>
      </c>
      <c r="S46" s="311" t="str">
        <f t="shared" si="91"/>
        <v>Check</v>
      </c>
      <c r="T46" s="311" t="str">
        <f t="shared" si="91"/>
        <v>Check</v>
      </c>
      <c r="U46" s="311" t="str">
        <f t="shared" si="91"/>
        <v>Check</v>
      </c>
      <c r="V46" s="311" t="str">
        <f t="shared" si="91"/>
        <v>Check</v>
      </c>
      <c r="W46" s="311" t="str">
        <f t="shared" si="91"/>
        <v>Check</v>
      </c>
      <c r="X46" s="311" t="str">
        <f t="shared" si="91"/>
        <v>Check</v>
      </c>
      <c r="Y46" s="311" t="str">
        <f t="shared" si="91"/>
        <v>Check</v>
      </c>
      <c r="Z46" s="311" t="str">
        <f t="shared" si="91"/>
        <v>Check</v>
      </c>
      <c r="AA46" s="311" t="str">
        <f t="shared" ref="AA46:AB46" si="92">IF(AA23=AA44+AA36,"Check","False")</f>
        <v>Check</v>
      </c>
      <c r="AB46" s="311" t="str">
        <f t="shared" si="92"/>
        <v>Check</v>
      </c>
      <c r="AC46" s="311" t="str">
        <f t="shared" si="91"/>
        <v>Check</v>
      </c>
      <c r="AD46" s="311" t="str">
        <f>IF(AD23=AD44+AD36,"Check","False")</f>
        <v>Check</v>
      </c>
      <c r="AE46" s="311" t="str">
        <f t="shared" si="91"/>
        <v>Check</v>
      </c>
      <c r="AF46" s="311" t="str">
        <f t="shared" si="91"/>
        <v>Check</v>
      </c>
      <c r="AG46" s="311" t="str">
        <f t="shared" si="91"/>
        <v>Check</v>
      </c>
      <c r="AH46" s="311" t="str">
        <f t="shared" si="91"/>
        <v>Check</v>
      </c>
      <c r="AI46" s="311" t="str">
        <f t="shared" si="91"/>
        <v>Check</v>
      </c>
      <c r="AJ46" s="311" t="str">
        <f t="shared" si="91"/>
        <v>Check</v>
      </c>
      <c r="AK46" s="311" t="str">
        <f t="shared" si="91"/>
        <v>Check</v>
      </c>
      <c r="AL46" s="311" t="str">
        <f t="shared" si="91"/>
        <v>Check</v>
      </c>
      <c r="AM46" s="166"/>
      <c r="AN46" s="311" t="str">
        <f t="shared" ref="AN46" si="93">IF(AN23=AN44+AN36,"Check","False")</f>
        <v>Check</v>
      </c>
      <c r="AO46" s="311" t="str">
        <f t="shared" ref="AO46:AX46" si="94">IF(AO23=AO44+AO36,"Check","False")</f>
        <v>Check</v>
      </c>
      <c r="AP46" s="311" t="str">
        <f t="shared" si="94"/>
        <v>Check</v>
      </c>
      <c r="AQ46" s="311" t="str">
        <f t="shared" si="94"/>
        <v>Check</v>
      </c>
      <c r="AR46" s="311" t="str">
        <f t="shared" si="94"/>
        <v>Check</v>
      </c>
      <c r="AS46" s="311" t="str">
        <f t="shared" si="94"/>
        <v>Check</v>
      </c>
      <c r="AT46" s="311" t="str">
        <f t="shared" si="94"/>
        <v>Check</v>
      </c>
      <c r="AU46" s="311" t="str">
        <f t="shared" si="94"/>
        <v>Check</v>
      </c>
      <c r="AV46" s="311" t="str">
        <f t="shared" si="94"/>
        <v>Check</v>
      </c>
      <c r="AW46" s="311" t="str">
        <f t="shared" si="94"/>
        <v>Check</v>
      </c>
      <c r="AX46" s="311" t="e">
        <f t="shared" si="94"/>
        <v>#VALUE!</v>
      </c>
      <c r="AY46" s="311" t="e">
        <f>IF(AY23=AY44+AY36,"Check","False")</f>
        <v>#VALUE!</v>
      </c>
      <c r="AZ46" s="311" t="e">
        <f>IF(AZ23=AZ44+AZ36,"Check","False")</f>
        <v>#VALUE!</v>
      </c>
      <c r="BA46" s="311" t="e">
        <f>IF(BA23=BA44+BA36,"Check","False")</f>
        <v>#VALUE!</v>
      </c>
      <c r="BB46" s="311" t="e">
        <f>IF(BB23=BB44+BB36,"Check","False")</f>
        <v>#VALUE!</v>
      </c>
      <c r="BC46" s="311" t="e">
        <f>IF(BC23=BC44+BC36,"Check","False")</f>
        <v>#VALUE!</v>
      </c>
      <c r="BD46" s="166"/>
      <c r="BE46" s="311" t="str">
        <f t="shared" ref="BE46:BS46" si="95">IF(BE23=BE44+BE36,"Check","False")</f>
        <v>Check</v>
      </c>
      <c r="BF46" s="311" t="str">
        <f t="shared" si="95"/>
        <v>Check</v>
      </c>
      <c r="BG46" s="311" t="str">
        <f t="shared" si="95"/>
        <v>Check</v>
      </c>
      <c r="BH46" s="311" t="str">
        <f t="shared" si="95"/>
        <v>Check</v>
      </c>
      <c r="BI46" s="311" t="str">
        <f t="shared" si="95"/>
        <v>Check</v>
      </c>
      <c r="BJ46" s="311" t="str">
        <f t="shared" si="95"/>
        <v>Check</v>
      </c>
      <c r="BK46" s="311" t="str">
        <f t="shared" si="95"/>
        <v>Check</v>
      </c>
      <c r="BL46" s="311" t="str">
        <f t="shared" si="95"/>
        <v>Check</v>
      </c>
      <c r="BM46" s="311" t="str">
        <f t="shared" si="95"/>
        <v>Check</v>
      </c>
      <c r="BN46" s="311" t="str">
        <f t="shared" si="95"/>
        <v>Check</v>
      </c>
      <c r="BO46" s="311" t="str">
        <f t="shared" si="95"/>
        <v>Check</v>
      </c>
      <c r="BP46" s="311" t="str">
        <f t="shared" si="95"/>
        <v>Check</v>
      </c>
      <c r="BQ46" s="311" t="str">
        <f t="shared" si="95"/>
        <v>Check</v>
      </c>
      <c r="BR46" s="311" t="str">
        <f t="shared" si="95"/>
        <v>Check</v>
      </c>
      <c r="BS46" s="311" t="str">
        <f t="shared" si="95"/>
        <v>Check</v>
      </c>
      <c r="BT46" s="203"/>
      <c r="BU46" s="203"/>
    </row>
    <row r="47" spans="1:73" ht="12.75" customHeight="1" x14ac:dyDescent="0.35">
      <c r="A47" s="287"/>
      <c r="B47" s="258" t="s">
        <v>264</v>
      </c>
      <c r="C47" s="147"/>
      <c r="D47" s="147"/>
      <c r="E47" s="147"/>
      <c r="F47" s="147"/>
      <c r="G47" s="258"/>
      <c r="H47" s="258"/>
      <c r="I47" s="258"/>
      <c r="J47" s="258"/>
      <c r="K47" s="312">
        <f>[32]BS!I48</f>
        <v>90.268504789003316</v>
      </c>
      <c r="L47" s="312">
        <f>[32]BS!J48</f>
        <v>98.752976684931795</v>
      </c>
      <c r="M47" s="312">
        <f>[32]BS!K48</f>
        <v>105.67365210524576</v>
      </c>
      <c r="N47" s="312">
        <f>[32]BS!L48</f>
        <v>110.22493368589399</v>
      </c>
      <c r="O47" s="312">
        <f>[32]BS!M48</f>
        <v>116.5958782642512</v>
      </c>
      <c r="P47" s="312">
        <f>[32]BS!N48</f>
        <v>125.79173294538322</v>
      </c>
      <c r="Q47" s="312">
        <f>[32]BS!O48</f>
        <v>136.64192000949572</v>
      </c>
      <c r="R47" s="312">
        <f>[32]BS!P48</f>
        <v>142.23638370061093</v>
      </c>
      <c r="S47" s="312">
        <f>[32]BS!Q48</f>
        <v>151.64394194239296</v>
      </c>
      <c r="T47" s="312">
        <f>[32]BS!R48</f>
        <v>162.62732553391362</v>
      </c>
      <c r="U47" s="312">
        <f>[32]BS!S48</f>
        <v>177.80103572894515</v>
      </c>
      <c r="V47" s="312">
        <f>[32]BS!T48</f>
        <v>191.39596724995116</v>
      </c>
      <c r="W47" s="312">
        <f>[32]BS!U48</f>
        <v>200.12244774613683</v>
      </c>
      <c r="X47" s="312">
        <f>[32]BS!V48</f>
        <v>231.52777535957134</v>
      </c>
      <c r="Y47" s="312">
        <f>[32]BS!W48</f>
        <v>277.37340008640473</v>
      </c>
      <c r="Z47" s="312">
        <f>[32]BS!X48</f>
        <v>281.18413463926044</v>
      </c>
      <c r="AA47" s="312">
        <f>[32]BS!Y48</f>
        <v>301.44856179791856</v>
      </c>
      <c r="AB47" s="312">
        <f>[32]BS!Z48</f>
        <v>316.89506020208916</v>
      </c>
      <c r="AC47" s="313">
        <f t="shared" ref="AC47" si="96">AC42/AC49</f>
        <v>340.87571884014056</v>
      </c>
      <c r="AD47" s="313">
        <f>AD42/AD49</f>
        <v>343.11484399564443</v>
      </c>
      <c r="AE47" s="313">
        <f t="shared" ref="AE47:AL47" si="97">AE42/AE49</f>
        <v>360.31686528329357</v>
      </c>
      <c r="AF47" s="313">
        <f t="shared" si="97"/>
        <v>368.11186682950324</v>
      </c>
      <c r="AG47" s="313">
        <f t="shared" si="97"/>
        <v>388.66473596194601</v>
      </c>
      <c r="AH47" s="313">
        <f t="shared" si="97"/>
        <v>390.71694534668893</v>
      </c>
      <c r="AI47" s="313">
        <f t="shared" si="97"/>
        <v>409.1251415678941</v>
      </c>
      <c r="AJ47" s="313">
        <f t="shared" si="97"/>
        <v>416.18510470272275</v>
      </c>
      <c r="AK47" s="313">
        <f t="shared" si="97"/>
        <v>438.2122706990508</v>
      </c>
      <c r="AL47" s="313">
        <f t="shared" si="97"/>
        <v>439.80674415336489</v>
      </c>
      <c r="AM47" s="314"/>
      <c r="AN47" s="312">
        <f>[32]BS!AM48</f>
        <v>0</v>
      </c>
      <c r="AO47" s="312">
        <f>[32]BS!AN48</f>
        <v>0</v>
      </c>
      <c r="AP47" s="312">
        <f>[32]BS!AO48</f>
        <v>0</v>
      </c>
      <c r="AQ47" s="312">
        <f>[32]BS!AP48</f>
        <v>0</v>
      </c>
      <c r="AR47" s="312">
        <f>[32]BS!AQ48</f>
        <v>0</v>
      </c>
      <c r="AS47" s="312">
        <f>[32]BS!AR48</f>
        <v>0</v>
      </c>
      <c r="AT47" s="312">
        <f>[32]BS!AS48</f>
        <v>0</v>
      </c>
      <c r="AU47" s="312">
        <f>[32]BS!AT48</f>
        <v>0</v>
      </c>
      <c r="AV47" s="312">
        <f>[32]BS!AU48</f>
        <v>0</v>
      </c>
      <c r="AW47" s="312">
        <f>[32]BS!AV48</f>
        <v>0</v>
      </c>
      <c r="AX47" s="313" t="e">
        <f t="shared" ref="AX47" si="98">AX42/AX49</f>
        <v>#VALUE!</v>
      </c>
      <c r="AY47" s="313" t="e">
        <f>AY42/AY49</f>
        <v>#VALUE!</v>
      </c>
      <c r="AZ47" s="313" t="e">
        <f t="shared" ref="AZ47:BC47" si="99">AZ42/AZ49</f>
        <v>#VALUE!</v>
      </c>
      <c r="BA47" s="313" t="e">
        <f t="shared" si="99"/>
        <v>#VALUE!</v>
      </c>
      <c r="BB47" s="313" t="e">
        <f t="shared" si="99"/>
        <v>#VALUE!</v>
      </c>
      <c r="BC47" s="313" t="e">
        <f t="shared" si="99"/>
        <v>#VALUE!</v>
      </c>
      <c r="BD47" s="314"/>
      <c r="BE47" s="312">
        <f t="shared" ref="BE47:BH47" si="100">BE44/BE49</f>
        <v>101.00900844417065</v>
      </c>
      <c r="BF47" s="312">
        <f t="shared" si="100"/>
        <v>128.1432707118951</v>
      </c>
      <c r="BG47" s="312">
        <f t="shared" si="100"/>
        <v>170.85963724711135</v>
      </c>
      <c r="BH47" s="312">
        <f t="shared" si="100"/>
        <v>239.27635571978547</v>
      </c>
      <c r="BI47" s="312">
        <f>BI44/BI49</f>
        <v>327.43391287483081</v>
      </c>
      <c r="BJ47" s="312">
        <f>AD47</f>
        <v>343.11484399564443</v>
      </c>
      <c r="BK47" s="312">
        <f>AH47</f>
        <v>390.71694534668893</v>
      </c>
      <c r="BL47" s="312">
        <f>AL47</f>
        <v>439.80674415336489</v>
      </c>
      <c r="BM47" s="313">
        <f t="shared" ref="BM47:BS47" si="101">BM42/BM49</f>
        <v>489.67920793009699</v>
      </c>
      <c r="BN47" s="313">
        <f t="shared" si="101"/>
        <v>542.76200788762662</v>
      </c>
      <c r="BO47" s="313">
        <f t="shared" si="101"/>
        <v>598.26952456903939</v>
      </c>
      <c r="BP47" s="313">
        <f t="shared" si="101"/>
        <v>655.09088827591893</v>
      </c>
      <c r="BQ47" s="313">
        <f t="shared" si="101"/>
        <v>712.19630420744579</v>
      </c>
      <c r="BR47" s="313">
        <f t="shared" si="101"/>
        <v>768.71433210050986</v>
      </c>
      <c r="BS47" s="313">
        <f t="shared" si="101"/>
        <v>823.92332800981831</v>
      </c>
      <c r="BT47" s="203"/>
      <c r="BU47" s="203"/>
    </row>
    <row r="48" spans="1:73" ht="12.75" customHeight="1" x14ac:dyDescent="0.35">
      <c r="A48" s="285" t="s">
        <v>265</v>
      </c>
      <c r="B48" s="258" t="s">
        <v>266</v>
      </c>
      <c r="C48" s="147"/>
      <c r="D48" s="147"/>
      <c r="E48" s="147"/>
      <c r="F48" s="147"/>
      <c r="G48" s="258"/>
      <c r="H48" s="258"/>
      <c r="I48" s="258"/>
      <c r="J48" s="258"/>
      <c r="K48" s="312">
        <f>[32]BS!I49</f>
        <v>6.0485240598463408</v>
      </c>
      <c r="L48" s="312">
        <f>[32]BS!J49</f>
        <v>6.9435028248587569</v>
      </c>
      <c r="M48" s="312">
        <f>[32]BS!K49</f>
        <v>15.056740442655936</v>
      </c>
      <c r="N48" s="312">
        <f>[32]BS!L49</f>
        <v>4.2761639474731394</v>
      </c>
      <c r="O48" s="312">
        <f>[32]BS!M49</f>
        <v>9.9532048761305543</v>
      </c>
      <c r="P48" s="312">
        <f>[32]BS!N49</f>
        <v>11.954153605015675</v>
      </c>
      <c r="Q48" s="312">
        <f>[32]BS!O49</f>
        <v>21.577238951896753</v>
      </c>
      <c r="R48" s="312">
        <f>[32]BS!P49</f>
        <v>5.6183593749999998</v>
      </c>
      <c r="S48" s="312">
        <f>[32]BS!Q49</f>
        <v>13.993413405656723</v>
      </c>
      <c r="T48" s="312">
        <f>[32]BS!R49</f>
        <v>12.154411764705882</v>
      </c>
      <c r="U48" s="312">
        <f>[32]BS!S49</f>
        <v>25.19332298136646</v>
      </c>
      <c r="V48" s="312">
        <f>[32]BS!T49</f>
        <v>7.1938735944164405</v>
      </c>
      <c r="W48" s="312">
        <f>[32]BS!U49</f>
        <v>13.322330132506108</v>
      </c>
      <c r="X48" s="312">
        <f>[32]BS!V49</f>
        <v>18.202307692307691</v>
      </c>
      <c r="Y48" s="312">
        <f>[32]BS!W49</f>
        <v>36.666033434650458</v>
      </c>
      <c r="Z48" s="312">
        <f>[32]BS!X49</f>
        <v>0.8066431010581413</v>
      </c>
      <c r="AA48" s="312">
        <f>[32]BS!Y49</f>
        <v>18.569611063193598</v>
      </c>
      <c r="AB48" s="312">
        <f>[32]BS!Z49</f>
        <v>20.118716672743339</v>
      </c>
      <c r="AC48" s="312">
        <f>[32]BS!AA49</f>
        <v>22.490000000000002</v>
      </c>
      <c r="AD48" s="312">
        <f>[32]BS!AB49</f>
        <v>22.490000000000002</v>
      </c>
      <c r="AE48" s="312">
        <f>[32]BS!AC49</f>
        <v>22.490000000000002</v>
      </c>
      <c r="AF48" s="312">
        <f>[32]BS!AD49</f>
        <v>22.490000000000002</v>
      </c>
      <c r="AG48" s="312">
        <f>[32]BS!AE49</f>
        <v>22.490000000000002</v>
      </c>
      <c r="AH48" s="312">
        <f>[32]BS!AF49</f>
        <v>22.490000000000002</v>
      </c>
      <c r="AI48" s="312">
        <f>[32]BS!AG49</f>
        <v>22.490000000000002</v>
      </c>
      <c r="AJ48" s="312">
        <f>[32]BS!AH49</f>
        <v>22.490000000000002</v>
      </c>
      <c r="AK48" s="312">
        <f>[32]BS!AI49</f>
        <v>22.490000000000002</v>
      </c>
      <c r="AL48" s="312">
        <f>[32]BS!AJ49</f>
        <v>22.490000000000002</v>
      </c>
      <c r="AM48" s="314"/>
      <c r="AN48" s="312">
        <f>[32]BS!AM49</f>
        <v>0</v>
      </c>
      <c r="AO48" s="312">
        <f>[32]BS!AN49</f>
        <v>0</v>
      </c>
      <c r="AP48" s="312">
        <f>[32]BS!AO49</f>
        <v>0</v>
      </c>
      <c r="AQ48" s="312">
        <f>[32]BS!AP49</f>
        <v>0</v>
      </c>
      <c r="AR48" s="312">
        <f>[32]BS!AQ49</f>
        <v>0</v>
      </c>
      <c r="AS48" s="312">
        <f>[32]BS!AR49</f>
        <v>0</v>
      </c>
      <c r="AT48" s="312">
        <f>[32]BS!AS49</f>
        <v>0</v>
      </c>
      <c r="AU48" s="312">
        <f>[32]BS!AT49</f>
        <v>0</v>
      </c>
      <c r="AV48" s="312">
        <f>[32]BS!AU49</f>
        <v>0</v>
      </c>
      <c r="AW48" s="312">
        <f>[32]BS!AV49</f>
        <v>0</v>
      </c>
      <c r="AX48" s="312">
        <f>[32]BS!AW49</f>
        <v>0</v>
      </c>
      <c r="AY48" s="312">
        <f>[32]BS!AX49</f>
        <v>0</v>
      </c>
      <c r="AZ48" s="312">
        <f>[32]BS!AY49</f>
        <v>0</v>
      </c>
      <c r="BA48" s="312">
        <f>[32]BS!AZ49</f>
        <v>0</v>
      </c>
      <c r="BB48" s="312">
        <f>[32]BS!BA49</f>
        <v>0</v>
      </c>
      <c r="BC48" s="312">
        <f>[32]BS!BB49</f>
        <v>0</v>
      </c>
      <c r="BD48" s="314"/>
      <c r="BE48" s="312">
        <f>[32]BS!BE49</f>
        <v>23.122864117168429</v>
      </c>
      <c r="BF48" s="312">
        <f>[32]BS!BF49</f>
        <v>32.220617729643003</v>
      </c>
      <c r="BG48" s="312">
        <f>[32]BS!BG49</f>
        <v>49.277320799059929</v>
      </c>
      <c r="BH48" s="312">
        <f>[32]BS!BH49</f>
        <v>58.517441860465119</v>
      </c>
      <c r="BI48" s="312">
        <f>[32]BS!BI49</f>
        <v>68.750285496764377</v>
      </c>
      <c r="BJ48" s="2832">
        <f>AD48</f>
        <v>22.490000000000002</v>
      </c>
      <c r="BK48" s="2832">
        <f>AH48</f>
        <v>22.490000000000002</v>
      </c>
      <c r="BL48" s="2832">
        <f>AL48</f>
        <v>22.490000000000002</v>
      </c>
      <c r="BM48" s="2834">
        <f>BL48</f>
        <v>22.490000000000002</v>
      </c>
      <c r="BN48" s="2834">
        <f t="shared" ref="BN48:BS48" si="102">BM48</f>
        <v>22.490000000000002</v>
      </c>
      <c r="BO48" s="2834">
        <f t="shared" si="102"/>
        <v>22.490000000000002</v>
      </c>
      <c r="BP48" s="2834">
        <f t="shared" si="102"/>
        <v>22.490000000000002</v>
      </c>
      <c r="BQ48" s="2834">
        <f t="shared" si="102"/>
        <v>22.490000000000002</v>
      </c>
      <c r="BR48" s="2834">
        <f t="shared" si="102"/>
        <v>22.490000000000002</v>
      </c>
      <c r="BS48" s="2834">
        <f t="shared" si="102"/>
        <v>22.490000000000002</v>
      </c>
      <c r="BT48" s="203"/>
      <c r="BU48" s="203"/>
    </row>
    <row r="49" spans="1:73" s="449" customFormat="1" ht="12.75" customHeight="1" x14ac:dyDescent="0.35">
      <c r="A49" s="285" t="s">
        <v>267</v>
      </c>
      <c r="B49" s="258" t="str">
        <f>[32]BS!$B$50</f>
        <v>SHARES OUTSTANDING</v>
      </c>
      <c r="C49" s="147"/>
      <c r="D49" s="147"/>
      <c r="E49" s="147"/>
      <c r="F49" s="147"/>
      <c r="G49" s="147"/>
      <c r="H49" s="147"/>
      <c r="I49" s="147"/>
      <c r="J49" s="147"/>
      <c r="K49" s="312">
        <f>[32]BS!I50</f>
        <v>2603.5709929999998</v>
      </c>
      <c r="L49" s="312">
        <f>[32]BS!J50</f>
        <v>2603.5709929999998</v>
      </c>
      <c r="M49" s="312">
        <f>[32]BS!K50</f>
        <v>2682.723</v>
      </c>
      <c r="N49" s="312">
        <f>[32]BS!L50</f>
        <v>2686.4993679999998</v>
      </c>
      <c r="O49" s="312">
        <f>[32]BS!M50</f>
        <v>2603.5709929999998</v>
      </c>
      <c r="P49" s="312">
        <f>[32]BS!N50</f>
        <v>2603.5709929999998</v>
      </c>
      <c r="Q49" s="312">
        <f>[32]BS!O50</f>
        <v>2682.723</v>
      </c>
      <c r="R49" s="312">
        <f>[32]BS!P50</f>
        <v>2686.4993679999998</v>
      </c>
      <c r="S49" s="312">
        <f>[32]BS!Q50</f>
        <v>2603.5709929999998</v>
      </c>
      <c r="T49" s="312">
        <f>[32]BS!R50</f>
        <v>2603.5709929999998</v>
      </c>
      <c r="U49" s="312">
        <f>[32]BS!S50</f>
        <v>2682.723</v>
      </c>
      <c r="V49" s="312">
        <f>[32]BS!T50</f>
        <v>2686.4993679999998</v>
      </c>
      <c r="W49" s="312">
        <f>[32]BS!U50</f>
        <v>2603.5709929999998</v>
      </c>
      <c r="X49" s="312">
        <f>[32]BS!V50</f>
        <v>2603.5709929999998</v>
      </c>
      <c r="Y49" s="312">
        <f>[32]BS!W50</f>
        <v>2682.723</v>
      </c>
      <c r="Z49" s="312">
        <f>[32]BS!X50</f>
        <v>2686.4993679999998</v>
      </c>
      <c r="AA49" s="312">
        <f>[32]BS!Y50</f>
        <v>2682.7230330000002</v>
      </c>
      <c r="AB49" s="312">
        <f>[32]BS!Z50</f>
        <v>2705.6370000000002</v>
      </c>
      <c r="AC49" s="2832">
        <f t="shared" ref="AC49:AK49" si="103">AB49*1.005</f>
        <v>2719.1651849999998</v>
      </c>
      <c r="AD49" s="2832">
        <f t="shared" si="103"/>
        <v>2732.7610109249995</v>
      </c>
      <c r="AE49" s="2832">
        <f t="shared" si="103"/>
        <v>2746.4248159796243</v>
      </c>
      <c r="AF49" s="2832">
        <f t="shared" si="103"/>
        <v>2760.1569400595222</v>
      </c>
      <c r="AG49" s="2832">
        <f t="shared" si="103"/>
        <v>2773.9577247598195</v>
      </c>
      <c r="AH49" s="2832">
        <f t="shared" si="103"/>
        <v>2787.8275133836182</v>
      </c>
      <c r="AI49" s="2832">
        <f t="shared" si="103"/>
        <v>2801.7666509505361</v>
      </c>
      <c r="AJ49" s="2832">
        <f t="shared" si="103"/>
        <v>2815.7754842052886</v>
      </c>
      <c r="AK49" s="2832">
        <f t="shared" si="103"/>
        <v>2829.8543616263146</v>
      </c>
      <c r="AL49" s="2832">
        <f>AK49*1.005</f>
        <v>2844.0036334344459</v>
      </c>
      <c r="AM49" s="312"/>
      <c r="AN49" s="312" t="str">
        <f>[32]BS!AM50</f>
        <v>#N/A N/A</v>
      </c>
      <c r="AO49" s="312" t="str">
        <f>[32]BS!AN50</f>
        <v>#N/A N/A</v>
      </c>
      <c r="AP49" s="312" t="str">
        <f>[32]BS!AO50</f>
        <v>#N/A N/A</v>
      </c>
      <c r="AQ49" s="312" t="str">
        <f>[32]BS!AP50</f>
        <v>#N/A N/A</v>
      </c>
      <c r="AR49" s="312" t="str">
        <f>[32]BS!AQ50</f>
        <v>#N/A N/A</v>
      </c>
      <c r="AS49" s="312" t="str">
        <f>[32]BS!AR50</f>
        <v>#N/A N/A</v>
      </c>
      <c r="AT49" s="312" t="str">
        <f>[32]BS!AS50</f>
        <v>#N/A N/A</v>
      </c>
      <c r="AU49" s="312" t="str">
        <f>[32]BS!AT50</f>
        <v>#N/A N/A</v>
      </c>
      <c r="AV49" s="312" t="str">
        <f>[32]BS!AU50</f>
        <v>#N/A N/A</v>
      </c>
      <c r="AW49" s="312" t="str">
        <f>[32]BS!AV50</f>
        <v>#N/A N/A</v>
      </c>
      <c r="AX49" s="312" t="str">
        <f>[32]BS!AW50</f>
        <v>#N/A N/A</v>
      </c>
      <c r="AY49" s="312" t="str">
        <f>[32]BS!AX50</f>
        <v>#N/A N/A</v>
      </c>
      <c r="AZ49" s="312" t="str">
        <f>[32]BS!AY50</f>
        <v>#N/A N/A</v>
      </c>
      <c r="BA49" s="312" t="str">
        <f>[32]BS!AZ50</f>
        <v>#N/A N/A</v>
      </c>
      <c r="BB49" s="312" t="str">
        <f>[32]BS!BA50</f>
        <v>#N/A N/A</v>
      </c>
      <c r="BC49" s="312" t="str">
        <f>[32]BS!BB50</f>
        <v>#N/A N/A</v>
      </c>
      <c r="BD49" s="312"/>
      <c r="BE49" s="312">
        <f>[32]BS!BE50</f>
        <v>2473.9278589999999</v>
      </c>
      <c r="BF49" s="312">
        <f>[32]BS!BF50</f>
        <v>2529.3641889999999</v>
      </c>
      <c r="BG49" s="312">
        <f>[32]BS!BG50</f>
        <v>2571.9298429999999</v>
      </c>
      <c r="BH49" s="312">
        <f>[32]BS!BH50</f>
        <v>2571.9298429999999</v>
      </c>
      <c r="BI49" s="312">
        <f>[32]BS!BI50</f>
        <v>2686.4993679999998</v>
      </c>
      <c r="BJ49" s="2833">
        <f>AD49</f>
        <v>2732.7610109249995</v>
      </c>
      <c r="BK49" s="2833">
        <f>AH49</f>
        <v>2787.8275133836182</v>
      </c>
      <c r="BL49" s="2833">
        <f>AL49</f>
        <v>2844.0036334344459</v>
      </c>
      <c r="BM49" s="2834">
        <f>BL49*1.03</f>
        <v>2929.3237424374793</v>
      </c>
      <c r="BN49" s="2834">
        <f t="shared" ref="BN49:BS49" si="104">BM49*1.03</f>
        <v>3017.2034547106036</v>
      </c>
      <c r="BO49" s="2834">
        <f t="shared" si="104"/>
        <v>3107.7195583519219</v>
      </c>
      <c r="BP49" s="2834">
        <f t="shared" si="104"/>
        <v>3200.9511451024796</v>
      </c>
      <c r="BQ49" s="2834">
        <f t="shared" si="104"/>
        <v>3296.9796794555541</v>
      </c>
      <c r="BR49" s="2834">
        <f t="shared" si="104"/>
        <v>3395.8890698392206</v>
      </c>
      <c r="BS49" s="2834">
        <f t="shared" si="104"/>
        <v>3497.7657419343973</v>
      </c>
      <c r="BT49" s="148"/>
      <c r="BU49" s="148"/>
    </row>
    <row r="50" spans="1:73" ht="12.75" customHeight="1" x14ac:dyDescent="0.35">
      <c r="A50" s="285" t="s">
        <v>268</v>
      </c>
      <c r="B50" s="197"/>
      <c r="C50" s="147"/>
      <c r="D50" s="147"/>
      <c r="E50" s="147"/>
      <c r="F50" s="147"/>
      <c r="G50" s="197"/>
      <c r="H50" s="197"/>
      <c r="I50" s="197"/>
      <c r="J50" s="197"/>
      <c r="K50" s="312"/>
      <c r="L50" s="312"/>
      <c r="M50" s="312"/>
      <c r="N50" s="312"/>
      <c r="O50" s="312"/>
      <c r="P50" s="312"/>
      <c r="Q50" s="312"/>
      <c r="R50" s="312"/>
      <c r="S50" s="312"/>
      <c r="T50" s="312"/>
      <c r="U50" s="312"/>
      <c r="V50" s="312"/>
      <c r="W50" s="312"/>
      <c r="X50" s="312"/>
      <c r="Y50" s="312"/>
      <c r="Z50" s="312"/>
      <c r="AA50" s="312"/>
      <c r="AB50" s="312"/>
      <c r="AC50" s="312"/>
      <c r="AD50" s="312"/>
      <c r="AE50" s="312"/>
      <c r="AF50" s="312"/>
      <c r="AG50" s="312"/>
      <c r="AH50" s="312"/>
      <c r="AI50" s="312"/>
      <c r="AJ50" s="312"/>
      <c r="AK50" s="312"/>
      <c r="AL50" s="312"/>
      <c r="AM50" s="314"/>
      <c r="AN50" s="312"/>
      <c r="AO50" s="312"/>
      <c r="AP50" s="312"/>
      <c r="AQ50" s="312"/>
      <c r="AR50" s="312"/>
      <c r="AS50" s="312"/>
      <c r="AT50" s="312"/>
      <c r="AU50" s="312"/>
      <c r="AV50" s="312"/>
      <c r="AW50" s="312"/>
      <c r="AX50" s="312"/>
      <c r="AY50" s="312"/>
      <c r="AZ50" s="312"/>
      <c r="BA50" s="312"/>
      <c r="BB50" s="312"/>
      <c r="BC50" s="312"/>
      <c r="BD50" s="314"/>
      <c r="BE50" s="312"/>
      <c r="BF50" s="2863"/>
      <c r="BG50" s="2863"/>
      <c r="BH50" s="2863"/>
      <c r="BI50" s="2863"/>
      <c r="BJ50" s="312"/>
      <c r="BK50" s="312"/>
      <c r="BL50" s="312"/>
      <c r="BM50" s="314"/>
      <c r="BN50" s="314"/>
      <c r="BO50" s="314"/>
      <c r="BP50" s="314"/>
      <c r="BQ50" s="314"/>
      <c r="BR50" s="314"/>
      <c r="BS50" s="314"/>
      <c r="BT50" s="203"/>
      <c r="BU50" s="203"/>
    </row>
    <row r="51" spans="1:73" ht="12.75" customHeight="1" x14ac:dyDescent="0.35">
      <c r="A51" s="285" t="s">
        <v>269</v>
      </c>
      <c r="B51" s="258" t="s">
        <v>270</v>
      </c>
      <c r="C51" s="147"/>
      <c r="D51" s="147"/>
      <c r="E51" s="147"/>
      <c r="F51" s="147"/>
      <c r="G51" s="258"/>
      <c r="H51" s="258"/>
      <c r="I51" s="258"/>
      <c r="J51" s="258"/>
      <c r="K51" s="312"/>
      <c r="L51" s="312"/>
      <c r="M51" s="312"/>
      <c r="N51" s="312"/>
      <c r="O51" s="312"/>
      <c r="P51" s="312"/>
      <c r="Q51" s="312"/>
      <c r="R51" s="312"/>
      <c r="S51" s="312"/>
      <c r="T51" s="312"/>
      <c r="U51" s="312"/>
      <c r="V51" s="312"/>
      <c r="W51" s="312"/>
      <c r="X51" s="312"/>
      <c r="Y51" s="312"/>
      <c r="Z51" s="312"/>
      <c r="AA51" s="312"/>
      <c r="AB51" s="312"/>
      <c r="AC51" s="312"/>
      <c r="AD51" s="312"/>
      <c r="AE51" s="312"/>
      <c r="AF51" s="312"/>
      <c r="AG51" s="312"/>
      <c r="AH51" s="312"/>
      <c r="AI51" s="312"/>
      <c r="AJ51" s="312"/>
      <c r="AK51" s="312"/>
      <c r="AL51" s="312"/>
      <c r="AM51" s="314"/>
      <c r="AN51" s="312"/>
      <c r="AO51" s="312"/>
      <c r="AP51" s="312"/>
      <c r="AQ51" s="312"/>
      <c r="AR51" s="312"/>
      <c r="AS51" s="312"/>
      <c r="AT51" s="312"/>
      <c r="AU51" s="312"/>
      <c r="AV51" s="312"/>
      <c r="AW51" s="312"/>
      <c r="AX51" s="312"/>
      <c r="AY51" s="312"/>
      <c r="AZ51" s="312"/>
      <c r="BA51" s="312"/>
      <c r="BB51" s="312"/>
      <c r="BC51" s="312"/>
      <c r="BD51" s="314"/>
      <c r="BE51" s="315"/>
      <c r="BF51" s="315"/>
      <c r="BG51" s="315"/>
      <c r="BH51" s="315"/>
      <c r="BI51" s="314"/>
      <c r="BJ51" s="312"/>
      <c r="BK51" s="312"/>
      <c r="BL51" s="312"/>
      <c r="BM51" s="314"/>
      <c r="BN51" s="314"/>
      <c r="BO51" s="314"/>
      <c r="BP51" s="314"/>
      <c r="BQ51" s="314"/>
      <c r="BR51" s="314"/>
      <c r="BS51" s="314"/>
      <c r="BT51" s="203"/>
      <c r="BU51" s="203"/>
    </row>
    <row r="52" spans="1:73" ht="12.75" customHeight="1" x14ac:dyDescent="0.35">
      <c r="A52" s="200"/>
      <c r="B52" s="147"/>
      <c r="C52" s="197" t="s">
        <v>271</v>
      </c>
      <c r="D52" s="147"/>
      <c r="E52" s="147"/>
      <c r="F52" s="147"/>
      <c r="G52" s="197"/>
      <c r="H52" s="197"/>
      <c r="I52" s="197"/>
      <c r="J52" s="197"/>
      <c r="K52" s="312">
        <f t="shared" ref="K52:AL52" si="105">(K26+K33-K10)/K44</f>
        <v>-4.9008726852555723E-2</v>
      </c>
      <c r="L52" s="312">
        <f t="shared" si="105"/>
        <v>-7.8182153191024728E-2</v>
      </c>
      <c r="M52" s="312">
        <f t="shared" si="105"/>
        <v>-0.16465681824789458</v>
      </c>
      <c r="N52" s="312">
        <f t="shared" si="105"/>
        <v>-0.18224366825969313</v>
      </c>
      <c r="O52" s="312">
        <f t="shared" si="105"/>
        <v>-0.1721693935918468</v>
      </c>
      <c r="P52" s="312">
        <f t="shared" si="105"/>
        <v>-0.1991201063046367</v>
      </c>
      <c r="Q52" s="312">
        <f t="shared" si="105"/>
        <v>-0.22049308059076636</v>
      </c>
      <c r="R52" s="312">
        <f t="shared" si="105"/>
        <v>-0.19264789879824049</v>
      </c>
      <c r="S52" s="312">
        <f t="shared" si="105"/>
        <v>-9.8913502708360926E-2</v>
      </c>
      <c r="T52" s="312">
        <f t="shared" si="105"/>
        <v>-8.6409041224857777E-2</v>
      </c>
      <c r="U52" s="312">
        <f t="shared" si="105"/>
        <v>-0.11360583854233594</v>
      </c>
      <c r="V52" s="312">
        <f t="shared" si="105"/>
        <v>-0.1119024637553989</v>
      </c>
      <c r="W52" s="312">
        <f t="shared" si="105"/>
        <v>-9.5853544725504877E-2</v>
      </c>
      <c r="X52" s="312">
        <f t="shared" si="105"/>
        <v>-0.10434126614422518</v>
      </c>
      <c r="Y52" s="312">
        <f t="shared" si="105"/>
        <v>-0.24843791445145369</v>
      </c>
      <c r="Z52" s="312">
        <f t="shared" si="105"/>
        <v>-0.24826323166801378</v>
      </c>
      <c r="AA52" s="312">
        <f t="shared" ref="AA52:AB52" si="106">(AA26+AA33-AA10)/AA44</f>
        <v>-0.28123431579718294</v>
      </c>
      <c r="AB52" s="312">
        <f t="shared" si="106"/>
        <v>-0.29444377068209776</v>
      </c>
      <c r="AC52" s="312">
        <f t="shared" si="105"/>
        <v>-0.2834943288119936</v>
      </c>
      <c r="AD52" s="312">
        <f t="shared" si="105"/>
        <v>-0.28869304746620428</v>
      </c>
      <c r="AE52" s="312">
        <f>(AE26+AE33-AE10)/AE44</f>
        <v>-0.27831060566107368</v>
      </c>
      <c r="AF52" s="312">
        <f t="shared" si="105"/>
        <v>-0.26960842472556706</v>
      </c>
      <c r="AG52" s="312">
        <f t="shared" si="105"/>
        <v>-0.29470393572505077</v>
      </c>
      <c r="AH52" s="312">
        <f t="shared" si="105"/>
        <v>-0.29044608603012168</v>
      </c>
      <c r="AI52" s="312">
        <f t="shared" si="105"/>
        <v>-0.28849607862773008</v>
      </c>
      <c r="AJ52" s="312">
        <f t="shared" si="105"/>
        <v>-0.27787369930036304</v>
      </c>
      <c r="AK52" s="312">
        <f t="shared" si="105"/>
        <v>-0.30250223016948835</v>
      </c>
      <c r="AL52" s="312">
        <f t="shared" si="105"/>
        <v>-0.30084789548254259</v>
      </c>
      <c r="AM52" s="348"/>
      <c r="AN52" s="312" t="e">
        <f t="shared" ref="AN52" si="107">(AN26+AN33-AN10)/AN44</f>
        <v>#DIV/0!</v>
      </c>
      <c r="AO52" s="312" t="e">
        <f t="shared" ref="AO52:AY52" si="108">(AO26+AO33-AO10)/AO44</f>
        <v>#DIV/0!</v>
      </c>
      <c r="AP52" s="312" t="e">
        <f t="shared" si="108"/>
        <v>#DIV/0!</v>
      </c>
      <c r="AQ52" s="312" t="e">
        <f t="shared" si="108"/>
        <v>#DIV/0!</v>
      </c>
      <c r="AR52" s="312" t="e">
        <f t="shared" si="108"/>
        <v>#DIV/0!</v>
      </c>
      <c r="AS52" s="312" t="e">
        <f t="shared" si="108"/>
        <v>#DIV/0!</v>
      </c>
      <c r="AT52" s="312" t="e">
        <f t="shared" si="108"/>
        <v>#DIV/0!</v>
      </c>
      <c r="AU52" s="312" t="e">
        <f t="shared" si="108"/>
        <v>#DIV/0!</v>
      </c>
      <c r="AV52" s="312" t="e">
        <f t="shared" si="108"/>
        <v>#DIV/0!</v>
      </c>
      <c r="AW52" s="312" t="e">
        <f t="shared" si="108"/>
        <v>#DIV/0!</v>
      </c>
      <c r="AX52" s="312" t="e">
        <f t="shared" ref="AX52" si="109">(AX26+AX33-AX10)/AX44</f>
        <v>#DIV/0!</v>
      </c>
      <c r="AY52" s="312" t="e">
        <f t="shared" si="108"/>
        <v>#DIV/0!</v>
      </c>
      <c r="AZ52" s="312" t="e">
        <f t="shared" ref="AZ52:BC52" si="110">(AZ26+AZ33-AZ10)/AZ44</f>
        <v>#DIV/0!</v>
      </c>
      <c r="BA52" s="312" t="e">
        <f t="shared" si="110"/>
        <v>#DIV/0!</v>
      </c>
      <c r="BB52" s="312" t="e">
        <f t="shared" si="110"/>
        <v>#DIV/0!</v>
      </c>
      <c r="BC52" s="312" t="e">
        <f t="shared" si="110"/>
        <v>#DIV/0!</v>
      </c>
      <c r="BD52" s="348"/>
      <c r="BE52" s="312">
        <f t="shared" ref="BE52:BH52" si="111">(BE26+BE33-BE10)/BE44</f>
        <v>-0.23180292049670054</v>
      </c>
      <c r="BF52" s="312">
        <f t="shared" si="111"/>
        <v>-0.18224366825969313</v>
      </c>
      <c r="BG52" s="312">
        <f t="shared" si="111"/>
        <v>-0.19264789879824049</v>
      </c>
      <c r="BH52" s="312">
        <f t="shared" si="111"/>
        <v>-0.1119024637553989</v>
      </c>
      <c r="BI52" s="312">
        <f>(BI26+BI33-BI10)/BI44</f>
        <v>-0.24826323166801378</v>
      </c>
      <c r="BJ52" s="312">
        <f t="shared" ref="BJ52:BK52" si="112">(BJ26+BJ33-BJ10)/BJ44</f>
        <v>-0.28869304746620428</v>
      </c>
      <c r="BK52" s="312">
        <f t="shared" si="112"/>
        <v>-0.29044608603012168</v>
      </c>
      <c r="BL52" s="312">
        <f>(BL26+BL33-BL10)/BL44</f>
        <v>-0.30084789548254259</v>
      </c>
      <c r="BM52" s="312">
        <f t="shared" ref="BM52:BS52" si="113">(BM26+BM33-BM10)/BM44</f>
        <v>-0.43630975661205712</v>
      </c>
      <c r="BN52" s="312">
        <f t="shared" si="113"/>
        <v>-0.47065469523127229</v>
      </c>
      <c r="BO52" s="312">
        <f t="shared" si="113"/>
        <v>-0.49633003298142403</v>
      </c>
      <c r="BP52" s="312">
        <f t="shared" si="113"/>
        <v>-0.51553904951348717</v>
      </c>
      <c r="BQ52" s="312">
        <f t="shared" si="113"/>
        <v>-0.52684501595991817</v>
      </c>
      <c r="BR52" s="312">
        <f t="shared" si="113"/>
        <v>-0.5312496926159388</v>
      </c>
      <c r="BS52" s="312">
        <f t="shared" si="113"/>
        <v>-0.52928849689885349</v>
      </c>
      <c r="BT52" s="203"/>
      <c r="BU52" s="203"/>
    </row>
    <row r="53" spans="1:73" ht="12.75" customHeight="1" x14ac:dyDescent="0.35">
      <c r="A53" s="200"/>
      <c r="B53" s="147"/>
      <c r="C53" s="197" t="s">
        <v>272</v>
      </c>
      <c r="D53" s="147"/>
      <c r="E53" s="147"/>
      <c r="F53" s="147"/>
      <c r="G53" s="197"/>
      <c r="H53" s="197"/>
      <c r="I53" s="197"/>
      <c r="J53" s="197"/>
      <c r="K53" s="312">
        <f t="shared" ref="K53:AL53" si="114">K23/K44</f>
        <v>1.5582525009882324</v>
      </c>
      <c r="L53" s="312">
        <f t="shared" si="114"/>
        <v>1.5573033247802588</v>
      </c>
      <c r="M53" s="312">
        <f t="shared" si="114"/>
        <v>1.5856944879651376</v>
      </c>
      <c r="N53" s="312">
        <f t="shared" si="114"/>
        <v>1.5636506119628164</v>
      </c>
      <c r="O53" s="312">
        <f t="shared" si="114"/>
        <v>1.5787053033492544</v>
      </c>
      <c r="P53" s="312">
        <f t="shared" si="114"/>
        <v>1.5728955785205938</v>
      </c>
      <c r="Q53" s="312">
        <f t="shared" si="114"/>
        <v>1.6546854285382022</v>
      </c>
      <c r="R53" s="312">
        <f t="shared" si="114"/>
        <v>1.6319079553703699</v>
      </c>
      <c r="S53" s="312">
        <f t="shared" si="114"/>
        <v>1.6745426685079738</v>
      </c>
      <c r="T53" s="312">
        <f t="shared" si="114"/>
        <v>1.6450988135985383</v>
      </c>
      <c r="U53" s="312">
        <f t="shared" si="114"/>
        <v>1.6158493329366805</v>
      </c>
      <c r="V53" s="312">
        <f t="shared" si="114"/>
        <v>1.5682041982313999</v>
      </c>
      <c r="W53" s="312">
        <f t="shared" si="114"/>
        <v>1.579479022784033</v>
      </c>
      <c r="X53" s="312">
        <f t="shared" si="114"/>
        <v>1.5934011875169189</v>
      </c>
      <c r="Y53" s="312">
        <f t="shared" si="114"/>
        <v>1.5217158146025302</v>
      </c>
      <c r="Z53" s="312">
        <f t="shared" si="114"/>
        <v>1.4926203687598831</v>
      </c>
      <c r="AA53" s="312">
        <f t="shared" ref="AA53:AB53" si="115">AA23/AA44</f>
        <v>1.4746403268991752</v>
      </c>
      <c r="AB53" s="312">
        <f t="shared" si="115"/>
        <v>1.4610603298128968</v>
      </c>
      <c r="AC53" s="312">
        <f t="shared" si="114"/>
        <v>1.3449184103358518</v>
      </c>
      <c r="AD53" s="312">
        <f t="shared" si="114"/>
        <v>1.3509380278131768</v>
      </c>
      <c r="AE53" s="312">
        <f t="shared" si="114"/>
        <v>1.298083712273862</v>
      </c>
      <c r="AF53" s="312">
        <f t="shared" si="114"/>
        <v>1.2943637311432457</v>
      </c>
      <c r="AG53" s="312">
        <f t="shared" si="114"/>
        <v>1.2339101037193505</v>
      </c>
      <c r="AH53" s="312">
        <f t="shared" si="114"/>
        <v>1.2365925766375776</v>
      </c>
      <c r="AI53" s="312">
        <f t="shared" si="114"/>
        <v>1.1946223593823593</v>
      </c>
      <c r="AJ53" s="312">
        <f t="shared" si="114"/>
        <v>1.1924815035541678</v>
      </c>
      <c r="AK53" s="312">
        <f t="shared" si="114"/>
        <v>1.1422225676749971</v>
      </c>
      <c r="AL53" s="312">
        <f t="shared" si="114"/>
        <v>1.1537447908318668</v>
      </c>
      <c r="AM53" s="348"/>
      <c r="AN53" s="312" t="e">
        <f t="shared" ref="AN53" si="116">AN23/AN44</f>
        <v>#DIV/0!</v>
      </c>
      <c r="AO53" s="312" t="e">
        <f t="shared" ref="AO53:AY53" si="117">AO23/AO44</f>
        <v>#DIV/0!</v>
      </c>
      <c r="AP53" s="312" t="e">
        <f t="shared" si="117"/>
        <v>#DIV/0!</v>
      </c>
      <c r="AQ53" s="312" t="e">
        <f t="shared" si="117"/>
        <v>#DIV/0!</v>
      </c>
      <c r="AR53" s="312" t="e">
        <f t="shared" si="117"/>
        <v>#DIV/0!</v>
      </c>
      <c r="AS53" s="312" t="e">
        <f t="shared" si="117"/>
        <v>#DIV/0!</v>
      </c>
      <c r="AT53" s="312" t="e">
        <f t="shared" si="117"/>
        <v>#DIV/0!</v>
      </c>
      <c r="AU53" s="312" t="e">
        <f t="shared" si="117"/>
        <v>#DIV/0!</v>
      </c>
      <c r="AV53" s="312" t="e">
        <f t="shared" si="117"/>
        <v>#DIV/0!</v>
      </c>
      <c r="AW53" s="312" t="e">
        <f t="shared" si="117"/>
        <v>#DIV/0!</v>
      </c>
      <c r="AX53" s="312" t="e">
        <f t="shared" ref="AX53" si="118">AX23/AX44</f>
        <v>#VALUE!</v>
      </c>
      <c r="AY53" s="312" t="e">
        <f t="shared" si="117"/>
        <v>#VALUE!</v>
      </c>
      <c r="AZ53" s="312" t="e">
        <f t="shared" ref="AZ53:BC53" si="119">AZ23/AZ44</f>
        <v>#VALUE!</v>
      </c>
      <c r="BA53" s="312" t="e">
        <f t="shared" si="119"/>
        <v>#VALUE!</v>
      </c>
      <c r="BB53" s="312" t="e">
        <f t="shared" si="119"/>
        <v>#VALUE!</v>
      </c>
      <c r="BC53" s="312" t="e">
        <f t="shared" si="119"/>
        <v>#VALUE!</v>
      </c>
      <c r="BD53" s="348"/>
      <c r="BE53" s="312">
        <f t="shared" ref="BE53:BH53" si="120">BE23/BE44</f>
        <v>1.4584475507125163</v>
      </c>
      <c r="BF53" s="312">
        <f t="shared" si="120"/>
        <v>1.5636506119628164</v>
      </c>
      <c r="BG53" s="312">
        <f t="shared" si="120"/>
        <v>1.6319079553703699</v>
      </c>
      <c r="BH53" s="312">
        <f t="shared" si="120"/>
        <v>1.5682041982313999</v>
      </c>
      <c r="BI53" s="314">
        <f>BI23/BI44</f>
        <v>1.4926203687598831</v>
      </c>
      <c r="BJ53" s="312">
        <f t="shared" ref="BJ53:BK53" si="121">BJ23/BJ44</f>
        <v>1.3509380278131768</v>
      </c>
      <c r="BK53" s="312">
        <f t="shared" si="121"/>
        <v>1.2365925766375776</v>
      </c>
      <c r="BL53" s="312">
        <f>BL23/BL44</f>
        <v>1.1537447908318668</v>
      </c>
      <c r="BM53" s="312">
        <f t="shared" ref="BM53:BS53" si="122">BM23/BM44</f>
        <v>1.2005614094585237</v>
      </c>
      <c r="BN53" s="312">
        <f t="shared" si="122"/>
        <v>1.1621231323810075</v>
      </c>
      <c r="BO53" s="312">
        <f t="shared" si="122"/>
        <v>1.1244503480603318</v>
      </c>
      <c r="BP53" s="312">
        <f t="shared" si="122"/>
        <v>1.090818527283447</v>
      </c>
      <c r="BQ53" s="312">
        <f t="shared" si="122"/>
        <v>1.0567026736178076</v>
      </c>
      <c r="BR53" s="312">
        <f t="shared" si="122"/>
        <v>1.0223282176633768</v>
      </c>
      <c r="BS53" s="312">
        <f t="shared" si="122"/>
        <v>0.98719787348094634</v>
      </c>
      <c r="BT53" s="203"/>
      <c r="BU53" s="203"/>
    </row>
    <row r="54" spans="1:73" ht="12.75" customHeight="1" x14ac:dyDescent="0.35">
      <c r="A54" s="200"/>
      <c r="B54" s="147"/>
      <c r="C54" s="197" t="s">
        <v>273</v>
      </c>
      <c r="D54" s="147"/>
      <c r="E54" s="147"/>
      <c r="F54" s="147"/>
      <c r="G54" s="197"/>
      <c r="H54" s="197"/>
      <c r="I54" s="197"/>
      <c r="J54" s="197"/>
      <c r="K54" s="312">
        <f t="shared" ref="K54:AL54" si="123">K14/K31</f>
        <v>1.858838226108682</v>
      </c>
      <c r="L54" s="312">
        <f t="shared" si="123"/>
        <v>2.0217110824398272</v>
      </c>
      <c r="M54" s="312">
        <f t="shared" si="123"/>
        <v>1.8200354226964448</v>
      </c>
      <c r="N54" s="312">
        <f t="shared" si="123"/>
        <v>1.9437390449318115</v>
      </c>
      <c r="O54" s="312">
        <f t="shared" si="123"/>
        <v>1.7419023232342112</v>
      </c>
      <c r="P54" s="312">
        <f t="shared" si="123"/>
        <v>1.7120484548329347</v>
      </c>
      <c r="Q54" s="312">
        <f t="shared" si="123"/>
        <v>1.9663876632609683</v>
      </c>
      <c r="R54" s="312">
        <f t="shared" si="123"/>
        <v>1.8912819380016199</v>
      </c>
      <c r="S54" s="312">
        <f t="shared" si="123"/>
        <v>1.4433603741869474</v>
      </c>
      <c r="T54" s="312">
        <f t="shared" si="123"/>
        <v>1.4151615743384733</v>
      </c>
      <c r="U54" s="312">
        <f t="shared" si="123"/>
        <v>1.2534247887647769</v>
      </c>
      <c r="V54" s="312">
        <f t="shared" si="123"/>
        <v>1.3014604972335784</v>
      </c>
      <c r="W54" s="312">
        <f t="shared" si="123"/>
        <v>1.3793640246796393</v>
      </c>
      <c r="X54" s="312">
        <f t="shared" si="123"/>
        <v>1.376054011289245</v>
      </c>
      <c r="Y54" s="312">
        <f t="shared" si="123"/>
        <v>1.7505505642807611</v>
      </c>
      <c r="Z54" s="312">
        <f t="shared" si="123"/>
        <v>1.9139172785605609</v>
      </c>
      <c r="AA54" s="312">
        <f t="shared" ref="AA54:AB54" si="124">AA14/AA31</f>
        <v>1.980354141390527</v>
      </c>
      <c r="AB54" s="312">
        <f t="shared" si="124"/>
        <v>1.9887845988849251</v>
      </c>
      <c r="AC54" s="312">
        <f t="shared" si="123"/>
        <v>2.3689625884101959</v>
      </c>
      <c r="AD54" s="312">
        <f t="shared" si="123"/>
        <v>2.6430779769847845</v>
      </c>
      <c r="AE54" s="312">
        <f t="shared" si="123"/>
        <v>2.4416721232633236</v>
      </c>
      <c r="AF54" s="312">
        <f t="shared" si="123"/>
        <v>2.4709482483486944</v>
      </c>
      <c r="AG54" s="312">
        <f t="shared" si="123"/>
        <v>2.5616832542659491</v>
      </c>
      <c r="AH54" s="312">
        <f t="shared" si="123"/>
        <v>2.8488841132805778</v>
      </c>
      <c r="AI54" s="312">
        <f t="shared" si="123"/>
        <v>2.6422177642791316</v>
      </c>
      <c r="AJ54" s="312">
        <f t="shared" si="123"/>
        <v>2.6641345698374219</v>
      </c>
      <c r="AK54" s="312">
        <f t="shared" si="123"/>
        <v>2.745987802058357</v>
      </c>
      <c r="AL54" s="312">
        <f t="shared" si="123"/>
        <v>3.11981956023922</v>
      </c>
      <c r="AM54" s="348"/>
      <c r="AN54" s="312" t="e">
        <f t="shared" ref="AN54" si="125">AN14/AN31</f>
        <v>#DIV/0!</v>
      </c>
      <c r="AO54" s="312" t="e">
        <f t="shared" ref="AO54:AY54" si="126">AO14/AO31</f>
        <v>#DIV/0!</v>
      </c>
      <c r="AP54" s="312" t="e">
        <f t="shared" si="126"/>
        <v>#DIV/0!</v>
      </c>
      <c r="AQ54" s="312" t="e">
        <f t="shared" si="126"/>
        <v>#DIV/0!</v>
      </c>
      <c r="AR54" s="312" t="e">
        <f t="shared" si="126"/>
        <v>#DIV/0!</v>
      </c>
      <c r="AS54" s="312" t="e">
        <f t="shared" si="126"/>
        <v>#DIV/0!</v>
      </c>
      <c r="AT54" s="312" t="e">
        <f t="shared" si="126"/>
        <v>#DIV/0!</v>
      </c>
      <c r="AU54" s="312" t="e">
        <f t="shared" si="126"/>
        <v>#DIV/0!</v>
      </c>
      <c r="AV54" s="312" t="e">
        <f t="shared" si="126"/>
        <v>#DIV/0!</v>
      </c>
      <c r="AW54" s="312" t="e">
        <f t="shared" si="126"/>
        <v>#DIV/0!</v>
      </c>
      <c r="AX54" s="312" t="e">
        <f t="shared" ref="AX54" si="127">AX14/AX31</f>
        <v>#REF!</v>
      </c>
      <c r="AY54" s="312" t="e">
        <f t="shared" si="126"/>
        <v>#REF!</v>
      </c>
      <c r="AZ54" s="312" t="e">
        <f t="shared" ref="AZ54:BC54" si="128">AZ14/AZ31</f>
        <v>#REF!</v>
      </c>
      <c r="BA54" s="312" t="e">
        <f t="shared" si="128"/>
        <v>#REF!</v>
      </c>
      <c r="BB54" s="312" t="e">
        <f t="shared" si="128"/>
        <v>#REF!</v>
      </c>
      <c r="BC54" s="312" t="e">
        <f t="shared" si="128"/>
        <v>#REF!</v>
      </c>
      <c r="BD54" s="348"/>
      <c r="BE54" s="312">
        <f t="shared" ref="BE54:BH54" si="129">BE14/BE31</f>
        <v>2.5763369780357039</v>
      </c>
      <c r="BF54" s="312">
        <f t="shared" si="129"/>
        <v>1.9437390449318115</v>
      </c>
      <c r="BG54" s="312">
        <f t="shared" si="129"/>
        <v>1.8912819380016199</v>
      </c>
      <c r="BH54" s="312">
        <f t="shared" si="129"/>
        <v>1.3014604972335784</v>
      </c>
      <c r="BI54" s="314">
        <f>BI14/BI31</f>
        <v>1.9139172785605609</v>
      </c>
      <c r="BJ54" s="312">
        <f t="shared" ref="BJ54:BK54" si="130">BJ14/BJ31</f>
        <v>2.6430779769847845</v>
      </c>
      <c r="BK54" s="312">
        <f t="shared" si="130"/>
        <v>2.8488841132805778</v>
      </c>
      <c r="BL54" s="312">
        <f>BL14/BL31</f>
        <v>3.11981956023922</v>
      </c>
      <c r="BM54" s="312">
        <f t="shared" ref="BM54:BS54" si="131">BM14/BM31</f>
        <v>2.8901759217872849</v>
      </c>
      <c r="BN54" s="312">
        <f t="shared" si="131"/>
        <v>3.1606031221272257</v>
      </c>
      <c r="BO54" s="312">
        <f t="shared" si="131"/>
        <v>3.4212930755653006</v>
      </c>
      <c r="BP54" s="312">
        <f t="shared" si="131"/>
        <v>3.6884413976111721</v>
      </c>
      <c r="BQ54" s="312">
        <f t="shared" si="131"/>
        <v>3.9349104993230943</v>
      </c>
      <c r="BR54" s="312">
        <f t="shared" si="131"/>
        <v>4.1569099687088551</v>
      </c>
      <c r="BS54" s="312">
        <f t="shared" si="131"/>
        <v>4.3468998980160007</v>
      </c>
      <c r="BT54" s="203"/>
      <c r="BU54" s="203"/>
    </row>
    <row r="55" spans="1:73" ht="12.75" customHeight="1" x14ac:dyDescent="0.35">
      <c r="A55" s="200"/>
      <c r="B55" s="147"/>
      <c r="C55" s="197" t="s">
        <v>274</v>
      </c>
      <c r="D55" s="147"/>
      <c r="E55" s="147"/>
      <c r="F55" s="147"/>
      <c r="G55" s="197"/>
      <c r="H55" s="197"/>
      <c r="I55" s="197"/>
      <c r="J55" s="197"/>
      <c r="K55" s="312">
        <f>PnL!K24/BS!K98</f>
        <v>18.555789473684211</v>
      </c>
      <c r="L55" s="312">
        <f>PnL!L24/BS!L98</f>
        <v>17.735294117647058</v>
      </c>
      <c r="M55" s="312">
        <f>PnL!M24/BS!M98</f>
        <v>33.009584664536739</v>
      </c>
      <c r="N55" s="312">
        <f>PnL!N24/BS!N98</f>
        <v>14.269461077844312</v>
      </c>
      <c r="O55" s="312">
        <f>PnL!O24/BS!O98</f>
        <v>24.982881597717547</v>
      </c>
      <c r="P55" s="312">
        <f>PnL!P24/BS!P98</f>
        <v>24.532544378698226</v>
      </c>
      <c r="Q55" s="312">
        <f>PnL!Q24/BS!Q98</f>
        <v>32.494999999999997</v>
      </c>
      <c r="R55" s="312">
        <f>PnL!R24/BS!R98</f>
        <v>12.344042838018742</v>
      </c>
      <c r="S55" s="312">
        <f>PnL!S24/BS!S98</f>
        <v>9.5023696682464447</v>
      </c>
      <c r="T55" s="312">
        <f>PnL!T24/BS!T98</f>
        <v>11.490212765957446</v>
      </c>
      <c r="U55" s="312">
        <f>PnL!U24/BS!U98</f>
        <v>22.092333058532564</v>
      </c>
      <c r="V55" s="312">
        <f>PnL!V24/BS!V98</f>
        <v>6.5410447761194028</v>
      </c>
      <c r="W55" s="312">
        <f>PnL!W24/BS!W98</f>
        <v>18.272113943028486</v>
      </c>
      <c r="X55" s="312">
        <f>PnL!X24/BS!X98</f>
        <v>15.628549501151189</v>
      </c>
      <c r="Y55" s="312">
        <f>PnL!Y24/BS!Y98</f>
        <v>29.39078751857355</v>
      </c>
      <c r="Z55" s="312">
        <f>PnL!Z24/BS!Z98</f>
        <v>5.2433823529411763</v>
      </c>
      <c r="AA55" s="312">
        <f>PnL!AA24/BS!AA98</f>
        <v>26.512605042016808</v>
      </c>
      <c r="AB55" s="312">
        <f>PnL!AB24/BS!AB98</f>
        <v>11.703004291845494</v>
      </c>
      <c r="AC55" s="312">
        <f>PnL!AC24/BS!AC98</f>
        <v>41.035509719995645</v>
      </c>
      <c r="AD55" s="312">
        <f>PnL!AD24/BS!AD98</f>
        <v>11.493673403081367</v>
      </c>
      <c r="AE55" s="312">
        <f>PnL!AE24/BS!AE98</f>
        <v>35.779901708367596</v>
      </c>
      <c r="AF55" s="312">
        <f>PnL!AF24/BS!AF98</f>
        <v>11.76061769200505</v>
      </c>
      <c r="AG55" s="312">
        <f>PnL!AG24/BS!AG98</f>
        <v>46.579540965973329</v>
      </c>
      <c r="AH55" s="312">
        <f>PnL!AH24/BS!AH98</f>
        <v>11.864123841569983</v>
      </c>
      <c r="AI55" s="312">
        <f>PnL!AI24/BS!AI98</f>
        <v>41.030216926936646</v>
      </c>
      <c r="AJ55" s="312">
        <f>PnL!AJ24/BS!AJ98</f>
        <v>10.654363926321343</v>
      </c>
      <c r="AK55" s="312">
        <f>PnL!AK24/BS!AK98</f>
        <v>52.862004414610816</v>
      </c>
      <c r="AL55" s="312">
        <f>PnL!AL24/BS!AL98</f>
        <v>11.559262882166804</v>
      </c>
      <c r="AM55" s="348"/>
      <c r="AN55" s="312" t="e">
        <f>PnL!AN24/BS!AN98</f>
        <v>#DIV/0!</v>
      </c>
      <c r="AO55" s="312" t="e">
        <f>PnL!AO24/BS!AO98</f>
        <v>#DIV/0!</v>
      </c>
      <c r="AP55" s="312" t="e">
        <f>PnL!AP24/BS!AP98</f>
        <v>#DIV/0!</v>
      </c>
      <c r="AQ55" s="312" t="e">
        <f>PnL!AQ24/BS!AQ98</f>
        <v>#DIV/0!</v>
      </c>
      <c r="AR55" s="312" t="e">
        <f>PnL!AR24/BS!AR98</f>
        <v>#DIV/0!</v>
      </c>
      <c r="AS55" s="312" t="e">
        <f>PnL!AS24/BS!AS98</f>
        <v>#DIV/0!</v>
      </c>
      <c r="AT55" s="312" t="e">
        <f>PnL!AT24/BS!AT98</f>
        <v>#DIV/0!</v>
      </c>
      <c r="AU55" s="312" t="e">
        <f>PnL!AU24/BS!AU98</f>
        <v>#DIV/0!</v>
      </c>
      <c r="AV55" s="312" t="e">
        <f>PnL!AV24/BS!AV98</f>
        <v>#DIV/0!</v>
      </c>
      <c r="AW55" s="312" t="e">
        <f>PnL!AW24/BS!AW98</f>
        <v>#DIV/0!</v>
      </c>
      <c r="AX55" s="312" t="e">
        <f>PnL!AX24/BS!AX98</f>
        <v>#DIV/0!</v>
      </c>
      <c r="AY55" s="312" t="e">
        <f>PnL!AY24/BS!AY98</f>
        <v>#DIV/0!</v>
      </c>
      <c r="AZ55" s="312" t="e">
        <f>PnL!AZ24/BS!AZ98</f>
        <v>#DIV/0!</v>
      </c>
      <c r="BA55" s="312" t="e">
        <f>PnL!BA24/BS!BA98</f>
        <v>#DIV/0!</v>
      </c>
      <c r="BB55" s="312" t="e">
        <f>PnL!BB24/BS!BB98</f>
        <v>#DIV/0!</v>
      </c>
      <c r="BC55" s="312" t="e">
        <f>PnL!BC24/BS!BC98</f>
        <v>#DIV/0!</v>
      </c>
      <c r="BD55" s="348"/>
      <c r="BE55" s="312">
        <f>PnL!BE24/BS!BE98</f>
        <v>14.954779033915724</v>
      </c>
      <c r="BF55" s="312">
        <f>PnL!BF24/BS!BF98</f>
        <v>17.991388992886559</v>
      </c>
      <c r="BG55" s="312">
        <f>PnL!BG24/BS!BG98</f>
        <v>19.437464946719015</v>
      </c>
      <c r="BH55" s="312">
        <f>PnL!BH24/BS!BH98</f>
        <v>10.998843930635838</v>
      </c>
      <c r="BI55" s="314">
        <f>PnL!BI24/BS!BI98</f>
        <v>17.650579150579151</v>
      </c>
      <c r="BJ55" s="312">
        <f>PnL!BJ24/BS!BJ98</f>
        <v>19.090320291189364</v>
      </c>
      <c r="BK55" s="312">
        <f>PnL!BK24/BS!BK98</f>
        <v>24.812709555381264</v>
      </c>
      <c r="BL55" s="312">
        <f>PnL!BL24/BS!BL98</f>
        <v>27.302057873318052</v>
      </c>
      <c r="BM55" s="312">
        <f>PnL!BM24/BS!BM98</f>
        <v>32.720607116925585</v>
      </c>
      <c r="BN55" s="312">
        <f>PnL!BN24/BS!BN98</f>
        <v>37.917471527350862</v>
      </c>
      <c r="BO55" s="312">
        <f>PnL!BO24/BS!BO98</f>
        <v>42.64606214434383</v>
      </c>
      <c r="BP55" s="312">
        <f>PnL!BP24/BS!BP98</f>
        <v>46.785260303608858</v>
      </c>
      <c r="BQ55" s="312">
        <f>PnL!BQ24/BS!BQ98</f>
        <v>50.311218019260437</v>
      </c>
      <c r="BR55" s="312">
        <f>PnL!BR24/BS!BR98</f>
        <v>53.268501545207613</v>
      </c>
      <c r="BS55" s="312">
        <f>PnL!BS24/BS!BS98</f>
        <v>55.707319949116382</v>
      </c>
      <c r="BT55" s="203"/>
      <c r="BU55" s="203"/>
    </row>
    <row r="56" spans="1:73" ht="12.75" customHeight="1" x14ac:dyDescent="0.35">
      <c r="A56" s="200"/>
      <c r="B56" s="201"/>
      <c r="C56" s="201"/>
      <c r="D56" s="201"/>
      <c r="E56" s="147"/>
      <c r="F56" s="147"/>
      <c r="G56" s="147"/>
      <c r="H56" s="147"/>
      <c r="I56" s="147"/>
      <c r="J56" s="147"/>
      <c r="K56" s="349"/>
      <c r="L56" s="349"/>
      <c r="M56" s="349"/>
      <c r="N56" s="349"/>
      <c r="O56" s="349"/>
      <c r="P56" s="349"/>
      <c r="Q56" s="349"/>
      <c r="R56" s="349"/>
      <c r="S56" s="349"/>
      <c r="T56" s="349"/>
      <c r="U56" s="349"/>
      <c r="V56" s="349"/>
      <c r="W56" s="349"/>
      <c r="X56" s="349"/>
      <c r="Y56" s="349"/>
      <c r="Z56" s="349"/>
      <c r="AA56" s="349"/>
      <c r="AB56" s="349"/>
      <c r="AC56" s="349"/>
      <c r="AD56" s="349"/>
      <c r="AE56" s="349"/>
      <c r="AF56" s="349"/>
      <c r="AG56" s="349"/>
      <c r="AH56" s="349"/>
      <c r="AI56" s="349"/>
      <c r="AJ56" s="349"/>
      <c r="AK56" s="349"/>
      <c r="AL56" s="349"/>
      <c r="AM56" s="348"/>
      <c r="AN56" s="349"/>
      <c r="AO56" s="349"/>
      <c r="AP56" s="349"/>
      <c r="AQ56" s="349"/>
      <c r="AR56" s="349"/>
      <c r="AS56" s="349"/>
      <c r="AT56" s="349"/>
      <c r="AU56" s="349"/>
      <c r="AV56" s="349"/>
      <c r="AW56" s="349"/>
      <c r="AX56" s="349"/>
      <c r="AY56" s="349"/>
      <c r="AZ56" s="349"/>
      <c r="BA56" s="349"/>
      <c r="BB56" s="349"/>
      <c r="BC56" s="349"/>
      <c r="BD56" s="348"/>
      <c r="BE56" s="349"/>
      <c r="BF56" s="349"/>
      <c r="BG56" s="349"/>
      <c r="BH56" s="349"/>
      <c r="BI56" s="349"/>
      <c r="BJ56" s="349"/>
      <c r="BK56" s="349"/>
      <c r="BL56" s="349"/>
      <c r="BM56" s="348"/>
      <c r="BN56" s="348"/>
      <c r="BO56" s="348"/>
      <c r="BP56" s="348"/>
      <c r="BQ56" s="348"/>
      <c r="BR56" s="348"/>
      <c r="BS56" s="348"/>
      <c r="BT56" s="203"/>
      <c r="BU56" s="203"/>
    </row>
    <row r="57" spans="1:73" ht="12.75" customHeight="1" x14ac:dyDescent="0.35">
      <c r="A57" s="200"/>
      <c r="B57" s="316" t="s">
        <v>275</v>
      </c>
      <c r="C57" s="317"/>
      <c r="D57" s="317"/>
      <c r="E57" s="317"/>
      <c r="F57" s="317"/>
      <c r="G57" s="317"/>
      <c r="H57" s="317"/>
      <c r="I57" s="317"/>
      <c r="J57" s="317"/>
      <c r="K57" s="317"/>
      <c r="L57" s="317"/>
      <c r="M57" s="317"/>
      <c r="N57" s="317"/>
      <c r="O57" s="317"/>
      <c r="P57" s="317"/>
      <c r="Q57" s="317"/>
      <c r="R57" s="317"/>
      <c r="S57" s="317"/>
      <c r="T57" s="317"/>
      <c r="U57" s="317"/>
      <c r="V57" s="317"/>
      <c r="W57" s="317"/>
      <c r="X57" s="317"/>
      <c r="Y57" s="317"/>
      <c r="Z57" s="317"/>
      <c r="AA57" s="317"/>
      <c r="AB57" s="317"/>
      <c r="AC57" s="317"/>
      <c r="AD57" s="317"/>
      <c r="AE57" s="317"/>
      <c r="AF57" s="317"/>
      <c r="AG57" s="317"/>
      <c r="AH57" s="317"/>
      <c r="AI57" s="317"/>
      <c r="AJ57" s="317"/>
      <c r="AK57" s="317"/>
      <c r="AL57" s="317"/>
      <c r="AM57" s="317"/>
      <c r="AN57" s="317"/>
      <c r="AO57" s="317"/>
      <c r="AP57" s="317"/>
      <c r="AQ57" s="317"/>
      <c r="AR57" s="317"/>
      <c r="AS57" s="317"/>
      <c r="AT57" s="317"/>
      <c r="AU57" s="317"/>
      <c r="AV57" s="317"/>
      <c r="AW57" s="317"/>
      <c r="AX57" s="317"/>
      <c r="AY57" s="317"/>
      <c r="AZ57" s="317"/>
      <c r="BA57" s="317"/>
      <c r="BB57" s="317"/>
      <c r="BC57" s="317"/>
      <c r="BD57" s="317"/>
      <c r="BE57" s="317"/>
      <c r="BF57" s="317"/>
      <c r="BG57" s="317"/>
      <c r="BH57" s="317"/>
      <c r="BI57" s="317"/>
      <c r="BJ57" s="317"/>
      <c r="BK57" s="317"/>
      <c r="BL57" s="317"/>
      <c r="BM57" s="317"/>
      <c r="BN57" s="317"/>
      <c r="BO57" s="317"/>
      <c r="BP57" s="317"/>
      <c r="BQ57" s="317"/>
      <c r="BR57" s="317"/>
      <c r="BS57" s="317"/>
      <c r="BT57" s="203"/>
      <c r="BU57" s="203"/>
    </row>
    <row r="58" spans="1:73" ht="12.75" customHeight="1" x14ac:dyDescent="0.35">
      <c r="A58" s="200"/>
      <c r="B58" s="318" t="s">
        <v>276</v>
      </c>
      <c r="C58" s="318"/>
      <c r="D58" s="318"/>
      <c r="E58" s="318"/>
      <c r="F58" s="147"/>
      <c r="G58" s="147"/>
      <c r="H58" s="147"/>
      <c r="I58" s="147"/>
      <c r="J58" s="147"/>
      <c r="K58" s="349"/>
      <c r="L58" s="349"/>
      <c r="M58" s="349"/>
      <c r="N58" s="349"/>
      <c r="O58" s="349"/>
      <c r="P58" s="349"/>
      <c r="Q58" s="349"/>
      <c r="R58" s="349"/>
      <c r="S58" s="349"/>
      <c r="T58" s="349"/>
      <c r="U58" s="349"/>
      <c r="V58" s="349"/>
      <c r="W58" s="349"/>
      <c r="X58" s="349"/>
      <c r="Y58" s="349"/>
      <c r="Z58" s="349"/>
      <c r="AA58" s="349"/>
      <c r="AB58" s="349"/>
      <c r="AC58" s="349"/>
      <c r="AD58" s="349"/>
      <c r="AE58" s="349"/>
      <c r="AF58" s="349"/>
      <c r="AG58" s="349"/>
      <c r="AH58" s="349"/>
      <c r="AI58" s="349"/>
      <c r="AJ58" s="349"/>
      <c r="AK58" s="349"/>
      <c r="AL58" s="349"/>
      <c r="AM58" s="348"/>
      <c r="AN58" s="349"/>
      <c r="AO58" s="349"/>
      <c r="AP58" s="349"/>
      <c r="AQ58" s="349"/>
      <c r="AR58" s="349"/>
      <c r="AS58" s="349"/>
      <c r="AT58" s="349"/>
      <c r="AU58" s="349"/>
      <c r="AV58" s="349"/>
      <c r="AW58" s="349"/>
      <c r="AX58" s="349"/>
      <c r="AY58" s="349"/>
      <c r="AZ58" s="349"/>
      <c r="BA58" s="349"/>
      <c r="BB58" s="349"/>
      <c r="BC58" s="349"/>
      <c r="BD58" s="348"/>
      <c r="BE58" s="349"/>
      <c r="BF58" s="349"/>
      <c r="BG58" s="349"/>
      <c r="BH58" s="349"/>
      <c r="BI58" s="349"/>
      <c r="BJ58" s="349"/>
      <c r="BK58" s="349"/>
      <c r="BL58" s="349"/>
      <c r="BM58" s="348"/>
      <c r="BN58" s="348"/>
      <c r="BO58" s="348"/>
      <c r="BP58" s="348"/>
      <c r="BQ58" s="348"/>
      <c r="BR58" s="348"/>
      <c r="BS58" s="348"/>
      <c r="BT58" s="203"/>
      <c r="BU58" s="203"/>
    </row>
    <row r="59" spans="1:73" ht="12.75" customHeight="1" x14ac:dyDescent="0.35">
      <c r="A59" s="200"/>
      <c r="B59" s="319"/>
      <c r="C59" s="319" t="s">
        <v>277</v>
      </c>
      <c r="D59" s="319"/>
      <c r="E59" s="319"/>
      <c r="F59" s="147"/>
      <c r="G59" s="147"/>
      <c r="H59" s="147"/>
      <c r="I59" s="147"/>
      <c r="J59" s="147"/>
      <c r="K59" s="350">
        <f t="shared" ref="K59:AL59" si="132">IF(ISERR(K23-K31),"-",K23-K31)</f>
        <v>349132</v>
      </c>
      <c r="L59" s="350">
        <f t="shared" si="132"/>
        <v>388971</v>
      </c>
      <c r="M59" s="350">
        <f t="shared" si="132"/>
        <v>398270</v>
      </c>
      <c r="N59" s="350">
        <f t="shared" si="132"/>
        <v>413248</v>
      </c>
      <c r="O59" s="350">
        <f t="shared" si="132"/>
        <v>436708</v>
      </c>
      <c r="P59" s="350">
        <f t="shared" si="132"/>
        <v>459290</v>
      </c>
      <c r="Q59" s="350">
        <f t="shared" si="132"/>
        <v>574994</v>
      </c>
      <c r="R59" s="350">
        <f t="shared" si="132"/>
        <v>581314</v>
      </c>
      <c r="S59" s="350">
        <f t="shared" si="132"/>
        <v>632466</v>
      </c>
      <c r="T59" s="350">
        <f t="shared" si="132"/>
        <v>656671</v>
      </c>
      <c r="U59" s="350">
        <f t="shared" si="132"/>
        <v>709171</v>
      </c>
      <c r="V59" s="350">
        <f t="shared" si="132"/>
        <v>757407</v>
      </c>
      <c r="W59" s="350">
        <f t="shared" si="132"/>
        <v>808154</v>
      </c>
      <c r="X59" s="350">
        <f t="shared" si="132"/>
        <v>915628</v>
      </c>
      <c r="Y59" s="350">
        <f t="shared" si="132"/>
        <v>1057037</v>
      </c>
      <c r="Z59" s="350">
        <f t="shared" si="132"/>
        <v>1071113</v>
      </c>
      <c r="AA59" s="350">
        <f t="shared" si="132"/>
        <v>1121084</v>
      </c>
      <c r="AB59" s="350">
        <f t="shared" ref="AB59" si="133">IF(ISERR(AB23-AB31),"-",AB23-AB31)</f>
        <v>1170684</v>
      </c>
      <c r="AC59" s="350">
        <f t="shared" si="132"/>
        <v>1178761.2770819587</v>
      </c>
      <c r="AD59" s="350">
        <f t="shared" si="132"/>
        <v>1211453.1817060702</v>
      </c>
      <c r="AE59" s="350">
        <f t="shared" si="132"/>
        <v>1213024.7881040247</v>
      </c>
      <c r="AF59" s="350">
        <f t="shared" si="132"/>
        <v>1246799.8333519401</v>
      </c>
      <c r="AG59" s="350">
        <f t="shared" si="132"/>
        <v>1244491.0445497225</v>
      </c>
      <c r="AH59" s="350">
        <f t="shared" si="132"/>
        <v>1275472.5040119097</v>
      </c>
      <c r="AI59" s="350">
        <f t="shared" si="132"/>
        <v>1281315.0888161578</v>
      </c>
      <c r="AJ59" s="350">
        <f t="shared" si="132"/>
        <v>1313376.4976573274</v>
      </c>
      <c r="AK59" s="350">
        <f t="shared" si="132"/>
        <v>1314111.7832641897</v>
      </c>
      <c r="AL59" s="350">
        <f t="shared" si="132"/>
        <v>1358514.6375840604</v>
      </c>
      <c r="AM59" s="351"/>
      <c r="AN59" s="350">
        <f t="shared" ref="AN59:BC59" si="134">IF(ISERR(AN23-AN31),"-",AN23-AN31)</f>
        <v>0</v>
      </c>
      <c r="AO59" s="350">
        <f t="shared" si="134"/>
        <v>0</v>
      </c>
      <c r="AP59" s="350">
        <f t="shared" si="134"/>
        <v>0</v>
      </c>
      <c r="AQ59" s="350">
        <f t="shared" si="134"/>
        <v>0</v>
      </c>
      <c r="AR59" s="350">
        <f t="shared" si="134"/>
        <v>0</v>
      </c>
      <c r="AS59" s="350">
        <f t="shared" si="134"/>
        <v>0</v>
      </c>
      <c r="AT59" s="350">
        <f t="shared" si="134"/>
        <v>0</v>
      </c>
      <c r="AU59" s="350">
        <f t="shared" si="134"/>
        <v>0</v>
      </c>
      <c r="AV59" s="350">
        <f t="shared" si="134"/>
        <v>0</v>
      </c>
      <c r="AW59" s="350">
        <f t="shared" si="134"/>
        <v>0</v>
      </c>
      <c r="AX59" s="350" t="str">
        <f t="shared" si="134"/>
        <v>-</v>
      </c>
      <c r="AY59" s="350" t="str">
        <f t="shared" si="134"/>
        <v>-</v>
      </c>
      <c r="AZ59" s="350" t="str">
        <f t="shared" si="134"/>
        <v>-</v>
      </c>
      <c r="BA59" s="350" t="str">
        <f t="shared" si="134"/>
        <v>-</v>
      </c>
      <c r="BB59" s="350" t="str">
        <f t="shared" si="134"/>
        <v>-</v>
      </c>
      <c r="BC59" s="350" t="str">
        <f t="shared" si="134"/>
        <v>-</v>
      </c>
      <c r="BD59" s="351"/>
      <c r="BE59" s="350">
        <f t="shared" ref="BE59:BS59" si="135">IF(ISERR(BE23-BE31),"-",BE23-BE31)</f>
        <v>312411</v>
      </c>
      <c r="BF59" s="350">
        <f t="shared" si="135"/>
        <v>413248</v>
      </c>
      <c r="BG59" s="350">
        <f t="shared" si="135"/>
        <v>581314</v>
      </c>
      <c r="BH59" s="350">
        <f t="shared" si="135"/>
        <v>757407</v>
      </c>
      <c r="BI59" s="350">
        <f t="shared" si="135"/>
        <v>1071113</v>
      </c>
      <c r="BJ59" s="350">
        <f t="shared" si="135"/>
        <v>1211453.1817060702</v>
      </c>
      <c r="BK59" s="350">
        <f t="shared" si="135"/>
        <v>1275472.5040119097</v>
      </c>
      <c r="BL59" s="350">
        <f t="shared" si="135"/>
        <v>1358514.6375840604</v>
      </c>
      <c r="BM59" s="350">
        <f t="shared" si="135"/>
        <v>1531282.8816055532</v>
      </c>
      <c r="BN59" s="350">
        <f t="shared" si="135"/>
        <v>1686850.0972496041</v>
      </c>
      <c r="BO59" s="350">
        <f t="shared" si="135"/>
        <v>1849899.0395282225</v>
      </c>
      <c r="BP59" s="350">
        <f t="shared" si="135"/>
        <v>2023973.5627204203</v>
      </c>
      <c r="BQ59" s="350">
        <f t="shared" si="135"/>
        <v>2196686.24828166</v>
      </c>
      <c r="BR59" s="350">
        <f t="shared" si="135"/>
        <v>2364424.2373959646</v>
      </c>
      <c r="BS59" s="350">
        <f t="shared" si="135"/>
        <v>2522105.1974068768</v>
      </c>
      <c r="BT59" s="203"/>
      <c r="BU59" s="203"/>
    </row>
    <row r="60" spans="1:73" ht="12.75" customHeight="1" x14ac:dyDescent="0.35">
      <c r="A60" s="200"/>
      <c r="B60" s="320"/>
      <c r="C60" s="320" t="s">
        <v>273</v>
      </c>
      <c r="D60" s="320"/>
      <c r="E60" s="320"/>
      <c r="F60" s="147"/>
      <c r="G60" s="147"/>
      <c r="H60" s="147"/>
      <c r="I60" s="147"/>
      <c r="J60" s="147"/>
      <c r="K60" s="349">
        <f t="shared" ref="K60:AL60" si="136">IF(ISERR(K23/K31),"-",K23/K31)</f>
        <v>6.7387159341201226</v>
      </c>
      <c r="L60" s="349">
        <f t="shared" si="136"/>
        <v>6.7684299506161851</v>
      </c>
      <c r="M60" s="349">
        <f t="shared" si="136"/>
        <v>5.3011577173959994</v>
      </c>
      <c r="N60" s="349">
        <f t="shared" si="136"/>
        <v>5.4167414817664916</v>
      </c>
      <c r="O60" s="349">
        <f t="shared" si="136"/>
        <v>5.0811543277947031</v>
      </c>
      <c r="P60" s="349">
        <f t="shared" si="136"/>
        <v>4.8423377449093978</v>
      </c>
      <c r="Q60" s="349">
        <f t="shared" si="136"/>
        <v>5.2143244550638386</v>
      </c>
      <c r="R60" s="349">
        <f t="shared" si="136"/>
        <v>5.2803475443634493</v>
      </c>
      <c r="S60" s="349">
        <f t="shared" si="136"/>
        <v>4.8518965139223855</v>
      </c>
      <c r="T60" s="349">
        <f t="shared" si="136"/>
        <v>4.9065236531505807</v>
      </c>
      <c r="U60" s="349">
        <f t="shared" si="136"/>
        <v>4.3968683539938302</v>
      </c>
      <c r="V60" s="349">
        <f t="shared" si="136"/>
        <v>4.6471837395085451</v>
      </c>
      <c r="W60" s="349">
        <f t="shared" si="136"/>
        <v>4.8355671570953964</v>
      </c>
      <c r="X60" s="349">
        <f t="shared" si="136"/>
        <v>4.7533582839036024</v>
      </c>
      <c r="Y60" s="349">
        <f t="shared" si="136"/>
        <v>5.0274520113694381</v>
      </c>
      <c r="Z60" s="349">
        <f t="shared" si="136"/>
        <v>5.4284290864589533</v>
      </c>
      <c r="AA60" s="349">
        <f t="shared" si="136"/>
        <v>5.5188054479570159</v>
      </c>
      <c r="AB60" s="349">
        <f t="shared" ref="AB60" si="137">IF(ISERR(AB23/AB31),"-",AB23/AB31)</f>
        <v>5.4522518273991984</v>
      </c>
      <c r="AC60" s="349">
        <f t="shared" si="136"/>
        <v>6.2725862816689961</v>
      </c>
      <c r="AD60" s="349">
        <f t="shared" si="136"/>
        <v>6.7231459567321936</v>
      </c>
      <c r="AE60" s="349">
        <f t="shared" si="136"/>
        <v>6.4680599376237993</v>
      </c>
      <c r="AF60" s="349">
        <f t="shared" si="136"/>
        <v>6.7139070680130706</v>
      </c>
      <c r="AG60" s="349">
        <f t="shared" si="136"/>
        <v>6.4414212464728671</v>
      </c>
      <c r="AH60" s="349">
        <f t="shared" si="136"/>
        <v>6.941574803344146</v>
      </c>
      <c r="AI60" s="349">
        <f t="shared" si="136"/>
        <v>6.6602635191314228</v>
      </c>
      <c r="AJ60" s="349">
        <f t="shared" si="136"/>
        <v>6.9121920164565411</v>
      </c>
      <c r="AK60" s="349">
        <f t="shared" si="136"/>
        <v>6.6018202255315508</v>
      </c>
      <c r="AL60" s="349">
        <f t="shared" si="136"/>
        <v>7.2262401471629474</v>
      </c>
      <c r="AM60" s="348"/>
      <c r="AN60" s="349" t="str">
        <f t="shared" ref="AN60:BC60" si="138">IF(ISERR(AN23/AN31),"-",AN23/AN31)</f>
        <v>-</v>
      </c>
      <c r="AO60" s="349" t="str">
        <f t="shared" si="138"/>
        <v>-</v>
      </c>
      <c r="AP60" s="349" t="str">
        <f t="shared" si="138"/>
        <v>-</v>
      </c>
      <c r="AQ60" s="349" t="str">
        <f t="shared" si="138"/>
        <v>-</v>
      </c>
      <c r="AR60" s="349" t="str">
        <f t="shared" si="138"/>
        <v>-</v>
      </c>
      <c r="AS60" s="349" t="str">
        <f t="shared" si="138"/>
        <v>-</v>
      </c>
      <c r="AT60" s="349" t="str">
        <f t="shared" si="138"/>
        <v>-</v>
      </c>
      <c r="AU60" s="349" t="str">
        <f t="shared" si="138"/>
        <v>-</v>
      </c>
      <c r="AV60" s="349" t="str">
        <f t="shared" si="138"/>
        <v>-</v>
      </c>
      <c r="AW60" s="349" t="str">
        <f t="shared" si="138"/>
        <v>-</v>
      </c>
      <c r="AX60" s="349" t="str">
        <f t="shared" si="138"/>
        <v>-</v>
      </c>
      <c r="AY60" s="349" t="str">
        <f t="shared" si="138"/>
        <v>-</v>
      </c>
      <c r="AZ60" s="349" t="str">
        <f t="shared" si="138"/>
        <v>-</v>
      </c>
      <c r="BA60" s="349" t="str">
        <f t="shared" si="138"/>
        <v>-</v>
      </c>
      <c r="BB60" s="349" t="str">
        <f t="shared" si="138"/>
        <v>-</v>
      </c>
      <c r="BC60" s="349" t="str">
        <f t="shared" si="138"/>
        <v>-</v>
      </c>
      <c r="BD60" s="348"/>
      <c r="BE60" s="349">
        <f t="shared" ref="BE60:BS60" si="139">IF(ISERR(BE23/BE31),"-",BE23/BE31)</f>
        <v>7.0034012951824591</v>
      </c>
      <c r="BF60" s="349">
        <f t="shared" si="139"/>
        <v>5.4167414817664916</v>
      </c>
      <c r="BG60" s="349">
        <f t="shared" si="139"/>
        <v>5.2803475443634493</v>
      </c>
      <c r="BH60" s="349">
        <f t="shared" si="139"/>
        <v>4.6471837395085451</v>
      </c>
      <c r="BI60" s="349">
        <f t="shared" si="139"/>
        <v>5.4284290864589533</v>
      </c>
      <c r="BJ60" s="349">
        <f t="shared" si="139"/>
        <v>6.7231459567321936</v>
      </c>
      <c r="BK60" s="349">
        <f t="shared" si="139"/>
        <v>6.941574803344146</v>
      </c>
      <c r="BL60" s="349">
        <f>IF(ISERR(BL23/BL31),"-",BL23/BL31)</f>
        <v>7.2262401471629474</v>
      </c>
      <c r="BM60" s="349">
        <f t="shared" si="139"/>
        <v>5.6424100143199452</v>
      </c>
      <c r="BN60" s="349">
        <f t="shared" si="139"/>
        <v>5.8081873572551199</v>
      </c>
      <c r="BO60" s="349">
        <f>IF(ISERR(BO23/BO31),"-",BO23/BO31)</f>
        <v>5.9871058349997082</v>
      </c>
      <c r="BP60" s="349">
        <f t="shared" si="139"/>
        <v>6.1939160890976286</v>
      </c>
      <c r="BQ60" s="349">
        <f t="shared" si="139"/>
        <v>6.3985064899263193</v>
      </c>
      <c r="BR60" s="349">
        <f t="shared" si="139"/>
        <v>6.5935723731809608</v>
      </c>
      <c r="BS60" s="349">
        <f t="shared" si="139"/>
        <v>6.7688211386599244</v>
      </c>
      <c r="BT60" s="203"/>
      <c r="BU60" s="203"/>
    </row>
    <row r="61" spans="1:73" ht="12.75" customHeight="1" x14ac:dyDescent="0.35">
      <c r="A61" s="200"/>
      <c r="B61" s="320"/>
      <c r="C61" s="320" t="s">
        <v>278</v>
      </c>
      <c r="D61" s="320"/>
      <c r="E61" s="320"/>
      <c r="F61" s="147"/>
      <c r="G61" s="147"/>
      <c r="H61" s="147"/>
      <c r="I61" s="147"/>
      <c r="J61" s="147"/>
      <c r="K61" s="349">
        <f t="shared" ref="K61:AL61" si="140">IF(ISERR((K10+K11)/K31),"-",(K10+K11)/K31)</f>
        <v>1.5136592261415562</v>
      </c>
      <c r="L61" s="349">
        <f t="shared" si="140"/>
        <v>1.6462457919947799</v>
      </c>
      <c r="M61" s="349">
        <f t="shared" si="140"/>
        <v>1.5313404466715625</v>
      </c>
      <c r="N61" s="349">
        <f t="shared" si="140"/>
        <v>1.6586400752426147</v>
      </c>
      <c r="O61" s="349">
        <f t="shared" si="140"/>
        <v>1.4262190905182888</v>
      </c>
      <c r="P61" s="349">
        <f t="shared" si="140"/>
        <v>1.3804440577576254</v>
      </c>
      <c r="Q61" s="349">
        <f t="shared" si="140"/>
        <v>1.6427388264266554</v>
      </c>
      <c r="R61" s="349">
        <f t="shared" si="140"/>
        <v>1.6014579191517562</v>
      </c>
      <c r="S61" s="349">
        <f t="shared" si="140"/>
        <v>1.1276218665497333</v>
      </c>
      <c r="T61" s="349">
        <f t="shared" si="140"/>
        <v>1.0799602608033505</v>
      </c>
      <c r="U61" s="349">
        <f t="shared" si="140"/>
        <v>0.96081371065085353</v>
      </c>
      <c r="V61" s="349">
        <f t="shared" si="140"/>
        <v>1.0446238966817387</v>
      </c>
      <c r="W61" s="349">
        <f t="shared" si="140"/>
        <v>1.0470811580446131</v>
      </c>
      <c r="X61" s="349">
        <f t="shared" si="140"/>
        <v>0.98795239988686157</v>
      </c>
      <c r="Y61" s="349">
        <f t="shared" si="140"/>
        <v>1.3610177628420548</v>
      </c>
      <c r="Z61" s="349">
        <f t="shared" si="140"/>
        <v>1.5834863068069061</v>
      </c>
      <c r="AA61" s="349">
        <f t="shared" si="140"/>
        <v>1.558117318908635</v>
      </c>
      <c r="AB61" s="349">
        <f t="shared" ref="AB61" si="141">IF(ISERR((AB10+AB11)/AB31),"-",(AB10+AB11)/AB31)</f>
        <v>1.5619528260985311</v>
      </c>
      <c r="AC61" s="349" t="str">
        <f t="shared" si="140"/>
        <v>-</v>
      </c>
      <c r="AD61" s="349">
        <f t="shared" si="140"/>
        <v>2.1128716704468804</v>
      </c>
      <c r="AE61" s="349" t="str">
        <f t="shared" si="140"/>
        <v>-</v>
      </c>
      <c r="AF61" s="349" t="str">
        <f t="shared" si="140"/>
        <v>-</v>
      </c>
      <c r="AG61" s="349" t="str">
        <f t="shared" si="140"/>
        <v>-</v>
      </c>
      <c r="AH61" s="349">
        <f t="shared" si="140"/>
        <v>2.3260701590546433</v>
      </c>
      <c r="AI61" s="349" t="str">
        <f t="shared" si="140"/>
        <v>-</v>
      </c>
      <c r="AJ61" s="349" t="str">
        <f t="shared" si="140"/>
        <v>-</v>
      </c>
      <c r="AK61" s="349" t="str">
        <f t="shared" si="140"/>
        <v>-</v>
      </c>
      <c r="AL61" s="349">
        <f t="shared" si="140"/>
        <v>2.6054464612205108</v>
      </c>
      <c r="AM61" s="348"/>
      <c r="AN61" s="349" t="str">
        <f t="shared" ref="AN61:BC61" si="142">IF(ISERR((AN10+AN11)/AN31),"-",(AN10+AN11)/AN31)</f>
        <v>-</v>
      </c>
      <c r="AO61" s="349" t="str">
        <f t="shared" si="142"/>
        <v>-</v>
      </c>
      <c r="AP61" s="349" t="str">
        <f t="shared" si="142"/>
        <v>-</v>
      </c>
      <c r="AQ61" s="349" t="str">
        <f t="shared" si="142"/>
        <v>-</v>
      </c>
      <c r="AR61" s="349" t="str">
        <f t="shared" si="142"/>
        <v>-</v>
      </c>
      <c r="AS61" s="349" t="str">
        <f t="shared" si="142"/>
        <v>-</v>
      </c>
      <c r="AT61" s="349" t="str">
        <f t="shared" si="142"/>
        <v>-</v>
      </c>
      <c r="AU61" s="349" t="str">
        <f t="shared" si="142"/>
        <v>-</v>
      </c>
      <c r="AV61" s="349" t="str">
        <f t="shared" si="142"/>
        <v>-</v>
      </c>
      <c r="AW61" s="349" t="str">
        <f t="shared" si="142"/>
        <v>-</v>
      </c>
      <c r="AX61" s="349" t="str">
        <f t="shared" si="142"/>
        <v>-</v>
      </c>
      <c r="AY61" s="349" t="str">
        <f t="shared" si="142"/>
        <v>-</v>
      </c>
      <c r="AZ61" s="349" t="str">
        <f t="shared" si="142"/>
        <v>-</v>
      </c>
      <c r="BA61" s="349" t="str">
        <f t="shared" si="142"/>
        <v>-</v>
      </c>
      <c r="BB61" s="349" t="str">
        <f t="shared" si="142"/>
        <v>-</v>
      </c>
      <c r="BC61" s="349" t="str">
        <f t="shared" si="142"/>
        <v>-</v>
      </c>
      <c r="BD61" s="348"/>
      <c r="BE61" s="349">
        <f t="shared" ref="BE61:BS61" si="143">IF(ISERR((BE10+BE11)/BE31),"-",(BE10+BE11)/BE31)</f>
        <v>2.246488210765003</v>
      </c>
      <c r="BF61" s="349">
        <f t="shared" si="143"/>
        <v>1.6586400752426147</v>
      </c>
      <c r="BG61" s="349">
        <f t="shared" si="143"/>
        <v>1.6014579191517562</v>
      </c>
      <c r="BH61" s="349">
        <f t="shared" si="143"/>
        <v>1.0446238966817387</v>
      </c>
      <c r="BI61" s="349">
        <f t="shared" si="143"/>
        <v>1.5834863068069061</v>
      </c>
      <c r="BJ61" s="349">
        <f t="shared" si="143"/>
        <v>2.1128716704468804</v>
      </c>
      <c r="BK61" s="349">
        <f t="shared" si="143"/>
        <v>2.3260701590546433</v>
      </c>
      <c r="BL61" s="349">
        <f t="shared" si="143"/>
        <v>2.6054464612205108</v>
      </c>
      <c r="BM61" s="349">
        <f t="shared" si="143"/>
        <v>2.5499207233612058</v>
      </c>
      <c r="BN61" s="349">
        <f t="shared" si="143"/>
        <v>2.8406977053036897</v>
      </c>
      <c r="BO61" s="349">
        <f t="shared" si="143"/>
        <v>3.1187290706580759</v>
      </c>
      <c r="BP61" s="349">
        <f t="shared" si="143"/>
        <v>3.4004319091235367</v>
      </c>
      <c r="BQ61" s="349">
        <f t="shared" si="143"/>
        <v>3.6590926938211212</v>
      </c>
      <c r="BR61" s="349">
        <f t="shared" si="143"/>
        <v>3.8914001652404879</v>
      </c>
      <c r="BS61" s="349">
        <f t="shared" si="143"/>
        <v>4.0901912029545269</v>
      </c>
      <c r="BT61" s="203"/>
      <c r="BU61" s="203"/>
    </row>
    <row r="62" spans="1:73" ht="12.75" customHeight="1" x14ac:dyDescent="0.35">
      <c r="A62" s="200"/>
      <c r="B62" s="320"/>
      <c r="C62" s="320" t="s">
        <v>279</v>
      </c>
      <c r="D62" s="320"/>
      <c r="E62" s="320"/>
      <c r="F62" s="147"/>
      <c r="G62" s="147"/>
      <c r="H62" s="147"/>
      <c r="I62" s="147"/>
      <c r="J62" s="147"/>
      <c r="K62" s="349">
        <f t="shared" ref="K62:AL62" si="144">IF(ISERR(K10/K31),"-",K10/K31)</f>
        <v>1.5136592261415562</v>
      </c>
      <c r="L62" s="349">
        <f t="shared" si="144"/>
        <v>1.6462457919947799</v>
      </c>
      <c r="M62" s="349">
        <f t="shared" si="144"/>
        <v>1.5313404466715625</v>
      </c>
      <c r="N62" s="349">
        <f t="shared" si="144"/>
        <v>1.6117416955239194</v>
      </c>
      <c r="O62" s="349">
        <f t="shared" si="144"/>
        <v>1.4262190905182888</v>
      </c>
      <c r="P62" s="349">
        <f t="shared" si="144"/>
        <v>1.3804440577576254</v>
      </c>
      <c r="Q62" s="349">
        <f t="shared" si="144"/>
        <v>1.6427388264266554</v>
      </c>
      <c r="R62" s="349">
        <f t="shared" si="144"/>
        <v>1.5478241661144245</v>
      </c>
      <c r="S62" s="349">
        <f t="shared" si="144"/>
        <v>1.1276218665497333</v>
      </c>
      <c r="T62" s="349">
        <f t="shared" si="144"/>
        <v>1.0799602608033505</v>
      </c>
      <c r="U62" s="349">
        <f t="shared" si="144"/>
        <v>0.96081371065085353</v>
      </c>
      <c r="V62" s="349">
        <f t="shared" si="144"/>
        <v>0.97831164015813632</v>
      </c>
      <c r="W62" s="349">
        <f t="shared" si="144"/>
        <v>1.0470811580446131</v>
      </c>
      <c r="X62" s="349">
        <f t="shared" si="144"/>
        <v>0.98795239988686157</v>
      </c>
      <c r="Y62" s="349">
        <f t="shared" si="144"/>
        <v>1.3610177628420548</v>
      </c>
      <c r="Z62" s="349">
        <f t="shared" si="144"/>
        <v>1.5016827082093007</v>
      </c>
      <c r="AA62" s="349">
        <f t="shared" si="144"/>
        <v>1.558117318908635</v>
      </c>
      <c r="AB62" s="349">
        <f t="shared" ref="AB62" si="145">IF(ISERR(AB10/AB31),"-",AB10/AB31)</f>
        <v>1.5619528260985311</v>
      </c>
      <c r="AC62" s="349">
        <f t="shared" si="144"/>
        <v>1.8669500816631404</v>
      </c>
      <c r="AD62" s="349">
        <f t="shared" si="144"/>
        <v>2.0120750543718566</v>
      </c>
      <c r="AE62" s="349">
        <f t="shared" si="144"/>
        <v>1.9357539351621531</v>
      </c>
      <c r="AF62" s="349">
        <f t="shared" si="144"/>
        <v>1.9566048863246597</v>
      </c>
      <c r="AG62" s="349">
        <f t="shared" si="144"/>
        <v>2.0709592815955755</v>
      </c>
      <c r="AH62" s="349">
        <f t="shared" si="144"/>
        <v>2.1977392445574866</v>
      </c>
      <c r="AI62" s="349">
        <f t="shared" si="144"/>
        <v>2.1464281643407634</v>
      </c>
      <c r="AJ62" s="349">
        <f t="shared" si="144"/>
        <v>2.1589198537415397</v>
      </c>
      <c r="AK62" s="349">
        <f t="shared" si="144"/>
        <v>2.2675631386783603</v>
      </c>
      <c r="AL62" s="349">
        <f t="shared" si="144"/>
        <v>2.4424675458576686</v>
      </c>
      <c r="AM62" s="348"/>
      <c r="AN62" s="349" t="str">
        <f t="shared" ref="AN62:BC62" si="146">IF(ISERR(AN10/AN31),"-",AN10/AN31)</f>
        <v>-</v>
      </c>
      <c r="AO62" s="349" t="str">
        <f t="shared" si="146"/>
        <v>-</v>
      </c>
      <c r="AP62" s="349" t="str">
        <f t="shared" si="146"/>
        <v>-</v>
      </c>
      <c r="AQ62" s="349" t="str">
        <f t="shared" si="146"/>
        <v>-</v>
      </c>
      <c r="AR62" s="349" t="str">
        <f t="shared" si="146"/>
        <v>-</v>
      </c>
      <c r="AS62" s="349" t="str">
        <f t="shared" si="146"/>
        <v>-</v>
      </c>
      <c r="AT62" s="349" t="str">
        <f t="shared" si="146"/>
        <v>-</v>
      </c>
      <c r="AU62" s="349" t="str">
        <f t="shared" si="146"/>
        <v>-</v>
      </c>
      <c r="AV62" s="349" t="str">
        <f t="shared" si="146"/>
        <v>-</v>
      </c>
      <c r="AW62" s="349" t="str">
        <f t="shared" si="146"/>
        <v>-</v>
      </c>
      <c r="AX62" s="349" t="str">
        <f t="shared" si="146"/>
        <v>-</v>
      </c>
      <c r="AY62" s="349" t="str">
        <f t="shared" si="146"/>
        <v>-</v>
      </c>
      <c r="AZ62" s="349" t="str">
        <f t="shared" si="146"/>
        <v>-</v>
      </c>
      <c r="BA62" s="349" t="str">
        <f t="shared" si="146"/>
        <v>-</v>
      </c>
      <c r="BB62" s="349" t="str">
        <f t="shared" si="146"/>
        <v>-</v>
      </c>
      <c r="BC62" s="349" t="str">
        <f t="shared" si="146"/>
        <v>-</v>
      </c>
      <c r="BD62" s="348"/>
      <c r="BE62" s="349">
        <f t="shared" ref="BE62:BS62" si="147">IF(ISERR(BE10/BE31),"-",BE10/BE31)</f>
        <v>2.2232556351966792</v>
      </c>
      <c r="BF62" s="349">
        <f t="shared" si="147"/>
        <v>1.6117416955239194</v>
      </c>
      <c r="BG62" s="349">
        <f t="shared" si="147"/>
        <v>1.5478241661144245</v>
      </c>
      <c r="BH62" s="349">
        <f t="shared" si="147"/>
        <v>0.97831164015813632</v>
      </c>
      <c r="BI62" s="349">
        <f t="shared" si="147"/>
        <v>1.5016827082093007</v>
      </c>
      <c r="BJ62" s="349">
        <f t="shared" si="147"/>
        <v>2.0120750543718566</v>
      </c>
      <c r="BK62" s="349">
        <f t="shared" si="147"/>
        <v>2.1977392445574866</v>
      </c>
      <c r="BL62" s="349">
        <f t="shared" si="147"/>
        <v>2.4424675458576686</v>
      </c>
      <c r="BM62" s="349">
        <f t="shared" si="147"/>
        <v>2.4197990208298554</v>
      </c>
      <c r="BN62" s="349">
        <f t="shared" si="147"/>
        <v>2.6994338052506257</v>
      </c>
      <c r="BO62" s="349">
        <f t="shared" si="147"/>
        <v>2.9710218338337855</v>
      </c>
      <c r="BP62" s="349">
        <f t="shared" si="147"/>
        <v>3.239880236925313</v>
      </c>
      <c r="BQ62" s="349">
        <f t="shared" si="147"/>
        <v>3.4894345555029895</v>
      </c>
      <c r="BR62" s="349">
        <f t="shared" si="147"/>
        <v>3.714446117112201</v>
      </c>
      <c r="BS62" s="349">
        <f t="shared" si="147"/>
        <v>3.9076857861686443</v>
      </c>
      <c r="BT62" s="203"/>
      <c r="BU62" s="203"/>
    </row>
    <row r="63" spans="1:73" ht="12.75" customHeight="1" x14ac:dyDescent="0.35">
      <c r="A63" s="200"/>
      <c r="B63" s="319"/>
      <c r="C63" s="319"/>
      <c r="D63" s="319"/>
      <c r="E63" s="319"/>
      <c r="F63" s="147"/>
      <c r="G63" s="147"/>
      <c r="H63" s="147"/>
      <c r="I63" s="147"/>
      <c r="J63" s="147"/>
      <c r="K63" s="349"/>
      <c r="L63" s="349"/>
      <c r="M63" s="349"/>
      <c r="N63" s="349"/>
      <c r="O63" s="349"/>
      <c r="P63" s="349"/>
      <c r="Q63" s="349"/>
      <c r="R63" s="349"/>
      <c r="S63" s="349"/>
      <c r="T63" s="349"/>
      <c r="U63" s="349"/>
      <c r="V63" s="349"/>
      <c r="W63" s="349"/>
      <c r="X63" s="349"/>
      <c r="Y63" s="349"/>
      <c r="Z63" s="349"/>
      <c r="AA63" s="349"/>
      <c r="AB63" s="349"/>
      <c r="AC63" s="349"/>
      <c r="AD63" s="349"/>
      <c r="AE63" s="349"/>
      <c r="AF63" s="349"/>
      <c r="AG63" s="349"/>
      <c r="AH63" s="349"/>
      <c r="AI63" s="349"/>
      <c r="AJ63" s="349"/>
      <c r="AK63" s="349"/>
      <c r="AL63" s="349"/>
      <c r="AM63" s="348"/>
      <c r="AN63" s="349"/>
      <c r="AO63" s="349"/>
      <c r="AP63" s="349"/>
      <c r="AQ63" s="349"/>
      <c r="AR63" s="349"/>
      <c r="AS63" s="349"/>
      <c r="AT63" s="349"/>
      <c r="AU63" s="349"/>
      <c r="AV63" s="349"/>
      <c r="AW63" s="349"/>
      <c r="AX63" s="349"/>
      <c r="AY63" s="349"/>
      <c r="AZ63" s="349"/>
      <c r="BA63" s="349"/>
      <c r="BB63" s="349"/>
      <c r="BC63" s="349"/>
      <c r="BD63" s="348"/>
      <c r="BE63" s="349"/>
      <c r="BF63" s="349"/>
      <c r="BG63" s="349"/>
      <c r="BH63" s="349"/>
      <c r="BI63" s="349"/>
      <c r="BJ63" s="349"/>
      <c r="BK63" s="349"/>
      <c r="BL63" s="349"/>
      <c r="BM63" s="348"/>
      <c r="BN63" s="348"/>
      <c r="BO63" s="348"/>
      <c r="BP63" s="348"/>
      <c r="BQ63" s="348"/>
      <c r="BR63" s="348"/>
      <c r="BS63" s="348"/>
      <c r="BT63" s="203"/>
      <c r="BU63" s="203"/>
    </row>
    <row r="64" spans="1:73" ht="12.75" customHeight="1" x14ac:dyDescent="0.35">
      <c r="A64" s="200"/>
      <c r="B64" s="318" t="s">
        <v>280</v>
      </c>
      <c r="C64" s="318"/>
      <c r="D64" s="318"/>
      <c r="E64" s="318"/>
      <c r="F64" s="147"/>
      <c r="G64" s="147"/>
      <c r="H64" s="147"/>
      <c r="I64" s="147"/>
      <c r="J64" s="147"/>
      <c r="K64" s="349"/>
      <c r="L64" s="349"/>
      <c r="M64" s="349"/>
      <c r="N64" s="349"/>
      <c r="O64" s="349"/>
      <c r="P64" s="349"/>
      <c r="Q64" s="349"/>
      <c r="R64" s="349"/>
      <c r="S64" s="349"/>
      <c r="T64" s="349"/>
      <c r="U64" s="349"/>
      <c r="V64" s="349"/>
      <c r="W64" s="349"/>
      <c r="X64" s="349"/>
      <c r="Y64" s="349"/>
      <c r="Z64" s="349"/>
      <c r="AA64" s="349"/>
      <c r="AB64" s="349"/>
      <c r="AC64" s="349"/>
      <c r="AD64" s="349"/>
      <c r="AE64" s="349"/>
      <c r="AF64" s="349"/>
      <c r="AG64" s="349"/>
      <c r="AH64" s="349"/>
      <c r="AI64" s="349"/>
      <c r="AJ64" s="349"/>
      <c r="AK64" s="349"/>
      <c r="AL64" s="349"/>
      <c r="AM64" s="348"/>
      <c r="AN64" s="349"/>
      <c r="AO64" s="349"/>
      <c r="AP64" s="349"/>
      <c r="AQ64" s="349"/>
      <c r="AR64" s="349"/>
      <c r="AS64" s="349"/>
      <c r="AT64" s="349"/>
      <c r="AU64" s="349"/>
      <c r="AV64" s="349"/>
      <c r="AW64" s="349"/>
      <c r="AX64" s="349"/>
      <c r="AY64" s="349"/>
      <c r="AZ64" s="349"/>
      <c r="BA64" s="349"/>
      <c r="BB64" s="349"/>
      <c r="BC64" s="349"/>
      <c r="BD64" s="348"/>
      <c r="BE64" s="349"/>
      <c r="BF64" s="349"/>
      <c r="BG64" s="349"/>
      <c r="BH64" s="349"/>
      <c r="BI64" s="349"/>
      <c r="BJ64" s="349"/>
      <c r="BK64" s="349"/>
      <c r="BL64" s="349"/>
      <c r="BM64" s="348"/>
      <c r="BN64" s="348"/>
      <c r="BO64" s="348"/>
      <c r="BP64" s="348"/>
      <c r="BQ64" s="348"/>
      <c r="BR64" s="348"/>
      <c r="BS64" s="348"/>
      <c r="BT64" s="203"/>
      <c r="BU64" s="203"/>
    </row>
    <row r="65" spans="1:73" ht="12.75" customHeight="1" x14ac:dyDescent="0.35">
      <c r="A65" s="200"/>
      <c r="B65" s="320"/>
      <c r="C65" s="320" t="s">
        <v>281</v>
      </c>
      <c r="D65" s="320"/>
      <c r="E65" s="320"/>
      <c r="F65" s="147"/>
      <c r="G65" s="147"/>
      <c r="H65" s="147"/>
      <c r="I65" s="147"/>
      <c r="J65" s="147"/>
      <c r="K65" s="349" t="str">
        <f>IF(ISERR(PnL!K12/BS!K11),"-",PnL!K12/BS!K11)</f>
        <v>-</v>
      </c>
      <c r="L65" s="349" t="str">
        <f>IF(ISERR(PnL!L12/BS!L11),"-",PnL!L12/BS!L11)</f>
        <v>-</v>
      </c>
      <c r="M65" s="349" t="str">
        <f>IF(ISERR(PnL!M12/BS!M11),"-",PnL!M12/BS!M11)</f>
        <v>-</v>
      </c>
      <c r="N65" s="349">
        <f>IF(ISERR(PnL!N12/BS!N11),"-",PnL!N12/BS!N11)</f>
        <v>8.7919325432999091</v>
      </c>
      <c r="O65" s="349" t="str">
        <f>IF(ISERR(PnL!O12/BS!O11),"-",PnL!O12/BS!O11)</f>
        <v>-</v>
      </c>
      <c r="P65" s="349" t="str">
        <f>IF(ISERR(PnL!P12/BS!P11),"-",PnL!P12/BS!P11)</f>
        <v>-</v>
      </c>
      <c r="Q65" s="349" t="str">
        <f>IF(ISERR(PnL!Q12/BS!Q11),"-",PnL!Q12/BS!Q11)</f>
        <v>-</v>
      </c>
      <c r="R65" s="349">
        <f>IF(ISERR(PnL!R12/BS!R11),"-",PnL!R12/BS!R11)</f>
        <v>8.5024711696869844</v>
      </c>
      <c r="S65" s="349" t="str">
        <f>IF(ISERR(PnL!S12/BS!S11),"-",PnL!S12/BS!S11)</f>
        <v>-</v>
      </c>
      <c r="T65" s="349" t="str">
        <f>IF(ISERR(PnL!T12/BS!T11),"-",PnL!T12/BS!T11)</f>
        <v>-</v>
      </c>
      <c r="U65" s="349" t="str">
        <f>IF(ISERR(PnL!U12/BS!U11),"-",PnL!U12/BS!U11)</f>
        <v>-</v>
      </c>
      <c r="V65" s="349">
        <f>IF(ISERR(PnL!V12/BS!V11),"-",PnL!V12/BS!V11)</f>
        <v>6.7894851499527995</v>
      </c>
      <c r="W65" s="349" t="str">
        <f>IF(ISERR(PnL!W12/BS!W11),"-",PnL!W12/BS!W11)</f>
        <v>-</v>
      </c>
      <c r="X65" s="349" t="str">
        <f>IF(ISERR(PnL!X12/BS!X11),"-",PnL!X12/BS!X11)</f>
        <v>-</v>
      </c>
      <c r="Y65" s="349" t="str">
        <f>IF(ISERR(PnL!Y12/BS!Y11),"-",PnL!Y12/BS!Y11)</f>
        <v>-</v>
      </c>
      <c r="Z65" s="349">
        <f>IF(ISERR(PnL!Z12/BS!Z11),"-",PnL!Z12/BS!Z11)</f>
        <v>5.7775194582027698</v>
      </c>
      <c r="AA65" s="349" t="str">
        <f>IF(ISERR(PnL!AA12/BS!AA11),"-",PnL!AA12/BS!AA11)</f>
        <v>-</v>
      </c>
      <c r="AB65" s="349" t="str">
        <f>IF(ISERR(PnL!AB12/BS!AB11),"-",PnL!AB12/BS!AB11)</f>
        <v>-</v>
      </c>
      <c r="AC65" s="314" t="e">
        <f>365/4/AC69</f>
        <v>#DIV/0!</v>
      </c>
      <c r="AD65" s="314">
        <f>365/4/AD69</f>
        <v>7.2499921365125175</v>
      </c>
      <c r="AE65" s="314" t="e">
        <f t="shared" ref="AE65:AL65" si="148">365/4/AE69</f>
        <v>#DIV/0!</v>
      </c>
      <c r="AF65" s="314" t="e">
        <f t="shared" si="148"/>
        <v>#DIV/0!</v>
      </c>
      <c r="AG65" s="314" t="e">
        <f t="shared" si="148"/>
        <v>#DIV/0!</v>
      </c>
      <c r="AH65" s="314">
        <f t="shared" si="148"/>
        <v>6.9454659545131072</v>
      </c>
      <c r="AI65" s="314" t="e">
        <f t="shared" si="148"/>
        <v>#DIV/0!</v>
      </c>
      <c r="AJ65" s="314" t="e">
        <f t="shared" si="148"/>
        <v>#DIV/0!</v>
      </c>
      <c r="AK65" s="314" t="e">
        <f t="shared" si="148"/>
        <v>#DIV/0!</v>
      </c>
      <c r="AL65" s="314">
        <f t="shared" si="148"/>
        <v>6.6414155653662741</v>
      </c>
      <c r="AM65" s="348"/>
      <c r="AN65" s="349" t="str">
        <f>IF(ISERR(PnL!AN12/BS!AN11),"-",PnL!AN12/2/BS!AN11)</f>
        <v>-</v>
      </c>
      <c r="AO65" s="349" t="str">
        <f>IF(ISERR(PnL!AO12/BS!AO11),"-",PnL!AO12/2/BS!AO11)</f>
        <v>-</v>
      </c>
      <c r="AP65" s="349" t="str">
        <f>IF(ISERR(PnL!AP12/BS!AP11),"-",PnL!AP12/2/BS!AP11)</f>
        <v>-</v>
      </c>
      <c r="AQ65" s="349" t="str">
        <f>IF(ISERR(PnL!AQ12/BS!AQ11),"-",PnL!AQ12/2/BS!AQ11)</f>
        <v>-</v>
      </c>
      <c r="AR65" s="349" t="str">
        <f>IF(ISERR(PnL!AR12/BS!AR11),"-",PnL!AR12/2/BS!AR11)</f>
        <v>-</v>
      </c>
      <c r="AS65" s="349" t="str">
        <f>IF(ISERR(PnL!AS12/BS!AS11),"-",PnL!AS12/2/BS!AS11)</f>
        <v>-</v>
      </c>
      <c r="AT65" s="349" t="str">
        <f>IF(ISERR(PnL!AT12/BS!AT11),"-",PnL!AT12/2/BS!AT11)</f>
        <v>-</v>
      </c>
      <c r="AU65" s="349" t="str">
        <f>IF(ISERR(PnL!AU12/BS!AU11),"-",PnL!AU12/2/BS!AU11)</f>
        <v>-</v>
      </c>
      <c r="AV65" s="349" t="str">
        <f>IF(ISERR(PnL!AV12/BS!AV11),"-",PnL!AV12/2/BS!AV11)</f>
        <v>-</v>
      </c>
      <c r="AW65" s="349" t="str">
        <f>IF(ISERR(PnL!AW12/BS!AW11),"-",PnL!AW12/2/BS!AW11)</f>
        <v>-</v>
      </c>
      <c r="AX65" s="483" t="e">
        <f t="shared" ref="AX65" si="149">365/2/AX69</f>
        <v>#DIV/0!</v>
      </c>
      <c r="AY65" s="483" t="e">
        <f>365/2/AY69</f>
        <v>#DIV/0!</v>
      </c>
      <c r="AZ65" s="314" t="e">
        <f t="shared" ref="AZ65:BC65" si="150">365/2/AZ69</f>
        <v>#DIV/0!</v>
      </c>
      <c r="BA65" s="314" t="e">
        <f t="shared" si="150"/>
        <v>#DIV/0!</v>
      </c>
      <c r="BB65" s="314" t="e">
        <f t="shared" si="150"/>
        <v>#DIV/0!</v>
      </c>
      <c r="BC65" s="314" t="e">
        <f t="shared" si="150"/>
        <v>#DIV/0!</v>
      </c>
      <c r="BD65" s="348"/>
      <c r="BE65" s="349">
        <f>IF(ISERR(PnL!BE12/BS!BE11),"-",PnL!BE12/BS!BE11)</f>
        <v>83.658395368072789</v>
      </c>
      <c r="BF65" s="349">
        <f>IF(ISERR(PnL!BF12/BS!BF11),"-",PnL!BF12/BS!BF11)</f>
        <v>36.069507748404739</v>
      </c>
      <c r="BG65" s="349">
        <f>IF(ISERR(PnL!BG12/BS!BG11),"-",PnL!BG12/BS!BG11)</f>
        <v>34.358319604612852</v>
      </c>
      <c r="BH65" s="349">
        <f>IF(ISERR(PnL!BH12/BS!BH11),"-",PnL!BH12/BS!BH11)</f>
        <v>27.36504248057512</v>
      </c>
      <c r="BI65" s="349">
        <f>IF(ISERR(PnL!BI12/BS!BI11),"-",PnL!BI12/BS!BI11)</f>
        <v>25.761194784190842</v>
      </c>
      <c r="BJ65" s="348">
        <f>365/BJ69</f>
        <v>34.687606440561652</v>
      </c>
      <c r="BK65" s="348">
        <f t="shared" ref="BK65:BS65" si="151">365/BK69</f>
        <v>31.052222716780875</v>
      </c>
      <c r="BL65" s="348">
        <f t="shared" si="151"/>
        <v>30.211729633660628</v>
      </c>
      <c r="BM65" s="348">
        <f t="shared" si="151"/>
        <v>29.499686065789408</v>
      </c>
      <c r="BN65" s="348">
        <f t="shared" si="151"/>
        <v>29.967211863467341</v>
      </c>
      <c r="BO65" s="348">
        <f t="shared" si="151"/>
        <v>30.978790102424494</v>
      </c>
      <c r="BP65" s="348">
        <f t="shared" si="151"/>
        <v>30.330205925997344</v>
      </c>
      <c r="BQ65" s="348">
        <f t="shared" si="151"/>
        <v>30.189813064962387</v>
      </c>
      <c r="BR65" s="348">
        <f t="shared" si="151"/>
        <v>30.185433566426767</v>
      </c>
      <c r="BS65" s="348">
        <f t="shared" si="151"/>
        <v>30.32642673694215</v>
      </c>
      <c r="BT65" s="203"/>
      <c r="BU65" s="203"/>
    </row>
    <row r="66" spans="1:73" ht="12.75" customHeight="1" x14ac:dyDescent="0.35">
      <c r="A66" s="200"/>
      <c r="B66" s="320"/>
      <c r="C66" s="320" t="s">
        <v>282</v>
      </c>
      <c r="D66" s="320"/>
      <c r="E66" s="320"/>
      <c r="F66" s="147"/>
      <c r="G66" s="147"/>
      <c r="H66" s="147"/>
      <c r="I66" s="147"/>
      <c r="J66" s="147"/>
      <c r="K66" s="349" t="str">
        <f>IF(ISERR(PnL!K16/BS!K12),"-",PnL!K16/BS!K12)</f>
        <v>-</v>
      </c>
      <c r="L66" s="349" t="str">
        <f>IF(ISERR(PnL!L16/BS!L12),"-",PnL!L16/BS!L12)</f>
        <v>-</v>
      </c>
      <c r="M66" s="349" t="str">
        <f>IF(ISERR(PnL!M16/BS!M12),"-",PnL!M16/BS!M12)</f>
        <v>-</v>
      </c>
      <c r="N66" s="349" t="str">
        <f>IF(ISERR(PnL!N16/BS!N12),"-",PnL!N16/BS!N12)</f>
        <v>-</v>
      </c>
      <c r="O66" s="349" t="str">
        <f>IF(ISERR(PnL!O16/BS!O12),"-",PnL!O16/BS!O12)</f>
        <v>-</v>
      </c>
      <c r="P66" s="349" t="str">
        <f>IF(ISERR(PnL!P16/BS!P12),"-",PnL!P16/BS!P12)</f>
        <v>-</v>
      </c>
      <c r="Q66" s="349" t="str">
        <f>IF(ISERR(PnL!Q16/BS!Q12),"-",PnL!Q16/BS!Q12)</f>
        <v>-</v>
      </c>
      <c r="R66" s="349" t="str">
        <f>IF(ISERR(PnL!R16/BS!R12),"-",PnL!R16/BS!R12)</f>
        <v>-</v>
      </c>
      <c r="S66" s="349" t="str">
        <f>IF(ISERR(PnL!S16/BS!S12),"-",PnL!S16/BS!S12)</f>
        <v>-</v>
      </c>
      <c r="T66" s="349" t="str">
        <f>IF(ISERR(PnL!T16/BS!T12),"-",PnL!T16/BS!T12)</f>
        <v>-</v>
      </c>
      <c r="U66" s="349" t="str">
        <f>IF(ISERR(PnL!U16/BS!U12),"-",PnL!U16/BS!U12)</f>
        <v>-</v>
      </c>
      <c r="V66" s="349" t="str">
        <f>IF(ISERR(PnL!V16/BS!V12),"-",PnL!V16/BS!V12)</f>
        <v>-</v>
      </c>
      <c r="W66" s="349" t="str">
        <f>IF(ISERR(PnL!W16/BS!W12),"-",PnL!W16/BS!W12)</f>
        <v>-</v>
      </c>
      <c r="X66" s="349" t="str">
        <f>IF(ISERR(PnL!X16/BS!X12),"-",PnL!X16/BS!X12)</f>
        <v>-</v>
      </c>
      <c r="Y66" s="349" t="str">
        <f>IF(ISERR(PnL!Y16/BS!Y12),"-",PnL!Y16/BS!Y12)</f>
        <v>-</v>
      </c>
      <c r="Z66" s="349" t="str">
        <f>IF(ISERR(PnL!Z16/BS!Z12),"-",PnL!Z16/BS!Z12)</f>
        <v>-</v>
      </c>
      <c r="AA66" s="349" t="str">
        <f>IF(ISERR(PnL!AA16/BS!AA12),"-",PnL!AA16/BS!AA12)</f>
        <v>-</v>
      </c>
      <c r="AB66" s="349" t="str">
        <f>IF(ISERR(PnL!AB16/BS!AB12),"-",PnL!AB16/BS!AB12)</f>
        <v>-</v>
      </c>
      <c r="AC66" s="314" t="e">
        <f>365/4/AC70</f>
        <v>#DIV/0!</v>
      </c>
      <c r="AD66" s="314" t="e">
        <f>365/4/AD70</f>
        <v>#DIV/0!</v>
      </c>
      <c r="AE66" s="314" t="e">
        <f t="shared" ref="AE66:AL66" si="152">365/4/AE70</f>
        <v>#DIV/0!</v>
      </c>
      <c r="AF66" s="314" t="e">
        <f t="shared" si="152"/>
        <v>#DIV/0!</v>
      </c>
      <c r="AG66" s="314" t="e">
        <f t="shared" si="152"/>
        <v>#DIV/0!</v>
      </c>
      <c r="AH66" s="314" t="e">
        <f t="shared" si="152"/>
        <v>#DIV/0!</v>
      </c>
      <c r="AI66" s="314" t="e">
        <f t="shared" si="152"/>
        <v>#DIV/0!</v>
      </c>
      <c r="AJ66" s="314" t="e">
        <f t="shared" si="152"/>
        <v>#DIV/0!</v>
      </c>
      <c r="AK66" s="314" t="e">
        <f t="shared" si="152"/>
        <v>#DIV/0!</v>
      </c>
      <c r="AL66" s="314" t="e">
        <f t="shared" si="152"/>
        <v>#DIV/0!</v>
      </c>
      <c r="AM66" s="348"/>
      <c r="AN66" s="349" t="str">
        <f>IF(ISERR(PnL!AN16/BS!AN12),"-",PnL!AN16/2/BS!AN12)</f>
        <v>-</v>
      </c>
      <c r="AO66" s="349" t="str">
        <f>IF(ISERR(PnL!AO16/BS!AO12),"-",PnL!AO16/2/BS!AO12)</f>
        <v>-</v>
      </c>
      <c r="AP66" s="349" t="str">
        <f>IF(ISERR(PnL!AP16/BS!AP12),"-",PnL!AP16/2/BS!AP12)</f>
        <v>-</v>
      </c>
      <c r="AQ66" s="349" t="str">
        <f>IF(ISERR(PnL!AQ16/BS!AQ12),"-",PnL!AQ16/2/BS!AQ12)</f>
        <v>-</v>
      </c>
      <c r="AR66" s="349" t="str">
        <f>IF(ISERR(PnL!AR16/BS!AR12),"-",PnL!AR16/2/BS!AR12)</f>
        <v>-</v>
      </c>
      <c r="AS66" s="349" t="str">
        <f>IF(ISERR(PnL!AS16/BS!AS12),"-",PnL!AS16/2/BS!AS12)</f>
        <v>-</v>
      </c>
      <c r="AT66" s="349" t="str">
        <f>IF(ISERR(PnL!AT16/BS!AT12),"-",PnL!AT16/2/BS!AT12)</f>
        <v>-</v>
      </c>
      <c r="AU66" s="349" t="str">
        <f>IF(ISERR(PnL!AU16/BS!AU12),"-",PnL!AU16/2/BS!AU12)</f>
        <v>-</v>
      </c>
      <c r="AV66" s="349" t="str">
        <f>IF(ISERR(PnL!AV16/BS!AV12),"-",PnL!AV16/2/BS!AV12)</f>
        <v>-</v>
      </c>
      <c r="AW66" s="349" t="str">
        <f>IF(ISERR(PnL!AW16/BS!AW12),"-",PnL!AW16/2/BS!AW12)</f>
        <v>-</v>
      </c>
      <c r="AX66" s="483" t="e">
        <f t="shared" ref="AX66" si="153">365/2/AX70</f>
        <v>#DIV/0!</v>
      </c>
      <c r="AY66" s="483" t="e">
        <f>365/2/AY70</f>
        <v>#DIV/0!</v>
      </c>
      <c r="AZ66" s="314" t="e">
        <f t="shared" ref="AZ66:BC66" si="154">365/2/AZ70</f>
        <v>#DIV/0!</v>
      </c>
      <c r="BA66" s="314" t="e">
        <f t="shared" si="154"/>
        <v>#DIV/0!</v>
      </c>
      <c r="BB66" s="314" t="e">
        <f t="shared" si="154"/>
        <v>#DIV/0!</v>
      </c>
      <c r="BC66" s="314" t="e">
        <f t="shared" si="154"/>
        <v>#DIV/0!</v>
      </c>
      <c r="BD66" s="348"/>
      <c r="BE66" s="349" t="str">
        <f>IF(ISERR(PnL!BE16/BS!BE12),"-",PnL!BE16/BS!BE12)</f>
        <v>-</v>
      </c>
      <c r="BF66" s="349" t="str">
        <f>IF(ISERR(PnL!BF16/BS!BF12),"-",PnL!BF16/BS!BF12)</f>
        <v>-</v>
      </c>
      <c r="BG66" s="349" t="str">
        <f>IF(ISERR(PnL!BG16/BS!BG12),"-",PnL!BG16/BS!BG12)</f>
        <v>-</v>
      </c>
      <c r="BH66" s="349" t="str">
        <f>IF(ISERR(PnL!BH16/BS!BH12),"-",PnL!BH16/BS!BH12)</f>
        <v>-</v>
      </c>
      <c r="BI66" s="349" t="str">
        <f>IF(ISERR(PnL!BI16/BS!BI12),"-",PnL!BI16/BS!BI12)</f>
        <v>-</v>
      </c>
      <c r="BJ66" s="2724" t="e">
        <f>365/BJ70</f>
        <v>#DIV/0!</v>
      </c>
      <c r="BK66" s="348" t="e">
        <f t="shared" ref="BK66:BS66" si="155">365/BK70</f>
        <v>#DIV/0!</v>
      </c>
      <c r="BL66" s="348" t="e">
        <f t="shared" si="155"/>
        <v>#DIV/0!</v>
      </c>
      <c r="BM66" s="348" t="e">
        <f t="shared" si="155"/>
        <v>#DIV/0!</v>
      </c>
      <c r="BN66" s="348" t="e">
        <f t="shared" si="155"/>
        <v>#DIV/0!</v>
      </c>
      <c r="BO66" s="348" t="e">
        <f t="shared" si="155"/>
        <v>#DIV/0!</v>
      </c>
      <c r="BP66" s="348" t="e">
        <f t="shared" si="155"/>
        <v>#DIV/0!</v>
      </c>
      <c r="BQ66" s="348" t="e">
        <f t="shared" si="155"/>
        <v>#DIV/0!</v>
      </c>
      <c r="BR66" s="348" t="e">
        <f t="shared" si="155"/>
        <v>#DIV/0!</v>
      </c>
      <c r="BS66" s="348" t="e">
        <f t="shared" si="155"/>
        <v>#DIV/0!</v>
      </c>
      <c r="BT66" s="203"/>
      <c r="BU66" s="203"/>
    </row>
    <row r="67" spans="1:73" ht="12.75" customHeight="1" x14ac:dyDescent="0.35">
      <c r="A67" s="200"/>
      <c r="B67" s="320"/>
      <c r="C67" s="320" t="s">
        <v>283</v>
      </c>
      <c r="D67" s="320"/>
      <c r="E67" s="320"/>
      <c r="F67" s="147"/>
      <c r="G67" s="147"/>
      <c r="H67" s="147"/>
      <c r="I67" s="147"/>
      <c r="J67" s="147"/>
      <c r="K67" s="349" t="str">
        <f>IF(ISERR(PnL!K16/BS!K27),"-",PnL!K16/BS!K27)</f>
        <v>-</v>
      </c>
      <c r="L67" s="349" t="str">
        <f>IF(ISERR(PnL!L16/BS!L27),"-",PnL!L16/BS!L27)</f>
        <v>-</v>
      </c>
      <c r="M67" s="349" t="str">
        <f>IF(ISERR(PnL!M16/BS!M27),"-",PnL!M16/BS!M27)</f>
        <v>-</v>
      </c>
      <c r="N67" s="349" t="str">
        <f>IF(ISERR(PnL!N16/BS!N27),"-",PnL!N16/BS!N27)</f>
        <v>-</v>
      </c>
      <c r="O67" s="349" t="str">
        <f>IF(ISERR(PnL!O16/BS!O27),"-",PnL!O16/BS!O27)</f>
        <v>-</v>
      </c>
      <c r="P67" s="349" t="str">
        <f>IF(ISERR(PnL!P16/BS!P27),"-",PnL!P16/BS!P27)</f>
        <v>-</v>
      </c>
      <c r="Q67" s="349" t="str">
        <f>IF(ISERR(PnL!Q16/BS!Q27),"-",PnL!Q16/BS!Q27)</f>
        <v>-</v>
      </c>
      <c r="R67" s="349" t="str">
        <f>IF(ISERR(PnL!R16/BS!R27),"-",PnL!R16/BS!R27)</f>
        <v>-</v>
      </c>
      <c r="S67" s="349" t="str">
        <f>IF(ISERR(PnL!S16/BS!S27),"-",PnL!S16/BS!S27)</f>
        <v>-</v>
      </c>
      <c r="T67" s="349" t="str">
        <f>IF(ISERR(PnL!T16/BS!T27),"-",PnL!T16/BS!T27)</f>
        <v>-</v>
      </c>
      <c r="U67" s="349" t="str">
        <f>IF(ISERR(PnL!U16/BS!U27),"-",PnL!U16/BS!U27)</f>
        <v>-</v>
      </c>
      <c r="V67" s="349" t="str">
        <f>IF(ISERR(PnL!V16/BS!V27),"-",PnL!V16/BS!V27)</f>
        <v>-</v>
      </c>
      <c r="W67" s="349" t="str">
        <f>IF(ISERR(PnL!W16/BS!W27),"-",PnL!W16/BS!W27)</f>
        <v>-</v>
      </c>
      <c r="X67" s="349" t="str">
        <f>IF(ISERR(PnL!X16/BS!X27),"-",PnL!X16/BS!X27)</f>
        <v>-</v>
      </c>
      <c r="Y67" s="349" t="str">
        <f>IF(ISERR(PnL!Y16/BS!Y27),"-",PnL!Y16/BS!Y27)</f>
        <v>-</v>
      </c>
      <c r="Z67" s="349" t="str">
        <f>IF(ISERR(PnL!Z16/BS!Z27),"-",PnL!Z16/BS!Z27)</f>
        <v>-</v>
      </c>
      <c r="AA67" s="349" t="str">
        <f>IF(ISERR(PnL!AA16/BS!AA27),"-",PnL!AA16/BS!AA27)</f>
        <v>-</v>
      </c>
      <c r="AB67" s="349" t="str">
        <f>IF(ISERR(PnL!AB16/BS!AB27),"-",PnL!AB16/BS!AB27)</f>
        <v>-</v>
      </c>
      <c r="AC67" s="314" t="e">
        <f t="shared" ref="AC67" si="156">365/4/AC72</f>
        <v>#DIV/0!</v>
      </c>
      <c r="AD67" s="314" t="e">
        <f>365/4/AD72</f>
        <v>#DIV/0!</v>
      </c>
      <c r="AE67" s="314" t="e">
        <f t="shared" ref="AE67:AL67" si="157">365/4/AE72</f>
        <v>#DIV/0!</v>
      </c>
      <c r="AF67" s="314" t="e">
        <f t="shared" si="157"/>
        <v>#DIV/0!</v>
      </c>
      <c r="AG67" s="314" t="e">
        <f t="shared" si="157"/>
        <v>#DIV/0!</v>
      </c>
      <c r="AH67" s="314" t="e">
        <f t="shared" si="157"/>
        <v>#DIV/0!</v>
      </c>
      <c r="AI67" s="314" t="e">
        <f t="shared" si="157"/>
        <v>#DIV/0!</v>
      </c>
      <c r="AJ67" s="314" t="e">
        <f t="shared" si="157"/>
        <v>#DIV/0!</v>
      </c>
      <c r="AK67" s="314" t="e">
        <f t="shared" si="157"/>
        <v>#DIV/0!</v>
      </c>
      <c r="AL67" s="314" t="e">
        <f t="shared" si="157"/>
        <v>#DIV/0!</v>
      </c>
      <c r="AM67" s="348"/>
      <c r="AN67" s="349" t="str">
        <f>IF(ISERR(PnL!AN16/BS!AN27),"-",PnL!AN16/2/BS!AN27)</f>
        <v>-</v>
      </c>
      <c r="AO67" s="349" t="str">
        <f>IF(ISERR(PnL!AO16/BS!AO27),"-",PnL!AO16/2/BS!AO27)</f>
        <v>-</v>
      </c>
      <c r="AP67" s="349" t="str">
        <f>IF(ISERR(PnL!AP16/BS!AP27),"-",PnL!AP16/2/BS!AP27)</f>
        <v>-</v>
      </c>
      <c r="AQ67" s="349" t="str">
        <f>IF(ISERR(PnL!AQ16/BS!AQ27),"-",PnL!AQ16/2/BS!AQ27)</f>
        <v>-</v>
      </c>
      <c r="AR67" s="349" t="str">
        <f>IF(ISERR(PnL!AR16/BS!AR27),"-",PnL!AR16/2/BS!AR27)</f>
        <v>-</v>
      </c>
      <c r="AS67" s="349" t="str">
        <f>IF(ISERR(PnL!AS16/BS!AS27),"-",PnL!AS16/2/BS!AS27)</f>
        <v>-</v>
      </c>
      <c r="AT67" s="349" t="str">
        <f>IF(ISERR(PnL!AT16/BS!AT27),"-",PnL!AT16/2/BS!AT27)</f>
        <v>-</v>
      </c>
      <c r="AU67" s="349" t="str">
        <f>IF(ISERR(PnL!AU16/BS!AU27),"-",PnL!AU16/2/BS!AU27)</f>
        <v>-</v>
      </c>
      <c r="AV67" s="349" t="str">
        <f>IF(ISERR(PnL!AV16/BS!AV27),"-",PnL!AV16/2/BS!AV27)</f>
        <v>-</v>
      </c>
      <c r="AW67" s="349" t="str">
        <f>IF(ISERR(PnL!AW16/BS!AW27),"-",PnL!AW16/2/BS!AW27)</f>
        <v>-</v>
      </c>
      <c r="AX67" s="483" t="e">
        <f t="shared" ref="AX67" si="158">365/2/AX72</f>
        <v>#DIV/0!</v>
      </c>
      <c r="AY67" s="483" t="e">
        <f>365/2/AY72</f>
        <v>#DIV/0!</v>
      </c>
      <c r="AZ67" s="314" t="e">
        <f t="shared" ref="AZ67:BC67" si="159">365/2/AZ72</f>
        <v>#DIV/0!</v>
      </c>
      <c r="BA67" s="314" t="e">
        <f t="shared" si="159"/>
        <v>#DIV/0!</v>
      </c>
      <c r="BB67" s="314" t="e">
        <f t="shared" si="159"/>
        <v>#DIV/0!</v>
      </c>
      <c r="BC67" s="314" t="e">
        <f t="shared" si="159"/>
        <v>#DIV/0!</v>
      </c>
      <c r="BD67" s="348"/>
      <c r="BE67" s="349" t="str">
        <f>IF(ISERR(PnL!BE16/BS!BE27),"-",PnL!BE16/BS!BE27)</f>
        <v>-</v>
      </c>
      <c r="BF67" s="349" t="str">
        <f>IF(ISERR(PnL!BF16/BS!BF27),"-",PnL!BF16/BS!BF27)</f>
        <v>-</v>
      </c>
      <c r="BG67" s="349" t="str">
        <f>IF(ISERR(PnL!BG16/BS!BG27),"-",PnL!BG16/BS!BG27)</f>
        <v>-</v>
      </c>
      <c r="BH67" s="349" t="str">
        <f>IF(ISERR(PnL!BH16/BS!BH27),"-",PnL!BH16/BS!BH27)</f>
        <v>-</v>
      </c>
      <c r="BI67" s="349" t="str">
        <f>IF(ISERR(PnL!BI16/BS!BI27),"-",PnL!BI16/BS!BI27)</f>
        <v>-</v>
      </c>
      <c r="BJ67" s="348" t="e">
        <f>365/BJ72</f>
        <v>#DIV/0!</v>
      </c>
      <c r="BK67" s="348" t="e">
        <f t="shared" ref="BK67:BS67" si="160">365/BK72</f>
        <v>#DIV/0!</v>
      </c>
      <c r="BL67" s="348" t="e">
        <f t="shared" si="160"/>
        <v>#DIV/0!</v>
      </c>
      <c r="BM67" s="348" t="e">
        <f t="shared" si="160"/>
        <v>#DIV/0!</v>
      </c>
      <c r="BN67" s="348" t="e">
        <f t="shared" si="160"/>
        <v>#DIV/0!</v>
      </c>
      <c r="BO67" s="348" t="e">
        <f t="shared" si="160"/>
        <v>#DIV/0!</v>
      </c>
      <c r="BP67" s="348" t="e">
        <f t="shared" si="160"/>
        <v>#DIV/0!</v>
      </c>
      <c r="BQ67" s="348" t="e">
        <f t="shared" si="160"/>
        <v>#DIV/0!</v>
      </c>
      <c r="BR67" s="348" t="e">
        <f t="shared" si="160"/>
        <v>#DIV/0!</v>
      </c>
      <c r="BS67" s="348" t="e">
        <f t="shared" si="160"/>
        <v>#DIV/0!</v>
      </c>
      <c r="BT67" s="203"/>
      <c r="BU67" s="203"/>
    </row>
    <row r="68" spans="1:73" ht="12.75" customHeight="1" x14ac:dyDescent="0.35">
      <c r="A68" s="200"/>
      <c r="B68" s="322"/>
      <c r="C68" s="322"/>
      <c r="D68" s="323" t="s">
        <v>284</v>
      </c>
      <c r="E68" s="322"/>
      <c r="F68" s="147"/>
      <c r="G68" s="147"/>
      <c r="H68" s="147"/>
      <c r="I68" s="147"/>
      <c r="J68" s="147"/>
      <c r="K68" s="350"/>
      <c r="L68" s="350"/>
      <c r="M68" s="350"/>
      <c r="N68" s="350"/>
      <c r="O68" s="350"/>
      <c r="P68" s="350"/>
      <c r="Q68" s="350"/>
      <c r="R68" s="350"/>
      <c r="S68" s="350"/>
      <c r="T68" s="350"/>
      <c r="U68" s="350"/>
      <c r="V68" s="350"/>
      <c r="W68" s="350"/>
      <c r="X68" s="350"/>
      <c r="Y68" s="350"/>
      <c r="Z68" s="350"/>
      <c r="AA68" s="350"/>
      <c r="AB68" s="350"/>
      <c r="AC68" s="350"/>
      <c r="AD68" s="350"/>
      <c r="AE68" s="350"/>
      <c r="AF68" s="350"/>
      <c r="AG68" s="350"/>
      <c r="AH68" s="350"/>
      <c r="AI68" s="350"/>
      <c r="AJ68" s="350"/>
      <c r="AK68" s="350"/>
      <c r="AL68" s="350"/>
      <c r="AM68" s="351"/>
      <c r="AN68" s="350"/>
      <c r="AO68" s="350"/>
      <c r="AP68" s="350"/>
      <c r="AQ68" s="350"/>
      <c r="AR68" s="350"/>
      <c r="AS68" s="350"/>
      <c r="AT68" s="350"/>
      <c r="AU68" s="350"/>
      <c r="AV68" s="350"/>
      <c r="AW68" s="350"/>
      <c r="AX68" s="350"/>
      <c r="AY68" s="350"/>
      <c r="AZ68" s="350"/>
      <c r="BA68" s="350"/>
      <c r="BB68" s="350"/>
      <c r="BC68" s="350"/>
      <c r="BD68" s="351"/>
      <c r="BE68" s="350"/>
      <c r="BF68" s="350"/>
      <c r="BG68" s="350"/>
      <c r="BH68" s="350"/>
      <c r="BI68" s="350"/>
      <c r="BJ68" s="350"/>
      <c r="BK68" s="350"/>
      <c r="BL68" s="350"/>
      <c r="BM68" s="351"/>
      <c r="BN68" s="351"/>
      <c r="BO68" s="351"/>
      <c r="BP68" s="351"/>
      <c r="BQ68" s="351"/>
      <c r="BR68" s="351"/>
      <c r="BS68" s="351"/>
      <c r="BT68" s="203"/>
      <c r="BU68" s="203"/>
    </row>
    <row r="69" spans="1:73" ht="12.75" customHeight="1" x14ac:dyDescent="0.35">
      <c r="A69" s="200"/>
      <c r="B69" s="324"/>
      <c r="C69" s="325"/>
      <c r="D69" s="325"/>
      <c r="E69" s="324" t="s">
        <v>285</v>
      </c>
      <c r="F69" s="147"/>
      <c r="G69" s="147"/>
      <c r="H69" s="147"/>
      <c r="I69" s="147"/>
      <c r="J69" s="147"/>
      <c r="K69" s="350">
        <f t="shared" ref="K69:Y69" si="161">+IF(ISERR(365/K65),0,365/4/K65)</f>
        <v>0</v>
      </c>
      <c r="L69" s="350">
        <f t="shared" si="161"/>
        <v>0</v>
      </c>
      <c r="M69" s="350">
        <f t="shared" si="161"/>
        <v>0</v>
      </c>
      <c r="N69" s="350">
        <f t="shared" si="161"/>
        <v>10.378833043883978</v>
      </c>
      <c r="O69" s="350">
        <f t="shared" si="161"/>
        <v>0</v>
      </c>
      <c r="P69" s="350">
        <f t="shared" si="161"/>
        <v>0</v>
      </c>
      <c r="Q69" s="350">
        <f t="shared" si="161"/>
        <v>0</v>
      </c>
      <c r="R69" s="350">
        <f t="shared" si="161"/>
        <v>10.732173997287349</v>
      </c>
      <c r="S69" s="350">
        <f t="shared" si="161"/>
        <v>0</v>
      </c>
      <c r="T69" s="350">
        <f t="shared" si="161"/>
        <v>0</v>
      </c>
      <c r="U69" s="350">
        <f t="shared" si="161"/>
        <v>0</v>
      </c>
      <c r="V69" s="350">
        <f t="shared" si="161"/>
        <v>13.439899783952598</v>
      </c>
      <c r="W69" s="350">
        <f t="shared" si="161"/>
        <v>0</v>
      </c>
      <c r="X69" s="350">
        <f t="shared" si="161"/>
        <v>0</v>
      </c>
      <c r="Y69" s="350">
        <f t="shared" si="161"/>
        <v>0</v>
      </c>
      <c r="Z69" s="350">
        <f>+IF(ISERR(365/Z65),0,365/4/Z65)</f>
        <v>15.793975366096891</v>
      </c>
      <c r="AA69" s="350">
        <f t="shared" ref="AA69:AB70" si="162">+IF(ISERR(365/AA65),0,365/4/AA65)</f>
        <v>0</v>
      </c>
      <c r="AB69" s="350">
        <f t="shared" si="162"/>
        <v>0</v>
      </c>
      <c r="AC69" s="444">
        <f t="shared" ref="AC69:AC70" si="163">AVERAGE(Y69,U69,Q69,M69)</f>
        <v>0</v>
      </c>
      <c r="AD69" s="444">
        <f t="shared" ref="AD69:AD72" si="164">AVERAGE(Z69,V69,R69,N69)</f>
        <v>12.586220547805205</v>
      </c>
      <c r="AE69" s="444">
        <f t="shared" ref="AE69:AE70" si="165">AVERAGE(AA69,W69,S69,O69)</f>
        <v>0</v>
      </c>
      <c r="AF69" s="444">
        <f t="shared" ref="AF69:AF70" si="166">AVERAGE(AB69,X69,T69,P69)</f>
        <v>0</v>
      </c>
      <c r="AG69" s="444">
        <f t="shared" ref="AG69:AG70" si="167">AVERAGE(AC69,Y69,U69,Q69)</f>
        <v>0</v>
      </c>
      <c r="AH69" s="444">
        <f t="shared" ref="AH69:AH70" si="168">AVERAGE(AD69,Z69,V69,R69)</f>
        <v>13.138067423785511</v>
      </c>
      <c r="AI69" s="444">
        <f t="shared" ref="AI69:AI70" si="169">AVERAGE(AE69,AA69,W69,S69)</f>
        <v>0</v>
      </c>
      <c r="AJ69" s="444">
        <f t="shared" ref="AJ69:AJ70" si="170">AVERAGE(AF69,AB69,X69,T69)</f>
        <v>0</v>
      </c>
      <c r="AK69" s="444">
        <f t="shared" ref="AK69:AK70" si="171">AVERAGE(AG69,AC69,Y69,U69)</f>
        <v>0</v>
      </c>
      <c r="AL69" s="444">
        <f t="shared" ref="AL69:AL70" si="172">AVERAGE(AH69,AD69,Z69,V69)</f>
        <v>13.739540780410051</v>
      </c>
      <c r="AM69" s="351"/>
      <c r="AN69" s="350">
        <f t="shared" ref="AN69" si="173">+IF(ISERR(365/AN65),0,365/AN65)</f>
        <v>0</v>
      </c>
      <c r="AO69" s="350">
        <f t="shared" ref="AO69:AW69" si="174">+IF(ISERR(365/AO65),0,365/AO65)</f>
        <v>0</v>
      </c>
      <c r="AP69" s="350">
        <f t="shared" si="174"/>
        <v>0</v>
      </c>
      <c r="AQ69" s="350">
        <f t="shared" si="174"/>
        <v>0</v>
      </c>
      <c r="AR69" s="350">
        <f t="shared" si="174"/>
        <v>0</v>
      </c>
      <c r="AS69" s="350">
        <f t="shared" si="174"/>
        <v>0</v>
      </c>
      <c r="AT69" s="350">
        <f t="shared" si="174"/>
        <v>0</v>
      </c>
      <c r="AU69" s="350">
        <f t="shared" si="174"/>
        <v>0</v>
      </c>
      <c r="AV69" s="350">
        <f t="shared" si="174"/>
        <v>0</v>
      </c>
      <c r="AW69" s="350">
        <f t="shared" si="174"/>
        <v>0</v>
      </c>
      <c r="AX69" s="350">
        <f t="shared" ref="AX69:AX70" si="175">AVERAGE(AV69,AT69,AR69,AP69)</f>
        <v>0</v>
      </c>
      <c r="AY69" s="350">
        <f>AVERAGE(AW69,AU69,AS69,AQ69)</f>
        <v>0</v>
      </c>
      <c r="AZ69" s="350">
        <f t="shared" ref="AZ69:BC69" si="176">AVERAGE(AX69,AV69,AT69,AR69)</f>
        <v>0</v>
      </c>
      <c r="BA69" s="350">
        <f t="shared" si="176"/>
        <v>0</v>
      </c>
      <c r="BB69" s="350">
        <f t="shared" si="176"/>
        <v>0</v>
      </c>
      <c r="BC69" s="350">
        <f t="shared" si="176"/>
        <v>0</v>
      </c>
      <c r="BD69" s="351"/>
      <c r="BE69" s="350">
        <f t="shared" ref="BE69:BI70" si="177">+IF(ISERR(365/BE65),0,365/BE65)</f>
        <v>4.3629811257328734</v>
      </c>
      <c r="BF69" s="350">
        <f t="shared" si="177"/>
        <v>10.119350742072243</v>
      </c>
      <c r="BG69" s="350">
        <f t="shared" si="177"/>
        <v>10.623336769677064</v>
      </c>
      <c r="BH69" s="350">
        <f t="shared" si="177"/>
        <v>13.338185031471909</v>
      </c>
      <c r="BI69" s="350">
        <f t="shared" si="177"/>
        <v>14.168597499367289</v>
      </c>
      <c r="BJ69" s="321">
        <f>AVERAGE(BE69:BI69)</f>
        <v>10.522490233664275</v>
      </c>
      <c r="BK69" s="321">
        <f t="shared" ref="BK69" si="178">AVERAGE(BF69:BJ69)</f>
        <v>11.754392055250557</v>
      </c>
      <c r="BL69" s="321">
        <f>AVERAGE(BG69:BK69)</f>
        <v>12.081400317886219</v>
      </c>
      <c r="BM69" s="321">
        <f t="shared" ref="BM69:BS70" si="179">AVERAGE(BH69:BL69)</f>
        <v>12.373013027528049</v>
      </c>
      <c r="BN69" s="321">
        <f t="shared" si="179"/>
        <v>12.179978626739279</v>
      </c>
      <c r="BO69" s="321">
        <f t="shared" si="179"/>
        <v>11.782254852213676</v>
      </c>
      <c r="BP69" s="321">
        <f t="shared" si="179"/>
        <v>12.034207775923557</v>
      </c>
      <c r="BQ69" s="321">
        <f t="shared" si="179"/>
        <v>12.090170920058155</v>
      </c>
      <c r="BR69" s="321">
        <f t="shared" si="179"/>
        <v>12.091925040492544</v>
      </c>
      <c r="BS69" s="321">
        <f t="shared" si="179"/>
        <v>12.035707443085442</v>
      </c>
      <c r="BT69" s="203"/>
      <c r="BU69" s="203"/>
    </row>
    <row r="70" spans="1:73" ht="12.75" customHeight="1" x14ac:dyDescent="0.35">
      <c r="A70" s="200"/>
      <c r="B70" s="324"/>
      <c r="C70" s="325"/>
      <c r="D70" s="325"/>
      <c r="E70" s="324" t="s">
        <v>286</v>
      </c>
      <c r="F70" s="147"/>
      <c r="G70" s="147"/>
      <c r="H70" s="147"/>
      <c r="I70" s="147"/>
      <c r="J70" s="147"/>
      <c r="K70" s="350">
        <f t="shared" ref="K70:Y70" si="180">+IF(ISERR(365/K66),0,365/4/K66)</f>
        <v>0</v>
      </c>
      <c r="L70" s="350">
        <f t="shared" si="180"/>
        <v>0</v>
      </c>
      <c r="M70" s="350">
        <f t="shared" si="180"/>
        <v>0</v>
      </c>
      <c r="N70" s="350">
        <f t="shared" si="180"/>
        <v>0</v>
      </c>
      <c r="O70" s="350">
        <f t="shared" si="180"/>
        <v>0</v>
      </c>
      <c r="P70" s="350">
        <f t="shared" si="180"/>
        <v>0</v>
      </c>
      <c r="Q70" s="350">
        <f t="shared" si="180"/>
        <v>0</v>
      </c>
      <c r="R70" s="350">
        <f t="shared" si="180"/>
        <v>0</v>
      </c>
      <c r="S70" s="350">
        <f t="shared" si="180"/>
        <v>0</v>
      </c>
      <c r="T70" s="350">
        <f t="shared" si="180"/>
        <v>0</v>
      </c>
      <c r="U70" s="350">
        <f t="shared" si="180"/>
        <v>0</v>
      </c>
      <c r="V70" s="350">
        <f t="shared" si="180"/>
        <v>0</v>
      </c>
      <c r="W70" s="350">
        <f t="shared" si="180"/>
        <v>0</v>
      </c>
      <c r="X70" s="350">
        <f t="shared" si="180"/>
        <v>0</v>
      </c>
      <c r="Y70" s="350">
        <f t="shared" si="180"/>
        <v>0</v>
      </c>
      <c r="Z70" s="350">
        <f>+IF(ISERR(365/Z66),0,365/4/Z66)</f>
        <v>0</v>
      </c>
      <c r="AA70" s="350">
        <f t="shared" si="162"/>
        <v>0</v>
      </c>
      <c r="AB70" s="350">
        <f t="shared" si="162"/>
        <v>0</v>
      </c>
      <c r="AC70" s="444">
        <f t="shared" si="163"/>
        <v>0</v>
      </c>
      <c r="AD70" s="444">
        <f t="shared" si="164"/>
        <v>0</v>
      </c>
      <c r="AE70" s="444">
        <f t="shared" si="165"/>
        <v>0</v>
      </c>
      <c r="AF70" s="444">
        <f t="shared" si="166"/>
        <v>0</v>
      </c>
      <c r="AG70" s="444">
        <f t="shared" si="167"/>
        <v>0</v>
      </c>
      <c r="AH70" s="444">
        <f t="shared" si="168"/>
        <v>0</v>
      </c>
      <c r="AI70" s="444">
        <f t="shared" si="169"/>
        <v>0</v>
      </c>
      <c r="AJ70" s="444">
        <f t="shared" si="170"/>
        <v>0</v>
      </c>
      <c r="AK70" s="444">
        <f t="shared" si="171"/>
        <v>0</v>
      </c>
      <c r="AL70" s="444">
        <f t="shared" si="172"/>
        <v>0</v>
      </c>
      <c r="AM70" s="351"/>
      <c r="AN70" s="350">
        <f t="shared" ref="AN70" si="181">+IF(ISERR(365/AN66),0,365/AN66)</f>
        <v>0</v>
      </c>
      <c r="AO70" s="350">
        <f t="shared" ref="AO70:AW70" si="182">+IF(ISERR(365/AO66),0,365/AO66)</f>
        <v>0</v>
      </c>
      <c r="AP70" s="350">
        <f t="shared" si="182"/>
        <v>0</v>
      </c>
      <c r="AQ70" s="350">
        <f t="shared" si="182"/>
        <v>0</v>
      </c>
      <c r="AR70" s="350">
        <f t="shared" si="182"/>
        <v>0</v>
      </c>
      <c r="AS70" s="350">
        <f t="shared" si="182"/>
        <v>0</v>
      </c>
      <c r="AT70" s="350">
        <f t="shared" si="182"/>
        <v>0</v>
      </c>
      <c r="AU70" s="350">
        <f t="shared" si="182"/>
        <v>0</v>
      </c>
      <c r="AV70" s="350">
        <f t="shared" si="182"/>
        <v>0</v>
      </c>
      <c r="AW70" s="350">
        <f t="shared" si="182"/>
        <v>0</v>
      </c>
      <c r="AX70" s="350">
        <f t="shared" si="175"/>
        <v>0</v>
      </c>
      <c r="AY70" s="350">
        <f>AVERAGE(AW70,AU70,AS70,AQ70)</f>
        <v>0</v>
      </c>
      <c r="AZ70" s="350">
        <f t="shared" ref="AZ70" si="183">AVERAGE(AX70,AV70,AT70,AR70)</f>
        <v>0</v>
      </c>
      <c r="BA70" s="350">
        <f t="shared" ref="BA70" si="184">AVERAGE(AY70,AW70,AU70,AS70)</f>
        <v>0</v>
      </c>
      <c r="BB70" s="350">
        <f t="shared" ref="BB70" si="185">AVERAGE(AZ70,AX70,AV70,AT70)</f>
        <v>0</v>
      </c>
      <c r="BC70" s="350">
        <f t="shared" ref="BC70" si="186">AVERAGE(BA70,AY70,AW70,AU70)</f>
        <v>0</v>
      </c>
      <c r="BD70" s="351"/>
      <c r="BE70" s="350">
        <f t="shared" si="177"/>
        <v>0</v>
      </c>
      <c r="BF70" s="350">
        <f t="shared" si="177"/>
        <v>0</v>
      </c>
      <c r="BG70" s="350">
        <f t="shared" si="177"/>
        <v>0</v>
      </c>
      <c r="BH70" s="350">
        <f t="shared" si="177"/>
        <v>0</v>
      </c>
      <c r="BI70" s="350">
        <f t="shared" si="177"/>
        <v>0</v>
      </c>
      <c r="BJ70" s="321">
        <f>AVERAGE(BE70:BI70)</f>
        <v>0</v>
      </c>
      <c r="BK70" s="321">
        <f t="shared" ref="BK70:BL70" si="187">AVERAGE(BF70:BJ70)</f>
        <v>0</v>
      </c>
      <c r="BL70" s="321">
        <f t="shared" si="187"/>
        <v>0</v>
      </c>
      <c r="BM70" s="321">
        <f t="shared" si="179"/>
        <v>0</v>
      </c>
      <c r="BN70" s="321">
        <f t="shared" si="179"/>
        <v>0</v>
      </c>
      <c r="BO70" s="321">
        <f t="shared" si="179"/>
        <v>0</v>
      </c>
      <c r="BP70" s="321">
        <f t="shared" si="179"/>
        <v>0</v>
      </c>
      <c r="BQ70" s="321">
        <f t="shared" si="179"/>
        <v>0</v>
      </c>
      <c r="BR70" s="321">
        <f t="shared" si="179"/>
        <v>0</v>
      </c>
      <c r="BS70" s="321">
        <f t="shared" si="179"/>
        <v>0</v>
      </c>
      <c r="BT70" s="203"/>
      <c r="BU70" s="203"/>
    </row>
    <row r="71" spans="1:73" ht="12.75" customHeight="1" x14ac:dyDescent="0.35">
      <c r="A71" s="200"/>
      <c r="B71" s="324"/>
      <c r="C71" s="325"/>
      <c r="D71" s="324" t="s">
        <v>287</v>
      </c>
      <c r="E71" s="325"/>
      <c r="F71" s="147"/>
      <c r="G71" s="147"/>
      <c r="H71" s="147"/>
      <c r="I71" s="147"/>
      <c r="J71" s="147"/>
      <c r="K71" s="350">
        <f t="shared" ref="K71:AL71" si="188">+IF(ISERR(K69+K70),0,K69+K70)</f>
        <v>0</v>
      </c>
      <c r="L71" s="350">
        <f t="shared" si="188"/>
        <v>0</v>
      </c>
      <c r="M71" s="350">
        <f t="shared" si="188"/>
        <v>0</v>
      </c>
      <c r="N71" s="350">
        <f t="shared" si="188"/>
        <v>10.378833043883978</v>
      </c>
      <c r="O71" s="350">
        <f t="shared" si="188"/>
        <v>0</v>
      </c>
      <c r="P71" s="350">
        <f t="shared" si="188"/>
        <v>0</v>
      </c>
      <c r="Q71" s="350">
        <f t="shared" si="188"/>
        <v>0</v>
      </c>
      <c r="R71" s="350">
        <f t="shared" si="188"/>
        <v>10.732173997287349</v>
      </c>
      <c r="S71" s="350">
        <f t="shared" si="188"/>
        <v>0</v>
      </c>
      <c r="T71" s="350">
        <f t="shared" si="188"/>
        <v>0</v>
      </c>
      <c r="U71" s="350">
        <f t="shared" si="188"/>
        <v>0</v>
      </c>
      <c r="V71" s="350">
        <f t="shared" si="188"/>
        <v>13.439899783952598</v>
      </c>
      <c r="W71" s="350">
        <f t="shared" si="188"/>
        <v>0</v>
      </c>
      <c r="X71" s="350">
        <f t="shared" si="188"/>
        <v>0</v>
      </c>
      <c r="Y71" s="350">
        <f t="shared" si="188"/>
        <v>0</v>
      </c>
      <c r="Z71" s="350">
        <f t="shared" si="188"/>
        <v>15.793975366096891</v>
      </c>
      <c r="AA71" s="350">
        <f t="shared" ref="AA71:AB71" si="189">+IF(ISERR(AA69+AA70),0,AA69+AA70)</f>
        <v>0</v>
      </c>
      <c r="AB71" s="350">
        <f t="shared" si="189"/>
        <v>0</v>
      </c>
      <c r="AC71" s="350">
        <f t="shared" ref="AC71" si="190">+IF(ISERR(AC69+AC70),0,AC69+AC70)</f>
        <v>0</v>
      </c>
      <c r="AD71" s="350">
        <f t="shared" si="188"/>
        <v>12.586220547805205</v>
      </c>
      <c r="AE71" s="350">
        <f t="shared" si="188"/>
        <v>0</v>
      </c>
      <c r="AF71" s="350">
        <f t="shared" si="188"/>
        <v>0</v>
      </c>
      <c r="AG71" s="350">
        <f t="shared" si="188"/>
        <v>0</v>
      </c>
      <c r="AH71" s="350">
        <f t="shared" si="188"/>
        <v>13.138067423785511</v>
      </c>
      <c r="AI71" s="350">
        <f t="shared" si="188"/>
        <v>0</v>
      </c>
      <c r="AJ71" s="350">
        <f t="shared" si="188"/>
        <v>0</v>
      </c>
      <c r="AK71" s="350">
        <f t="shared" si="188"/>
        <v>0</v>
      </c>
      <c r="AL71" s="350">
        <f t="shared" si="188"/>
        <v>13.739540780410051</v>
      </c>
      <c r="AM71" s="351"/>
      <c r="AN71" s="350">
        <f t="shared" ref="AN71" si="191">+IF(ISERR(AN69+AN70),0,AN69+AN70)</f>
        <v>0</v>
      </c>
      <c r="AO71" s="350">
        <f t="shared" ref="AO71:AY71" si="192">+IF(ISERR(AO69+AO70),0,AO69+AO70)</f>
        <v>0</v>
      </c>
      <c r="AP71" s="350">
        <f t="shared" si="192"/>
        <v>0</v>
      </c>
      <c r="AQ71" s="350">
        <f t="shared" si="192"/>
        <v>0</v>
      </c>
      <c r="AR71" s="350">
        <f t="shared" si="192"/>
        <v>0</v>
      </c>
      <c r="AS71" s="350">
        <f t="shared" si="192"/>
        <v>0</v>
      </c>
      <c r="AT71" s="350">
        <f t="shared" si="192"/>
        <v>0</v>
      </c>
      <c r="AU71" s="350">
        <f t="shared" si="192"/>
        <v>0</v>
      </c>
      <c r="AV71" s="350">
        <f t="shared" si="192"/>
        <v>0</v>
      </c>
      <c r="AW71" s="350">
        <f t="shared" si="192"/>
        <v>0</v>
      </c>
      <c r="AX71" s="350">
        <f t="shared" ref="AX71" si="193">+IF(ISERR(AX69+AX70),0,AX69+AX70)</f>
        <v>0</v>
      </c>
      <c r="AY71" s="350">
        <f t="shared" si="192"/>
        <v>0</v>
      </c>
      <c r="AZ71" s="350">
        <f t="shared" ref="AZ71:BC71" si="194">+IF(ISERR(AZ69+AZ70),0,AZ69+AZ70)</f>
        <v>0</v>
      </c>
      <c r="BA71" s="350">
        <f t="shared" si="194"/>
        <v>0</v>
      </c>
      <c r="BB71" s="350">
        <f t="shared" si="194"/>
        <v>0</v>
      </c>
      <c r="BC71" s="350">
        <f t="shared" si="194"/>
        <v>0</v>
      </c>
      <c r="BD71" s="351"/>
      <c r="BE71" s="350">
        <f t="shared" ref="BE71" si="195">+IF(ISERR(BE69+BE70),0,BE69+BE70)</f>
        <v>4.3629811257328734</v>
      </c>
      <c r="BF71" s="350">
        <f>+IF(ISERR(BF69+BF70),0,BF69+BF70)</f>
        <v>10.119350742072243</v>
      </c>
      <c r="BG71" s="350">
        <f>+IF(ISERR(BG69+BG70),0,BG69+BG70)</f>
        <v>10.623336769677064</v>
      </c>
      <c r="BH71" s="350">
        <f>+IF(ISERR(BH69+BH70),0,BH69+BH70)</f>
        <v>13.338185031471909</v>
      </c>
      <c r="BI71" s="350">
        <f>+IF(ISERR(BI69+BI70),0,BI69+BI70)</f>
        <v>14.168597499367289</v>
      </c>
      <c r="BJ71" s="350">
        <f t="shared" ref="BJ71:BS71" si="196">+IF(ISERR(BJ69+BJ70),0,BJ69+BJ70)</f>
        <v>10.522490233664275</v>
      </c>
      <c r="BK71" s="350">
        <f t="shared" si="196"/>
        <v>11.754392055250557</v>
      </c>
      <c r="BL71" s="350">
        <f t="shared" si="196"/>
        <v>12.081400317886219</v>
      </c>
      <c r="BM71" s="350">
        <f t="shared" si="196"/>
        <v>12.373013027528049</v>
      </c>
      <c r="BN71" s="350">
        <f t="shared" si="196"/>
        <v>12.179978626739279</v>
      </c>
      <c r="BO71" s="350">
        <f t="shared" si="196"/>
        <v>11.782254852213676</v>
      </c>
      <c r="BP71" s="350">
        <f t="shared" si="196"/>
        <v>12.034207775923557</v>
      </c>
      <c r="BQ71" s="350">
        <f t="shared" si="196"/>
        <v>12.090170920058155</v>
      </c>
      <c r="BR71" s="350">
        <f t="shared" si="196"/>
        <v>12.091925040492544</v>
      </c>
      <c r="BS71" s="350">
        <f t="shared" si="196"/>
        <v>12.035707443085442</v>
      </c>
      <c r="BT71" s="203"/>
      <c r="BU71" s="203"/>
    </row>
    <row r="72" spans="1:73" ht="12.75" customHeight="1" x14ac:dyDescent="0.35">
      <c r="A72" s="200"/>
      <c r="B72" s="324"/>
      <c r="C72" s="325"/>
      <c r="D72" s="324"/>
      <c r="E72" s="324" t="s">
        <v>288</v>
      </c>
      <c r="F72" s="147"/>
      <c r="G72" s="147"/>
      <c r="H72" s="147"/>
      <c r="I72" s="147"/>
      <c r="J72" s="147"/>
      <c r="K72" s="350">
        <f t="shared" ref="K72:Y72" si="197">+IF(ISERR(365/K67),0,(365/4/K67))</f>
        <v>0</v>
      </c>
      <c r="L72" s="350">
        <f t="shared" si="197"/>
        <v>0</v>
      </c>
      <c r="M72" s="350">
        <f t="shared" si="197"/>
        <v>0</v>
      </c>
      <c r="N72" s="350">
        <f t="shared" si="197"/>
        <v>0</v>
      </c>
      <c r="O72" s="350">
        <f t="shared" si="197"/>
        <v>0</v>
      </c>
      <c r="P72" s="350">
        <f t="shared" si="197"/>
        <v>0</v>
      </c>
      <c r="Q72" s="350">
        <f t="shared" si="197"/>
        <v>0</v>
      </c>
      <c r="R72" s="350">
        <f t="shared" si="197"/>
        <v>0</v>
      </c>
      <c r="S72" s="350">
        <f t="shared" si="197"/>
        <v>0</v>
      </c>
      <c r="T72" s="350">
        <f t="shared" si="197"/>
        <v>0</v>
      </c>
      <c r="U72" s="350">
        <f t="shared" si="197"/>
        <v>0</v>
      </c>
      <c r="V72" s="350">
        <f t="shared" si="197"/>
        <v>0</v>
      </c>
      <c r="W72" s="350">
        <f t="shared" si="197"/>
        <v>0</v>
      </c>
      <c r="X72" s="350">
        <f t="shared" si="197"/>
        <v>0</v>
      </c>
      <c r="Y72" s="350">
        <f t="shared" si="197"/>
        <v>0</v>
      </c>
      <c r="Z72" s="350">
        <f>+IF(ISERR(365/Z67),0,(365/4/Z67))</f>
        <v>0</v>
      </c>
      <c r="AA72" s="350">
        <f t="shared" ref="AA72:AB72" si="198">+IF(ISERR(365/AA67),0,(365/4/AA67))</f>
        <v>0</v>
      </c>
      <c r="AB72" s="350">
        <f t="shared" si="198"/>
        <v>0</v>
      </c>
      <c r="AC72" s="444">
        <f t="shared" ref="AC72" si="199">AVERAGE(Y72,U72,Q72,M72)</f>
        <v>0</v>
      </c>
      <c r="AD72" s="444">
        <f t="shared" si="164"/>
        <v>0</v>
      </c>
      <c r="AE72" s="444">
        <f t="shared" ref="AE72" si="200">AVERAGE(AA72,W72,S72,O72)</f>
        <v>0</v>
      </c>
      <c r="AF72" s="444">
        <f t="shared" ref="AF72" si="201">AVERAGE(AB72,X72,T72,P72)</f>
        <v>0</v>
      </c>
      <c r="AG72" s="444">
        <f t="shared" ref="AG72" si="202">AVERAGE(AC72,Y72,U72,Q72)</f>
        <v>0</v>
      </c>
      <c r="AH72" s="444">
        <f t="shared" ref="AH72" si="203">AVERAGE(AD72,Z72,V72,R72)</f>
        <v>0</v>
      </c>
      <c r="AI72" s="444">
        <f t="shared" ref="AI72" si="204">AVERAGE(AE72,AA72,W72,S72)</f>
        <v>0</v>
      </c>
      <c r="AJ72" s="444">
        <f t="shared" ref="AJ72" si="205">AVERAGE(AF72,AB72,X72,T72)</f>
        <v>0</v>
      </c>
      <c r="AK72" s="444">
        <f t="shared" ref="AK72" si="206">AVERAGE(AG72,AC72,Y72,U72)</f>
        <v>0</v>
      </c>
      <c r="AL72" s="444">
        <f t="shared" ref="AL72" si="207">AVERAGE(AH72,AD72,Z72,V72)</f>
        <v>0</v>
      </c>
      <c r="AM72" s="351"/>
      <c r="AN72" s="350">
        <f t="shared" ref="AN72" si="208">+IF(ISERR(365/AN67),0,(365/AN67))</f>
        <v>0</v>
      </c>
      <c r="AO72" s="350">
        <f t="shared" ref="AO72:AW72" si="209">+IF(ISERR(365/AO67),0,(365/AO67))</f>
        <v>0</v>
      </c>
      <c r="AP72" s="350">
        <f t="shared" si="209"/>
        <v>0</v>
      </c>
      <c r="AQ72" s="350">
        <f t="shared" si="209"/>
        <v>0</v>
      </c>
      <c r="AR72" s="350">
        <f t="shared" si="209"/>
        <v>0</v>
      </c>
      <c r="AS72" s="350">
        <f t="shared" si="209"/>
        <v>0</v>
      </c>
      <c r="AT72" s="350">
        <f t="shared" si="209"/>
        <v>0</v>
      </c>
      <c r="AU72" s="350">
        <f t="shared" si="209"/>
        <v>0</v>
      </c>
      <c r="AV72" s="350">
        <f t="shared" si="209"/>
        <v>0</v>
      </c>
      <c r="AW72" s="350">
        <f t="shared" si="209"/>
        <v>0</v>
      </c>
      <c r="AX72" s="350">
        <f t="shared" ref="AX72" si="210">AVERAGE(AV72,AT72,AR72,AP72)</f>
        <v>0</v>
      </c>
      <c r="AY72" s="350">
        <f>AVERAGE(AW72,AU72,AS72,AQ72)</f>
        <v>0</v>
      </c>
      <c r="AZ72" s="350">
        <f t="shared" ref="AZ72" si="211">AVERAGE(AX72,AV72,AT72,AR72)</f>
        <v>0</v>
      </c>
      <c r="BA72" s="350">
        <f t="shared" ref="BA72" si="212">AVERAGE(AY72,AW72,AU72,AS72)</f>
        <v>0</v>
      </c>
      <c r="BB72" s="350">
        <f t="shared" ref="BB72" si="213">AVERAGE(AZ72,AX72,AV72,AT72)</f>
        <v>0</v>
      </c>
      <c r="BC72" s="350">
        <f t="shared" ref="BC72" si="214">AVERAGE(BA72,AY72,AW72,AU72)</f>
        <v>0</v>
      </c>
      <c r="BD72" s="351"/>
      <c r="BE72" s="350">
        <f t="shared" ref="BE72" si="215">+IF(ISERR(365/BE67),0,(365/BE67))</f>
        <v>0</v>
      </c>
      <c r="BF72" s="350">
        <f>+IF(ISERR(365/BF67),0,(365/BF67))</f>
        <v>0</v>
      </c>
      <c r="BG72" s="350">
        <f>+IF(ISERR(365/BG67),0,(365/BG67))</f>
        <v>0</v>
      </c>
      <c r="BH72" s="350">
        <f>+IF(ISERR(365/BH67),0,(365/BH67))</f>
        <v>0</v>
      </c>
      <c r="BI72" s="350">
        <f>+IF(ISERR(365/BI67),0,(365/BI67))</f>
        <v>0</v>
      </c>
      <c r="BJ72" s="321">
        <f>AVERAGE(BE72:BI72)</f>
        <v>0</v>
      </c>
      <c r="BK72" s="321">
        <f t="shared" ref="BK72:BL72" si="216">AVERAGE(BF72:BJ72)</f>
        <v>0</v>
      </c>
      <c r="BL72" s="321">
        <f t="shared" si="216"/>
        <v>0</v>
      </c>
      <c r="BM72" s="321">
        <f t="shared" ref="BM72" si="217">AVERAGE(BH72:BL72)</f>
        <v>0</v>
      </c>
      <c r="BN72" s="321">
        <f t="shared" ref="BN72" si="218">AVERAGE(BI72:BM72)</f>
        <v>0</v>
      </c>
      <c r="BO72" s="321">
        <f t="shared" ref="BO72" si="219">AVERAGE(BJ72:BN72)</f>
        <v>0</v>
      </c>
      <c r="BP72" s="321">
        <f t="shared" ref="BP72" si="220">AVERAGE(BK72:BO72)</f>
        <v>0</v>
      </c>
      <c r="BQ72" s="321">
        <f t="shared" ref="BQ72" si="221">AVERAGE(BL72:BP72)</f>
        <v>0</v>
      </c>
      <c r="BR72" s="321">
        <f t="shared" ref="BR72" si="222">AVERAGE(BM72:BQ72)</f>
        <v>0</v>
      </c>
      <c r="BS72" s="321">
        <f t="shared" ref="BS72" si="223">AVERAGE(BN72:BR72)</f>
        <v>0</v>
      </c>
      <c r="BT72" s="203"/>
      <c r="BU72" s="203"/>
    </row>
    <row r="73" spans="1:73" ht="12.75" customHeight="1" x14ac:dyDescent="0.35">
      <c r="A73" s="200"/>
      <c r="B73" s="324"/>
      <c r="C73" s="325"/>
      <c r="D73" s="324" t="s">
        <v>289</v>
      </c>
      <c r="E73" s="325"/>
      <c r="F73" s="147"/>
      <c r="G73" s="147"/>
      <c r="H73" s="147"/>
      <c r="I73" s="147"/>
      <c r="J73" s="147"/>
      <c r="K73" s="350">
        <f t="shared" ref="K73:AL73" si="224">+IF(ISERR(K69+K70-K72),0,K69+K70-K72)</f>
        <v>0</v>
      </c>
      <c r="L73" s="350">
        <f t="shared" si="224"/>
        <v>0</v>
      </c>
      <c r="M73" s="350">
        <f t="shared" si="224"/>
        <v>0</v>
      </c>
      <c r="N73" s="350">
        <f t="shared" si="224"/>
        <v>10.378833043883978</v>
      </c>
      <c r="O73" s="350">
        <f t="shared" si="224"/>
        <v>0</v>
      </c>
      <c r="P73" s="350">
        <f t="shared" si="224"/>
        <v>0</v>
      </c>
      <c r="Q73" s="350">
        <f t="shared" si="224"/>
        <v>0</v>
      </c>
      <c r="R73" s="350">
        <f t="shared" si="224"/>
        <v>10.732173997287349</v>
      </c>
      <c r="S73" s="350">
        <f t="shared" si="224"/>
        <v>0</v>
      </c>
      <c r="T73" s="350">
        <f t="shared" si="224"/>
        <v>0</v>
      </c>
      <c r="U73" s="350">
        <f t="shared" si="224"/>
        <v>0</v>
      </c>
      <c r="V73" s="350">
        <f t="shared" si="224"/>
        <v>13.439899783952598</v>
      </c>
      <c r="W73" s="350">
        <f t="shared" si="224"/>
        <v>0</v>
      </c>
      <c r="X73" s="350">
        <f t="shared" si="224"/>
        <v>0</v>
      </c>
      <c r="Y73" s="350">
        <f t="shared" si="224"/>
        <v>0</v>
      </c>
      <c r="Z73" s="350">
        <f t="shared" si="224"/>
        <v>15.793975366096891</v>
      </c>
      <c r="AA73" s="350">
        <f t="shared" ref="AA73:AB73" si="225">+IF(ISERR(AA69+AA70-AA72),0,AA69+AA70-AA72)</f>
        <v>0</v>
      </c>
      <c r="AB73" s="350">
        <f t="shared" si="225"/>
        <v>0</v>
      </c>
      <c r="AC73" s="350">
        <f t="shared" ref="AC73" si="226">+IF(ISERR(AC69+AC70-AC72),0,AC69+AC70-AC72)</f>
        <v>0</v>
      </c>
      <c r="AD73" s="350">
        <f t="shared" si="224"/>
        <v>12.586220547805205</v>
      </c>
      <c r="AE73" s="350">
        <f t="shared" si="224"/>
        <v>0</v>
      </c>
      <c r="AF73" s="350">
        <f t="shared" si="224"/>
        <v>0</v>
      </c>
      <c r="AG73" s="350">
        <f t="shared" si="224"/>
        <v>0</v>
      </c>
      <c r="AH73" s="350">
        <f t="shared" si="224"/>
        <v>13.138067423785511</v>
      </c>
      <c r="AI73" s="350">
        <f t="shared" si="224"/>
        <v>0</v>
      </c>
      <c r="AJ73" s="350">
        <f t="shared" si="224"/>
        <v>0</v>
      </c>
      <c r="AK73" s="350">
        <f t="shared" si="224"/>
        <v>0</v>
      </c>
      <c r="AL73" s="350">
        <f t="shared" si="224"/>
        <v>13.739540780410051</v>
      </c>
      <c r="AM73" s="351"/>
      <c r="AN73" s="350">
        <f t="shared" ref="AN73" si="227">+IF(ISERR(AN69+AN70-AN72),0,AN69+AN70-AN72)</f>
        <v>0</v>
      </c>
      <c r="AO73" s="350">
        <f t="shared" ref="AO73:AY73" si="228">+IF(ISERR(AO69+AO70-AO72),0,AO69+AO70-AO72)</f>
        <v>0</v>
      </c>
      <c r="AP73" s="350">
        <f t="shared" si="228"/>
        <v>0</v>
      </c>
      <c r="AQ73" s="350">
        <f t="shared" si="228"/>
        <v>0</v>
      </c>
      <c r="AR73" s="350">
        <f t="shared" si="228"/>
        <v>0</v>
      </c>
      <c r="AS73" s="350">
        <f t="shared" si="228"/>
        <v>0</v>
      </c>
      <c r="AT73" s="350">
        <f t="shared" si="228"/>
        <v>0</v>
      </c>
      <c r="AU73" s="350">
        <f t="shared" si="228"/>
        <v>0</v>
      </c>
      <c r="AV73" s="350">
        <f t="shared" si="228"/>
        <v>0</v>
      </c>
      <c r="AW73" s="350">
        <f t="shared" si="228"/>
        <v>0</v>
      </c>
      <c r="AX73" s="350">
        <f t="shared" ref="AX73" si="229">+IF(ISERR(AX69+AX70-AX72),0,AX69+AX70-AX72)</f>
        <v>0</v>
      </c>
      <c r="AY73" s="350">
        <f t="shared" si="228"/>
        <v>0</v>
      </c>
      <c r="AZ73" s="350">
        <f t="shared" ref="AZ73:BC73" si="230">+IF(ISERR(AZ69+AZ70-AZ72),0,AZ69+AZ70-AZ72)</f>
        <v>0</v>
      </c>
      <c r="BA73" s="350">
        <f t="shared" si="230"/>
        <v>0</v>
      </c>
      <c r="BB73" s="350">
        <f t="shared" si="230"/>
        <v>0</v>
      </c>
      <c r="BC73" s="350">
        <f t="shared" si="230"/>
        <v>0</v>
      </c>
      <c r="BD73" s="351"/>
      <c r="BE73" s="350">
        <f t="shared" ref="BE73" si="231">+IF(ISERR(BE69+BE70-BE72),0,BE69+BE70-BE72)</f>
        <v>4.3629811257328734</v>
      </c>
      <c r="BF73" s="350">
        <f>+IF(ISERR(BF69+BF70-BF72),0,BF69+BF70-BF72)</f>
        <v>10.119350742072243</v>
      </c>
      <c r="BG73" s="350">
        <f>+IF(ISERR(BG69+BG70-BG72),0,BG69+BG70-BG72)</f>
        <v>10.623336769677064</v>
      </c>
      <c r="BH73" s="350">
        <f>+IF(ISERR(BH69+BH70-BH72),0,BH69+BH70-BH72)</f>
        <v>13.338185031471909</v>
      </c>
      <c r="BI73" s="350">
        <f>+IF(ISERR(BI69+BI70-BI72),0,BI69+BI70-BI72)</f>
        <v>14.168597499367289</v>
      </c>
      <c r="BJ73" s="350">
        <f t="shared" ref="BJ73:BS73" si="232">+IF(ISERR(BJ69+BJ70-BJ72),0,BJ69+BJ70-BJ72)</f>
        <v>10.522490233664275</v>
      </c>
      <c r="BK73" s="350">
        <f t="shared" si="232"/>
        <v>11.754392055250557</v>
      </c>
      <c r="BL73" s="350">
        <f t="shared" si="232"/>
        <v>12.081400317886219</v>
      </c>
      <c r="BM73" s="350">
        <f t="shared" si="232"/>
        <v>12.373013027528049</v>
      </c>
      <c r="BN73" s="350">
        <f t="shared" si="232"/>
        <v>12.179978626739279</v>
      </c>
      <c r="BO73" s="350">
        <f t="shared" si="232"/>
        <v>11.782254852213676</v>
      </c>
      <c r="BP73" s="350">
        <f t="shared" si="232"/>
        <v>12.034207775923557</v>
      </c>
      <c r="BQ73" s="350">
        <f t="shared" si="232"/>
        <v>12.090170920058155</v>
      </c>
      <c r="BR73" s="350">
        <f t="shared" si="232"/>
        <v>12.091925040492544</v>
      </c>
      <c r="BS73" s="350">
        <f t="shared" si="232"/>
        <v>12.035707443085442</v>
      </c>
      <c r="BT73" s="203"/>
      <c r="BU73" s="203"/>
    </row>
    <row r="74" spans="1:73" ht="12.75" customHeight="1" x14ac:dyDescent="0.35">
      <c r="A74" s="200"/>
      <c r="B74" s="319"/>
      <c r="C74" s="319"/>
      <c r="D74" s="319"/>
      <c r="E74" s="319"/>
      <c r="F74" s="147"/>
      <c r="G74" s="147"/>
      <c r="H74" s="147"/>
      <c r="I74" s="147"/>
      <c r="J74" s="147"/>
      <c r="K74" s="350"/>
      <c r="L74" s="350"/>
      <c r="M74" s="350"/>
      <c r="N74" s="350"/>
      <c r="O74" s="350"/>
      <c r="P74" s="350"/>
      <c r="Q74" s="350"/>
      <c r="R74" s="350"/>
      <c r="S74" s="350"/>
      <c r="T74" s="350"/>
      <c r="U74" s="350"/>
      <c r="V74" s="350"/>
      <c r="W74" s="350"/>
      <c r="X74" s="350"/>
      <c r="Y74" s="350"/>
      <c r="Z74" s="350"/>
      <c r="AA74" s="350"/>
      <c r="AB74" s="350"/>
      <c r="AC74" s="350"/>
      <c r="AD74" s="350"/>
      <c r="AE74" s="350"/>
      <c r="AF74" s="350"/>
      <c r="AG74" s="350"/>
      <c r="AH74" s="350"/>
      <c r="AI74" s="350"/>
      <c r="AJ74" s="350"/>
      <c r="AK74" s="350"/>
      <c r="AL74" s="350"/>
      <c r="AM74" s="351"/>
      <c r="AN74" s="350"/>
      <c r="AO74" s="350"/>
      <c r="AP74" s="350"/>
      <c r="AQ74" s="350"/>
      <c r="AR74" s="350"/>
      <c r="AS74" s="350"/>
      <c r="AT74" s="350"/>
      <c r="AU74" s="350"/>
      <c r="AV74" s="350"/>
      <c r="AW74" s="350"/>
      <c r="AX74" s="350"/>
      <c r="AY74" s="350"/>
      <c r="AZ74" s="350"/>
      <c r="BA74" s="350"/>
      <c r="BB74" s="350"/>
      <c r="BC74" s="350"/>
      <c r="BD74" s="351"/>
      <c r="BE74" s="350"/>
      <c r="BF74" s="350"/>
      <c r="BG74" s="350"/>
      <c r="BH74" s="350"/>
      <c r="BI74" s="350"/>
      <c r="BJ74" s="350"/>
      <c r="BK74" s="350"/>
      <c r="BL74" s="350"/>
      <c r="BM74" s="351"/>
      <c r="BN74" s="351"/>
      <c r="BO74" s="351"/>
      <c r="BP74" s="351"/>
      <c r="BQ74" s="351"/>
      <c r="BR74" s="351"/>
      <c r="BS74" s="351"/>
      <c r="BT74" s="203"/>
      <c r="BU74" s="203"/>
    </row>
    <row r="75" spans="1:73" ht="12.75" customHeight="1" x14ac:dyDescent="0.35">
      <c r="A75" s="200"/>
      <c r="B75" s="316" t="s">
        <v>290</v>
      </c>
      <c r="C75" s="326"/>
      <c r="D75" s="326"/>
      <c r="E75" s="326"/>
      <c r="F75" s="326"/>
      <c r="G75" s="326"/>
      <c r="H75" s="326"/>
      <c r="I75" s="326"/>
      <c r="J75" s="326"/>
      <c r="K75" s="326"/>
      <c r="L75" s="326"/>
      <c r="M75" s="326"/>
      <c r="N75" s="326"/>
      <c r="O75" s="326"/>
      <c r="P75" s="326"/>
      <c r="Q75" s="326"/>
      <c r="R75" s="326"/>
      <c r="S75" s="326"/>
      <c r="T75" s="326"/>
      <c r="U75" s="326"/>
      <c r="V75" s="326"/>
      <c r="W75" s="326"/>
      <c r="X75" s="326"/>
      <c r="Y75" s="326"/>
      <c r="Z75" s="326"/>
      <c r="AA75" s="326"/>
      <c r="AB75" s="326"/>
      <c r="AC75" s="326"/>
      <c r="AD75" s="326"/>
      <c r="AE75" s="326"/>
      <c r="AF75" s="326"/>
      <c r="AG75" s="326"/>
      <c r="AH75" s="326"/>
      <c r="AI75" s="326"/>
      <c r="AJ75" s="326"/>
      <c r="AK75" s="326"/>
      <c r="AL75" s="326"/>
      <c r="AM75" s="326"/>
      <c r="AN75" s="326"/>
      <c r="AO75" s="326"/>
      <c r="AP75" s="326"/>
      <c r="AQ75" s="326"/>
      <c r="AR75" s="326"/>
      <c r="AS75" s="326"/>
      <c r="AT75" s="326"/>
      <c r="AU75" s="326"/>
      <c r="AV75" s="326"/>
      <c r="AW75" s="326"/>
      <c r="AX75" s="326"/>
      <c r="AY75" s="326"/>
      <c r="AZ75" s="326"/>
      <c r="BA75" s="326"/>
      <c r="BB75" s="326"/>
      <c r="BC75" s="326"/>
      <c r="BD75" s="326"/>
      <c r="BE75" s="326"/>
      <c r="BF75" s="326"/>
      <c r="BG75" s="326"/>
      <c r="BH75" s="326"/>
      <c r="BI75" s="326"/>
      <c r="BJ75" s="326"/>
      <c r="BK75" s="326"/>
      <c r="BL75" s="326"/>
      <c r="BM75" s="326"/>
      <c r="BN75" s="326"/>
      <c r="BO75" s="326"/>
      <c r="BP75" s="326"/>
      <c r="BQ75" s="326"/>
      <c r="BR75" s="326"/>
      <c r="BS75" s="326"/>
      <c r="BT75" s="203"/>
      <c r="BU75" s="203"/>
    </row>
    <row r="76" spans="1:73" ht="12.75" customHeight="1" x14ac:dyDescent="0.35">
      <c r="A76" s="200"/>
      <c r="B76" s="327"/>
      <c r="C76" s="327" t="s">
        <v>291</v>
      </c>
      <c r="D76" s="327"/>
      <c r="E76" s="327"/>
      <c r="F76" s="147"/>
      <c r="G76" s="147"/>
      <c r="H76" s="147"/>
      <c r="I76" s="147"/>
      <c r="J76" s="147"/>
      <c r="K76" s="352">
        <f>IF(ISERR(PnL!K50/BS!K23),"-",PnL!K50/BS!K23)</f>
        <v>0</v>
      </c>
      <c r="L76" s="352">
        <f>IF(ISERR(PnL!L50/BS!L23),"-",PnL!L50/BS!L23)</f>
        <v>0</v>
      </c>
      <c r="M76" s="352">
        <f>IF(ISERR(PnL!M50/BS!M23),"-",PnL!M50/BS!M23)</f>
        <v>0</v>
      </c>
      <c r="N76" s="352">
        <f>IF(ISERR(PnL!N50/BS!N23),"-",PnL!N50/BS!N23)</f>
        <v>0</v>
      </c>
      <c r="O76" s="352">
        <f>IF(ISERR(PnL!O50/BS!O23),"-",PnL!O50/BS!O23)</f>
        <v>0</v>
      </c>
      <c r="P76" s="352">
        <f>IF(ISERR(PnL!P50/BS!P23),"-",PnL!P50/BS!P23)</f>
        <v>0</v>
      </c>
      <c r="Q76" s="352">
        <f>IF(ISERR(PnL!Q50/BS!Q23),"-",PnL!Q50/BS!Q23)</f>
        <v>0</v>
      </c>
      <c r="R76" s="352">
        <f>IF(ISERR(PnL!R50/BS!R23),"-",PnL!R50/BS!R23)</f>
        <v>0</v>
      </c>
      <c r="S76" s="352">
        <f>IF(ISERR(PnL!S50/BS!S23),"-",PnL!S50/BS!S23)</f>
        <v>0</v>
      </c>
      <c r="T76" s="352">
        <f>IF(ISERR(PnL!T50/BS!T23),"-",PnL!T50/BS!T23)</f>
        <v>0</v>
      </c>
      <c r="U76" s="352">
        <f>IF(ISERR(PnL!U50/BS!U23),"-",PnL!U50/BS!U23)</f>
        <v>0</v>
      </c>
      <c r="V76" s="352">
        <f>IF(ISERR(PnL!V50/BS!V23),"-",PnL!V50/BS!V23)</f>
        <v>0</v>
      </c>
      <c r="W76" s="352">
        <f>IF(ISERR(PnL!W41/BS!W23),"-",PnL!W41/BS!W23)</f>
        <v>2.105110251321583E-2</v>
      </c>
      <c r="X76" s="352">
        <f>IF(ISERR(PnL!X41/BS!X23),"-",PnL!X41/BS!X23)</f>
        <v>6.2601276155011695E-2</v>
      </c>
      <c r="Y76" s="352">
        <f>IF(ISERR(PnL!Y41/BS!Y23),"-",PnL!Y41/BS!Y23)</f>
        <v>3.9540884959776278E-2</v>
      </c>
      <c r="Z76" s="352">
        <f>IF(ISERR(PnL!Z41/BS!Z23),"-",PnL!Z41/BS!Z23)</f>
        <v>2.4524271031276064E-3</v>
      </c>
      <c r="AA76" s="352">
        <f>IF(ISERR(PnL!AA41/BS!AA23),"-",PnL!AA41/BS!AA23)</f>
        <v>3.4716475663847696E-2</v>
      </c>
      <c r="AB76" s="352">
        <f>IF(ISERR(PnL!AB41/BS!AB23),"-",PnL!AB41/BS!AB23)</f>
        <v>2.0141933809794187E-2</v>
      </c>
      <c r="AC76" s="352">
        <f>IF(ISERR(PnL!AC41/BS!AC23),"-",PnL!AC41/BS!AC23)</f>
        <v>4.0771126249186794E-2</v>
      </c>
      <c r="AD76" s="352">
        <f>IF(ISERR(PnL!AD41/BS!AD23),"-",PnL!AD41/BS!AD23)</f>
        <v>7.5562220820464786E-3</v>
      </c>
      <c r="AE76" s="352">
        <f>IF(ISERR(PnL!AE41/BS!AE23),"-",PnL!AE41/BS!AE23)</f>
        <v>3.6193219494034666E-2</v>
      </c>
      <c r="AF76" s="352">
        <f>IF(ISERR(PnL!AF41/BS!AF23),"-",PnL!AF41/BS!AF23)</f>
        <v>1.8063663147217829E-2</v>
      </c>
      <c r="AG76" s="352">
        <f>IF(ISERR(PnL!AG41/BS!AG23),"-",PnL!AG41/BS!AG23)</f>
        <v>4.2148456278263649E-2</v>
      </c>
      <c r="AH76" s="352">
        <f>IF(ISERR(PnL!AH41/BS!AH23),"-",PnL!AH41/BS!AH23)</f>
        <v>7.4569446983928766E-3</v>
      </c>
      <c r="AI76" s="352">
        <f>IF(ISERR(PnL!AI41/BS!AI23),"-",PnL!AI41/BS!AI23)</f>
        <v>3.7820709173280807E-2</v>
      </c>
      <c r="AJ76" s="352">
        <f>IF(ISERR(PnL!AJ41/BS!AJ23),"-",PnL!AJ41/BS!AJ23)</f>
        <v>1.6678764504675859E-2</v>
      </c>
      <c r="AK76" s="352">
        <f>IF(ISERR(PnL!AK41/BS!AK23),"-",PnL!AK41/BS!AK23)</f>
        <v>4.403251980679556E-2</v>
      </c>
      <c r="AL76" s="352">
        <f>IF(ISERR(PnL!AL41/BS!AL23),"-",PnL!AL41/BS!AL23)</f>
        <v>6.8085424579136314E-3</v>
      </c>
      <c r="AM76" s="353"/>
      <c r="AN76" s="352" t="str">
        <f>IF(ISERR(PnL!AN41/BS!AN23),"-",PnL!AN41/BS!AN23)</f>
        <v>-</v>
      </c>
      <c r="AO76" s="352" t="str">
        <f>IF(ISERR(PnL!AO41/BS!AO23),"-",PnL!AO41/BS!AO23)</f>
        <v>-</v>
      </c>
      <c r="AP76" s="352" t="str">
        <f>IF(ISERR(PnL!AP41/BS!AP23),"-",PnL!AP41/BS!AP23)</f>
        <v>-</v>
      </c>
      <c r="AQ76" s="352" t="str">
        <f>IF(ISERR(PnL!AQ41/BS!AQ23),"-",PnL!AQ41/BS!AQ23)</f>
        <v>-</v>
      </c>
      <c r="AR76" s="352" t="str">
        <f>IF(ISERR(PnL!AR41/BS!AR23),"-",PnL!AR41/BS!AR23)</f>
        <v>-</v>
      </c>
      <c r="AS76" s="352" t="str">
        <f>IF(ISERR(PnL!AS41/BS!AS23),"-",PnL!AS41/BS!AS23)</f>
        <v>-</v>
      </c>
      <c r="AT76" s="352" t="str">
        <f>IF(ISERR(PnL!AT41/BS!AT23),"-",PnL!AT41/BS!AT23)</f>
        <v>-</v>
      </c>
      <c r="AU76" s="352" t="str">
        <f>IF(ISERR(PnL!AU41/BS!AU23),"-",PnL!AU41/BS!AU23)</f>
        <v>-</v>
      </c>
      <c r="AV76" s="352" t="str">
        <f>IF(ISERR(PnL!AV41/BS!AV23),"-",PnL!AV41/BS!AV23)</f>
        <v>-</v>
      </c>
      <c r="AW76" s="352" t="str">
        <f>IF(ISERR(PnL!AW41/BS!AW23),"-",PnL!AW41/BS!AW23)</f>
        <v>-</v>
      </c>
      <c r="AX76" s="352" t="str">
        <f>IF(ISERR(PnL!AX41/BS!AX23),"-",PnL!AX41/BS!AX23)</f>
        <v>-</v>
      </c>
      <c r="AY76" s="352" t="str">
        <f>IF(ISERR(PnL!AY41/BS!AY23),"-",PnL!AY41/BS!AY23)</f>
        <v>-</v>
      </c>
      <c r="AZ76" s="352" t="str">
        <f>IF(ISERR(PnL!AZ41/BS!AZ23),"-",PnL!AZ41/BS!AZ23)</f>
        <v>-</v>
      </c>
      <c r="BA76" s="352" t="str">
        <f>IF(ISERR(PnL!BA41/BS!BA23),"-",PnL!BA41/BS!BA23)</f>
        <v>-</v>
      </c>
      <c r="BB76" s="352" t="str">
        <f>IF(ISERR(PnL!BB41/BS!BB23),"-",PnL!BB41/BS!BB23)</f>
        <v>-</v>
      </c>
      <c r="BC76" s="352" t="str">
        <f>IF(ISERR(PnL!BC41/BS!BC23),"-",PnL!BC41/BS!BC23)</f>
        <v>-</v>
      </c>
      <c r="BD76" s="353"/>
      <c r="BE76" s="352">
        <f>IF(ISERR(PnL!BE41/BS!BE23),"-",PnL!BE41/BS!BE23)</f>
        <v>0.19607627932501029</v>
      </c>
      <c r="BF76" s="352">
        <f>IF(ISERR(PnL!BF41/BS!BF23),"-",PnL!BF41/BS!BF23)</f>
        <v>8.6175939006969057E-2</v>
      </c>
      <c r="BG76" s="352">
        <f>IF(ISERR(PnL!BG41/BS!BG23),"-",PnL!BG41/BS!BG23)</f>
        <v>8.9375059264506562E-2</v>
      </c>
      <c r="BH76" s="352">
        <f>IF(ISERR(PnL!BH41/BS!BH23),"-",PnL!BH41/BS!BH23)</f>
        <v>9.1066403060484358E-2</v>
      </c>
      <c r="BI76" s="352">
        <f>IF(ISERR(PnL!BI41/BS!BI23),"-",PnL!BI41/BS!BI23)</f>
        <v>0.11381165816821974</v>
      </c>
      <c r="BJ76" s="352">
        <f>IF(ISERR(PnL!BJ41/BS!BJ23),"-",PnL!BJ41/BS!BJ23)</f>
        <v>0.10142217604642946</v>
      </c>
      <c r="BK76" s="352">
        <f>IF(ISERR(PnL!BK41/BS!BK23),"-",PnL!BK41/BS!BK23)</f>
        <v>0.10173568876430289</v>
      </c>
      <c r="BL76" s="352">
        <f>IF(ISERR(PnL!BL41/BS!BL23),"-",PnL!BL41/BS!BL23)</f>
        <v>0.10246709395146053</v>
      </c>
      <c r="BM76" s="352">
        <f>IF(ISERR(PnL!BM41/BS!BM23),"-",PnL!BM41/BS!BM23)</f>
        <v>9.8241932796386891E-2</v>
      </c>
      <c r="BN76" s="352">
        <f>IF(ISERR(PnL!BN41/BS!BN23),"-",PnL!BN41/BS!BN23)</f>
        <v>9.9718599447893908E-2</v>
      </c>
      <c r="BO76" s="352">
        <f>IF(ISERR(PnL!BO41/BS!BO23),"-",PnL!BO41/BS!BO23)</f>
        <v>9.9796002147273383E-2</v>
      </c>
      <c r="BP76" s="352">
        <f>IF(ISERR(PnL!BP41/BS!BP23),"-",PnL!BP41/BS!BP23)</f>
        <v>9.8464780466438112E-2</v>
      </c>
      <c r="BQ76" s="352">
        <f>IF(ISERR(PnL!BQ41/BS!BQ23),"-",PnL!BQ41/BS!BQ23)</f>
        <v>9.6475469979469999E-2</v>
      </c>
      <c r="BR76" s="352">
        <f>IF(ISERR(PnL!BR41/BS!BR23),"-",PnL!BR41/BS!BR23)</f>
        <v>9.4136994407303609E-2</v>
      </c>
      <c r="BS76" s="352">
        <f>IF(ISERR(PnL!BS41/BS!BS23),"-",PnL!BS41/BS!BS23)</f>
        <v>9.1718341463558686E-2</v>
      </c>
      <c r="BT76" s="203"/>
      <c r="BU76" s="203"/>
    </row>
    <row r="77" spans="1:73" ht="12.75" customHeight="1" x14ac:dyDescent="0.35">
      <c r="A77" s="200"/>
      <c r="B77" s="327"/>
      <c r="C77" s="327" t="s">
        <v>292</v>
      </c>
      <c r="D77" s="327"/>
      <c r="E77" s="327"/>
      <c r="F77" s="147"/>
      <c r="G77" s="147"/>
      <c r="H77" s="147"/>
      <c r="I77" s="147"/>
      <c r="J77" s="147"/>
      <c r="K77" s="352">
        <f>IF(ISERR(PnL!K50/BS!K42),"-",PnL!K50/BS!K42)</f>
        <v>0</v>
      </c>
      <c r="L77" s="352">
        <f>IF(ISERR(PnL!L50/BS!L42),"-",PnL!L50/BS!L42)</f>
        <v>0</v>
      </c>
      <c r="M77" s="352">
        <f>IF(ISERR(PnL!M50/BS!M42),"-",PnL!M50/BS!M42)</f>
        <v>0</v>
      </c>
      <c r="N77" s="352">
        <f>IF(ISERR(PnL!N50/BS!N42),"-",PnL!N50/BS!N42)</f>
        <v>0</v>
      </c>
      <c r="O77" s="352">
        <f>IF(ISERR(PnL!O50/BS!O42),"-",PnL!O50/BS!O42)</f>
        <v>0</v>
      </c>
      <c r="P77" s="352">
        <f>IF(ISERR(PnL!P50/BS!P42),"-",PnL!P50/BS!P42)</f>
        <v>0</v>
      </c>
      <c r="Q77" s="352">
        <f>IF(ISERR(PnL!Q50/BS!Q42),"-",PnL!Q50/BS!Q42)</f>
        <v>0</v>
      </c>
      <c r="R77" s="352">
        <f>IF(ISERR(PnL!R50/BS!R42),"-",PnL!R50/BS!R42)</f>
        <v>0</v>
      </c>
      <c r="S77" s="352">
        <f>IF(ISERR(PnL!S50/BS!S42),"-",PnL!S50/BS!S42)</f>
        <v>0</v>
      </c>
      <c r="T77" s="352">
        <f>IF(ISERR(PnL!T50/BS!T42),"-",PnL!T50/BS!T42)</f>
        <v>0</v>
      </c>
      <c r="U77" s="352">
        <f>IF(ISERR(PnL!U50/BS!U42),"-",PnL!U50/BS!U42)</f>
        <v>0</v>
      </c>
      <c r="V77" s="352">
        <f>IF(ISERR(PnL!V50/BS!V42),"-",PnL!V50/BS!V42)</f>
        <v>0</v>
      </c>
      <c r="W77" s="352">
        <f>IF(ISERR(PnL!W41/BS!W42),"-",PnL!W41/BS!W42)</f>
        <v>4.0611674530981363E-2</v>
      </c>
      <c r="X77" s="352">
        <f>IF(ISERR(PnL!X41/BS!X42),"-",PnL!X41/BS!X42)</f>
        <v>0.11894216826013222</v>
      </c>
      <c r="Y77" s="352">
        <f>IF(ISERR(PnL!Y41/BS!Y42),"-",PnL!Y41/BS!Y42)</f>
        <v>6.9388531355439667E-2</v>
      </c>
      <c r="Z77" s="352">
        <f>IF(ISERR(PnL!Z41/BS!Z42),"-",PnL!Z41/BS!Z42)</f>
        <v>4.2118811673974238E-3</v>
      </c>
      <c r="AA77" s="352">
        <f>IF(ISERR(PnL!AA41/BS!AA42),"-",PnL!AA41/BS!AA42)</f>
        <v>5.8213914366159927E-2</v>
      </c>
      <c r="AB77" s="352">
        <f>IF(ISERR(PnL!AB41/BS!AB42),"-",PnL!AB41/BS!AB42)</f>
        <v>3.3365841032728015E-2</v>
      </c>
      <c r="AC77" s="352">
        <f>IF(ISERR(PnL!AC41/BS!AC42),"-",PnL!AC41/BS!AC42)</f>
        <v>6.1683620947464525E-2</v>
      </c>
      <c r="AD77" s="352">
        <f>IF(ISERR(PnL!AD41/BS!AD42),"-",PnL!AD41/BS!AD42)</f>
        <v>1.1468533999831634E-2</v>
      </c>
      <c r="AE77" s="352">
        <f>IF(ISERR(PnL!AE41/BS!AE42),"-",PnL!AE41/BS!AE42)</f>
        <v>5.2478976518726392E-2</v>
      </c>
      <c r="AF77" s="352">
        <f>IF(ISERR(PnL!AF41/BS!AF42),"-",PnL!AF41/BS!AF42)</f>
        <v>2.6045405297855352E-2</v>
      </c>
      <c r="AG77" s="352">
        <f>IF(ISERR(PnL!AG41/BS!AG42),"-",PnL!AG41/BS!AG42)</f>
        <v>5.7592751242472345E-2</v>
      </c>
      <c r="AH77" s="352">
        <f>IF(ISERR(PnL!AH41/BS!AH42),"-",PnL!AH41/BS!AH42)</f>
        <v>1.0201412646697026E-2</v>
      </c>
      <c r="AI77" s="352">
        <f>IF(ISERR(PnL!AI41/BS!AI42),"-",PnL!AI41/BS!AI42)</f>
        <v>4.9745321304245763E-2</v>
      </c>
      <c r="AJ77" s="352">
        <f>IF(ISERR(PnL!AJ41/BS!AJ42),"-",PnL!AJ41/BS!AJ42)</f>
        <v>2.1854245857350598E-2</v>
      </c>
      <c r="AK77" s="352">
        <f>IF(ISERR(PnL!AK41/BS!AK42),"-",PnL!AK41/BS!AK42)</f>
        <v>5.4991017522396296E-2</v>
      </c>
      <c r="AL77" s="352">
        <f>IF(ISERR(PnL!AL41/BS!AL42),"-",PnL!AL41/BS!AL42)</f>
        <v>8.5824832275408942E-3</v>
      </c>
      <c r="AM77" s="353"/>
      <c r="AN77" s="352" t="str">
        <f>IF(ISERR(PnL!AN41/BS!AN42),"-",PnL!AN41/BS!AN42)</f>
        <v>-</v>
      </c>
      <c r="AO77" s="352" t="str">
        <f>IF(ISERR(PnL!AO41/BS!AO42),"-",PnL!AO41/BS!AO42)</f>
        <v>-</v>
      </c>
      <c r="AP77" s="352" t="str">
        <f>IF(ISERR(PnL!AP41/BS!AP42),"-",PnL!AP41/BS!AP42)</f>
        <v>-</v>
      </c>
      <c r="AQ77" s="352" t="str">
        <f>IF(ISERR(PnL!AQ41/BS!AQ42),"-",PnL!AQ41/BS!AQ42)</f>
        <v>-</v>
      </c>
      <c r="AR77" s="352" t="str">
        <f>IF(ISERR(PnL!AR41/BS!AR42),"-",PnL!AR41/BS!AR42)</f>
        <v>-</v>
      </c>
      <c r="AS77" s="352" t="str">
        <f>IF(ISERR(PnL!AS41/BS!AS42),"-",PnL!AS41/BS!AS42)</f>
        <v>-</v>
      </c>
      <c r="AT77" s="352" t="str">
        <f>IF(ISERR(PnL!AT41/BS!AT42),"-",PnL!AT41/BS!AT42)</f>
        <v>-</v>
      </c>
      <c r="AU77" s="352" t="str">
        <f>IF(ISERR(PnL!AU41/BS!AU42),"-",PnL!AU41/BS!AU42)</f>
        <v>-</v>
      </c>
      <c r="AV77" s="352" t="str">
        <f>IF(ISERR(PnL!AV41/BS!AV42),"-",PnL!AV41/BS!AV42)</f>
        <v>-</v>
      </c>
      <c r="AW77" s="352" t="str">
        <f>IF(ISERR(PnL!AW41/BS!AW42),"-",PnL!AW41/BS!AW42)</f>
        <v>-</v>
      </c>
      <c r="AX77" s="352" t="str">
        <f>IF(ISERR(PnL!AX41/BS!AX42),"-",PnL!AX41/BS!AX42)</f>
        <v>-</v>
      </c>
      <c r="AY77" s="352" t="str">
        <f>IF(ISERR(PnL!AY41/BS!AY42),"-",PnL!AY41/BS!AY42)</f>
        <v>-</v>
      </c>
      <c r="AZ77" s="352" t="str">
        <f>IF(ISERR(PnL!AZ41/BS!AZ42),"-",PnL!AZ41/BS!AZ42)</f>
        <v>-</v>
      </c>
      <c r="BA77" s="352" t="str">
        <f>IF(ISERR(PnL!BA41/BS!BA42),"-",PnL!BA41/BS!BA42)</f>
        <v>-</v>
      </c>
      <c r="BB77" s="352" t="str">
        <f>IF(ISERR(PnL!BB41/BS!BB42),"-",PnL!BB41/BS!BB42)</f>
        <v>-</v>
      </c>
      <c r="BC77" s="352" t="str">
        <f>IF(ISERR(PnL!BC41/BS!BC42),"-",PnL!BC41/BS!BC42)</f>
        <v>-</v>
      </c>
      <c r="BD77" s="353"/>
      <c r="BE77" s="352">
        <f>IF(ISERR(PnL!BE41/BS!BE44),"-",PnL!BE41/BS!BE44)</f>
        <v>0.28596696933438448</v>
      </c>
      <c r="BF77" s="352">
        <f>IF(ISERR(PnL!BF41/BS!BF44),"-",PnL!BF41/BS!BF44)</f>
        <v>0.13474905976471749</v>
      </c>
      <c r="BG77" s="352">
        <f>IF(ISERR(PnL!BG41/BS!BG44),"-",PnL!BG41/BS!BG44)</f>
        <v>0.14585187022544654</v>
      </c>
      <c r="BH77" s="352">
        <f>IF(ISERR(PnL!BH41/BS!BH44),"-",PnL!BH41/BS!BH44)</f>
        <v>0.14281071559728437</v>
      </c>
      <c r="BI77" s="352">
        <f>IF(ISERR(PnL!BI41/BS!BI44),"-",PnL!BI41/BS!BI44)</f>
        <v>0.16987759918422193</v>
      </c>
      <c r="BJ77" s="352">
        <f>IF(ISERR(PnL!BJ41/BS!BJ44),"-",PnL!BJ41/BS!BJ44)</f>
        <v>0.13701507448468425</v>
      </c>
      <c r="BK77" s="352">
        <f>IF(ISERR(PnL!BK41/BS!BK44),"-",PnL!BK41/BS!BK44)</f>
        <v>0.12580559750504797</v>
      </c>
      <c r="BL77" s="352">
        <f>IF(ISERR(PnL!BL41/BS!BL44),"-",PnL!BL41/BS!BL44)</f>
        <v>0.11822087587817709</v>
      </c>
      <c r="BM77" s="352">
        <f>IF(ISERR(PnL!BM41/BS!BM44),"-",PnL!BM41/BS!BM44)</f>
        <v>0.11794547330595982</v>
      </c>
      <c r="BN77" s="352">
        <f>IF(ISERR(PnL!BN41/BS!BN44),"-",PnL!BN41/BS!BN44)</f>
        <v>0.11588529114703347</v>
      </c>
      <c r="BO77" s="352">
        <f>IF(ISERR(PnL!BO41/BS!BO44),"-",PnL!BO41/BS!BO44)</f>
        <v>0.11221564934953117</v>
      </c>
      <c r="BP77" s="352">
        <f>IF(ISERR(PnL!BP41/BS!BP44),"-",PnL!BP41/BS!BP44)</f>
        <v>0.10740720681768794</v>
      </c>
      <c r="BQ77" s="352">
        <f>IF(ISERR(PnL!BQ41/BS!BQ44),"-",PnL!BQ41/BS!BQ44)</f>
        <v>0.10194588706584047</v>
      </c>
      <c r="BR77" s="352">
        <f>IF(ISERR(PnL!BR41/BS!BR44),"-",PnL!BR41/BS!BR44)</f>
        <v>9.6238905708605951E-2</v>
      </c>
      <c r="BS77" s="352">
        <f>IF(ISERR(PnL!BS41/BS!BS44),"-",PnL!BS41/BS!BS44)</f>
        <v>9.0544151652024452E-2</v>
      </c>
      <c r="BT77" s="203"/>
      <c r="BU77" s="203"/>
    </row>
    <row r="78" spans="1:73" ht="12.75" customHeight="1" x14ac:dyDescent="0.35">
      <c r="A78" s="200"/>
      <c r="B78" s="324"/>
      <c r="C78" s="324"/>
      <c r="D78" s="328" t="s">
        <v>293</v>
      </c>
      <c r="E78" s="324"/>
      <c r="F78" s="147"/>
      <c r="G78" s="147"/>
      <c r="H78" s="147"/>
      <c r="I78" s="147"/>
      <c r="J78" s="147"/>
      <c r="K78" s="352"/>
      <c r="L78" s="352"/>
      <c r="M78" s="352"/>
      <c r="N78" s="352"/>
      <c r="O78" s="352"/>
      <c r="P78" s="352"/>
      <c r="Q78" s="352"/>
      <c r="R78" s="352"/>
      <c r="S78" s="352"/>
      <c r="T78" s="352"/>
      <c r="U78" s="352"/>
      <c r="V78" s="352"/>
      <c r="W78" s="352"/>
      <c r="X78" s="352"/>
      <c r="Y78" s="352"/>
      <c r="Z78" s="352"/>
      <c r="AA78" s="352"/>
      <c r="AB78" s="352"/>
      <c r="AC78" s="352"/>
      <c r="AD78" s="352"/>
      <c r="AE78" s="352"/>
      <c r="AF78" s="352"/>
      <c r="AG78" s="352"/>
      <c r="AH78" s="352"/>
      <c r="AI78" s="352"/>
      <c r="AJ78" s="352"/>
      <c r="AK78" s="352"/>
      <c r="AL78" s="352"/>
      <c r="AM78" s="353"/>
      <c r="AN78" s="352"/>
      <c r="AO78" s="352"/>
      <c r="AP78" s="352"/>
      <c r="AQ78" s="352"/>
      <c r="AR78" s="352"/>
      <c r="AS78" s="352"/>
      <c r="AT78" s="352"/>
      <c r="AU78" s="352"/>
      <c r="AV78" s="352"/>
      <c r="AW78" s="352"/>
      <c r="AX78" s="352"/>
      <c r="AY78" s="352"/>
      <c r="AZ78" s="352"/>
      <c r="BA78" s="352"/>
      <c r="BB78" s="352"/>
      <c r="BC78" s="352"/>
      <c r="BD78" s="353"/>
      <c r="BE78" s="352"/>
      <c r="BF78" s="352"/>
      <c r="BG78" s="352"/>
      <c r="BH78" s="352"/>
      <c r="BI78" s="352"/>
      <c r="BJ78" s="352"/>
      <c r="BK78" s="352"/>
      <c r="BL78" s="352"/>
      <c r="BM78" s="353"/>
      <c r="BN78" s="353"/>
      <c r="BO78" s="353"/>
      <c r="BP78" s="353"/>
      <c r="BQ78" s="353"/>
      <c r="BR78" s="353"/>
      <c r="BS78" s="353"/>
      <c r="BT78" s="203"/>
      <c r="BU78" s="203"/>
    </row>
    <row r="79" spans="1:73" ht="12.75" customHeight="1" x14ac:dyDescent="0.35">
      <c r="A79" s="200"/>
      <c r="B79" s="329"/>
      <c r="C79" s="329"/>
      <c r="D79" s="329"/>
      <c r="E79" s="329" t="s">
        <v>294</v>
      </c>
      <c r="F79" s="147"/>
      <c r="G79" s="147"/>
      <c r="H79" s="147"/>
      <c r="I79" s="147"/>
      <c r="J79" s="147"/>
      <c r="K79" s="352">
        <f>PnL!K94</f>
        <v>0</v>
      </c>
      <c r="L79" s="352">
        <f>PnL!L94</f>
        <v>0.11742166212534055</v>
      </c>
      <c r="M79" s="352">
        <f>PnL!M94</f>
        <v>0.45744113388706853</v>
      </c>
      <c r="N79" s="352">
        <f>PnL!N94</f>
        <v>-0.19010770678657329</v>
      </c>
      <c r="O79" s="352">
        <f>PnL!O94</f>
        <v>0.12717882504841826</v>
      </c>
      <c r="P79" s="352">
        <f>PnL!P94</f>
        <v>0.2601374570446735</v>
      </c>
      <c r="Q79" s="352">
        <f>PnL!Q94</f>
        <v>0.59430960821743484</v>
      </c>
      <c r="R79" s="352">
        <f>PnL!R94</f>
        <v>-7.3379326073322315E-2</v>
      </c>
      <c r="S79" s="352">
        <f>PnL!S94</f>
        <v>0.3450652227418165</v>
      </c>
      <c r="T79" s="352">
        <f>PnL!T94</f>
        <v>7.0128087831655916E-2</v>
      </c>
      <c r="U79" s="352">
        <f>PnL!U94</f>
        <v>0.29981190954559067</v>
      </c>
      <c r="V79" s="352">
        <f>PnL!V94</f>
        <v>-8.5557364379326817E-2</v>
      </c>
      <c r="W79" s="352">
        <f>PnL!W90</f>
        <v>0.28773798336291811</v>
      </c>
      <c r="X79" s="352">
        <f>PnL!X90</f>
        <v>0.29019383785509634</v>
      </c>
      <c r="Y79" s="352">
        <f>PnL!Y90</f>
        <v>0.30124615994450499</v>
      </c>
      <c r="Z79" s="352">
        <f>PnL!Z90</f>
        <v>0.21957065626257502</v>
      </c>
      <c r="AA79" s="352">
        <f>PnL!AA90</f>
        <v>0.26416088350644873</v>
      </c>
      <c r="AB79" s="352">
        <f>PnL!AB90</f>
        <v>0.31807247563830543</v>
      </c>
      <c r="AC79" s="352">
        <f>PnL!AC90</f>
        <v>0.2895975215892489</v>
      </c>
      <c r="AD79" s="352">
        <f>PnL!AD90</f>
        <v>8.8796571065158272E-2</v>
      </c>
      <c r="AE79" s="352">
        <f>PnL!AE90</f>
        <v>0.2819151404222327</v>
      </c>
      <c r="AF79" s="352">
        <f>PnL!AF90</f>
        <v>0.25301244988156124</v>
      </c>
      <c r="AG79" s="352">
        <f>PnL!AG90</f>
        <v>0.2620726431540808</v>
      </c>
      <c r="AH79" s="352">
        <f>PnL!AH90</f>
        <v>8.842669471627003E-2</v>
      </c>
      <c r="AI79" s="352">
        <f>PnL!AI90</f>
        <v>0.2580934635572058</v>
      </c>
      <c r="AJ79" s="352">
        <f>PnL!AJ90</f>
        <v>0.22791093629081119</v>
      </c>
      <c r="AK79" s="352">
        <f>PnL!AK90</f>
        <v>0.24276102463350124</v>
      </c>
      <c r="AL79" s="352">
        <f>PnL!AL90</f>
        <v>8.1969618754602333E-2</v>
      </c>
      <c r="AM79" s="353"/>
      <c r="AN79" s="352" t="str">
        <f>PnL!AN90</f>
        <v>-</v>
      </c>
      <c r="AO79" s="352" t="str">
        <f>PnL!AO90</f>
        <v>-</v>
      </c>
      <c r="AP79" s="352" t="str">
        <f>PnL!AP90</f>
        <v>-</v>
      </c>
      <c r="AQ79" s="352" t="str">
        <f>PnL!AQ90</f>
        <v>-</v>
      </c>
      <c r="AR79" s="352" t="str">
        <f>PnL!AR90</f>
        <v>-</v>
      </c>
      <c r="AS79" s="352" t="str">
        <f>PnL!AS90</f>
        <v>-</v>
      </c>
      <c r="AT79" s="352" t="str">
        <f>PnL!AT90</f>
        <v>-</v>
      </c>
      <c r="AU79" s="352" t="str">
        <f>PnL!AU90</f>
        <v>-</v>
      </c>
      <c r="AV79" s="352" t="str">
        <f>PnL!AV90</f>
        <v>-</v>
      </c>
      <c r="AW79" s="352" t="str">
        <f>PnL!AW90</f>
        <v>-</v>
      </c>
      <c r="AX79" s="352" t="str">
        <f>PnL!AX90</f>
        <v>-</v>
      </c>
      <c r="AY79" s="352" t="str">
        <f>PnL!AY90</f>
        <v>-</v>
      </c>
      <c r="AZ79" s="352" t="str">
        <f>PnL!AZ90</f>
        <v>-</v>
      </c>
      <c r="BA79" s="352" t="str">
        <f>PnL!BA90</f>
        <v>-</v>
      </c>
      <c r="BB79" s="352" t="str">
        <f>PnL!BB90</f>
        <v>-</v>
      </c>
      <c r="BC79" s="352" t="str">
        <f>PnL!BC90</f>
        <v>-</v>
      </c>
      <c r="BD79" s="353"/>
      <c r="BE79" s="352">
        <f>PnL!BE90</f>
        <v>0.42427058718843619</v>
      </c>
      <c r="BF79" s="352">
        <f>PnL!BF90</f>
        <v>0.38231410284761141</v>
      </c>
      <c r="BG79" s="352">
        <f>PnL!BG90</f>
        <v>0.34269936787258359</v>
      </c>
      <c r="BH79" s="352">
        <f>PnL!BH90</f>
        <v>0.26730158898642409</v>
      </c>
      <c r="BI79" s="352">
        <f>PnL!BI90</f>
        <v>0.27730223597293369</v>
      </c>
      <c r="BJ79" s="352">
        <f>PnL!BJ90</f>
        <v>0.2438631667904341</v>
      </c>
      <c r="BK79" s="352">
        <f>PnL!BK90</f>
        <v>0.22522211585311888</v>
      </c>
      <c r="BL79" s="352">
        <f>PnL!BL90</f>
        <v>0.20648097570522295</v>
      </c>
      <c r="BM79" s="352">
        <f>PnL!BM90</f>
        <v>0.20346276661176574</v>
      </c>
      <c r="BN79" s="352">
        <f>PnL!BN90</f>
        <v>0.1977096421457597</v>
      </c>
      <c r="BO79" s="352">
        <f>PnL!BO90</f>
        <v>0.18917450970730085</v>
      </c>
      <c r="BP79" s="352">
        <f>PnL!BP90</f>
        <v>0.18410410600665059</v>
      </c>
      <c r="BQ79" s="352">
        <f>PnL!BQ90</f>
        <v>0.17908247745376954</v>
      </c>
      <c r="BR79" s="352">
        <f>PnL!BR90</f>
        <v>0.17395248497955779</v>
      </c>
      <c r="BS79" s="352">
        <f>PnL!BS90</f>
        <v>0.1690634479093629</v>
      </c>
      <c r="BT79" s="203"/>
      <c r="BU79" s="203"/>
    </row>
    <row r="80" spans="1:73" ht="12.75" customHeight="1" x14ac:dyDescent="0.35">
      <c r="A80" s="200"/>
      <c r="B80" s="330"/>
      <c r="C80" s="330"/>
      <c r="D80" s="330"/>
      <c r="E80" s="330" t="s">
        <v>295</v>
      </c>
      <c r="F80" s="147"/>
      <c r="G80" s="147"/>
      <c r="H80" s="147"/>
      <c r="I80" s="147"/>
      <c r="J80" s="147"/>
      <c r="K80" s="352">
        <f>IF(ISERR(PnL!K19/BS!K23),"-",PnL!K19/BS!K23*4)</f>
        <v>0.11313998585262336</v>
      </c>
      <c r="L80" s="352">
        <f>IF(ISERR(PnL!L19/AVERAGE(BS!K23:'BS'!L23)),"-",PnL!L19/AVERAGE(BS!K23:'BS'!L23)*4)</f>
        <v>0.11195190980317923</v>
      </c>
      <c r="M80" s="352">
        <f>IF(ISERR(PnL!M19/AVERAGE(BS!L23:'BS'!M23)),"-",PnL!M19/AVERAGE(BS!L23:'BS'!M23)*4)</f>
        <v>0.113657381015721</v>
      </c>
      <c r="N80" s="352">
        <f>IF(ISERR(PnL!N19/AVERAGE(BS!M23:'BS'!N23)),"-",PnL!N19/AVERAGE(BS!M23:'BS'!N23)*4)</f>
        <v>0.10870842095345391</v>
      </c>
      <c r="O80" s="352">
        <f>IF(ISERR(PnL!O19/AVERAGE(BS!N23:'BS'!O23)),"-",PnL!O19/AVERAGE(BS!N23:'BS'!O23)*4)</f>
        <v>0.11583530536131424</v>
      </c>
      <c r="P80" s="352">
        <f>IF(ISERR(PnL!P19/AVERAGE(BS!O23:'BS'!P23)),"-",PnL!P19/AVERAGE(BS!O23:'BS'!P23)*4)</f>
        <v>0.11784723546107125</v>
      </c>
      <c r="Q80" s="352">
        <f>IF(ISERR(PnL!Q19/AVERAGE(BS!P23:'BS'!Q23)),"-",PnL!Q19/AVERAGE(BS!P23:'BS'!Q23)*4)</f>
        <v>0.13612182388611252</v>
      </c>
      <c r="R80" s="352">
        <f>IF(ISERR(PnL!R19/AVERAGE(BS!Q23:'BS'!R23)),"-",PnL!R19/AVERAGE(BS!Q23:'BS'!R23)*4)</f>
        <v>0.11316042213255903</v>
      </c>
      <c r="S80" s="352">
        <f>IF(ISERR(PnL!S19/AVERAGE(BS!R23:'BS'!S23)),"-",PnL!S19/AVERAGE(BS!R23:'BS'!S23)*4)</f>
        <v>0.15420937966132597</v>
      </c>
      <c r="T80" s="352">
        <f>IF(ISERR(PnL!T19/AVERAGE(BS!S23:'BS'!T23)),"-",PnL!T19/AVERAGE(BS!S23:'BS'!T23)*4)</f>
        <v>0.1226621702214528</v>
      </c>
      <c r="U80" s="352">
        <f>IF(ISERR(PnL!U19/AVERAGE(BS!T23:'BS'!U23)),"-",PnL!U19/AVERAGE(BS!T23:'BS'!U23)*4)</f>
        <v>0.1361878912727878</v>
      </c>
      <c r="V80" s="352">
        <f>IF(ISERR(PnL!V19/AVERAGE(BS!U23:'BS'!V23)),"-",PnL!V19/AVERAGE(BS!U23:'BS'!V23)*4)</f>
        <v>0.1237289692775272</v>
      </c>
      <c r="W80" s="352">
        <f>IF(ISERR(PnL!W12/AVERAGE(BS!V23:'BS'!W23)),"-",PnL!W12/AVERAGE(BS!V23:'BS'!W23)*4)</f>
        <v>0.4634195762955346</v>
      </c>
      <c r="X80" s="352">
        <f>IF(ISERR(PnL!X12/AVERAGE(BS!W23:'BS'!X23)),"-",PnL!X12/AVERAGE(BS!W23:'BS'!X23)*4)</f>
        <v>0.43707420616030529</v>
      </c>
      <c r="Y80" s="352">
        <f>IF(ISERR(PnL!Y12/AVERAGE(BS!X23:'BS'!Y23)),"-",PnL!Y12/AVERAGE(BS!X23:'BS'!Y23)*4)</f>
        <v>0.52102076906197159</v>
      </c>
      <c r="Z80" s="352">
        <f>IF(ISERR(PnL!Z12/AVERAGE(BS!Y23:'BS'!Z23)),"-",PnL!Z12/AVERAGE(BS!Y23:'BS'!Z23)*4)</f>
        <v>0.34739561174253936</v>
      </c>
      <c r="AA80" s="352">
        <f>IF(ISERR(PnL!AA12/AVERAGE(BS!Z23:'BS'!AA23)),"-",PnL!AA12/AVERAGE(BS!Z23:'BS'!AA23)*4)</f>
        <v>0.45858825827820987</v>
      </c>
      <c r="AB80" s="352">
        <f>IF(ISERR(PnL!AB12/AVERAGE(BS!AA23:'BS'!AB23)),"-",PnL!AB12/AVERAGE(BS!AA23:'BS'!AB23)*4)</f>
        <v>0.4425826574325773</v>
      </c>
      <c r="AC80" s="352">
        <f>IF(ISERR(PnL!AC12/AVERAGE(BS!AB23:'BS'!AC23)),"-",PnL!AC12/AVERAGE(BS!AB23:'BS'!AC23)*4)</f>
        <v>0.57728440997585229</v>
      </c>
      <c r="AD80" s="352">
        <f>IF(ISERR(PnL!AD12/AVERAGE(BS!AC23:'BS'!AD23)),"-",PnL!AD12/AVERAGE(BS!AC23:'BS'!AD23)*4)</f>
        <v>0.43798268185928874</v>
      </c>
      <c r="AE80" s="352">
        <f>IF(ISERR(PnL!AE12/AVERAGE(BS!AD23:'BS'!AE23)),"-",PnL!AE12/AVERAGE(BS!AD23:'BS'!AE23)*4)</f>
        <v>0.54362448793198281</v>
      </c>
      <c r="AF80" s="352">
        <f>IF(ISERR(PnL!AF12/AVERAGE(BS!AE23:'BS'!AF23)),"-",PnL!AF12/AVERAGE(BS!AE23:'BS'!AF23)*4)</f>
        <v>0.55977255904460432</v>
      </c>
      <c r="AG80" s="352">
        <f>IF(ISERR(PnL!AG12/AVERAGE(BS!AF23:'BS'!AG23)),"-",PnL!AG12/AVERAGE(BS!AF23:'BS'!AG23)*4)</f>
        <v>0.70376946715985444</v>
      </c>
      <c r="AH80" s="352">
        <f>IF(ISERR(PnL!AH12/AVERAGE(BS!AG23:'BS'!AH23)),"-",PnL!AH12/AVERAGE(BS!AG23:'BS'!AH23)*4)</f>
        <v>0.51654809620926179</v>
      </c>
      <c r="AI80" s="352">
        <f>IF(ISERR(PnL!AI12/AVERAGE(BS!AH23:'BS'!AI23)),"-",PnL!AI12/AVERAGE(BS!AH23:'BS'!AI23)*4)</f>
        <v>0.64058150334892072</v>
      </c>
      <c r="AJ80" s="352">
        <f>IF(ISERR(PnL!AJ12/AVERAGE(BS!AI23:'BS'!AJ23)),"-",PnL!AJ12/AVERAGE(BS!AI23:'BS'!AJ23)*4)</f>
        <v>0.6677268531040349</v>
      </c>
      <c r="AK80" s="352">
        <f>IF(ISERR(PnL!AK12/AVERAGE(BS!AJ23:'BS'!AK23)),"-",PnL!AK12/AVERAGE(BS!AJ23:'BS'!AK23)*4)</f>
        <v>0.82746128758098358</v>
      </c>
      <c r="AL80" s="352">
        <f>IF(ISERR(PnL!AL12/AVERAGE(BS!AK23:'BS'!AL23)),"-",PnL!AL12/AVERAGE(BS!AK23:'BS'!AL23)*4)</f>
        <v>0.60452497143229322</v>
      </c>
      <c r="AM80" s="353"/>
      <c r="AN80" s="352" t="str">
        <f>IF(ISERR(PnL!AN12/AVERAGE(BS!#REF!:'BS'!AN23)),"-",PnL!AN12/AVERAGE(BS!#REF!:'BS'!AN23)*4)</f>
        <v>-</v>
      </c>
      <c r="AO80" s="352" t="str">
        <f>IF(ISERR(PnL!AO12/AVERAGE(BS!AN23:'BS'!AO23)),"-",PnL!AO12/AVERAGE(BS!AN23:'BS'!AO23)*4)</f>
        <v>-</v>
      </c>
      <c r="AP80" s="352" t="str">
        <f>IF(ISERR(PnL!AP12/AVERAGE(BS!AO23:'BS'!AP23)),"-",PnL!AP12/AVERAGE(BS!AO23:'BS'!AP23)*4)</f>
        <v>-</v>
      </c>
      <c r="AQ80" s="352" t="str">
        <f>IF(ISERR(PnL!AQ12/AVERAGE(BS!AP23:'BS'!AQ23)),"-",PnL!AQ12/AVERAGE(BS!AP23:'BS'!AQ23)*4)</f>
        <v>-</v>
      </c>
      <c r="AR80" s="352" t="str">
        <f>IF(ISERR(PnL!AR12/AVERAGE(BS!AQ23:'BS'!AR23)),"-",PnL!AR12/AVERAGE(BS!AQ23:'BS'!AR23)*4)</f>
        <v>-</v>
      </c>
      <c r="AS80" s="352" t="str">
        <f>IF(ISERR(PnL!AS12/AVERAGE(BS!AR23:'BS'!AS23)),"-",PnL!AS12/AVERAGE(BS!AR23:'BS'!AS23)*4)</f>
        <v>-</v>
      </c>
      <c r="AT80" s="352" t="str">
        <f>IF(ISERR(PnL!AT12/AVERAGE(BS!AS23:'BS'!AT23)),"-",PnL!AT12/AVERAGE(BS!AS23:'BS'!AT23)*4)</f>
        <v>-</v>
      </c>
      <c r="AU80" s="352" t="str">
        <f>IF(ISERR(PnL!AU12/AVERAGE(BS!AT23:'BS'!AU23)),"-",PnL!AU12/AVERAGE(BS!AT23:'BS'!AU23)*4)</f>
        <v>-</v>
      </c>
      <c r="AV80" s="352" t="str">
        <f>IF(ISERR(PnL!AV12/AVERAGE(BS!AU23:'BS'!AV23)),"-",PnL!AV12/AVERAGE(BS!AU23:'BS'!AV23)*4)</f>
        <v>-</v>
      </c>
      <c r="AW80" s="352" t="str">
        <f>IF(ISERR(PnL!AW12/AVERAGE(BS!AV23:'BS'!AW23)),"-",PnL!AW12/AVERAGE(BS!AV23:'BS'!AW23)*4)</f>
        <v>-</v>
      </c>
      <c r="AX80" s="352" t="str">
        <f>IF(ISERR(PnL!AX12/AVERAGE(BS!AW23:'BS'!AX23)),"-",PnL!AX12/AVERAGE(BS!AW23:'BS'!AX23)*4)</f>
        <v>-</v>
      </c>
      <c r="AY80" s="352" t="str">
        <f>IF(ISERR(PnL!AY12/AVERAGE(BS!AX23:'BS'!AY23)),"-",PnL!AY12/AVERAGE(BS!AX23:'BS'!AY23)*4)</f>
        <v>-</v>
      </c>
      <c r="AZ80" s="352" t="str">
        <f>IF(ISERR(PnL!AZ12/AVERAGE(BS!AY23:'BS'!AZ23)),"-",PnL!AZ12/AVERAGE(BS!AY23:'BS'!AZ23)*4)</f>
        <v>-</v>
      </c>
      <c r="BA80" s="352" t="str">
        <f>IF(ISERR(PnL!BA12/AVERAGE(BS!AZ23:'BS'!BA23)),"-",PnL!BA12/AVERAGE(BS!AZ23:'BS'!BA23)*4)</f>
        <v>-</v>
      </c>
      <c r="BB80" s="352" t="str">
        <f>IF(ISERR(PnL!BB12/AVERAGE(BS!BA23:'BS'!BB23)),"-",PnL!BB12/AVERAGE(BS!BA23:'BS'!BB23)*4)</f>
        <v>-</v>
      </c>
      <c r="BC80" s="352" t="str">
        <f>IF(ISERR(PnL!BC12/AVERAGE(BS!BB23:'BS'!BC23)),"-",PnL!BC12/AVERAGE(BS!BB23:'BS'!BC23)*4)</f>
        <v>-</v>
      </c>
      <c r="BD80" s="353"/>
      <c r="BE80" s="352">
        <f>IF(ISERR(PnL!BE12/BS!BE23),"-",PnL!BE12/BS!BE23)</f>
        <v>0.27752229386747151</v>
      </c>
      <c r="BF80" s="352">
        <f>IF(ISERR(PnL!BF12/BS!BF23),"-",PnL!BF12/AVERAGE(BS!BE23:'BS'!BF23))</f>
        <v>0.36331895572170025</v>
      </c>
      <c r="BG80" s="352">
        <f>IF(ISERR(PnL!BG12/BS!BG23),"-",PnL!BG12/AVERAGE(BS!BF23:'BS'!BG23))</f>
        <v>0.4089527556996444</v>
      </c>
      <c r="BH80" s="352">
        <f>IF(ISERR(PnL!BH12/BS!BH23),"-",PnL!BH12/AVERAGE(BS!BG23:'BS'!BH23))</f>
        <v>0.44803709428129829</v>
      </c>
      <c r="BI80" s="352">
        <f>IF(ISERR(PnL!BI12/BS!BI23),"-",PnL!BI12/AVERAGE(BS!BH23:'BS'!BI23))</f>
        <v>0.44749547970840114</v>
      </c>
      <c r="BJ80" s="352">
        <f>IF(ISERR(PnL!BJ12/BS!BJ23),"-",PnL!BJ12/AVERAGE(BS!BI23:'BS'!BJ23))</f>
        <v>0.48838701870059165</v>
      </c>
      <c r="BK80" s="352">
        <f>IF(ISERR(PnL!BK12/BS!BK23),"-",PnL!BK12/AVERAGE(BS!BJ23:'BS'!BK23))</f>
        <v>0.58143110672036513</v>
      </c>
      <c r="BL80" s="352">
        <f>IF(ISERR(PnL!BL12/BS!BL23),"-",PnL!BL12/AVERAGE(BS!BK23:'BS'!BL23))</f>
        <v>0.68424031667523144</v>
      </c>
      <c r="BM80" s="352">
        <f>IF(ISERR(PnL!BM12/BS!BM23),"-",PnL!BM12/AVERAGE(BS!BL23:'BS'!BM23))</f>
        <v>0.73658678144458334</v>
      </c>
      <c r="BN80" s="352">
        <f>IF(ISERR(PnL!BN12/BS!BN23),"-",PnL!BN12/AVERAGE(BS!BM23:'BS'!BN23))</f>
        <v>0.76185226325402366</v>
      </c>
      <c r="BO80" s="352">
        <f>IF(ISERR(PnL!BO12/BS!BO23),"-",PnL!BO12/AVERAGE(BS!BN23:'BS'!BO23))</f>
        <v>0.79714543175260599</v>
      </c>
      <c r="BP80" s="352">
        <f>IF(ISERR(PnL!BP12/BS!BP23),"-",PnL!BP12/AVERAGE(BS!BO23:'BS'!BP23))</f>
        <v>0.81889475349470398</v>
      </c>
      <c r="BQ80" s="352">
        <f>IF(ISERR(PnL!BQ12/BS!BQ23),"-",PnL!BQ12/AVERAGE(BS!BP23:'BS'!BQ23))</f>
        <v>0.83079519669673174</v>
      </c>
      <c r="BR80" s="352">
        <f>IF(ISERR(PnL!BR12/BS!BR23),"-",PnL!BR12/AVERAGE(BS!BQ23:'BS'!BR23))</f>
        <v>0.83767824546125991</v>
      </c>
      <c r="BS80" s="352">
        <f>IF(ISERR(PnL!BS12/BS!BS23),"-",PnL!BS12/AVERAGE(BS!BR23:'BS'!BS23))</f>
        <v>0.84218026795285938</v>
      </c>
      <c r="BT80" s="203"/>
      <c r="BU80" s="203"/>
    </row>
    <row r="81" spans="1:73" ht="12.75" customHeight="1" x14ac:dyDescent="0.35">
      <c r="A81" s="200"/>
      <c r="B81" s="331"/>
      <c r="C81" s="331"/>
      <c r="D81" s="331"/>
      <c r="E81" s="331" t="s">
        <v>296</v>
      </c>
      <c r="F81" s="147"/>
      <c r="G81" s="147"/>
      <c r="H81" s="147"/>
      <c r="I81" s="147"/>
      <c r="J81" s="147"/>
      <c r="K81" s="352">
        <f t="shared" ref="K81:AL81" si="233">IF(ISERR(K23/K44),"-",K23/K44)</f>
        <v>1.5582525009882324</v>
      </c>
      <c r="L81" s="352">
        <f t="shared" si="233"/>
        <v>1.5573033247802588</v>
      </c>
      <c r="M81" s="352">
        <f t="shared" si="233"/>
        <v>1.5856944879651376</v>
      </c>
      <c r="N81" s="352">
        <f t="shared" si="233"/>
        <v>1.5636506119628164</v>
      </c>
      <c r="O81" s="352">
        <f t="shared" si="233"/>
        <v>1.5787053033492544</v>
      </c>
      <c r="P81" s="352">
        <f t="shared" si="233"/>
        <v>1.5728955785205938</v>
      </c>
      <c r="Q81" s="352">
        <f t="shared" si="233"/>
        <v>1.6546854285382022</v>
      </c>
      <c r="R81" s="352">
        <f t="shared" si="233"/>
        <v>1.6319079553703699</v>
      </c>
      <c r="S81" s="352">
        <f t="shared" si="233"/>
        <v>1.6745426685079738</v>
      </c>
      <c r="T81" s="352">
        <f t="shared" si="233"/>
        <v>1.6450988135985383</v>
      </c>
      <c r="U81" s="352">
        <f t="shared" si="233"/>
        <v>1.6158493329366805</v>
      </c>
      <c r="V81" s="352">
        <f t="shared" si="233"/>
        <v>1.5682041982313999</v>
      </c>
      <c r="W81" s="352">
        <f t="shared" si="233"/>
        <v>1.579479022784033</v>
      </c>
      <c r="X81" s="352">
        <f t="shared" si="233"/>
        <v>1.5934011875169189</v>
      </c>
      <c r="Y81" s="352">
        <f t="shared" si="233"/>
        <v>1.5217158146025302</v>
      </c>
      <c r="Z81" s="352">
        <f t="shared" si="233"/>
        <v>1.4926203687598831</v>
      </c>
      <c r="AA81" s="352">
        <f t="shared" si="233"/>
        <v>1.4746403268991752</v>
      </c>
      <c r="AB81" s="352">
        <f t="shared" ref="AB81" si="234">IF(ISERR(AB23/AB44),"-",AB23/AB44)</f>
        <v>1.4610603298128968</v>
      </c>
      <c r="AC81" s="352">
        <f t="shared" si="233"/>
        <v>1.3449184103358518</v>
      </c>
      <c r="AD81" s="352">
        <f t="shared" si="233"/>
        <v>1.3509380278131768</v>
      </c>
      <c r="AE81" s="352">
        <f t="shared" si="233"/>
        <v>1.298083712273862</v>
      </c>
      <c r="AF81" s="352">
        <f t="shared" si="233"/>
        <v>1.2943637311432457</v>
      </c>
      <c r="AG81" s="352">
        <f t="shared" si="233"/>
        <v>1.2339101037193505</v>
      </c>
      <c r="AH81" s="352">
        <f t="shared" si="233"/>
        <v>1.2365925766375776</v>
      </c>
      <c r="AI81" s="352">
        <f t="shared" si="233"/>
        <v>1.1946223593823593</v>
      </c>
      <c r="AJ81" s="352">
        <f t="shared" si="233"/>
        <v>1.1924815035541678</v>
      </c>
      <c r="AK81" s="352">
        <f t="shared" si="233"/>
        <v>1.1422225676749971</v>
      </c>
      <c r="AL81" s="352">
        <f t="shared" si="233"/>
        <v>1.1537447908318668</v>
      </c>
      <c r="AM81" s="353"/>
      <c r="AN81" s="352" t="str">
        <f t="shared" ref="AN81:BC81" si="235">IF(ISERR(AN23/AN44),"-",AN23/AN44)</f>
        <v>-</v>
      </c>
      <c r="AO81" s="352" t="str">
        <f t="shared" si="235"/>
        <v>-</v>
      </c>
      <c r="AP81" s="352" t="str">
        <f t="shared" si="235"/>
        <v>-</v>
      </c>
      <c r="AQ81" s="352" t="str">
        <f t="shared" si="235"/>
        <v>-</v>
      </c>
      <c r="AR81" s="352" t="str">
        <f t="shared" si="235"/>
        <v>-</v>
      </c>
      <c r="AS81" s="352" t="str">
        <f t="shared" si="235"/>
        <v>-</v>
      </c>
      <c r="AT81" s="352" t="str">
        <f t="shared" si="235"/>
        <v>-</v>
      </c>
      <c r="AU81" s="352" t="str">
        <f t="shared" si="235"/>
        <v>-</v>
      </c>
      <c r="AV81" s="352" t="str">
        <f t="shared" si="235"/>
        <v>-</v>
      </c>
      <c r="AW81" s="352" t="str">
        <f t="shared" si="235"/>
        <v>-</v>
      </c>
      <c r="AX81" s="352" t="str">
        <f t="shared" si="235"/>
        <v>-</v>
      </c>
      <c r="AY81" s="352" t="str">
        <f t="shared" si="235"/>
        <v>-</v>
      </c>
      <c r="AZ81" s="352" t="str">
        <f t="shared" si="235"/>
        <v>-</v>
      </c>
      <c r="BA81" s="352" t="str">
        <f t="shared" si="235"/>
        <v>-</v>
      </c>
      <c r="BB81" s="352" t="str">
        <f t="shared" si="235"/>
        <v>-</v>
      </c>
      <c r="BC81" s="352" t="str">
        <f t="shared" si="235"/>
        <v>-</v>
      </c>
      <c r="BD81" s="353"/>
      <c r="BE81" s="352">
        <f t="shared" ref="BE81:BS81" si="236">IF(ISERR(BE23/BE44),"-",BE23/BE44)</f>
        <v>1.4584475507125163</v>
      </c>
      <c r="BF81" s="352">
        <f t="shared" si="236"/>
        <v>1.5636506119628164</v>
      </c>
      <c r="BG81" s="352">
        <f t="shared" si="236"/>
        <v>1.6319079553703699</v>
      </c>
      <c r="BH81" s="352">
        <f t="shared" si="236"/>
        <v>1.5682041982313999</v>
      </c>
      <c r="BI81" s="352">
        <f t="shared" si="236"/>
        <v>1.4926203687598831</v>
      </c>
      <c r="BJ81" s="352">
        <f t="shared" si="236"/>
        <v>1.3509380278131768</v>
      </c>
      <c r="BK81" s="352">
        <f t="shared" si="236"/>
        <v>1.2365925766375776</v>
      </c>
      <c r="BL81" s="352">
        <f t="shared" si="236"/>
        <v>1.1537447908318668</v>
      </c>
      <c r="BM81" s="352">
        <f t="shared" si="236"/>
        <v>1.2005614094585237</v>
      </c>
      <c r="BN81" s="352">
        <f t="shared" si="236"/>
        <v>1.1621231323810075</v>
      </c>
      <c r="BO81" s="352">
        <f t="shared" si="236"/>
        <v>1.1244503480603318</v>
      </c>
      <c r="BP81" s="352">
        <f t="shared" si="236"/>
        <v>1.090818527283447</v>
      </c>
      <c r="BQ81" s="352">
        <f t="shared" si="236"/>
        <v>1.0567026736178076</v>
      </c>
      <c r="BR81" s="352">
        <f t="shared" si="236"/>
        <v>1.0223282176633768</v>
      </c>
      <c r="BS81" s="352">
        <f t="shared" si="236"/>
        <v>0.98719787348094634</v>
      </c>
      <c r="BT81" s="203"/>
      <c r="BU81" s="203"/>
    </row>
    <row r="82" spans="1:73" ht="12.75" customHeight="1" x14ac:dyDescent="0.35">
      <c r="A82" s="200"/>
      <c r="B82" s="332"/>
      <c r="C82" s="332"/>
      <c r="D82" s="332" t="s">
        <v>297</v>
      </c>
      <c r="E82" s="332"/>
      <c r="F82" s="332"/>
      <c r="G82" s="332"/>
      <c r="H82" s="332"/>
      <c r="I82" s="332"/>
      <c r="J82" s="332"/>
      <c r="K82" s="441">
        <f t="shared" ref="K82:AL82" si="237">+IF(ISERR(K79*K80*K81),"-",K79*K80*K81)</f>
        <v>0</v>
      </c>
      <c r="L82" s="441">
        <f t="shared" si="237"/>
        <v>2.0471654392404209E-2</v>
      </c>
      <c r="M82" s="441">
        <f t="shared" si="237"/>
        <v>8.2442732089222981E-2</v>
      </c>
      <c r="N82" s="441">
        <f t="shared" si="237"/>
        <v>-3.2314886114187209E-2</v>
      </c>
      <c r="O82" s="441">
        <f t="shared" si="237"/>
        <v>2.3257167685687828E-2</v>
      </c>
      <c r="P82" s="441">
        <f t="shared" si="237"/>
        <v>4.8219442085009917E-2</v>
      </c>
      <c r="Q82" s="441">
        <f t="shared" si="237"/>
        <v>0.1338615820861917</v>
      </c>
      <c r="R82" s="441">
        <f t="shared" si="237"/>
        <v>-1.3550768854216579E-2</v>
      </c>
      <c r="S82" s="441">
        <f t="shared" si="237"/>
        <v>8.9106256694586425E-2</v>
      </c>
      <c r="T82" s="441">
        <f t="shared" si="237"/>
        <v>1.4151244371013578E-2</v>
      </c>
      <c r="U82" s="441">
        <f t="shared" si="237"/>
        <v>6.5976342961544865E-2</v>
      </c>
      <c r="V82" s="441">
        <f t="shared" si="237"/>
        <v>-1.6600891256791716E-2</v>
      </c>
      <c r="W82" s="441">
        <f t="shared" si="237"/>
        <v>0.21061312576722929</v>
      </c>
      <c r="X82" s="441">
        <f t="shared" si="237"/>
        <v>0.20210101752852161</v>
      </c>
      <c r="Y82" s="441">
        <f t="shared" si="237"/>
        <v>0.23884167556452693</v>
      </c>
      <c r="Z82" s="441">
        <f t="shared" si="237"/>
        <v>0.11385392103529164</v>
      </c>
      <c r="AA82" s="441">
        <f t="shared" si="237"/>
        <v>0.17863952103418063</v>
      </c>
      <c r="AB82" s="441">
        <f t="shared" ref="AB82" si="238">+IF(ISERR(AB79*AB80*AB81),"-",AB79*AB80*AB81)</f>
        <v>0.20567837401735925</v>
      </c>
      <c r="AC82" s="441">
        <f t="shared" si="237"/>
        <v>0.22484364057158823</v>
      </c>
      <c r="AD82" s="441">
        <f t="shared" si="237"/>
        <v>5.2539817629972903E-2</v>
      </c>
      <c r="AE82" s="441">
        <f t="shared" si="237"/>
        <v>0.19893908346635153</v>
      </c>
      <c r="AF82" s="441">
        <f t="shared" si="237"/>
        <v>0.18331999297644078</v>
      </c>
      <c r="AG82" s="441">
        <f t="shared" si="237"/>
        <v>0.22758080559094312</v>
      </c>
      <c r="AH82" s="441">
        <f t="shared" si="237"/>
        <v>5.6483394951098741E-2</v>
      </c>
      <c r="AI82" s="441">
        <f t="shared" si="237"/>
        <v>0.1975067938884244</v>
      </c>
      <c r="AJ82" s="441">
        <f t="shared" si="237"/>
        <v>0.18147452101008227</v>
      </c>
      <c r="AK82" s="441">
        <f t="shared" si="237"/>
        <v>0.22944435807984911</v>
      </c>
      <c r="AL82" s="441">
        <f t="shared" si="237"/>
        <v>5.7171148078468965E-2</v>
      </c>
      <c r="AM82" s="441"/>
      <c r="AN82" s="441" t="str">
        <f t="shared" ref="AN82" si="239">+IF(ISERR(AN79*AN80*AN81),"-",AN79*AN80*AN81)</f>
        <v>-</v>
      </c>
      <c r="AO82" s="441" t="str">
        <f t="shared" ref="AO82:AY82" si="240">+IF(ISERR(AO79*AO80*AO81),"-",AO79*AO80*AO81)</f>
        <v>-</v>
      </c>
      <c r="AP82" s="441" t="str">
        <f t="shared" si="240"/>
        <v>-</v>
      </c>
      <c r="AQ82" s="441" t="str">
        <f t="shared" si="240"/>
        <v>-</v>
      </c>
      <c r="AR82" s="441" t="str">
        <f t="shared" si="240"/>
        <v>-</v>
      </c>
      <c r="AS82" s="441" t="str">
        <f t="shared" si="240"/>
        <v>-</v>
      </c>
      <c r="AT82" s="441" t="str">
        <f t="shared" si="240"/>
        <v>-</v>
      </c>
      <c r="AU82" s="441" t="str">
        <f t="shared" si="240"/>
        <v>-</v>
      </c>
      <c r="AV82" s="441" t="str">
        <f t="shared" si="240"/>
        <v>-</v>
      </c>
      <c r="AW82" s="441" t="str">
        <f t="shared" si="240"/>
        <v>-</v>
      </c>
      <c r="AX82" s="441" t="str">
        <f t="shared" si="240"/>
        <v>-</v>
      </c>
      <c r="AY82" s="441" t="str">
        <f t="shared" si="240"/>
        <v>-</v>
      </c>
      <c r="AZ82" s="441" t="str">
        <f t="shared" ref="AZ82:BC82" si="241">+IF(ISERR(AZ79*AZ80*AZ81),"-",AZ79*AZ80*AZ81)</f>
        <v>-</v>
      </c>
      <c r="BA82" s="441" t="str">
        <f t="shared" si="241"/>
        <v>-</v>
      </c>
      <c r="BB82" s="441" t="str">
        <f t="shared" si="241"/>
        <v>-</v>
      </c>
      <c r="BC82" s="441" t="str">
        <f t="shared" si="241"/>
        <v>-</v>
      </c>
      <c r="BD82" s="441"/>
      <c r="BE82" s="441">
        <f t="shared" ref="BE82:BS82" si="242">+IF(ISERR(BE79*BE80*BE81),"-",BE79*BE80*BE81)</f>
        <v>0.17172424556503085</v>
      </c>
      <c r="BF82" s="441">
        <f t="shared" si="242"/>
        <v>0.21719413570170634</v>
      </c>
      <c r="BG82" s="441">
        <f t="shared" si="242"/>
        <v>0.2287083927595808</v>
      </c>
      <c r="BH82" s="441">
        <f t="shared" si="242"/>
        <v>0.18780974568071232</v>
      </c>
      <c r="BI82" s="441">
        <f t="shared" si="242"/>
        <v>0.1852214961776677</v>
      </c>
      <c r="BJ82" s="441">
        <f t="shared" si="242"/>
        <v>0.16089618549157614</v>
      </c>
      <c r="BK82" s="441">
        <f t="shared" si="242"/>
        <v>0.1619332126695241</v>
      </c>
      <c r="BL82" s="441">
        <f t="shared" si="242"/>
        <v>0.1630040732504498</v>
      </c>
      <c r="BM82" s="441">
        <f t="shared" si="242"/>
        <v>0.17992571858681852</v>
      </c>
      <c r="BN82" s="441">
        <f t="shared" si="242"/>
        <v>0.17504542242748017</v>
      </c>
      <c r="BO82" s="441">
        <f t="shared" si="242"/>
        <v>0.16956665845380367</v>
      </c>
      <c r="BP82" s="441">
        <f t="shared" si="242"/>
        <v>0.16445385900859893</v>
      </c>
      <c r="BQ82" s="441">
        <f t="shared" si="242"/>
        <v>0.15721713474430557</v>
      </c>
      <c r="BR82" s="441">
        <f t="shared" si="242"/>
        <v>0.14896979571910454</v>
      </c>
      <c r="BS82" s="441">
        <f t="shared" si="242"/>
        <v>0.1405591087652934</v>
      </c>
      <c r="BT82" s="203"/>
      <c r="BU82" s="203"/>
    </row>
    <row r="83" spans="1:73" ht="12.75" customHeight="1" x14ac:dyDescent="0.35">
      <c r="A83" s="200"/>
      <c r="B83" s="333"/>
      <c r="C83" s="333"/>
      <c r="D83" s="333"/>
      <c r="E83" s="333"/>
      <c r="F83" s="147"/>
      <c r="G83" s="147"/>
      <c r="H83" s="147"/>
      <c r="I83" s="147"/>
      <c r="J83" s="147"/>
      <c r="K83" s="352"/>
      <c r="L83" s="352"/>
      <c r="M83" s="352"/>
      <c r="N83" s="352"/>
      <c r="O83" s="352"/>
      <c r="P83" s="352"/>
      <c r="Q83" s="352"/>
      <c r="R83" s="352"/>
      <c r="S83" s="352"/>
      <c r="T83" s="352"/>
      <c r="U83" s="352"/>
      <c r="V83" s="352"/>
      <c r="W83" s="352"/>
      <c r="X83" s="352"/>
      <c r="Y83" s="352"/>
      <c r="Z83" s="352"/>
      <c r="AA83" s="352"/>
      <c r="AB83" s="352"/>
      <c r="AC83" s="352"/>
      <c r="AD83" s="352"/>
      <c r="AE83" s="352"/>
      <c r="AF83" s="352"/>
      <c r="AG83" s="352"/>
      <c r="AH83" s="352"/>
      <c r="AI83" s="352"/>
      <c r="AJ83" s="352"/>
      <c r="AK83" s="352"/>
      <c r="AL83" s="352"/>
      <c r="AM83" s="353"/>
      <c r="AN83" s="352"/>
      <c r="AO83" s="352"/>
      <c r="AP83" s="352"/>
      <c r="AQ83" s="352"/>
      <c r="AR83" s="352"/>
      <c r="AS83" s="352"/>
      <c r="AT83" s="352"/>
      <c r="AU83" s="352"/>
      <c r="AV83" s="352"/>
      <c r="AW83" s="352"/>
      <c r="AX83" s="352"/>
      <c r="AY83" s="352"/>
      <c r="AZ83" s="352"/>
      <c r="BA83" s="352"/>
      <c r="BB83" s="352"/>
      <c r="BC83" s="352"/>
      <c r="BD83" s="353"/>
      <c r="BE83" s="352"/>
      <c r="BF83" s="352"/>
      <c r="BG83" s="352"/>
      <c r="BH83" s="352"/>
      <c r="BI83" s="352"/>
      <c r="BJ83" s="352"/>
      <c r="BK83" s="352"/>
      <c r="BL83" s="352"/>
      <c r="BM83" s="353"/>
      <c r="BN83" s="353"/>
      <c r="BO83" s="353"/>
      <c r="BP83" s="353"/>
      <c r="BQ83" s="353"/>
      <c r="BR83" s="353"/>
      <c r="BS83" s="353"/>
      <c r="BT83" s="203"/>
      <c r="BU83" s="203"/>
    </row>
    <row r="84" spans="1:73" ht="12.75" customHeight="1" x14ac:dyDescent="0.35">
      <c r="A84" s="200"/>
      <c r="B84" s="333"/>
      <c r="C84" s="333" t="s">
        <v>298</v>
      </c>
      <c r="D84" s="333"/>
      <c r="E84" s="333"/>
      <c r="F84" s="147"/>
      <c r="G84" s="147"/>
      <c r="H84" s="147"/>
      <c r="I84" s="147"/>
      <c r="J84" s="147"/>
      <c r="K84" s="352">
        <f>IF(ISERR(SUM(PnL!K50:N50)/BS!K44),"-",SUM(PnL!K50:N50)/BS!K44)</f>
        <v>0</v>
      </c>
      <c r="L84" s="352">
        <f>IF(ISERR(SUM(PnL!L50:O50)/BS!L44),"-",SUM(PnL!L50:O50)/BS!L44)</f>
        <v>0</v>
      </c>
      <c r="M84" s="352">
        <f>IF(ISERR(SUM(PnL!M50:P50)/BS!M44),"-",SUM(PnL!M50:P50)/BS!M44)</f>
        <v>0</v>
      </c>
      <c r="N84" s="352">
        <f>IF(ISERR(SUM(PnL!N50:Q50)/BS!N44),"-",SUM(PnL!N50:Q50)/BS!N44)</f>
        <v>0</v>
      </c>
      <c r="O84" s="352">
        <f>IF(ISERR(SUM(PnL!O50:R50)/BS!O44),"-",SUM(PnL!O50:R50)/BS!O44)</f>
        <v>0</v>
      </c>
      <c r="P84" s="352">
        <f>IF(ISERR(SUM(PnL!P50:S50)/BS!P44),"-",SUM(PnL!P50:S50)/BS!P44)</f>
        <v>0</v>
      </c>
      <c r="Q84" s="352">
        <f>IF(ISERR(SUM(PnL!Q50:T50)/BS!Q44),"-",SUM(PnL!Q50:T50)/BS!Q44)</f>
        <v>0</v>
      </c>
      <c r="R84" s="352">
        <f>IF(ISERR(SUM(PnL!R50:U50)/BS!R44),"-",SUM(PnL!R50:U50)/BS!R44)</f>
        <v>0</v>
      </c>
      <c r="S84" s="352">
        <f>IF(ISERR(SUM(PnL!S50:V50)/BS!S44),"-",SUM(PnL!S50:V50)/BS!S44)</f>
        <v>0</v>
      </c>
      <c r="T84" s="352">
        <f>IF(ISERR(SUM(PnL!T50:W50)/BS!T44),"-",SUM(PnL!T50:W50)/BS!T44)</f>
        <v>0</v>
      </c>
      <c r="U84" s="352">
        <f>IF(ISERR(SUM(PnL!U50:X50)/BS!U44),"-",SUM(PnL!U50:X50)/BS!U44)</f>
        <v>0</v>
      </c>
      <c r="V84" s="352">
        <f>IF(ISERR(SUM(PnL!V50:Y50)/BS!V44),"-",SUM(PnL!V50:Y50)/BS!V44)</f>
        <v>0</v>
      </c>
      <c r="W84" s="352">
        <f>SUM(PnL!W41:Z41)/W44</f>
        <v>0.23165859761230403</v>
      </c>
      <c r="X84" s="352">
        <f>SUM(PnL!X41:AA41)/X44</f>
        <v>0.24118328462068028</v>
      </c>
      <c r="Y84" s="352">
        <f>SUM(PnL!Y41:AB41)/Y44</f>
        <v>0.15200262942417916</v>
      </c>
      <c r="Z84" s="352">
        <f>SUM(PnL!Z41:AC41)/Z44</f>
        <v>0.15552007225815562</v>
      </c>
      <c r="AA84" s="352">
        <f>SUM(PnL!AA41:AD41)/AA44</f>
        <v>0.1554546754174134</v>
      </c>
      <c r="AB84" s="352">
        <f>SUM(PnL!AB41:AE41)/AB44</f>
        <v>0.15158244398064935</v>
      </c>
      <c r="AC84" s="352">
        <f>SUM(PnL!AC41:AF41)/AC44</f>
        <v>0.14033347555650946</v>
      </c>
      <c r="AD84" s="352">
        <f>SUM(PnL!AD41:AG41)/AD44</f>
        <v>0.14357008057536474</v>
      </c>
      <c r="AE84" s="352">
        <f>SUM(PnL!AE41:AH41)/AE44</f>
        <v>0.13714915141171477</v>
      </c>
      <c r="AF84" s="352" t="e">
        <f>SUM(PnL!AF41:BC41)/AF44</f>
        <v>#DIV/0!</v>
      </c>
      <c r="AG84" s="352" t="e">
        <f>SUM(PnL!AG41:BD41)/AG44</f>
        <v>#DIV/0!</v>
      </c>
      <c r="AH84" s="352" t="e">
        <f>SUM(PnL!AH41:BE41)/AH44</f>
        <v>#DIV/0!</v>
      </c>
      <c r="AI84" s="352" t="e">
        <f>SUM(PnL!AI41:BF41)/AI44</f>
        <v>#DIV/0!</v>
      </c>
      <c r="AJ84" s="352" t="e">
        <f>SUM(PnL!AJ41:BG41)/AJ44</f>
        <v>#DIV/0!</v>
      </c>
      <c r="AK84" s="352" t="e">
        <f>SUM(PnL!AK41:BH41)/AK44</f>
        <v>#DIV/0!</v>
      </c>
      <c r="AL84" s="352" t="e">
        <f>SUM(PnL!AL41:BI41)/AL44</f>
        <v>#DIV/0!</v>
      </c>
      <c r="AM84" s="353"/>
      <c r="AN84" s="352" t="str">
        <f>IF(ISERR(SUM(PnL!AN41:AO41)/AN44),"-",SUM(PnL!AN41:AO41)/AN44)</f>
        <v>-</v>
      </c>
      <c r="AO84" s="352" t="str">
        <f>IF(ISERR(SUM(PnL!AO41:AP41)/AO44),"-",SUM(PnL!AO41:AP41)/AO44)</f>
        <v>-</v>
      </c>
      <c r="AP84" s="352" t="str">
        <f>IF(ISERR(SUM(PnL!AP41:AQ41)/AP44),"-",SUM(PnL!AP41:AQ41)/AP44)</f>
        <v>-</v>
      </c>
      <c r="AQ84" s="352" t="str">
        <f>IF(ISERR(SUM(PnL!AQ41:AR41)/AQ44),"-",SUM(PnL!AQ41:AR41)/AQ44)</f>
        <v>-</v>
      </c>
      <c r="AR84" s="352" t="str">
        <f>IF(ISERR(SUM(PnL!AR41:AS41)/AR44),"-",SUM(PnL!AR41:AS41)/AR44)</f>
        <v>-</v>
      </c>
      <c r="AS84" s="352" t="str">
        <f>IF(ISERR(SUM(PnL!AS41:AT41)/AS44),"-",SUM(PnL!AS41:AT41)/AS44)</f>
        <v>-</v>
      </c>
      <c r="AT84" s="352" t="str">
        <f>IF(ISERR(SUM(PnL!AT41:AU41)/AT44),"-",SUM(PnL!AT41:AU41)/AT44)</f>
        <v>-</v>
      </c>
      <c r="AU84" s="352" t="str">
        <f>IF(ISERR(SUM(PnL!AU41:AV41)/AU44),"-",SUM(PnL!AU41:AV41)/AU44)</f>
        <v>-</v>
      </c>
      <c r="AV84" s="352" t="str">
        <f>IF(ISERR(SUM(PnL!AV41:AW41)/AV44),"-",SUM(PnL!AV41:AW41)/AV44)</f>
        <v>-</v>
      </c>
      <c r="AW84" s="352" t="str">
        <f>IF(ISERR(SUM(PnL!AW41:AX41)/AW44),"-",SUM(PnL!AW41:AX41)/AW44)</f>
        <v>-</v>
      </c>
      <c r="AX84" s="352" t="str">
        <f>IF(ISERR(SUM(PnL!AX41:AY41)/AX44),"-",SUM(PnL!AX41:AY41)/AX44)</f>
        <v>-</v>
      </c>
      <c r="AY84" s="352" t="str">
        <f>IF(ISERR(SUM(PnL!AY41:AZ41)/AY44),"-",SUM(PnL!AY41:AZ41)/AY44)</f>
        <v>-</v>
      </c>
      <c r="AZ84" s="352" t="str">
        <f>IF(ISERR(SUM(PnL!AZ41:BA41)/AZ44),"-",SUM(PnL!AZ41:BA41)/AZ44)</f>
        <v>-</v>
      </c>
      <c r="BA84" s="352" t="str">
        <f>IF(ISERR(SUM(PnL!BA41:BB41)/BA44),"-",SUM(PnL!BA41:BB41)/BA44)</f>
        <v>-</v>
      </c>
      <c r="BB84" s="352" t="str">
        <f>IF(ISERR(SUM(PnL!BB41:BC41)/BB44),"-",SUM(PnL!BB41:BC41)/BB44)</f>
        <v>-</v>
      </c>
      <c r="BC84" s="352" t="str">
        <f>IF(ISERR(SUM(PnL!BC41:BD41)/BC44),"-",SUM(PnL!BC41:BD41)/BC44)</f>
        <v>-</v>
      </c>
      <c r="BD84" s="353"/>
      <c r="BE84" s="352">
        <f>PnL!BE41/BS!BE44</f>
        <v>0.28596696933438448</v>
      </c>
      <c r="BF84" s="352">
        <f>PnL!BF41/BS!BF44</f>
        <v>0.13474905976471749</v>
      </c>
      <c r="BG84" s="352">
        <f>PnL!BG41/BS!BG44</f>
        <v>0.14585187022544654</v>
      </c>
      <c r="BH84" s="352">
        <f>PnL!BH41/BS!BH44</f>
        <v>0.14281071559728437</v>
      </c>
      <c r="BI84" s="352">
        <f>PnL!BI41/BS!BI44</f>
        <v>0.16987759918422193</v>
      </c>
      <c r="BJ84" s="352">
        <f>PnL!BJ41/BS!BJ44</f>
        <v>0.13701507448468425</v>
      </c>
      <c r="BK84" s="352">
        <f>PnL!BK41/BS!BK44</f>
        <v>0.12580559750504797</v>
      </c>
      <c r="BL84" s="352">
        <f>PnL!BL41/BS!BL44</f>
        <v>0.11822087587817709</v>
      </c>
      <c r="BM84" s="352">
        <f>PnL!BM41/BS!BM44</f>
        <v>0.11794547330595982</v>
      </c>
      <c r="BN84" s="352">
        <f>PnL!BN41/BS!BN44</f>
        <v>0.11588529114703347</v>
      </c>
      <c r="BO84" s="352">
        <f>PnL!BO41/BS!BO44</f>
        <v>0.11221564934953117</v>
      </c>
      <c r="BP84" s="352">
        <f>PnL!BP41/BS!BP44</f>
        <v>0.10740720681768794</v>
      </c>
      <c r="BQ84" s="352">
        <f>PnL!BQ41/BS!BQ44</f>
        <v>0.10194588706584047</v>
      </c>
      <c r="BR84" s="352">
        <f>PnL!BR41/BS!BR44</f>
        <v>9.6238905708605951E-2</v>
      </c>
      <c r="BS84" s="352">
        <f>PnL!BS41/BS!BS44</f>
        <v>9.0544151652024452E-2</v>
      </c>
      <c r="BT84" s="203"/>
      <c r="BU84" s="203"/>
    </row>
    <row r="85" spans="1:73" ht="12.75" customHeight="1" x14ac:dyDescent="0.35">
      <c r="A85" s="200"/>
      <c r="B85" s="334"/>
      <c r="C85" s="334"/>
      <c r="D85" s="334"/>
      <c r="E85" s="334"/>
      <c r="F85" s="147"/>
      <c r="G85" s="147"/>
      <c r="H85" s="147"/>
      <c r="I85" s="147"/>
      <c r="J85" s="147"/>
      <c r="K85" s="354"/>
      <c r="L85" s="354"/>
      <c r="M85" s="354"/>
      <c r="N85" s="354"/>
      <c r="O85" s="354"/>
      <c r="P85" s="354"/>
      <c r="Q85" s="354"/>
      <c r="R85" s="354"/>
      <c r="S85" s="354"/>
      <c r="T85" s="354"/>
      <c r="U85" s="354"/>
      <c r="V85" s="354"/>
      <c r="W85" s="354"/>
      <c r="X85" s="354"/>
      <c r="Y85" s="354"/>
      <c r="Z85" s="354"/>
      <c r="AA85" s="354"/>
      <c r="AB85" s="354"/>
      <c r="AC85" s="354"/>
      <c r="AD85" s="354"/>
      <c r="AE85" s="354"/>
      <c r="AF85" s="354"/>
      <c r="AG85" s="354"/>
      <c r="AH85" s="354"/>
      <c r="AI85" s="354"/>
      <c r="AJ85" s="354"/>
      <c r="AK85" s="354"/>
      <c r="AL85" s="354"/>
      <c r="AM85" s="203"/>
      <c r="AN85" s="354"/>
      <c r="AO85" s="354"/>
      <c r="AP85" s="354"/>
      <c r="AQ85" s="354"/>
      <c r="AR85" s="354"/>
      <c r="AS85" s="354"/>
      <c r="AT85" s="354"/>
      <c r="AU85" s="354"/>
      <c r="AV85" s="354"/>
      <c r="AW85" s="354"/>
      <c r="AX85" s="354"/>
      <c r="AY85" s="354"/>
      <c r="AZ85" s="354"/>
      <c r="BA85" s="354"/>
      <c r="BB85" s="354"/>
      <c r="BC85" s="354"/>
      <c r="BD85" s="203"/>
      <c r="BE85" s="201"/>
      <c r="BF85" s="201"/>
      <c r="BG85" s="201"/>
      <c r="BH85" s="201"/>
      <c r="BI85" s="201"/>
      <c r="BJ85" s="201"/>
      <c r="BK85" s="201"/>
      <c r="BL85" s="201"/>
      <c r="BM85" s="203"/>
      <c r="BN85" s="203"/>
      <c r="BO85" s="203"/>
      <c r="BP85" s="203"/>
      <c r="BQ85" s="203"/>
      <c r="BR85" s="203"/>
      <c r="BS85" s="203"/>
      <c r="BT85" s="203"/>
      <c r="BU85" s="203"/>
    </row>
    <row r="86" spans="1:73" ht="12.75" customHeight="1" x14ac:dyDescent="0.35">
      <c r="A86" s="200"/>
      <c r="B86" s="336" t="s">
        <v>299</v>
      </c>
      <c r="C86" s="336"/>
      <c r="D86" s="336"/>
      <c r="E86" s="336"/>
      <c r="F86" s="147"/>
      <c r="G86" s="147"/>
      <c r="H86" s="147"/>
      <c r="I86" s="147"/>
      <c r="J86" s="147"/>
      <c r="K86" s="355"/>
      <c r="L86" s="355"/>
      <c r="M86" s="355"/>
      <c r="N86" s="355"/>
      <c r="O86" s="355"/>
      <c r="P86" s="355"/>
      <c r="Q86" s="355"/>
      <c r="R86" s="355"/>
      <c r="S86" s="355"/>
      <c r="T86" s="355"/>
      <c r="U86" s="355"/>
      <c r="V86" s="355"/>
      <c r="W86" s="355"/>
      <c r="X86" s="355"/>
      <c r="Y86" s="355"/>
      <c r="Z86" s="355"/>
      <c r="AA86" s="355"/>
      <c r="AB86" s="355"/>
      <c r="AC86" s="355"/>
      <c r="AD86" s="355"/>
      <c r="AE86" s="355"/>
      <c r="AF86" s="355"/>
      <c r="AG86" s="355"/>
      <c r="AH86" s="355"/>
      <c r="AI86" s="355"/>
      <c r="AJ86" s="355"/>
      <c r="AK86" s="355"/>
      <c r="AL86" s="355"/>
      <c r="AM86" s="356"/>
      <c r="AN86" s="355"/>
      <c r="AO86" s="355"/>
      <c r="AP86" s="355"/>
      <c r="AQ86" s="355"/>
      <c r="AR86" s="355"/>
      <c r="AS86" s="355"/>
      <c r="AT86" s="355"/>
      <c r="AU86" s="355"/>
      <c r="AV86" s="355"/>
      <c r="AW86" s="355"/>
      <c r="AX86" s="355"/>
      <c r="AY86" s="355"/>
      <c r="AZ86" s="355"/>
      <c r="BA86" s="355"/>
      <c r="BB86" s="355"/>
      <c r="BC86" s="355"/>
      <c r="BD86" s="356"/>
      <c r="BE86" s="355"/>
      <c r="BF86" s="355"/>
      <c r="BG86" s="355"/>
      <c r="BH86" s="355"/>
      <c r="BI86" s="355"/>
      <c r="BJ86" s="355"/>
      <c r="BK86" s="355"/>
      <c r="BL86" s="355"/>
      <c r="BM86" s="356"/>
      <c r="BN86" s="356"/>
      <c r="BO86" s="356"/>
      <c r="BP86" s="356"/>
      <c r="BQ86" s="356"/>
      <c r="BR86" s="356"/>
      <c r="BS86" s="356"/>
      <c r="BT86" s="203"/>
      <c r="BU86" s="203"/>
    </row>
    <row r="87" spans="1:73" ht="12.75" customHeight="1" x14ac:dyDescent="0.35">
      <c r="A87" s="200"/>
      <c r="B87" s="333"/>
      <c r="C87" s="333" t="s">
        <v>300</v>
      </c>
      <c r="D87" s="333"/>
      <c r="E87" s="333"/>
      <c r="F87" s="147"/>
      <c r="G87" s="147"/>
      <c r="H87" s="147"/>
      <c r="I87" s="147"/>
      <c r="J87" s="147"/>
      <c r="K87" s="355">
        <f t="shared" ref="K87:AL87" si="243">IF(ISERR(K36/K23),"-",K36/K23)</f>
        <v>0.35825548210844693</v>
      </c>
      <c r="L87" s="355">
        <f t="shared" si="243"/>
        <v>0.35786433889422042</v>
      </c>
      <c r="M87" s="355">
        <f t="shared" si="243"/>
        <v>0.36936149580537253</v>
      </c>
      <c r="N87" s="355">
        <f t="shared" si="243"/>
        <v>0.36047094386083994</v>
      </c>
      <c r="O87" s="355">
        <f t="shared" si="243"/>
        <v>0.36656955678904718</v>
      </c>
      <c r="P87" s="355">
        <f t="shared" si="243"/>
        <v>0.36422988680497009</v>
      </c>
      <c r="Q87" s="355">
        <f t="shared" si="243"/>
        <v>0.39565552294527095</v>
      </c>
      <c r="R87" s="355">
        <f t="shared" si="243"/>
        <v>0.38722034125200105</v>
      </c>
      <c r="S87" s="355">
        <f t="shared" si="243"/>
        <v>0.40282202489889063</v>
      </c>
      <c r="T87" s="355">
        <f t="shared" si="243"/>
        <v>0.39213377838832059</v>
      </c>
      <c r="U87" s="355">
        <f t="shared" si="243"/>
        <v>0.38113041877327897</v>
      </c>
      <c r="V87" s="355">
        <f t="shared" si="243"/>
        <v>0.36232794101189958</v>
      </c>
      <c r="W87" s="355">
        <f t="shared" si="243"/>
        <v>0.3668798473579139</v>
      </c>
      <c r="X87" s="355">
        <f t="shared" si="243"/>
        <v>0.37241166390847696</v>
      </c>
      <c r="Y87" s="355">
        <f t="shared" si="243"/>
        <v>0.34284707407000403</v>
      </c>
      <c r="Z87" s="355">
        <f t="shared" si="243"/>
        <v>0.33003728146170747</v>
      </c>
      <c r="AA87" s="355">
        <f t="shared" si="243"/>
        <v>0.32186853854541814</v>
      </c>
      <c r="AB87" s="355">
        <f t="shared" ref="AB87" si="244">IF(ISERR(AB36/AB23),"-",AB36/AB23)</f>
        <v>0.31556556591468066</v>
      </c>
      <c r="AC87" s="355">
        <f t="shared" si="243"/>
        <v>0.25646047201459538</v>
      </c>
      <c r="AD87" s="355">
        <f t="shared" si="243"/>
        <v>0.25977359478232742</v>
      </c>
      <c r="AE87" s="355">
        <f t="shared" si="243"/>
        <v>0.22963365879670936</v>
      </c>
      <c r="AF87" s="355">
        <f t="shared" si="243"/>
        <v>0.22741963797397893</v>
      </c>
      <c r="AG87" s="355">
        <f t="shared" si="243"/>
        <v>0.18956818897444797</v>
      </c>
      <c r="AH87" s="355">
        <f t="shared" si="243"/>
        <v>0.19132621455718041</v>
      </c>
      <c r="AI87" s="355">
        <f t="shared" si="243"/>
        <v>0.1629153831366279</v>
      </c>
      <c r="AJ87" s="355">
        <f t="shared" si="243"/>
        <v>0.16141256948680568</v>
      </c>
      <c r="AK87" s="355">
        <f t="shared" si="243"/>
        <v>0.12451388345836334</v>
      </c>
      <c r="AL87" s="355">
        <f t="shared" si="243"/>
        <v>0.13325719175816575</v>
      </c>
      <c r="AM87" s="356"/>
      <c r="AN87" s="355" t="str">
        <f t="shared" ref="AN87:BC87" si="245">IF(ISERR(AN36/AN23),"-",AN36/AN23)</f>
        <v>-</v>
      </c>
      <c r="AO87" s="355" t="str">
        <f t="shared" si="245"/>
        <v>-</v>
      </c>
      <c r="AP87" s="355" t="str">
        <f t="shared" si="245"/>
        <v>-</v>
      </c>
      <c r="AQ87" s="355" t="str">
        <f t="shared" si="245"/>
        <v>-</v>
      </c>
      <c r="AR87" s="355" t="str">
        <f t="shared" si="245"/>
        <v>-</v>
      </c>
      <c r="AS87" s="355" t="str">
        <f t="shared" si="245"/>
        <v>-</v>
      </c>
      <c r="AT87" s="355" t="str">
        <f t="shared" si="245"/>
        <v>-</v>
      </c>
      <c r="AU87" s="355" t="str">
        <f t="shared" si="245"/>
        <v>-</v>
      </c>
      <c r="AV87" s="355" t="str">
        <f t="shared" si="245"/>
        <v>-</v>
      </c>
      <c r="AW87" s="355" t="str">
        <f t="shared" si="245"/>
        <v>-</v>
      </c>
      <c r="AX87" s="355" t="str">
        <f t="shared" si="245"/>
        <v>-</v>
      </c>
      <c r="AY87" s="355" t="str">
        <f t="shared" si="245"/>
        <v>-</v>
      </c>
      <c r="AZ87" s="355" t="str">
        <f t="shared" si="245"/>
        <v>-</v>
      </c>
      <c r="BA87" s="355" t="str">
        <f t="shared" si="245"/>
        <v>-</v>
      </c>
      <c r="BB87" s="355" t="str">
        <f t="shared" si="245"/>
        <v>-</v>
      </c>
      <c r="BC87" s="355" t="str">
        <f t="shared" si="245"/>
        <v>-</v>
      </c>
      <c r="BD87" s="356"/>
      <c r="BE87" s="355">
        <f t="shared" ref="BE87:BS87" si="246">IF(ISERR(BE36/BE23),"-",BE36/BE23)</f>
        <v>0.31433941555768968</v>
      </c>
      <c r="BF87" s="355">
        <f t="shared" si="246"/>
        <v>0.36047094386083994</v>
      </c>
      <c r="BG87" s="355">
        <f t="shared" si="246"/>
        <v>0.38722034125200105</v>
      </c>
      <c r="BH87" s="355">
        <f t="shared" si="246"/>
        <v>0.36232794101189958</v>
      </c>
      <c r="BI87" s="355">
        <f t="shared" si="246"/>
        <v>0.33003728146170747</v>
      </c>
      <c r="BJ87" s="355">
        <f t="shared" si="246"/>
        <v>0.25977359478232742</v>
      </c>
      <c r="BK87" s="355">
        <f t="shared" si="246"/>
        <v>0.19132621455718041</v>
      </c>
      <c r="BL87" s="355">
        <f t="shared" si="246"/>
        <v>0.13325719175816575</v>
      </c>
      <c r="BM87" s="355">
        <f t="shared" si="246"/>
        <v>0.1670563520353206</v>
      </c>
      <c r="BN87" s="355">
        <f t="shared" si="246"/>
        <v>0.13950598509199502</v>
      </c>
      <c r="BO87" s="355">
        <f t="shared" si="246"/>
        <v>0.11067660593018419</v>
      </c>
      <c r="BP87" s="355">
        <f t="shared" si="246"/>
        <v>8.3257228413253712E-2</v>
      </c>
      <c r="BQ87" s="355">
        <f t="shared" si="246"/>
        <v>5.3660007714067676E-2</v>
      </c>
      <c r="BR87" s="355">
        <f t="shared" si="246"/>
        <v>2.1840556953822466E-2</v>
      </c>
      <c r="BS87" s="355">
        <f t="shared" si="246"/>
        <v>-1.2968146369594803E-2</v>
      </c>
      <c r="BT87" s="203"/>
      <c r="BU87" s="203"/>
    </row>
    <row r="88" spans="1:73" ht="12.75" customHeight="1" x14ac:dyDescent="0.35">
      <c r="A88" s="200"/>
      <c r="B88" s="333"/>
      <c r="C88" s="333" t="s">
        <v>301</v>
      </c>
      <c r="D88" s="333"/>
      <c r="E88" s="333"/>
      <c r="F88" s="147"/>
      <c r="G88" s="147"/>
      <c r="H88" s="147"/>
      <c r="I88" s="147"/>
      <c r="J88" s="147"/>
      <c r="K88" s="355">
        <f t="shared" ref="K88:AL88" si="247">IF(ISERR(K44/K23),"-",K44/K23)</f>
        <v>0.64174451789155307</v>
      </c>
      <c r="L88" s="355">
        <f t="shared" si="247"/>
        <v>0.64213566110577958</v>
      </c>
      <c r="M88" s="355">
        <f t="shared" si="247"/>
        <v>0.63063850419462741</v>
      </c>
      <c r="N88" s="355">
        <f t="shared" si="247"/>
        <v>0.63952905613916011</v>
      </c>
      <c r="O88" s="355">
        <f t="shared" si="247"/>
        <v>0.63343044321095276</v>
      </c>
      <c r="P88" s="355">
        <f t="shared" si="247"/>
        <v>0.63577011319502996</v>
      </c>
      <c r="Q88" s="355">
        <f t="shared" si="247"/>
        <v>0.60434447705472905</v>
      </c>
      <c r="R88" s="355">
        <f t="shared" si="247"/>
        <v>0.612779658747999</v>
      </c>
      <c r="S88" s="355">
        <f t="shared" si="247"/>
        <v>0.59717797510110937</v>
      </c>
      <c r="T88" s="355">
        <f t="shared" si="247"/>
        <v>0.60786622161167947</v>
      </c>
      <c r="U88" s="355">
        <f t="shared" si="247"/>
        <v>0.61886958122672109</v>
      </c>
      <c r="V88" s="355">
        <f t="shared" si="247"/>
        <v>0.63767205898810042</v>
      </c>
      <c r="W88" s="355">
        <f t="shared" si="247"/>
        <v>0.6331201526420861</v>
      </c>
      <c r="X88" s="355">
        <f t="shared" si="247"/>
        <v>0.62758833609152298</v>
      </c>
      <c r="Y88" s="355">
        <f t="shared" si="247"/>
        <v>0.65715292592999597</v>
      </c>
      <c r="Z88" s="355">
        <f t="shared" si="247"/>
        <v>0.66996271853829248</v>
      </c>
      <c r="AA88" s="355">
        <f t="shared" si="247"/>
        <v>0.67813146145458181</v>
      </c>
      <c r="AB88" s="355">
        <f t="shared" ref="AB88" si="248">IF(ISERR(AB44/AB23),"-",AB44/AB23)</f>
        <v>0.68443443408531934</v>
      </c>
      <c r="AC88" s="355">
        <f t="shared" si="247"/>
        <v>0.74353952798540457</v>
      </c>
      <c r="AD88" s="355">
        <f t="shared" si="247"/>
        <v>0.74022640521767258</v>
      </c>
      <c r="AE88" s="355">
        <f t="shared" si="247"/>
        <v>0.77036634120329062</v>
      </c>
      <c r="AF88" s="355">
        <f t="shared" si="247"/>
        <v>0.77258036202602098</v>
      </c>
      <c r="AG88" s="355">
        <f t="shared" si="247"/>
        <v>0.81043181102555206</v>
      </c>
      <c r="AH88" s="355">
        <f t="shared" si="247"/>
        <v>0.80867378544281965</v>
      </c>
      <c r="AI88" s="355">
        <f t="shared" si="247"/>
        <v>0.83708461686337221</v>
      </c>
      <c r="AJ88" s="355">
        <f t="shared" si="247"/>
        <v>0.83858743051319418</v>
      </c>
      <c r="AK88" s="355">
        <f t="shared" si="247"/>
        <v>0.87548611654163666</v>
      </c>
      <c r="AL88" s="355">
        <f t="shared" si="247"/>
        <v>0.86674280824183436</v>
      </c>
      <c r="AM88" s="356"/>
      <c r="AN88" s="355" t="str">
        <f t="shared" ref="AN88:BC88" si="249">IF(ISERR(AN44/AN23),"-",AN44/AN23)</f>
        <v>-</v>
      </c>
      <c r="AO88" s="355" t="str">
        <f t="shared" si="249"/>
        <v>-</v>
      </c>
      <c r="AP88" s="355" t="str">
        <f t="shared" si="249"/>
        <v>-</v>
      </c>
      <c r="AQ88" s="355" t="str">
        <f t="shared" si="249"/>
        <v>-</v>
      </c>
      <c r="AR88" s="355" t="str">
        <f t="shared" si="249"/>
        <v>-</v>
      </c>
      <c r="AS88" s="355" t="str">
        <f t="shared" si="249"/>
        <v>-</v>
      </c>
      <c r="AT88" s="355" t="str">
        <f t="shared" si="249"/>
        <v>-</v>
      </c>
      <c r="AU88" s="355" t="str">
        <f t="shared" si="249"/>
        <v>-</v>
      </c>
      <c r="AV88" s="355" t="str">
        <f t="shared" si="249"/>
        <v>-</v>
      </c>
      <c r="AW88" s="355" t="str">
        <f t="shared" si="249"/>
        <v>-</v>
      </c>
      <c r="AX88" s="355" t="str">
        <f t="shared" si="249"/>
        <v>-</v>
      </c>
      <c r="AY88" s="355" t="str">
        <f t="shared" si="249"/>
        <v>-</v>
      </c>
      <c r="AZ88" s="355" t="str">
        <f t="shared" si="249"/>
        <v>-</v>
      </c>
      <c r="BA88" s="355" t="str">
        <f t="shared" si="249"/>
        <v>-</v>
      </c>
      <c r="BB88" s="355" t="str">
        <f t="shared" si="249"/>
        <v>-</v>
      </c>
      <c r="BC88" s="355" t="str">
        <f t="shared" si="249"/>
        <v>-</v>
      </c>
      <c r="BD88" s="356"/>
      <c r="BE88" s="355">
        <f t="shared" ref="BE88:BS88" si="250">IF(ISERR(BE44/BE23),"-",BE44/BE23)</f>
        <v>0.68566058444231037</v>
      </c>
      <c r="BF88" s="355">
        <f t="shared" si="250"/>
        <v>0.63952905613916011</v>
      </c>
      <c r="BG88" s="355">
        <f t="shared" si="250"/>
        <v>0.612779658747999</v>
      </c>
      <c r="BH88" s="355">
        <f t="shared" si="250"/>
        <v>0.63767205898810042</v>
      </c>
      <c r="BI88" s="355">
        <f t="shared" si="250"/>
        <v>0.66996271853829248</v>
      </c>
      <c r="BJ88" s="355">
        <f t="shared" si="250"/>
        <v>0.74022640521767258</v>
      </c>
      <c r="BK88" s="355">
        <f t="shared" si="250"/>
        <v>0.80867378544281965</v>
      </c>
      <c r="BL88" s="355">
        <f t="shared" si="250"/>
        <v>0.86674280824183436</v>
      </c>
      <c r="BM88" s="355">
        <f t="shared" si="250"/>
        <v>0.83294364796467946</v>
      </c>
      <c r="BN88" s="355">
        <f t="shared" si="250"/>
        <v>0.86049401490800492</v>
      </c>
      <c r="BO88" s="355">
        <f t="shared" si="250"/>
        <v>0.88932339406981575</v>
      </c>
      <c r="BP88" s="355">
        <f t="shared" si="250"/>
        <v>0.91674277158674633</v>
      </c>
      <c r="BQ88" s="355">
        <f t="shared" si="250"/>
        <v>0.94633999228593224</v>
      </c>
      <c r="BR88" s="355">
        <f t="shared" si="250"/>
        <v>0.97815944304617763</v>
      </c>
      <c r="BS88" s="355">
        <f t="shared" si="250"/>
        <v>1.0129681463695948</v>
      </c>
      <c r="BT88" s="203"/>
      <c r="BU88" s="203"/>
    </row>
    <row r="89" spans="1:73" ht="12.75" customHeight="1" x14ac:dyDescent="0.35">
      <c r="A89" s="200"/>
      <c r="B89" s="333"/>
      <c r="C89" s="333" t="s">
        <v>302</v>
      </c>
      <c r="D89" s="333"/>
      <c r="E89" s="333"/>
      <c r="F89" s="147"/>
      <c r="G89" s="147"/>
      <c r="H89" s="147"/>
      <c r="I89" s="147"/>
      <c r="J89" s="147"/>
      <c r="K89" s="355">
        <f t="shared" ref="K89:AL89" si="251">IF(ISERR(K36/K44),"-",K36/K44)</f>
        <v>0.55825250098823243</v>
      </c>
      <c r="L89" s="355">
        <f t="shared" si="251"/>
        <v>0.55730332478025879</v>
      </c>
      <c r="M89" s="355">
        <f t="shared" si="251"/>
        <v>0.58569448796513746</v>
      </c>
      <c r="N89" s="355">
        <f t="shared" si="251"/>
        <v>0.56365061196281641</v>
      </c>
      <c r="O89" s="355">
        <f t="shared" si="251"/>
        <v>0.57870530334925452</v>
      </c>
      <c r="P89" s="355">
        <f t="shared" si="251"/>
        <v>0.57289557852059381</v>
      </c>
      <c r="Q89" s="355">
        <f t="shared" si="251"/>
        <v>0.65468542853820211</v>
      </c>
      <c r="R89" s="355">
        <f t="shared" si="251"/>
        <v>0.63190795537036992</v>
      </c>
      <c r="S89" s="355">
        <f t="shared" si="251"/>
        <v>0.67454266850797373</v>
      </c>
      <c r="T89" s="355">
        <f t="shared" si="251"/>
        <v>0.64509881359853838</v>
      </c>
      <c r="U89" s="355">
        <f t="shared" si="251"/>
        <v>0.61584933293668043</v>
      </c>
      <c r="V89" s="355">
        <f t="shared" si="251"/>
        <v>0.5682041982314</v>
      </c>
      <c r="W89" s="355">
        <f t="shared" si="251"/>
        <v>0.57947902278403307</v>
      </c>
      <c r="X89" s="355">
        <f t="shared" si="251"/>
        <v>0.59340118751691884</v>
      </c>
      <c r="Y89" s="355">
        <f t="shared" si="251"/>
        <v>0.52171581460253025</v>
      </c>
      <c r="Z89" s="355">
        <f t="shared" si="251"/>
        <v>0.49262036875988319</v>
      </c>
      <c r="AA89" s="355">
        <f t="shared" si="251"/>
        <v>0.47464032689917524</v>
      </c>
      <c r="AB89" s="355">
        <f t="shared" ref="AB89" si="252">IF(ISERR(AB36/AB44),"-",AB36/AB44)</f>
        <v>0.46106032981289674</v>
      </c>
      <c r="AC89" s="355">
        <f t="shared" si="251"/>
        <v>0.3449184103358518</v>
      </c>
      <c r="AD89" s="355">
        <f t="shared" si="251"/>
        <v>0.35093802781317673</v>
      </c>
      <c r="AE89" s="355">
        <f t="shared" si="251"/>
        <v>0.29808371227386182</v>
      </c>
      <c r="AF89" s="355">
        <f t="shared" si="251"/>
        <v>0.29436373114324549</v>
      </c>
      <c r="AG89" s="355">
        <f t="shared" si="251"/>
        <v>0.23391010371935053</v>
      </c>
      <c r="AH89" s="355">
        <f t="shared" si="251"/>
        <v>0.23659257663757774</v>
      </c>
      <c r="AI89" s="355">
        <f t="shared" si="251"/>
        <v>0.19462235938235947</v>
      </c>
      <c r="AJ89" s="355">
        <f t="shared" si="251"/>
        <v>0.19248150355416763</v>
      </c>
      <c r="AK89" s="355">
        <f t="shared" si="251"/>
        <v>0.14222256767499714</v>
      </c>
      <c r="AL89" s="355">
        <f t="shared" si="251"/>
        <v>0.1537447908318669</v>
      </c>
      <c r="AM89" s="356"/>
      <c r="AN89" s="355" t="str">
        <f t="shared" ref="AN89:BC89" si="253">IF(ISERR(AN36/AN44),"-",AN36/AN44)</f>
        <v>-</v>
      </c>
      <c r="AO89" s="355" t="str">
        <f t="shared" si="253"/>
        <v>-</v>
      </c>
      <c r="AP89" s="355" t="str">
        <f t="shared" si="253"/>
        <v>-</v>
      </c>
      <c r="AQ89" s="355" t="str">
        <f t="shared" si="253"/>
        <v>-</v>
      </c>
      <c r="AR89" s="355" t="str">
        <f t="shared" si="253"/>
        <v>-</v>
      </c>
      <c r="AS89" s="355" t="str">
        <f t="shared" si="253"/>
        <v>-</v>
      </c>
      <c r="AT89" s="355" t="str">
        <f t="shared" si="253"/>
        <v>-</v>
      </c>
      <c r="AU89" s="355" t="str">
        <f t="shared" si="253"/>
        <v>-</v>
      </c>
      <c r="AV89" s="355" t="str">
        <f t="shared" si="253"/>
        <v>-</v>
      </c>
      <c r="AW89" s="355" t="str">
        <f t="shared" si="253"/>
        <v>-</v>
      </c>
      <c r="AX89" s="355" t="str">
        <f t="shared" si="253"/>
        <v>-</v>
      </c>
      <c r="AY89" s="355" t="str">
        <f t="shared" si="253"/>
        <v>-</v>
      </c>
      <c r="AZ89" s="355" t="str">
        <f t="shared" si="253"/>
        <v>-</v>
      </c>
      <c r="BA89" s="355" t="str">
        <f t="shared" si="253"/>
        <v>-</v>
      </c>
      <c r="BB89" s="355" t="str">
        <f t="shared" si="253"/>
        <v>-</v>
      </c>
      <c r="BC89" s="355" t="str">
        <f t="shared" si="253"/>
        <v>-</v>
      </c>
      <c r="BD89" s="356"/>
      <c r="BE89" s="355">
        <f t="shared" ref="BE89:BS89" si="254">IF(ISERR(BE36/BE44),"-",BE36/BE44)</f>
        <v>0.45844755071251636</v>
      </c>
      <c r="BF89" s="355">
        <f t="shared" si="254"/>
        <v>0.56365061196281641</v>
      </c>
      <c r="BG89" s="355">
        <f t="shared" si="254"/>
        <v>0.63190795537036992</v>
      </c>
      <c r="BH89" s="355">
        <f t="shared" si="254"/>
        <v>0.5682041982314</v>
      </c>
      <c r="BI89" s="355">
        <f t="shared" si="254"/>
        <v>0.49262036875988319</v>
      </c>
      <c r="BJ89" s="355">
        <f t="shared" si="254"/>
        <v>0.35093802781317673</v>
      </c>
      <c r="BK89" s="355">
        <f t="shared" si="254"/>
        <v>0.23659257663757774</v>
      </c>
      <c r="BL89" s="355">
        <f t="shared" si="254"/>
        <v>0.1537447908318669</v>
      </c>
      <c r="BM89" s="355">
        <f t="shared" si="254"/>
        <v>0.20056140945852383</v>
      </c>
      <c r="BN89" s="355">
        <f t="shared" si="254"/>
        <v>0.16212313238100737</v>
      </c>
      <c r="BO89" s="355">
        <f t="shared" si="254"/>
        <v>0.1244503480603318</v>
      </c>
      <c r="BP89" s="355">
        <f t="shared" si="254"/>
        <v>9.0818527283446956E-2</v>
      </c>
      <c r="BQ89" s="355">
        <f t="shared" si="254"/>
        <v>5.6702673617807495E-2</v>
      </c>
      <c r="BR89" s="355">
        <f t="shared" si="254"/>
        <v>2.2328217663376788E-2</v>
      </c>
      <c r="BS89" s="355">
        <f t="shared" si="254"/>
        <v>-1.2802126519053644E-2</v>
      </c>
      <c r="BT89" s="203"/>
      <c r="BU89" s="203"/>
    </row>
    <row r="90" spans="1:73" ht="12.75" customHeight="1" x14ac:dyDescent="0.35">
      <c r="A90" s="200"/>
      <c r="B90" s="333"/>
      <c r="C90" s="333"/>
      <c r="D90" s="333"/>
      <c r="E90" s="333"/>
      <c r="F90" s="147"/>
      <c r="G90" s="147"/>
      <c r="H90" s="147"/>
      <c r="I90" s="147"/>
      <c r="J90" s="147"/>
      <c r="K90" s="355"/>
      <c r="L90" s="355"/>
      <c r="M90" s="355"/>
      <c r="N90" s="355"/>
      <c r="O90" s="355"/>
      <c r="P90" s="355"/>
      <c r="Q90" s="355"/>
      <c r="R90" s="355"/>
      <c r="S90" s="355"/>
      <c r="T90" s="355"/>
      <c r="U90" s="355"/>
      <c r="V90" s="355"/>
      <c r="W90" s="355"/>
      <c r="X90" s="355"/>
      <c r="Y90" s="355"/>
      <c r="Z90" s="355"/>
      <c r="AA90" s="355"/>
      <c r="AB90" s="355"/>
      <c r="AC90" s="355"/>
      <c r="AD90" s="355"/>
      <c r="AE90" s="355"/>
      <c r="AF90" s="355"/>
      <c r="AG90" s="355"/>
      <c r="AH90" s="355"/>
      <c r="AI90" s="355"/>
      <c r="AJ90" s="355"/>
      <c r="AK90" s="355"/>
      <c r="AL90" s="355"/>
      <c r="AM90" s="356"/>
      <c r="AN90" s="355"/>
      <c r="AO90" s="355"/>
      <c r="AP90" s="355"/>
      <c r="AQ90" s="355"/>
      <c r="AR90" s="355"/>
      <c r="AS90" s="355"/>
      <c r="AT90" s="355"/>
      <c r="AU90" s="355"/>
      <c r="AV90" s="355"/>
      <c r="AW90" s="355"/>
      <c r="AX90" s="355"/>
      <c r="AY90" s="355"/>
      <c r="AZ90" s="355"/>
      <c r="BA90" s="355"/>
      <c r="BB90" s="355"/>
      <c r="BC90" s="355"/>
      <c r="BD90" s="356"/>
      <c r="BE90" s="355"/>
      <c r="BF90" s="355"/>
      <c r="BG90" s="355"/>
      <c r="BH90" s="355"/>
      <c r="BI90" s="355"/>
      <c r="BJ90" s="355"/>
      <c r="BK90" s="355"/>
      <c r="BL90" s="355"/>
      <c r="BM90" s="356"/>
      <c r="BN90" s="356"/>
      <c r="BO90" s="356"/>
      <c r="BP90" s="356"/>
      <c r="BQ90" s="356"/>
      <c r="BR90" s="356"/>
      <c r="BS90" s="356"/>
      <c r="BT90" s="203"/>
      <c r="BU90" s="203"/>
    </row>
    <row r="91" spans="1:73" ht="12.75" customHeight="1" x14ac:dyDescent="0.35">
      <c r="A91" s="200"/>
      <c r="B91" s="448" t="s">
        <v>383</v>
      </c>
      <c r="C91" s="333"/>
      <c r="D91" s="333"/>
      <c r="E91" s="333"/>
      <c r="F91" s="147"/>
      <c r="G91" s="147"/>
      <c r="H91" s="147"/>
      <c r="I91" s="147"/>
      <c r="J91" s="147"/>
      <c r="K91" s="355"/>
      <c r="L91" s="355"/>
      <c r="M91" s="355"/>
      <c r="N91" s="355"/>
      <c r="O91" s="355"/>
      <c r="P91" s="355"/>
      <c r="Q91" s="355"/>
      <c r="R91" s="355"/>
      <c r="S91" s="355"/>
      <c r="T91" s="355"/>
      <c r="U91" s="355"/>
      <c r="V91" s="355"/>
      <c r="W91" s="355"/>
      <c r="X91" s="355"/>
      <c r="Y91" s="355"/>
      <c r="Z91" s="355"/>
      <c r="AA91" s="355"/>
      <c r="AB91" s="355"/>
      <c r="AC91" s="355"/>
      <c r="AD91" s="355"/>
      <c r="AE91" s="355"/>
      <c r="AF91" s="355"/>
      <c r="AG91" s="355"/>
      <c r="AH91" s="355"/>
      <c r="AI91" s="355"/>
      <c r="AJ91" s="355"/>
      <c r="AK91" s="355"/>
      <c r="AL91" s="355"/>
      <c r="AM91" s="356"/>
      <c r="AN91" s="355"/>
      <c r="AO91" s="355"/>
      <c r="AP91" s="355"/>
      <c r="AQ91" s="355"/>
      <c r="AR91" s="355"/>
      <c r="AS91" s="355"/>
      <c r="AT91" s="355"/>
      <c r="AU91" s="355"/>
      <c r="AV91" s="355"/>
      <c r="AW91" s="355"/>
      <c r="AX91" s="355"/>
      <c r="AY91" s="355"/>
      <c r="AZ91" s="355"/>
      <c r="BA91" s="355"/>
      <c r="BB91" s="355"/>
      <c r="BC91" s="355"/>
      <c r="BD91" s="356"/>
      <c r="BE91" s="355"/>
      <c r="BF91" s="355"/>
      <c r="BG91" s="355"/>
      <c r="BH91" s="355"/>
      <c r="BI91" s="355"/>
      <c r="BJ91" s="355"/>
      <c r="BK91" s="355"/>
      <c r="BL91" s="355"/>
      <c r="BM91" s="356"/>
      <c r="BN91" s="356"/>
      <c r="BO91" s="356"/>
      <c r="BP91" s="356"/>
      <c r="BQ91" s="356"/>
      <c r="BR91" s="356"/>
      <c r="BS91" s="356"/>
      <c r="BT91" s="203"/>
      <c r="BU91" s="203"/>
    </row>
    <row r="92" spans="1:73" ht="12.75" customHeight="1" x14ac:dyDescent="0.35">
      <c r="A92" s="200"/>
      <c r="B92" s="147"/>
      <c r="C92" s="197" t="s">
        <v>382</v>
      </c>
      <c r="D92" s="147"/>
      <c r="E92" s="147"/>
      <c r="F92" s="147"/>
      <c r="G92" s="197"/>
      <c r="H92" s="197"/>
      <c r="I92" s="197"/>
      <c r="J92" s="197"/>
      <c r="K92" s="312">
        <f>(K26+K33+K38-K10)</f>
        <v>-8470</v>
      </c>
      <c r="L92" s="312">
        <f t="shared" ref="L92:AL92" si="255">(L26+L33+L38-L10)</f>
        <v>-19050</v>
      </c>
      <c r="M92" s="312">
        <f t="shared" si="255"/>
        <v>-47424</v>
      </c>
      <c r="N92" s="312">
        <f t="shared" si="255"/>
        <v>-56077</v>
      </c>
      <c r="O92" s="312">
        <f t="shared" si="255"/>
        <v>-58533</v>
      </c>
      <c r="P92" s="312">
        <f t="shared" si="255"/>
        <v>-72378</v>
      </c>
      <c r="Q92" s="312">
        <f t="shared" si="255"/>
        <v>-91822</v>
      </c>
      <c r="R92" s="312">
        <f t="shared" si="255"/>
        <v>-81656</v>
      </c>
      <c r="S92" s="312">
        <f t="shared" si="255"/>
        <v>-43903</v>
      </c>
      <c r="T92" s="312">
        <f t="shared" si="255"/>
        <v>-37320</v>
      </c>
      <c r="U92" s="312">
        <f t="shared" si="255"/>
        <v>-57373</v>
      </c>
      <c r="V92" s="312">
        <f t="shared" si="255"/>
        <v>-62046</v>
      </c>
      <c r="W92" s="312">
        <f t="shared" si="255"/>
        <v>-54740</v>
      </c>
      <c r="X92" s="312">
        <f t="shared" si="255"/>
        <v>-68427</v>
      </c>
      <c r="Y92" s="312">
        <f t="shared" si="255"/>
        <v>-207628</v>
      </c>
      <c r="Z92" s="312">
        <f t="shared" si="255"/>
        <v>-209282</v>
      </c>
      <c r="AA92" s="312">
        <f t="shared" si="255"/>
        <v>-253301</v>
      </c>
      <c r="AB92" s="312">
        <f t="shared" ref="AB92" si="256">(AB26+AB33+AB38-AB10)</f>
        <v>-280882</v>
      </c>
      <c r="AC92" s="312">
        <f t="shared" si="255"/>
        <v>-287562.11047854484</v>
      </c>
      <c r="AD92" s="312">
        <f t="shared" si="255"/>
        <v>-296087.18841216236</v>
      </c>
      <c r="AE92" s="312">
        <f t="shared" si="255"/>
        <v>-299603.24439517048</v>
      </c>
      <c r="AF92" s="312">
        <f t="shared" si="255"/>
        <v>-297118.85344313219</v>
      </c>
      <c r="AG92" s="312">
        <f t="shared" si="255"/>
        <v>-343821.85226831533</v>
      </c>
      <c r="AH92" s="312">
        <f t="shared" si="255"/>
        <v>-341965.70137136983</v>
      </c>
      <c r="AI92" s="312">
        <f t="shared" si="255"/>
        <v>-356066.41226165002</v>
      </c>
      <c r="AJ92" s="312">
        <f t="shared" si="255"/>
        <v>-349776.85276550753</v>
      </c>
      <c r="AK92" s="312">
        <f t="shared" si="255"/>
        <v>-402118.85523696628</v>
      </c>
      <c r="AL92" s="312">
        <f t="shared" si="255"/>
        <v>-403105.42661455972</v>
      </c>
      <c r="AM92" s="348"/>
      <c r="AN92" s="312">
        <f t="shared" ref="AN92:BS92" si="257">(AN26+AN33+AN38-AN10)</f>
        <v>0</v>
      </c>
      <c r="AO92" s="312">
        <f t="shared" si="257"/>
        <v>0</v>
      </c>
      <c r="AP92" s="312">
        <f t="shared" si="257"/>
        <v>0</v>
      </c>
      <c r="AQ92" s="312">
        <f t="shared" si="257"/>
        <v>0</v>
      </c>
      <c r="AR92" s="312">
        <f t="shared" si="257"/>
        <v>0</v>
      </c>
      <c r="AS92" s="312">
        <f t="shared" si="257"/>
        <v>0</v>
      </c>
      <c r="AT92" s="312">
        <f t="shared" si="257"/>
        <v>0</v>
      </c>
      <c r="AU92" s="312">
        <f t="shared" si="257"/>
        <v>0</v>
      </c>
      <c r="AV92" s="312">
        <f t="shared" si="257"/>
        <v>0</v>
      </c>
      <c r="AW92" s="312">
        <f t="shared" si="257"/>
        <v>0</v>
      </c>
      <c r="AX92" s="312" t="e">
        <f t="shared" si="257"/>
        <v>#DIV/0!</v>
      </c>
      <c r="AY92" s="312" t="e">
        <f t="shared" si="257"/>
        <v>#DIV/0!</v>
      </c>
      <c r="AZ92" s="312" t="e">
        <f t="shared" si="257"/>
        <v>#DIV/0!</v>
      </c>
      <c r="BA92" s="312" t="e">
        <f t="shared" si="257"/>
        <v>#DIV/0!</v>
      </c>
      <c r="BB92" s="312" t="e">
        <f t="shared" si="257"/>
        <v>#DIV/0!</v>
      </c>
      <c r="BC92" s="312" t="e">
        <f t="shared" si="257"/>
        <v>#DIV/0!</v>
      </c>
      <c r="BD92" s="312"/>
      <c r="BE92" s="288">
        <f t="shared" si="257"/>
        <v>-57575</v>
      </c>
      <c r="BF92" s="288">
        <f t="shared" si="257"/>
        <v>-56077</v>
      </c>
      <c r="BG92" s="288">
        <f t="shared" si="257"/>
        <v>-81656</v>
      </c>
      <c r="BH92" s="288">
        <f t="shared" si="257"/>
        <v>-62046</v>
      </c>
      <c r="BI92" s="288">
        <f t="shared" si="257"/>
        <v>-209282</v>
      </c>
      <c r="BJ92" s="288">
        <f t="shared" si="257"/>
        <v>-296087.18841216236</v>
      </c>
      <c r="BK92" s="288">
        <f t="shared" si="257"/>
        <v>-341965.70137136983</v>
      </c>
      <c r="BL92" s="288">
        <f t="shared" si="257"/>
        <v>-403105.42661455972</v>
      </c>
      <c r="BM92" s="288">
        <f t="shared" si="257"/>
        <v>-668341.33510030271</v>
      </c>
      <c r="BN92" s="288">
        <f t="shared" si="257"/>
        <v>-817217.83991438197</v>
      </c>
      <c r="BO92" s="288">
        <f t="shared" si="257"/>
        <v>-972239.1163614206</v>
      </c>
      <c r="BP92" s="288">
        <f t="shared" si="257"/>
        <v>-1132700.7337803522</v>
      </c>
      <c r="BQ92" s="288">
        <f t="shared" si="257"/>
        <v>-1290051.8697752962</v>
      </c>
      <c r="BR92" s="288">
        <f t="shared" si="257"/>
        <v>-1440289.4485409488</v>
      </c>
      <c r="BS92" s="288">
        <f t="shared" si="257"/>
        <v>-1578603.3720231433</v>
      </c>
      <c r="BT92" s="203"/>
      <c r="BU92" s="203"/>
    </row>
    <row r="93" spans="1:73" ht="12.75" customHeight="1" x14ac:dyDescent="0.35">
      <c r="A93" s="200"/>
      <c r="B93" s="334"/>
      <c r="C93" s="334"/>
      <c r="D93" s="334"/>
      <c r="E93" s="334"/>
      <c r="F93" s="147"/>
      <c r="G93" s="147"/>
      <c r="H93" s="147"/>
      <c r="I93" s="147"/>
      <c r="J93" s="147"/>
      <c r="K93" s="355"/>
      <c r="L93" s="355"/>
      <c r="M93" s="355"/>
      <c r="N93" s="355"/>
      <c r="O93" s="355"/>
      <c r="P93" s="355"/>
      <c r="Q93" s="355"/>
      <c r="R93" s="355"/>
      <c r="S93" s="355"/>
      <c r="T93" s="355"/>
      <c r="U93" s="355"/>
      <c r="V93" s="355"/>
      <c r="W93" s="355"/>
      <c r="X93" s="355"/>
      <c r="Y93" s="355"/>
      <c r="Z93" s="355"/>
      <c r="AA93" s="355"/>
      <c r="AB93" s="355"/>
      <c r="AC93" s="355"/>
      <c r="AD93" s="355"/>
      <c r="AE93" s="355"/>
      <c r="AF93" s="355"/>
      <c r="AG93" s="355"/>
      <c r="AH93" s="355"/>
      <c r="AI93" s="355"/>
      <c r="AJ93" s="355"/>
      <c r="AK93" s="355"/>
      <c r="AL93" s="355"/>
      <c r="AM93" s="356"/>
      <c r="AN93" s="355"/>
      <c r="AO93" s="355"/>
      <c r="AP93" s="355"/>
      <c r="AQ93" s="355"/>
      <c r="AR93" s="355"/>
      <c r="AS93" s="355"/>
      <c r="AT93" s="355"/>
      <c r="AU93" s="355"/>
      <c r="AV93" s="355"/>
      <c r="AW93" s="355"/>
      <c r="AX93" s="355"/>
      <c r="AY93" s="355"/>
      <c r="AZ93" s="355"/>
      <c r="BA93" s="355"/>
      <c r="BB93" s="355"/>
      <c r="BC93" s="355"/>
      <c r="BD93" s="356"/>
      <c r="BE93" s="355"/>
      <c r="BF93" s="355"/>
      <c r="BG93" s="355"/>
      <c r="BH93" s="355"/>
      <c r="BI93" s="355"/>
      <c r="BJ93" s="355"/>
      <c r="BK93" s="355"/>
      <c r="BL93" s="355"/>
      <c r="BM93" s="356"/>
      <c r="BN93" s="356"/>
      <c r="BO93" s="356"/>
      <c r="BP93" s="356"/>
      <c r="BQ93" s="356"/>
      <c r="BR93" s="356"/>
      <c r="BS93" s="356"/>
      <c r="BT93" s="203"/>
      <c r="BU93" s="203"/>
    </row>
    <row r="94" spans="1:73" ht="12.75" customHeight="1" x14ac:dyDescent="0.35">
      <c r="A94" s="200"/>
      <c r="B94" s="337" t="s">
        <v>391</v>
      </c>
      <c r="C94" s="337"/>
      <c r="D94" s="337"/>
      <c r="E94" s="337"/>
      <c r="F94" s="147"/>
      <c r="G94" s="147"/>
      <c r="H94" s="147"/>
      <c r="I94" s="147"/>
      <c r="J94" s="147"/>
      <c r="K94" s="201"/>
      <c r="L94" s="201"/>
      <c r="M94" s="201"/>
      <c r="N94" s="201"/>
      <c r="O94" s="201"/>
      <c r="P94" s="201"/>
      <c r="Q94" s="201"/>
      <c r="R94" s="201"/>
      <c r="S94" s="201"/>
      <c r="T94" s="201"/>
      <c r="U94" s="201"/>
      <c r="V94" s="201"/>
      <c r="W94" s="201"/>
      <c r="X94" s="201"/>
      <c r="Y94" s="201"/>
      <c r="Z94" s="201"/>
      <c r="AA94" s="201"/>
      <c r="AB94" s="201"/>
      <c r="AC94" s="201"/>
      <c r="AD94" s="201"/>
      <c r="AE94" s="201"/>
      <c r="AF94" s="201"/>
      <c r="AG94" s="201"/>
      <c r="AH94" s="201"/>
      <c r="AI94" s="201"/>
      <c r="AJ94" s="201"/>
      <c r="AK94" s="201"/>
      <c r="AL94" s="201"/>
      <c r="AM94" s="203"/>
      <c r="AN94" s="201"/>
      <c r="AO94" s="201"/>
      <c r="AP94" s="201"/>
      <c r="AQ94" s="201"/>
      <c r="AR94" s="201"/>
      <c r="AS94" s="201"/>
      <c r="AT94" s="201"/>
      <c r="AU94" s="201"/>
      <c r="AV94" s="201"/>
      <c r="AW94" s="201"/>
      <c r="AX94" s="201"/>
      <c r="AY94" s="201"/>
      <c r="AZ94" s="201"/>
      <c r="BA94" s="201"/>
      <c r="BB94" s="201"/>
      <c r="BC94" s="201"/>
      <c r="BD94" s="203"/>
      <c r="BE94" s="201"/>
      <c r="BF94" s="201"/>
      <c r="BG94" s="201"/>
      <c r="BH94" s="201"/>
      <c r="BI94" s="201"/>
      <c r="BJ94" s="201"/>
      <c r="BK94" s="201"/>
      <c r="BL94" s="201"/>
      <c r="BM94" s="203"/>
      <c r="BN94" s="203"/>
      <c r="BO94" s="203"/>
      <c r="BP94" s="203"/>
      <c r="BQ94" s="203"/>
      <c r="BR94" s="203"/>
      <c r="BS94" s="203"/>
      <c r="BT94" s="203"/>
      <c r="BU94" s="203"/>
    </row>
    <row r="95" spans="1:73" ht="12.75" customHeight="1" x14ac:dyDescent="0.35">
      <c r="A95" s="200"/>
      <c r="B95" s="338"/>
      <c r="C95" s="338" t="s">
        <v>303</v>
      </c>
      <c r="D95" s="338"/>
      <c r="E95" s="338"/>
      <c r="F95" s="147"/>
      <c r="G95" s="147"/>
      <c r="H95" s="147"/>
      <c r="I95" s="147"/>
      <c r="J95" s="147"/>
      <c r="K95" s="350">
        <f t="shared" ref="K95:AL95" si="258">+K96+K97</f>
        <v>79194</v>
      </c>
      <c r="L95" s="350">
        <f t="shared" si="258"/>
        <v>88095</v>
      </c>
      <c r="M95" s="350">
        <f t="shared" si="258"/>
        <v>90825</v>
      </c>
      <c r="N95" s="350">
        <f t="shared" si="258"/>
        <v>91732</v>
      </c>
      <c r="O95" s="350">
        <f t="shared" si="258"/>
        <v>93318</v>
      </c>
      <c r="P95" s="350">
        <f t="shared" si="258"/>
        <v>91734</v>
      </c>
      <c r="Q95" s="350">
        <f t="shared" si="258"/>
        <v>129331</v>
      </c>
      <c r="R95" s="350">
        <f t="shared" si="258"/>
        <v>125553</v>
      </c>
      <c r="S95" s="350">
        <f t="shared" si="258"/>
        <v>138093</v>
      </c>
      <c r="T95" s="350">
        <f t="shared" si="258"/>
        <v>138216</v>
      </c>
      <c r="U95" s="350">
        <f t="shared" si="258"/>
        <v>136053</v>
      </c>
      <c r="V95" s="350">
        <f t="shared" si="258"/>
        <v>134300</v>
      </c>
      <c r="W95" s="350">
        <f t="shared" si="258"/>
        <v>158789</v>
      </c>
      <c r="X95" s="350">
        <f t="shared" si="258"/>
        <v>165077</v>
      </c>
      <c r="Y95" s="350">
        <f t="shared" si="258"/>
        <v>141787</v>
      </c>
      <c r="Z95" s="350">
        <f t="shared" si="258"/>
        <v>144830</v>
      </c>
      <c r="AA95" s="350">
        <f t="shared" ref="AA95:AB95" si="259">+AA96+AA97</f>
        <v>125437</v>
      </c>
      <c r="AB95" s="350">
        <f t="shared" si="259"/>
        <v>121788</v>
      </c>
      <c r="AC95" s="350">
        <f>+AC96+AC97</f>
        <v>121788</v>
      </c>
      <c r="AD95" s="350">
        <f t="shared" si="258"/>
        <v>121788</v>
      </c>
      <c r="AE95" s="350">
        <f t="shared" si="258"/>
        <v>121788</v>
      </c>
      <c r="AF95" s="350">
        <f t="shared" si="258"/>
        <v>121788</v>
      </c>
      <c r="AG95" s="350">
        <f t="shared" si="258"/>
        <v>121788</v>
      </c>
      <c r="AH95" s="350">
        <f t="shared" si="258"/>
        <v>121788</v>
      </c>
      <c r="AI95" s="350">
        <f t="shared" si="258"/>
        <v>121788</v>
      </c>
      <c r="AJ95" s="350">
        <f t="shared" si="258"/>
        <v>121788</v>
      </c>
      <c r="AK95" s="350">
        <f t="shared" si="258"/>
        <v>121788</v>
      </c>
      <c r="AL95" s="350">
        <f t="shared" si="258"/>
        <v>121788</v>
      </c>
      <c r="AM95" s="351"/>
      <c r="AN95" s="350">
        <f t="shared" ref="AN95" si="260">+AN96+AN97</f>
        <v>0</v>
      </c>
      <c r="AO95" s="350">
        <f t="shared" ref="AO95:BC95" si="261">+AO96+AO97</f>
        <v>0</v>
      </c>
      <c r="AP95" s="350">
        <f t="shared" si="261"/>
        <v>0</v>
      </c>
      <c r="AQ95" s="350">
        <f t="shared" si="261"/>
        <v>0</v>
      </c>
      <c r="AR95" s="350">
        <f t="shared" si="261"/>
        <v>0</v>
      </c>
      <c r="AS95" s="350">
        <f t="shared" si="261"/>
        <v>0</v>
      </c>
      <c r="AT95" s="350">
        <f t="shared" si="261"/>
        <v>0</v>
      </c>
      <c r="AU95" s="350">
        <f t="shared" si="261"/>
        <v>0</v>
      </c>
      <c r="AV95" s="350">
        <f t="shared" si="261"/>
        <v>0</v>
      </c>
      <c r="AW95" s="350">
        <f t="shared" si="261"/>
        <v>0</v>
      </c>
      <c r="AX95" s="350" t="e">
        <f t="shared" ref="AX95" si="262">+AX96+AX97</f>
        <v>#DIV/0!</v>
      </c>
      <c r="AY95" s="350" t="e">
        <f t="shared" si="261"/>
        <v>#DIV/0!</v>
      </c>
      <c r="AZ95" s="350" t="e">
        <f t="shared" si="261"/>
        <v>#DIV/0!</v>
      </c>
      <c r="BA95" s="350" t="e">
        <f t="shared" si="261"/>
        <v>#DIV/0!</v>
      </c>
      <c r="BB95" s="350" t="e">
        <f t="shared" si="261"/>
        <v>#DIV/0!</v>
      </c>
      <c r="BC95" s="350" t="e">
        <f t="shared" si="261"/>
        <v>#DIV/0!</v>
      </c>
      <c r="BD95" s="351"/>
      <c r="BE95" s="350">
        <f t="shared" ref="BE95" si="263">+BE96+BE97</f>
        <v>57771</v>
      </c>
      <c r="BF95" s="350">
        <f>+BF96+BF97</f>
        <v>91732</v>
      </c>
      <c r="BG95" s="350">
        <f>+BG96+BG97</f>
        <v>125553</v>
      </c>
      <c r="BH95" s="350">
        <f>+BH96+BH97</f>
        <v>134300</v>
      </c>
      <c r="BI95" s="350">
        <f>+BI96+BI97</f>
        <v>144830</v>
      </c>
      <c r="BJ95" s="350">
        <f t="shared" ref="BJ95:BK95" si="264">+BJ96+BJ97</f>
        <v>122039</v>
      </c>
      <c r="BK95" s="350">
        <f t="shared" si="264"/>
        <v>122039</v>
      </c>
      <c r="BL95" s="350">
        <f>+BL96+BL97</f>
        <v>122039</v>
      </c>
      <c r="BM95" s="350">
        <f t="shared" ref="BM95:BS95" si="265">+BM96+BM97</f>
        <v>122039</v>
      </c>
      <c r="BN95" s="350">
        <f t="shared" si="265"/>
        <v>122039</v>
      </c>
      <c r="BO95" s="350">
        <f t="shared" si="265"/>
        <v>122039</v>
      </c>
      <c r="BP95" s="350">
        <f t="shared" si="265"/>
        <v>122039</v>
      </c>
      <c r="BQ95" s="350">
        <f t="shared" si="265"/>
        <v>122039</v>
      </c>
      <c r="BR95" s="350">
        <f t="shared" si="265"/>
        <v>122039</v>
      </c>
      <c r="BS95" s="350">
        <f t="shared" si="265"/>
        <v>122039</v>
      </c>
      <c r="BT95" s="203"/>
      <c r="BU95" s="203"/>
    </row>
    <row r="96" spans="1:73" ht="12.75" customHeight="1" x14ac:dyDescent="0.35">
      <c r="A96" s="200"/>
      <c r="B96" s="338"/>
      <c r="C96" s="338"/>
      <c r="D96" s="338" t="s">
        <v>304</v>
      </c>
      <c r="E96" s="338"/>
      <c r="F96" s="147"/>
      <c r="G96" s="147"/>
      <c r="H96" s="147"/>
      <c r="I96" s="147"/>
      <c r="J96" s="147"/>
      <c r="K96" s="350">
        <f t="shared" ref="K96:Z96" si="266">K26</f>
        <v>4684</v>
      </c>
      <c r="L96" s="350">
        <f t="shared" si="266"/>
        <v>5520</v>
      </c>
      <c r="M96" s="350">
        <f t="shared" si="266"/>
        <v>13679</v>
      </c>
      <c r="N96" s="350">
        <f t="shared" si="266"/>
        <v>14897</v>
      </c>
      <c r="O96" s="350">
        <f t="shared" si="266"/>
        <v>16455</v>
      </c>
      <c r="P96" s="350">
        <f t="shared" si="266"/>
        <v>16361</v>
      </c>
      <c r="Q96" s="350">
        <f t="shared" si="266"/>
        <v>6447</v>
      </c>
      <c r="R96" s="350">
        <f t="shared" si="266"/>
        <v>6028</v>
      </c>
      <c r="S96" s="350">
        <f t="shared" si="266"/>
        <v>13693</v>
      </c>
      <c r="T96" s="350">
        <f t="shared" si="266"/>
        <v>9022</v>
      </c>
      <c r="U96" s="350">
        <f t="shared" si="266"/>
        <v>22812</v>
      </c>
      <c r="V96" s="350">
        <f t="shared" si="266"/>
        <v>22466</v>
      </c>
      <c r="W96" s="350">
        <f t="shared" si="266"/>
        <v>23019</v>
      </c>
      <c r="X96" s="350">
        <f t="shared" si="266"/>
        <v>24155</v>
      </c>
      <c r="Y96" s="350">
        <f t="shared" si="266"/>
        <v>4215</v>
      </c>
      <c r="Z96" s="350">
        <f t="shared" si="266"/>
        <v>5154</v>
      </c>
      <c r="AA96" s="350">
        <f t="shared" ref="AA96:AB96" si="267">AA26</f>
        <v>4543</v>
      </c>
      <c r="AB96" s="350">
        <f t="shared" si="267"/>
        <v>4903</v>
      </c>
      <c r="AC96" s="350">
        <f>AB96-AC102</f>
        <v>4903</v>
      </c>
      <c r="AD96" s="350">
        <f>AC96-AD102</f>
        <v>4903</v>
      </c>
      <c r="AE96" s="350">
        <f t="shared" ref="AE96:AK96" si="268">AD96-AE102</f>
        <v>4903</v>
      </c>
      <c r="AF96" s="350">
        <f t="shared" si="268"/>
        <v>4903</v>
      </c>
      <c r="AG96" s="350">
        <f t="shared" si="268"/>
        <v>4903</v>
      </c>
      <c r="AH96" s="350">
        <f t="shared" si="268"/>
        <v>4903</v>
      </c>
      <c r="AI96" s="350">
        <f t="shared" si="268"/>
        <v>4903</v>
      </c>
      <c r="AJ96" s="350">
        <f t="shared" si="268"/>
        <v>4903</v>
      </c>
      <c r="AK96" s="350">
        <f t="shared" si="268"/>
        <v>4903</v>
      </c>
      <c r="AL96" s="350">
        <f>AK96-AL102</f>
        <v>4903</v>
      </c>
      <c r="AM96" s="351"/>
      <c r="AN96" s="350">
        <f t="shared" ref="AN96:AW96" si="269">AN26</f>
        <v>0</v>
      </c>
      <c r="AO96" s="350">
        <f t="shared" si="269"/>
        <v>0</v>
      </c>
      <c r="AP96" s="350">
        <f t="shared" si="269"/>
        <v>0</v>
      </c>
      <c r="AQ96" s="350">
        <f t="shared" si="269"/>
        <v>0</v>
      </c>
      <c r="AR96" s="350">
        <f t="shared" si="269"/>
        <v>0</v>
      </c>
      <c r="AS96" s="350">
        <f t="shared" si="269"/>
        <v>0</v>
      </c>
      <c r="AT96" s="350">
        <f t="shared" si="269"/>
        <v>0</v>
      </c>
      <c r="AU96" s="350">
        <f t="shared" si="269"/>
        <v>0</v>
      </c>
      <c r="AV96" s="350">
        <f t="shared" si="269"/>
        <v>0</v>
      </c>
      <c r="AW96" s="350">
        <f t="shared" si="269"/>
        <v>0</v>
      </c>
      <c r="AX96" s="350" t="e">
        <f t="shared" ref="AX96" si="270">AW96-AX102</f>
        <v>#DIV/0!</v>
      </c>
      <c r="AY96" s="350" t="e">
        <f t="shared" ref="AY96:BC96" si="271">AX96-AY102</f>
        <v>#DIV/0!</v>
      </c>
      <c r="AZ96" s="350" t="e">
        <f t="shared" si="271"/>
        <v>#DIV/0!</v>
      </c>
      <c r="BA96" s="350" t="e">
        <f t="shared" si="271"/>
        <v>#DIV/0!</v>
      </c>
      <c r="BB96" s="350" t="e">
        <f t="shared" si="271"/>
        <v>#DIV/0!</v>
      </c>
      <c r="BC96" s="350" t="e">
        <f t="shared" si="271"/>
        <v>#DIV/0!</v>
      </c>
      <c r="BD96" s="351"/>
      <c r="BE96" s="350">
        <f>BE26</f>
        <v>4304</v>
      </c>
      <c r="BF96" s="350">
        <f>BF26</f>
        <v>14897</v>
      </c>
      <c r="BG96" s="350">
        <f>BG26</f>
        <v>6028</v>
      </c>
      <c r="BH96" s="350">
        <f>BH26</f>
        <v>22466</v>
      </c>
      <c r="BI96" s="350">
        <f>BI26</f>
        <v>5154</v>
      </c>
      <c r="BJ96" s="2725">
        <f>BI96-BJ102</f>
        <v>5154</v>
      </c>
      <c r="BK96" s="2725">
        <f t="shared" ref="BK96:BL96" si="272">BJ96-BK102</f>
        <v>5154</v>
      </c>
      <c r="BL96" s="2716">
        <f t="shared" si="272"/>
        <v>5154</v>
      </c>
      <c r="BM96" s="2835">
        <f>BL96</f>
        <v>5154</v>
      </c>
      <c r="BN96" s="2835">
        <f t="shared" ref="BN96:BS96" si="273">BM96</f>
        <v>5154</v>
      </c>
      <c r="BO96" s="2835">
        <f t="shared" si="273"/>
        <v>5154</v>
      </c>
      <c r="BP96" s="2835">
        <f t="shared" si="273"/>
        <v>5154</v>
      </c>
      <c r="BQ96" s="2835">
        <f t="shared" si="273"/>
        <v>5154</v>
      </c>
      <c r="BR96" s="2835">
        <f t="shared" si="273"/>
        <v>5154</v>
      </c>
      <c r="BS96" s="2835">
        <f t="shared" si="273"/>
        <v>5154</v>
      </c>
      <c r="BT96" s="203"/>
      <c r="BU96" s="203"/>
    </row>
    <row r="97" spans="1:73" ht="12.75" customHeight="1" x14ac:dyDescent="0.35">
      <c r="A97" s="200"/>
      <c r="B97" s="338"/>
      <c r="C97" s="338"/>
      <c r="D97" s="338" t="s">
        <v>305</v>
      </c>
      <c r="E97" s="338"/>
      <c r="F97" s="147"/>
      <c r="G97" s="147"/>
      <c r="H97" s="147"/>
      <c r="I97" s="147"/>
      <c r="J97" s="147"/>
      <c r="K97" s="350">
        <f t="shared" ref="K97:AL97" si="274">K33</f>
        <v>74510</v>
      </c>
      <c r="L97" s="350">
        <f t="shared" si="274"/>
        <v>82575</v>
      </c>
      <c r="M97" s="350">
        <f t="shared" si="274"/>
        <v>77146</v>
      </c>
      <c r="N97" s="350">
        <f t="shared" si="274"/>
        <v>76835</v>
      </c>
      <c r="O97" s="350">
        <f t="shared" si="274"/>
        <v>76863</v>
      </c>
      <c r="P97" s="350">
        <f t="shared" si="274"/>
        <v>75373</v>
      </c>
      <c r="Q97" s="350">
        <f t="shared" si="274"/>
        <v>122884</v>
      </c>
      <c r="R97" s="350">
        <f t="shared" si="274"/>
        <v>119525</v>
      </c>
      <c r="S97" s="350">
        <f t="shared" si="274"/>
        <v>124400</v>
      </c>
      <c r="T97" s="350">
        <f t="shared" si="274"/>
        <v>129194</v>
      </c>
      <c r="U97" s="350">
        <f t="shared" si="274"/>
        <v>113241</v>
      </c>
      <c r="V97" s="350">
        <f t="shared" si="274"/>
        <v>111834</v>
      </c>
      <c r="W97" s="350">
        <f t="shared" si="274"/>
        <v>135770</v>
      </c>
      <c r="X97" s="350">
        <f t="shared" si="274"/>
        <v>140922</v>
      </c>
      <c r="Y97" s="350">
        <f t="shared" si="274"/>
        <v>137572</v>
      </c>
      <c r="Z97" s="350">
        <f t="shared" si="274"/>
        <v>139676</v>
      </c>
      <c r="AA97" s="350">
        <f t="shared" ref="AA97:AB97" si="275">AA33</f>
        <v>120894</v>
      </c>
      <c r="AB97" s="350">
        <f t="shared" si="275"/>
        <v>116885</v>
      </c>
      <c r="AC97" s="350">
        <f t="shared" ref="AC97" si="276">AC33</f>
        <v>116885</v>
      </c>
      <c r="AD97" s="350">
        <f t="shared" si="274"/>
        <v>116885</v>
      </c>
      <c r="AE97" s="350">
        <f t="shared" si="274"/>
        <v>116885</v>
      </c>
      <c r="AF97" s="350">
        <f t="shared" si="274"/>
        <v>116885</v>
      </c>
      <c r="AG97" s="350">
        <f t="shared" si="274"/>
        <v>116885</v>
      </c>
      <c r="AH97" s="350">
        <f t="shared" si="274"/>
        <v>116885</v>
      </c>
      <c r="AI97" s="350">
        <f t="shared" si="274"/>
        <v>116885</v>
      </c>
      <c r="AJ97" s="350">
        <f t="shared" si="274"/>
        <v>116885</v>
      </c>
      <c r="AK97" s="350">
        <f t="shared" si="274"/>
        <v>116885</v>
      </c>
      <c r="AL97" s="350">
        <f t="shared" si="274"/>
        <v>116885</v>
      </c>
      <c r="AM97" s="351"/>
      <c r="AN97" s="350">
        <f t="shared" ref="AN97:BC97" si="277">AN33</f>
        <v>0</v>
      </c>
      <c r="AO97" s="350">
        <f t="shared" si="277"/>
        <v>0</v>
      </c>
      <c r="AP97" s="350">
        <f t="shared" si="277"/>
        <v>0</v>
      </c>
      <c r="AQ97" s="350">
        <f t="shared" si="277"/>
        <v>0</v>
      </c>
      <c r="AR97" s="350">
        <f t="shared" si="277"/>
        <v>0</v>
      </c>
      <c r="AS97" s="350">
        <f t="shared" si="277"/>
        <v>0</v>
      </c>
      <c r="AT97" s="350">
        <f t="shared" si="277"/>
        <v>0</v>
      </c>
      <c r="AU97" s="350">
        <f t="shared" si="277"/>
        <v>0</v>
      </c>
      <c r="AV97" s="350">
        <f t="shared" si="277"/>
        <v>0</v>
      </c>
      <c r="AW97" s="350">
        <f t="shared" si="277"/>
        <v>0</v>
      </c>
      <c r="AX97" s="350" t="str">
        <f t="shared" ref="AX97" si="278">AX33</f>
        <v>0</v>
      </c>
      <c r="AY97" s="350" t="str">
        <f t="shared" si="277"/>
        <v>0</v>
      </c>
      <c r="AZ97" s="350" t="str">
        <f t="shared" si="277"/>
        <v>0</v>
      </c>
      <c r="BA97" s="350" t="str">
        <f t="shared" si="277"/>
        <v>0</v>
      </c>
      <c r="BB97" s="350" t="str">
        <f t="shared" si="277"/>
        <v>0</v>
      </c>
      <c r="BC97" s="350" t="str">
        <f t="shared" si="277"/>
        <v>0</v>
      </c>
      <c r="BD97" s="351"/>
      <c r="BE97" s="350">
        <f t="shared" ref="BE97:BL97" si="279">BE33</f>
        <v>53467</v>
      </c>
      <c r="BF97" s="350">
        <f t="shared" si="279"/>
        <v>76835</v>
      </c>
      <c r="BG97" s="350">
        <f t="shared" si="279"/>
        <v>119525</v>
      </c>
      <c r="BH97" s="350">
        <f t="shared" si="279"/>
        <v>111834</v>
      </c>
      <c r="BI97" s="350">
        <f t="shared" si="279"/>
        <v>139676</v>
      </c>
      <c r="BJ97" s="2725">
        <f t="shared" si="279"/>
        <v>116885</v>
      </c>
      <c r="BK97" s="2725">
        <f t="shared" si="279"/>
        <v>116885</v>
      </c>
      <c r="BL97" s="2716">
        <f t="shared" si="279"/>
        <v>116885</v>
      </c>
      <c r="BM97" s="2835">
        <f>BL97</f>
        <v>116885</v>
      </c>
      <c r="BN97" s="2835">
        <f t="shared" ref="BN97:BS97" si="280">BM97</f>
        <v>116885</v>
      </c>
      <c r="BO97" s="2835">
        <f t="shared" si="280"/>
        <v>116885</v>
      </c>
      <c r="BP97" s="2835">
        <f t="shared" si="280"/>
        <v>116885</v>
      </c>
      <c r="BQ97" s="2835">
        <f t="shared" si="280"/>
        <v>116885</v>
      </c>
      <c r="BR97" s="2835">
        <f t="shared" si="280"/>
        <v>116885</v>
      </c>
      <c r="BS97" s="2835">
        <f t="shared" si="280"/>
        <v>116885</v>
      </c>
      <c r="BT97" s="203"/>
      <c r="BU97" s="203"/>
    </row>
    <row r="98" spans="1:73" ht="12.75" customHeight="1" x14ac:dyDescent="0.35">
      <c r="A98" s="200"/>
      <c r="B98" s="338"/>
      <c r="C98" s="338" t="s">
        <v>306</v>
      </c>
      <c r="D98" s="338"/>
      <c r="E98" s="338"/>
      <c r="F98" s="147"/>
      <c r="G98" s="147"/>
      <c r="H98" s="147"/>
      <c r="I98" s="147"/>
      <c r="J98" s="147"/>
      <c r="K98" s="350">
        <f>[32]PnL!I183</f>
        <v>475</v>
      </c>
      <c r="L98" s="350">
        <f>[32]PnL!J183</f>
        <v>510</v>
      </c>
      <c r="M98" s="350">
        <f>[32]PnL!K183</f>
        <v>626</v>
      </c>
      <c r="N98" s="350">
        <f>[32]PnL!L183</f>
        <v>668</v>
      </c>
      <c r="O98" s="350">
        <f>[32]PnL!M183</f>
        <v>701</v>
      </c>
      <c r="P98" s="350">
        <f>[32]PnL!N183</f>
        <v>676</v>
      </c>
      <c r="Q98" s="350">
        <f>[32]PnL!O183</f>
        <v>800</v>
      </c>
      <c r="R98" s="350">
        <f>[32]PnL!P183</f>
        <v>747</v>
      </c>
      <c r="S98" s="350">
        <f>[32]PnL!Q183</f>
        <v>844</v>
      </c>
      <c r="T98" s="350">
        <f>[32]PnL!R183</f>
        <v>1175</v>
      </c>
      <c r="U98" s="350">
        <f>[32]PnL!S183</f>
        <v>1213</v>
      </c>
      <c r="V98" s="350">
        <f>[32]PnL!T183</f>
        <v>1340</v>
      </c>
      <c r="W98" s="350">
        <f>[32]PnL!U183</f>
        <v>1334</v>
      </c>
      <c r="X98" s="350">
        <f>[32]PnL!V183</f>
        <v>1303</v>
      </c>
      <c r="Y98" s="350">
        <f>[32]PnL!W183</f>
        <v>1346</v>
      </c>
      <c r="Z98" s="350">
        <f>[32]PnL!X183</f>
        <v>1360</v>
      </c>
      <c r="AA98" s="350">
        <f>[32]PnL!Y183</f>
        <v>1309</v>
      </c>
      <c r="AB98" s="350">
        <f>[32]PnL!Z183</f>
        <v>1165</v>
      </c>
      <c r="AC98" s="350">
        <f t="shared" ref="AC98" si="281">AC99*AB95</f>
        <v>1108.8097442451722</v>
      </c>
      <c r="AD98" s="373">
        <f>AD99*AC95</f>
        <v>1113.807721695857</v>
      </c>
      <c r="AE98" s="350">
        <f>AE99*AD95</f>
        <v>1103.0958685576372</v>
      </c>
      <c r="AF98" s="350">
        <f t="shared" ref="AF98:AL98" si="282">AF99*AE95</f>
        <v>1089.7680420007598</v>
      </c>
      <c r="AG98" s="350">
        <f t="shared" si="282"/>
        <v>1101.0671666419964</v>
      </c>
      <c r="AH98" s="350">
        <f t="shared" si="282"/>
        <v>1114.5716347597238</v>
      </c>
      <c r="AI98" s="350">
        <f t="shared" si="282"/>
        <v>1107.871521542078</v>
      </c>
      <c r="AJ98" s="350">
        <f t="shared" si="282"/>
        <v>1108.7626874477426</v>
      </c>
      <c r="AK98" s="350">
        <f t="shared" si="282"/>
        <v>1105.9692983613706</v>
      </c>
      <c r="AL98" s="350">
        <f t="shared" si="282"/>
        <v>1105.6142426258957</v>
      </c>
      <c r="AM98" s="351"/>
      <c r="AN98" s="350">
        <f>[32]PnL!AP183</f>
        <v>0</v>
      </c>
      <c r="AO98" s="350">
        <f>[32]PnL!AQ183</f>
        <v>0</v>
      </c>
      <c r="AP98" s="350">
        <f>[32]PnL!AR183</f>
        <v>0</v>
      </c>
      <c r="AQ98" s="350">
        <f>[32]PnL!AS183</f>
        <v>0</v>
      </c>
      <c r="AR98" s="350">
        <f>[32]PnL!AT183</f>
        <v>0</v>
      </c>
      <c r="AS98" s="350">
        <f>[32]PnL!AU183</f>
        <v>0</v>
      </c>
      <c r="AT98" s="350">
        <f>[32]PnL!AV183</f>
        <v>0</v>
      </c>
      <c r="AU98" s="350">
        <f>[32]PnL!AW183</f>
        <v>0</v>
      </c>
      <c r="AV98" s="350">
        <f>[32]PnL!AX183</f>
        <v>0</v>
      </c>
      <c r="AW98" s="350">
        <f>[32]PnL!AY183</f>
        <v>0</v>
      </c>
      <c r="AX98" s="350" t="e">
        <f t="shared" ref="AX98" si="283">AX99*AW95</f>
        <v>#DIV/0!</v>
      </c>
      <c r="AY98" s="350" t="e">
        <f t="shared" ref="AY98:BC98" si="284">AY99*AX95</f>
        <v>#DIV/0!</v>
      </c>
      <c r="AZ98" s="350" t="e">
        <f t="shared" si="284"/>
        <v>#DIV/0!</v>
      </c>
      <c r="BA98" s="350" t="e">
        <f t="shared" si="284"/>
        <v>#DIV/0!</v>
      </c>
      <c r="BB98" s="350" t="e">
        <f t="shared" si="284"/>
        <v>#DIV/0!</v>
      </c>
      <c r="BC98" s="350" t="e">
        <f t="shared" si="284"/>
        <v>#DIV/0!</v>
      </c>
      <c r="BD98" s="351"/>
      <c r="BE98" s="350">
        <f>[32]PnL!BH183</f>
        <v>1946</v>
      </c>
      <c r="BF98" s="350">
        <f>[32]PnL!BI183</f>
        <v>2671</v>
      </c>
      <c r="BG98" s="350">
        <f>[32]PnL!BJ183</f>
        <v>3566</v>
      </c>
      <c r="BH98" s="350">
        <f>[32]PnL!BK183</f>
        <v>5190</v>
      </c>
      <c r="BI98" s="350">
        <f>[32]PnL!BL183</f>
        <v>5180</v>
      </c>
      <c r="BJ98" s="350">
        <f>BI95*BJ99</f>
        <v>5586.1459419210723</v>
      </c>
      <c r="BK98" s="2727">
        <f>BJ95*BK99</f>
        <v>4707.0887565152643</v>
      </c>
      <c r="BL98" s="2727">
        <f t="shared" ref="BL98:BS98" si="285">BK95*BL99</f>
        <v>4707.0887565152643</v>
      </c>
      <c r="BM98" s="2727">
        <f t="shared" si="285"/>
        <v>4707.0887565152643</v>
      </c>
      <c r="BN98" s="2727">
        <f t="shared" si="285"/>
        <v>4707.0887565152643</v>
      </c>
      <c r="BO98" s="2727">
        <f t="shared" si="285"/>
        <v>4707.0887565152643</v>
      </c>
      <c r="BP98" s="2727">
        <f t="shared" si="285"/>
        <v>4707.0887565152643</v>
      </c>
      <c r="BQ98" s="2727">
        <f t="shared" si="285"/>
        <v>4707.0887565152643</v>
      </c>
      <c r="BR98" s="2727">
        <f t="shared" si="285"/>
        <v>4707.0887565152643</v>
      </c>
      <c r="BS98" s="2727">
        <f t="shared" si="285"/>
        <v>4707.0887565152643</v>
      </c>
      <c r="BT98" s="203"/>
      <c r="BU98" s="203"/>
    </row>
    <row r="99" spans="1:73" ht="12.75" customHeight="1" x14ac:dyDescent="0.35">
      <c r="A99" s="200"/>
      <c r="B99" s="339"/>
      <c r="C99" s="340"/>
      <c r="D99" s="339" t="s">
        <v>307</v>
      </c>
      <c r="E99" s="340"/>
      <c r="F99" s="147"/>
      <c r="G99" s="147"/>
      <c r="H99" s="147"/>
      <c r="I99" s="147"/>
      <c r="J99" s="147"/>
      <c r="K99" s="350" t="str">
        <f>IF(ISERR(K98/H95),"-",(K98/H95))</f>
        <v>-</v>
      </c>
      <c r="L99" s="354">
        <f t="shared" ref="L99:Y99" si="286">IF(ISERR(L98/K95),"-",(L98/K95))</f>
        <v>6.4398818092279717E-3</v>
      </c>
      <c r="M99" s="354">
        <f t="shared" si="286"/>
        <v>7.1059651512571653E-3</v>
      </c>
      <c r="N99" s="354">
        <f t="shared" si="286"/>
        <v>7.3548031929534822E-3</v>
      </c>
      <c r="O99" s="354">
        <f t="shared" si="286"/>
        <v>7.6418261893341473E-3</v>
      </c>
      <c r="P99" s="354">
        <f t="shared" si="286"/>
        <v>7.2440472363316834E-3</v>
      </c>
      <c r="Q99" s="354">
        <f t="shared" si="286"/>
        <v>8.7208668541653035E-3</v>
      </c>
      <c r="R99" s="354">
        <f t="shared" si="286"/>
        <v>5.7758773998499973E-3</v>
      </c>
      <c r="S99" s="354">
        <f t="shared" si="286"/>
        <v>6.7222607185809975E-3</v>
      </c>
      <c r="T99" s="354">
        <f t="shared" si="286"/>
        <v>8.5087585902254275E-3</v>
      </c>
      <c r="U99" s="354">
        <f t="shared" si="286"/>
        <v>8.7761185390982238E-3</v>
      </c>
      <c r="V99" s="354">
        <f t="shared" si="286"/>
        <v>9.8491029231255467E-3</v>
      </c>
      <c r="W99" s="354">
        <f t="shared" si="286"/>
        <v>9.932985852568875E-3</v>
      </c>
      <c r="X99" s="354">
        <f t="shared" si="286"/>
        <v>8.2058580884066274E-3</v>
      </c>
      <c r="Y99" s="354">
        <f t="shared" si="286"/>
        <v>8.1537706645989447E-3</v>
      </c>
      <c r="Z99" s="354">
        <f>IF(ISERR(Z98/Y95),"-",(Z98/Y95))</f>
        <v>9.5918525675837696E-3</v>
      </c>
      <c r="AA99" s="354">
        <f t="shared" ref="AA99:AB99" si="287">IF(ISERR(AA98/Z95),"-",(AA98/Z95))</f>
        <v>9.0381826969550515E-3</v>
      </c>
      <c r="AB99" s="354">
        <f t="shared" si="287"/>
        <v>9.2875307923499448E-3</v>
      </c>
      <c r="AC99" s="357">
        <f t="shared" ref="AC99" si="288">AVERAGE(U99:AB99)</f>
        <v>9.1044252655858721E-3</v>
      </c>
      <c r="AD99" s="357">
        <f>AVERAGE(V99:AC99)</f>
        <v>9.1454636063968298E-3</v>
      </c>
      <c r="AE99" s="357">
        <f t="shared" ref="AE99:AK99" si="289">AVERAGE(W99:AD99)</f>
        <v>9.0575086918057383E-3</v>
      </c>
      <c r="AF99" s="357">
        <f t="shared" si="289"/>
        <v>8.9480740467103477E-3</v>
      </c>
      <c r="AG99" s="357">
        <f t="shared" si="289"/>
        <v>9.0408510414983125E-3</v>
      </c>
      <c r="AH99" s="357">
        <f t="shared" si="289"/>
        <v>9.1517360886107322E-3</v>
      </c>
      <c r="AI99" s="357">
        <f t="shared" si="289"/>
        <v>9.0967215287391032E-3</v>
      </c>
      <c r="AJ99" s="357">
        <f t="shared" si="289"/>
        <v>9.1040388827121101E-3</v>
      </c>
      <c r="AK99" s="357">
        <f t="shared" si="289"/>
        <v>9.0811023940073794E-3</v>
      </c>
      <c r="AL99" s="357">
        <f>AVERAGE(AD99:AK99)</f>
        <v>9.0781870350600691E-3</v>
      </c>
      <c r="AM99" s="351"/>
      <c r="AN99" s="354" t="str">
        <f>IF(ISERR(AN98/#REF!),"-",(AN98/#REF!))</f>
        <v>-</v>
      </c>
      <c r="AO99" s="354" t="str">
        <f t="shared" ref="AO99" si="290">IF(ISERR(AO98/AN95),"-",(AO98/AN95))</f>
        <v>-</v>
      </c>
      <c r="AP99" s="354" t="str">
        <f t="shared" ref="AP99" si="291">IF(ISERR(AP98/AO95),"-",(AP98/AO95))</f>
        <v>-</v>
      </c>
      <c r="AQ99" s="354" t="str">
        <f t="shared" ref="AQ99" si="292">IF(ISERR(AQ98/AP95),"-",(AQ98/AP95))</f>
        <v>-</v>
      </c>
      <c r="AR99" s="354" t="str">
        <f t="shared" ref="AR99" si="293">IF(ISERR(AR98/AQ95),"-",(AR98/AQ95))</f>
        <v>-</v>
      </c>
      <c r="AS99" s="354" t="str">
        <f t="shared" ref="AS99" si="294">IF(ISERR(AS98/AR95),"-",(AS98/AR95))</f>
        <v>-</v>
      </c>
      <c r="AT99" s="354" t="str">
        <f t="shared" ref="AT99" si="295">IF(ISERR(AT98/AS95),"-",(AT98/AS95))</f>
        <v>-</v>
      </c>
      <c r="AU99" s="354" t="str">
        <f t="shared" ref="AU99" si="296">IF(ISERR(AU98/AT95),"-",(AU98/AT95))</f>
        <v>-</v>
      </c>
      <c r="AV99" s="354" t="str">
        <f t="shared" ref="AV99" si="297">IF(ISERR(AV98/AU95),"-",(AV98/AU95))</f>
        <v>-</v>
      </c>
      <c r="AW99" s="354" t="str">
        <f t="shared" ref="AW99" si="298">IF(ISERR(AW98/AV95),"-",(AW98/AV95))</f>
        <v>-</v>
      </c>
      <c r="AX99" s="357" t="e">
        <f t="shared" ref="AX99" si="299">AVERAGE(AP99:AW99)</f>
        <v>#DIV/0!</v>
      </c>
      <c r="AY99" s="357" t="e">
        <f t="shared" ref="AY99:BC99" si="300">AVERAGE(AQ99:AX99)</f>
        <v>#DIV/0!</v>
      </c>
      <c r="AZ99" s="357" t="e">
        <f t="shared" si="300"/>
        <v>#DIV/0!</v>
      </c>
      <c r="BA99" s="357" t="e">
        <f t="shared" si="300"/>
        <v>#DIV/0!</v>
      </c>
      <c r="BB99" s="357" t="e">
        <f t="shared" si="300"/>
        <v>#DIV/0!</v>
      </c>
      <c r="BC99" s="357" t="e">
        <f t="shared" si="300"/>
        <v>#DIV/0!</v>
      </c>
      <c r="BD99" s="351"/>
      <c r="BE99" s="354" t="str">
        <f>IF(ISERR(BE98/E99),"-",(BE98/E99))</f>
        <v>-</v>
      </c>
      <c r="BF99" s="354">
        <f>IF(ISERR(BF98/BE95),"-",(BF98/BE95))</f>
        <v>4.6234269789340671E-2</v>
      </c>
      <c r="BG99" s="354">
        <f>IF(ISERR(BG98/BF95),"-",(BG98/BF95))</f>
        <v>3.8874111542318929E-2</v>
      </c>
      <c r="BH99" s="354">
        <f>IF(ISERR(BH98/BG95),"-",(BH98/BG95))</f>
        <v>4.1337124560942393E-2</v>
      </c>
      <c r="BI99" s="354">
        <f>IF(ISERR(BI98/BH95),"-",(BI98/BH95))</f>
        <v>3.8570364854802683E-2</v>
      </c>
      <c r="BJ99" s="341">
        <f t="shared" ref="BJ99:BL99" si="301">BI99</f>
        <v>3.8570364854802683E-2</v>
      </c>
      <c r="BK99" s="341">
        <f t="shared" si="301"/>
        <v>3.8570364854802683E-2</v>
      </c>
      <c r="BL99" s="341">
        <f t="shared" si="301"/>
        <v>3.8570364854802683E-2</v>
      </c>
      <c r="BM99" s="341">
        <f t="shared" ref="BM99" si="302">BL99</f>
        <v>3.8570364854802683E-2</v>
      </c>
      <c r="BN99" s="341">
        <f t="shared" ref="BN99" si="303">BM99</f>
        <v>3.8570364854802683E-2</v>
      </c>
      <c r="BO99" s="341">
        <f t="shared" ref="BO99" si="304">BN99</f>
        <v>3.8570364854802683E-2</v>
      </c>
      <c r="BP99" s="341">
        <f t="shared" ref="BP99" si="305">BO99</f>
        <v>3.8570364854802683E-2</v>
      </c>
      <c r="BQ99" s="341">
        <f t="shared" ref="BQ99" si="306">BP99</f>
        <v>3.8570364854802683E-2</v>
      </c>
      <c r="BR99" s="341">
        <f t="shared" ref="BR99" si="307">BQ99</f>
        <v>3.8570364854802683E-2</v>
      </c>
      <c r="BS99" s="341">
        <f t="shared" ref="BS99" si="308">BR99</f>
        <v>3.8570364854802683E-2</v>
      </c>
      <c r="BT99" s="203"/>
      <c r="BU99" s="203"/>
    </row>
    <row r="100" spans="1:73" ht="12.75" customHeight="1" x14ac:dyDescent="0.35">
      <c r="A100" s="200"/>
      <c r="B100" s="339"/>
      <c r="C100" s="342" t="s">
        <v>308</v>
      </c>
      <c r="D100" s="339"/>
      <c r="E100" s="340"/>
      <c r="F100" s="147"/>
      <c r="G100" s="147"/>
      <c r="H100" s="147"/>
      <c r="I100" s="147"/>
      <c r="J100" s="147"/>
      <c r="K100" s="350" t="e">
        <f t="shared" ref="K100:V100" si="309">K10/K73</f>
        <v>#DIV/0!</v>
      </c>
      <c r="L100" s="350" t="e">
        <f t="shared" si="309"/>
        <v>#DIV/0!</v>
      </c>
      <c r="M100" s="350" t="e">
        <f t="shared" si="309"/>
        <v>#DIV/0!</v>
      </c>
      <c r="N100" s="350">
        <f t="shared" si="309"/>
        <v>14529.66815848953</v>
      </c>
      <c r="O100" s="350" t="e">
        <f t="shared" si="309"/>
        <v>#DIV/0!</v>
      </c>
      <c r="P100" s="350" t="e">
        <f t="shared" si="309"/>
        <v>#DIV/0!</v>
      </c>
      <c r="Q100" s="350" t="e">
        <f t="shared" si="309"/>
        <v>#DIV/0!</v>
      </c>
      <c r="R100" s="350">
        <f t="shared" si="309"/>
        <v>19586.898241971518</v>
      </c>
      <c r="S100" s="350" t="e">
        <f t="shared" si="309"/>
        <v>#DIV/0!</v>
      </c>
      <c r="T100" s="350" t="e">
        <f t="shared" si="309"/>
        <v>#DIV/0!</v>
      </c>
      <c r="U100" s="350" t="e">
        <f t="shared" si="309"/>
        <v>#DIV/0!</v>
      </c>
      <c r="V100" s="350">
        <f t="shared" si="309"/>
        <v>15116.556169755184</v>
      </c>
      <c r="W100" s="350" t="e">
        <f>PnL!W16/BS!W73*(31*3)</f>
        <v>#DIV/0!</v>
      </c>
      <c r="X100" s="350" t="e">
        <f>PnL!X16/BS!X73*(31*3)</f>
        <v>#DIV/0!</v>
      </c>
      <c r="Y100" s="350" t="e">
        <f>PnL!Y16/BS!Y73*(31*3)</f>
        <v>#DIV/0!</v>
      </c>
      <c r="Z100" s="350">
        <f>PnL!Z16/BS!Z73*(31*3)</f>
        <v>426915.06373207015</v>
      </c>
      <c r="AA100" s="350" t="e">
        <f>PnL!AA16/BS!AA73*(31*3)</f>
        <v>#DIV/0!</v>
      </c>
      <c r="AB100" s="350" t="e">
        <f>PnL!AB16/BS!AB73*(31*3)</f>
        <v>#DIV/0!</v>
      </c>
      <c r="AC100" s="350" t="e">
        <f>PnL!AC16/BS!AC73*(31*3)</f>
        <v>#DIV/0!</v>
      </c>
      <c r="AD100" s="350">
        <f>PnL!AD16/BS!AD73*(31*3)</f>
        <v>702679.11887253833</v>
      </c>
      <c r="AE100" s="350" t="e">
        <f>PnL!AE16/BS!AE73*(31*3)</f>
        <v>#DIV/0!</v>
      </c>
      <c r="AF100" s="350" t="e">
        <f>PnL!AF16/BS!AF73*(31*3)</f>
        <v>#DIV/0!</v>
      </c>
      <c r="AG100" s="350" t="e">
        <f>PnL!AG16/BS!AG73*(31*3)</f>
        <v>#DIV/0!</v>
      </c>
      <c r="AH100" s="350">
        <f>PnL!AH16/BS!AH73*(31*3)</f>
        <v>846204.40861872816</v>
      </c>
      <c r="AI100" s="350" t="e">
        <f>PnL!AI16/BS!AI73*(31*3)</f>
        <v>#DIV/0!</v>
      </c>
      <c r="AJ100" s="350" t="e">
        <f>PnL!AJ16/BS!AJ73*(31*3)</f>
        <v>#DIV/0!</v>
      </c>
      <c r="AK100" s="350" t="e">
        <f>PnL!AK16/BS!AK73*(31*3)</f>
        <v>#DIV/0!</v>
      </c>
      <c r="AL100" s="350">
        <f>PnL!AL16/BS!AL73*(31*3)</f>
        <v>1014750.0503153366</v>
      </c>
      <c r="AM100" s="351"/>
      <c r="AN100" s="350" t="e">
        <f>PnL!AN16/BS!AN73*(31*3)</f>
        <v>#DIV/0!</v>
      </c>
      <c r="AO100" s="350" t="e">
        <f>PnL!AO16/BS!AO73*(31*3)</f>
        <v>#DIV/0!</v>
      </c>
      <c r="AP100" s="350" t="e">
        <f>PnL!AP16/BS!AP73*(31*3)</f>
        <v>#DIV/0!</v>
      </c>
      <c r="AQ100" s="350" t="e">
        <f>PnL!AQ16/BS!AQ73*(31*3)</f>
        <v>#DIV/0!</v>
      </c>
      <c r="AR100" s="350" t="e">
        <f>PnL!AR16/BS!AR73*(31*3)</f>
        <v>#DIV/0!</v>
      </c>
      <c r="AS100" s="350" t="e">
        <f>PnL!AS16/BS!AS73*(31*3)</f>
        <v>#DIV/0!</v>
      </c>
      <c r="AT100" s="350" t="e">
        <f>PnL!AT16/BS!AT73*(31*6)</f>
        <v>#DIV/0!</v>
      </c>
      <c r="AU100" s="350" t="e">
        <f>PnL!AU16/BS!AU73*(31*6)</f>
        <v>#DIV/0!</v>
      </c>
      <c r="AV100" s="350" t="e">
        <f>PnL!AV16/BS!AV73*(31*6)</f>
        <v>#DIV/0!</v>
      </c>
      <c r="AW100" s="350" t="e">
        <f>PnL!AW16/BS!AW73*(31*6)</f>
        <v>#DIV/0!</v>
      </c>
      <c r="AX100" s="350" t="e">
        <f>PnL!AX16/BS!AX73*(31*6)</f>
        <v>#DIV/0!</v>
      </c>
      <c r="AY100" s="350" t="e">
        <f>PnL!AY16/BS!AY73*(31*6)</f>
        <v>#DIV/0!</v>
      </c>
      <c r="AZ100" s="350" t="e">
        <f>PnL!AZ16/BS!AZ73*(31*6)</f>
        <v>#DIV/0!</v>
      </c>
      <c r="BA100" s="350" t="e">
        <f>PnL!BA16/BS!BA73*(31*6)</f>
        <v>#DIV/0!</v>
      </c>
      <c r="BB100" s="350" t="e">
        <f>PnL!BB16/BS!BB73*(31*6)</f>
        <v>#DIV/0!</v>
      </c>
      <c r="BC100" s="350" t="e">
        <f>PnL!BC16/BS!BC73*(31*6)</f>
        <v>#DIV/0!</v>
      </c>
      <c r="BD100" s="351"/>
      <c r="BE100" s="350">
        <f>PnL!BE16/BS!BE73</f>
        <v>7874.2032133428511</v>
      </c>
      <c r="BF100" s="350">
        <f>PnL!BF16/BS!BF73</f>
        <v>5878.1439161598882</v>
      </c>
      <c r="BG100" s="350">
        <f>PnL!BG16/BS!BG73</f>
        <v>10076.306750016925</v>
      </c>
      <c r="BH100" s="350">
        <f>PnL!BH16/BS!BH73</f>
        <v>15514.029795788847</v>
      </c>
      <c r="BI100" s="350">
        <f>PnL!BI16/BS!BI73</f>
        <v>19929.072020897576</v>
      </c>
      <c r="BJ100" s="350">
        <f>PnL!BJ16/BS!BJ73</f>
        <v>36166.666238473103</v>
      </c>
      <c r="BK100" s="350">
        <f>PnL!BK16/BS!BK73</f>
        <v>42309.093821236973</v>
      </c>
      <c r="BL100" s="350">
        <f>PnL!BL16/BS!BL73</f>
        <v>51868.146257826949</v>
      </c>
      <c r="BM100" s="350">
        <f>PnL!BM16/BS!BM73</f>
        <v>61420.978898885762</v>
      </c>
      <c r="BN100" s="350">
        <f>PnL!BN16/BS!BN73</f>
        <v>73553.833761285074</v>
      </c>
      <c r="BO100" s="350">
        <f>PnL!BO16/BS!BO73</f>
        <v>87333.832465681829</v>
      </c>
      <c r="BP100" s="350">
        <f>PnL!BP16/BS!BP73</f>
        <v>96071.355392549463</v>
      </c>
      <c r="BQ100" s="350">
        <f>PnL!BQ16/BS!BQ73</f>
        <v>105553.94525878786</v>
      </c>
      <c r="BR100" s="350">
        <f>PnL!BR16/BS!BR73</f>
        <v>114905.82983979245</v>
      </c>
      <c r="BS100" s="350">
        <f>PnL!BS16/BS!BS73</f>
        <v>124340.04246532419</v>
      </c>
      <c r="BT100" s="203"/>
      <c r="BU100" s="203"/>
    </row>
    <row r="101" spans="1:73" ht="12.75" customHeight="1" x14ac:dyDescent="0.35">
      <c r="A101" s="200"/>
      <c r="B101" s="339"/>
      <c r="C101" s="342" t="s">
        <v>309</v>
      </c>
      <c r="D101" s="339"/>
      <c r="E101" s="340"/>
      <c r="F101" s="147"/>
      <c r="G101" s="147"/>
      <c r="H101" s="147"/>
      <c r="I101" s="147"/>
      <c r="J101" s="147"/>
      <c r="K101" s="350"/>
      <c r="L101" s="350"/>
      <c r="M101" s="350"/>
      <c r="N101" s="350"/>
      <c r="O101" s="350"/>
      <c r="P101" s="350"/>
      <c r="Q101" s="350"/>
      <c r="R101" s="350"/>
      <c r="S101" s="350"/>
      <c r="T101" s="350"/>
      <c r="U101" s="350"/>
      <c r="V101" s="350"/>
      <c r="W101" s="350"/>
      <c r="X101" s="350"/>
      <c r="Y101" s="350"/>
      <c r="Z101" s="350"/>
      <c r="AA101" s="350"/>
      <c r="AB101" s="350"/>
      <c r="AC101" s="350">
        <f>AB10+CF!AC17+CF!AC26+SUM(CF!AC29:AC30)+SUM(CF!AC32:AC33)</f>
        <v>417383.11047854484</v>
      </c>
      <c r="AD101" s="350">
        <f>AC10+CF!AD17+CF!AD26+SUM(CF!AD29:AD30)+SUM(CF!AD32:AD33)</f>
        <v>425908.18841216236</v>
      </c>
      <c r="AE101" s="350">
        <f>AD10+CF!AE17+CF!AE26+SUM(CF!AE29:AE30)+SUM(CF!AE32:AE33)</f>
        <v>429424.24439517048</v>
      </c>
      <c r="AF101" s="350">
        <f>AE10+CF!AF17+CF!AF26+SUM(CF!AF29:AF30)+SUM(CF!AF32:AF33)</f>
        <v>426939.85344313213</v>
      </c>
      <c r="AG101" s="350">
        <f>AF10+CF!AG17+CF!AG26+SUM(CF!AG29:AG30)+SUM(CF!AG32:AG33)</f>
        <v>473642.85226831533</v>
      </c>
      <c r="AH101" s="350">
        <f>AG10+CF!AH17+CF!AH26+SUM(CF!AH29:AH30)+SUM(CF!AH32:AH33)</f>
        <v>471786.70137136983</v>
      </c>
      <c r="AI101" s="350">
        <f>AH10+CF!AI17+CF!AI26+SUM(CF!AI29:AI30)+SUM(CF!AI32:AI33)</f>
        <v>485887.41226165002</v>
      </c>
      <c r="AJ101" s="350">
        <f>AI10+CF!AJ17+CF!AJ26+SUM(CF!AJ29:AJ30)+SUM(CF!AJ32:AJ33)</f>
        <v>479597.85276550747</v>
      </c>
      <c r="AK101" s="350">
        <f>AJ10+CF!AK17+CF!AK26+SUM(CF!AK29:AK30)+SUM(CF!AK32:AK33)</f>
        <v>531939.85523696628</v>
      </c>
      <c r="AL101" s="350">
        <f>AK10+CF!AL17+CF!AL26+SUM(CF!AL29:AL30)+SUM(CF!AL32:AL33)</f>
        <v>532926.42661455972</v>
      </c>
      <c r="AM101" s="351"/>
      <c r="AN101" s="350"/>
      <c r="AO101" s="350"/>
      <c r="AP101" s="350"/>
      <c r="AQ101" s="350"/>
      <c r="AR101" s="350"/>
      <c r="AS101" s="350"/>
      <c r="AT101" s="350"/>
      <c r="AU101" s="350"/>
      <c r="AV101" s="350"/>
      <c r="AW101" s="350"/>
      <c r="AX101" s="350">
        <f>AW10+CF!AX17+CF!AX26+SUM(CF!AX29:AX30)+SUM(CF!AX32:AX33)</f>
        <v>0</v>
      </c>
      <c r="AY101" s="350" t="e">
        <f>AX10+CF!AY17+CF!AY26+SUM(CF!AY29:AY30)+SUM(CF!AY32:AY33)</f>
        <v>#REF!</v>
      </c>
      <c r="AZ101" s="350" t="e">
        <f>AY10+CF!AZ17+CF!AZ26+SUM(CF!AZ29:AZ30)+SUM(CF!AZ32:AZ33)</f>
        <v>#REF!</v>
      </c>
      <c r="BA101" s="350" t="e">
        <f>AZ10+CF!BA17+CF!BA26+SUM(CF!BA29:BA30)+SUM(CF!BA32:BA33)</f>
        <v>#REF!</v>
      </c>
      <c r="BB101" s="350" t="e">
        <f>BA10+CF!BB17+CF!BB26+SUM(CF!BB29:BB30)+SUM(CF!BB32:BB33)</f>
        <v>#REF!</v>
      </c>
      <c r="BC101" s="350" t="e">
        <f>BB10+CF!BC17+CF!BC26+SUM(CF!BC29:BC30)+SUM(CF!BC32:BC33)</f>
        <v>#REF!</v>
      </c>
      <c r="BD101" s="351"/>
      <c r="BE101" s="350"/>
      <c r="BF101" s="350">
        <f>BE10+CF!BF17+CF!BF26+SUM(CF!BF29:BF30)+SUM(CF!BF32:BF33)</f>
        <v>123281</v>
      </c>
      <c r="BG101" s="350">
        <f>BF10+CF!BG17+CF!BG26+SUM(CF!BG29:BG30)+SUM(CF!BG32:BG33)</f>
        <v>173791</v>
      </c>
      <c r="BH101" s="350">
        <f>BG10+CF!BH17+CF!BH26+SUM(CF!BH29:BH30)+SUM(CF!BH32:BH33)</f>
        <v>210209</v>
      </c>
      <c r="BI101" s="350">
        <f>BH10+CF!BI17+CF!BI26+SUM(CF!BI29:BI30)+SUM(CF!BI32:BI33)</f>
        <v>366675</v>
      </c>
      <c r="BJ101" s="350">
        <f>BI10+CF!BJ17+CF!BJ26+SUM(CF!BJ29:BJ30)+SUM(CF!BJ32:BJ33)</f>
        <v>457653.08033155318</v>
      </c>
      <c r="BK101" s="350">
        <f>BJ10+CF!BK17+CF!BK26+SUM(CF!BK29:BK30)+SUM(CF!BK32:BK33)</f>
        <v>516914.24301025865</v>
      </c>
      <c r="BL101" s="350">
        <f>BK10+CF!BL17+CF!BL26+SUM(CF!BL29:BL30)+SUM(CF!BL32:BL33)</f>
        <v>586900.30221369839</v>
      </c>
      <c r="BM101" s="350">
        <f>BL10+CF!BM17+CF!BM26+SUM(CF!BM29:BM30)+SUM(CF!BM32:BM33)</f>
        <v>670644.02594288439</v>
      </c>
      <c r="BN101" s="350">
        <f>BM10+CF!BN17+CF!BN26+SUM(CF!BN29:BN30)+SUM(CF!BN32:BN33)</f>
        <v>947038.83991438197</v>
      </c>
      <c r="BO101" s="350">
        <f>BN10+CF!BO17+CF!BO26+SUM(CF!BO29:BO30)+SUM(CF!BO32:BO33)</f>
        <v>1102060.1163614206</v>
      </c>
      <c r="BP101" s="350">
        <f>BO10+CF!BP17+CF!BP26+SUM(CF!BP29:BP30)+SUM(CF!BP32:BP33)</f>
        <v>1262521.7337803522</v>
      </c>
      <c r="BQ101" s="350">
        <f>BP10+CF!BQ17+CF!BQ26+SUM(CF!BQ29:BQ30)+SUM(CF!BQ32:BQ33)</f>
        <v>1419872.8697752962</v>
      </c>
      <c r="BR101" s="350">
        <f>BQ10+CF!BR17+CF!BR26+SUM(CF!BR29:BR30)+SUM(CF!BR32:BR33)</f>
        <v>1570110.448540949</v>
      </c>
      <c r="BS101" s="350">
        <f>BR10+CF!BS17+CF!BS26+SUM(CF!BS29:BS30)+SUM(CF!BS32:BS33)</f>
        <v>1708424.3720231433</v>
      </c>
      <c r="BT101" s="203"/>
      <c r="BU101" s="203"/>
    </row>
    <row r="102" spans="1:73" ht="12.75" customHeight="1" x14ac:dyDescent="0.35">
      <c r="A102" s="200"/>
      <c r="B102" s="339"/>
      <c r="C102" s="342" t="s">
        <v>310</v>
      </c>
      <c r="D102" s="339"/>
      <c r="E102" s="340"/>
      <c r="F102" s="147"/>
      <c r="G102" s="147"/>
      <c r="H102" s="147"/>
      <c r="I102" s="147"/>
      <c r="J102" s="147"/>
      <c r="K102" s="350"/>
      <c r="L102" s="350"/>
      <c r="M102" s="350"/>
      <c r="N102" s="350"/>
      <c r="O102" s="350"/>
      <c r="P102" s="350"/>
      <c r="Q102" s="350"/>
      <c r="R102" s="350"/>
      <c r="S102" s="350"/>
      <c r="T102" s="350"/>
      <c r="U102" s="350"/>
      <c r="V102" s="350"/>
      <c r="W102" s="350"/>
      <c r="X102" s="350"/>
      <c r="Y102" s="350"/>
      <c r="Z102" s="350"/>
      <c r="AA102" s="350"/>
      <c r="AB102" s="350"/>
      <c r="AC102" s="2716">
        <v>0</v>
      </c>
      <c r="AD102" s="2716">
        <v>0</v>
      </c>
      <c r="AE102" s="2716">
        <v>0</v>
      </c>
      <c r="AF102" s="2716">
        <v>0</v>
      </c>
      <c r="AG102" s="2716">
        <v>0</v>
      </c>
      <c r="AH102" s="2716">
        <v>0</v>
      </c>
      <c r="AI102" s="2716">
        <v>0</v>
      </c>
      <c r="AJ102" s="2716">
        <v>0</v>
      </c>
      <c r="AK102" s="2716">
        <v>0</v>
      </c>
      <c r="AL102" s="2716">
        <v>0</v>
      </c>
      <c r="AM102" s="351"/>
      <c r="AN102" s="350"/>
      <c r="AO102" s="350"/>
      <c r="AP102" s="350"/>
      <c r="AQ102" s="350"/>
      <c r="AR102" s="350"/>
      <c r="AS102" s="350"/>
      <c r="AT102" s="350"/>
      <c r="AU102" s="350"/>
      <c r="AV102" s="350"/>
      <c r="AW102" s="350"/>
      <c r="AX102" s="350" t="e">
        <f t="shared" ref="AX102" si="310">MIN(0,AX101-AX100)</f>
        <v>#DIV/0!</v>
      </c>
      <c r="AY102" s="350" t="e">
        <f t="shared" ref="AY102:BC102" si="311">MIN(0,AY101-AY100)</f>
        <v>#REF!</v>
      </c>
      <c r="AZ102" s="350" t="e">
        <f t="shared" si="311"/>
        <v>#REF!</v>
      </c>
      <c r="BA102" s="350" t="e">
        <f t="shared" si="311"/>
        <v>#REF!</v>
      </c>
      <c r="BB102" s="350" t="e">
        <f t="shared" si="311"/>
        <v>#REF!</v>
      </c>
      <c r="BC102" s="350" t="e">
        <f t="shared" si="311"/>
        <v>#REF!</v>
      </c>
      <c r="BD102" s="351"/>
      <c r="BE102" s="350"/>
      <c r="BF102" s="350">
        <f t="shared" ref="BF102:BK102" si="312">MIN(0,BF101-BF100)</f>
        <v>0</v>
      </c>
      <c r="BG102" s="350">
        <f t="shared" si="312"/>
        <v>0</v>
      </c>
      <c r="BH102" s="350">
        <f t="shared" si="312"/>
        <v>0</v>
      </c>
      <c r="BI102" s="350">
        <f t="shared" si="312"/>
        <v>0</v>
      </c>
      <c r="BJ102" s="350">
        <f t="shared" si="312"/>
        <v>0</v>
      </c>
      <c r="BK102" s="350">
        <f t="shared" si="312"/>
        <v>0</v>
      </c>
      <c r="BL102" s="350">
        <f>MIN(0,BL101-BL100)</f>
        <v>0</v>
      </c>
      <c r="BM102" s="350">
        <f t="shared" ref="BM102:BS102" si="313">MIN(0,BM101-BM100)</f>
        <v>0</v>
      </c>
      <c r="BN102" s="350">
        <f t="shared" si="313"/>
        <v>0</v>
      </c>
      <c r="BO102" s="350">
        <f t="shared" si="313"/>
        <v>0</v>
      </c>
      <c r="BP102" s="350">
        <f t="shared" si="313"/>
        <v>0</v>
      </c>
      <c r="BQ102" s="350">
        <f t="shared" si="313"/>
        <v>0</v>
      </c>
      <c r="BR102" s="350">
        <f t="shared" si="313"/>
        <v>0</v>
      </c>
      <c r="BS102" s="350">
        <f t="shared" si="313"/>
        <v>0</v>
      </c>
      <c r="BT102" s="203"/>
      <c r="BU102" s="203"/>
    </row>
    <row r="103" spans="1:73" ht="12.75" customHeight="1" x14ac:dyDescent="0.35">
      <c r="A103" s="200"/>
      <c r="B103" s="201"/>
      <c r="C103" s="201"/>
      <c r="D103" s="201"/>
      <c r="E103" s="147"/>
      <c r="F103" s="147"/>
      <c r="G103" s="147"/>
      <c r="H103" s="147"/>
      <c r="I103" s="147"/>
      <c r="J103" s="147"/>
      <c r="K103" s="350"/>
      <c r="L103" s="350"/>
      <c r="M103" s="350"/>
      <c r="N103" s="350"/>
      <c r="O103" s="350"/>
      <c r="P103" s="350"/>
      <c r="Q103" s="350"/>
      <c r="R103" s="350"/>
      <c r="S103" s="350"/>
      <c r="T103" s="350"/>
      <c r="U103" s="350"/>
      <c r="V103" s="350"/>
      <c r="W103" s="350"/>
      <c r="X103" s="350"/>
      <c r="Y103" s="350"/>
      <c r="Z103" s="350"/>
      <c r="AA103" s="350"/>
      <c r="AB103" s="350"/>
      <c r="AC103" s="350"/>
      <c r="AD103" s="350"/>
      <c r="AE103" s="350"/>
      <c r="AF103" s="350"/>
      <c r="AG103" s="350"/>
      <c r="AH103" s="350"/>
      <c r="AI103" s="350"/>
      <c r="AJ103" s="350"/>
      <c r="AK103" s="350"/>
      <c r="AL103" s="350"/>
      <c r="AM103" s="351"/>
      <c r="AN103" s="350"/>
      <c r="AO103" s="350"/>
      <c r="AP103" s="350"/>
      <c r="AQ103" s="350"/>
      <c r="AR103" s="350"/>
      <c r="AS103" s="350"/>
      <c r="AT103" s="350"/>
      <c r="AU103" s="350"/>
      <c r="AV103" s="350"/>
      <c r="AW103" s="350"/>
      <c r="AX103" s="350"/>
      <c r="AY103" s="350"/>
      <c r="AZ103" s="350"/>
      <c r="BA103" s="350"/>
      <c r="BB103" s="350"/>
      <c r="BC103" s="350"/>
      <c r="BD103" s="351"/>
      <c r="BE103" s="350"/>
      <c r="BF103" s="350"/>
      <c r="BG103" s="350"/>
      <c r="BH103" s="350"/>
      <c r="BI103" s="350"/>
      <c r="BJ103" s="350"/>
      <c r="BK103" s="350"/>
      <c r="BL103" s="350"/>
      <c r="BM103" s="351"/>
      <c r="BN103" s="351"/>
      <c r="BO103" s="351"/>
      <c r="BP103" s="351"/>
      <c r="BQ103" s="351"/>
      <c r="BR103" s="351"/>
      <c r="BS103" s="351"/>
      <c r="BT103" s="203"/>
      <c r="BU103" s="203"/>
    </row>
    <row r="104" spans="1:73" ht="12.75" customHeight="1" x14ac:dyDescent="0.35">
      <c r="A104" s="200"/>
      <c r="B104" s="469" t="s">
        <v>392</v>
      </c>
      <c r="C104" s="201"/>
      <c r="D104" s="201"/>
      <c r="E104" s="147"/>
      <c r="F104" s="147"/>
      <c r="G104" s="147"/>
      <c r="H104" s="147"/>
      <c r="I104" s="147"/>
      <c r="J104" s="147"/>
      <c r="K104" s="350"/>
      <c r="L104" s="350"/>
      <c r="M104" s="350"/>
      <c r="N104" s="350"/>
      <c r="O104" s="350"/>
      <c r="P104" s="350"/>
      <c r="Q104" s="350"/>
      <c r="R104" s="350"/>
      <c r="S104" s="350"/>
      <c r="T104" s="350"/>
      <c r="U104" s="350"/>
      <c r="V104" s="350"/>
      <c r="W104" s="350"/>
      <c r="X104" s="350"/>
      <c r="Y104" s="350"/>
      <c r="Z104" s="350"/>
      <c r="AA104" s="350"/>
      <c r="AB104" s="350"/>
      <c r="AC104" s="350"/>
      <c r="AD104" s="350"/>
      <c r="AE104" s="350"/>
      <c r="AF104" s="350"/>
      <c r="AG104" s="350"/>
      <c r="AH104" s="350"/>
      <c r="AI104" s="350"/>
      <c r="AJ104" s="350"/>
      <c r="AK104" s="350"/>
      <c r="AL104" s="350"/>
      <c r="AM104" s="351"/>
      <c r="AN104" s="350"/>
      <c r="AO104" s="350"/>
      <c r="AP104" s="350"/>
      <c r="AQ104" s="350"/>
      <c r="AR104" s="350"/>
      <c r="AS104" s="350"/>
      <c r="AT104" s="350"/>
      <c r="AU104" s="350"/>
      <c r="AV104" s="350"/>
      <c r="AW104" s="350"/>
      <c r="AX104" s="350"/>
      <c r="AY104" s="350"/>
      <c r="AZ104" s="350"/>
      <c r="BA104" s="350"/>
      <c r="BB104" s="350"/>
      <c r="BC104" s="350"/>
      <c r="BD104" s="351"/>
      <c r="BE104" s="350"/>
      <c r="BF104" s="350"/>
      <c r="BG104" s="350"/>
      <c r="BH104" s="350"/>
      <c r="BI104" s="350"/>
      <c r="BJ104" s="350"/>
      <c r="BK104" s="350"/>
      <c r="BL104" s="350"/>
      <c r="BM104" s="351"/>
      <c r="BN104" s="351"/>
      <c r="BO104" s="351"/>
      <c r="BP104" s="351"/>
      <c r="BQ104" s="351"/>
      <c r="BR104" s="351"/>
      <c r="BS104" s="351"/>
      <c r="BT104" s="203"/>
      <c r="BU104" s="203"/>
    </row>
    <row r="105" spans="1:73" ht="12.75" customHeight="1" x14ac:dyDescent="0.35">
      <c r="A105" s="200"/>
      <c r="B105" s="201"/>
      <c r="C105" s="338" t="s">
        <v>311</v>
      </c>
      <c r="D105" s="201"/>
      <c r="E105" s="147"/>
      <c r="F105" s="147"/>
      <c r="G105" s="147"/>
      <c r="H105" s="147"/>
      <c r="I105" s="147"/>
      <c r="J105" s="147"/>
      <c r="K105" s="350">
        <f t="shared" ref="K105:AL105" si="314">K10</f>
        <v>92088</v>
      </c>
      <c r="L105" s="350">
        <f t="shared" si="314"/>
        <v>111008</v>
      </c>
      <c r="M105" s="350">
        <f t="shared" si="314"/>
        <v>141796</v>
      </c>
      <c r="N105" s="350">
        <f t="shared" si="314"/>
        <v>150801</v>
      </c>
      <c r="O105" s="350">
        <f t="shared" si="314"/>
        <v>152614</v>
      </c>
      <c r="P105" s="350">
        <f t="shared" si="314"/>
        <v>165010</v>
      </c>
      <c r="Q105" s="350">
        <f t="shared" si="314"/>
        <v>224132</v>
      </c>
      <c r="R105" s="350">
        <f t="shared" si="314"/>
        <v>210210</v>
      </c>
      <c r="S105" s="350">
        <f t="shared" si="314"/>
        <v>185151</v>
      </c>
      <c r="T105" s="350">
        <f t="shared" si="314"/>
        <v>181537</v>
      </c>
      <c r="U105" s="350">
        <f t="shared" si="314"/>
        <v>200591</v>
      </c>
      <c r="V105" s="350">
        <f t="shared" si="314"/>
        <v>203165</v>
      </c>
      <c r="W105" s="350">
        <f t="shared" si="314"/>
        <v>220620</v>
      </c>
      <c r="X105" s="350">
        <f t="shared" si="314"/>
        <v>241010</v>
      </c>
      <c r="Y105" s="350">
        <f t="shared" si="314"/>
        <v>357210</v>
      </c>
      <c r="Z105" s="350">
        <f t="shared" si="314"/>
        <v>363215</v>
      </c>
      <c r="AA105" s="350">
        <f t="shared" ref="AA105:AB105" si="315">AA10</f>
        <v>386558</v>
      </c>
      <c r="AB105" s="350">
        <f t="shared" si="315"/>
        <v>410703</v>
      </c>
      <c r="AC105" s="350">
        <f t="shared" ref="AC105" si="316">AC10</f>
        <v>417383.11047854484</v>
      </c>
      <c r="AD105" s="350">
        <f t="shared" si="314"/>
        <v>425908.18841216236</v>
      </c>
      <c r="AE105" s="350">
        <f t="shared" si="314"/>
        <v>429424.24439517048</v>
      </c>
      <c r="AF105" s="350">
        <f t="shared" si="314"/>
        <v>426939.85344313219</v>
      </c>
      <c r="AG105" s="350">
        <f t="shared" si="314"/>
        <v>473642.85226831533</v>
      </c>
      <c r="AH105" s="350">
        <f t="shared" si="314"/>
        <v>471786.70137136983</v>
      </c>
      <c r="AI105" s="350">
        <f t="shared" si="314"/>
        <v>485887.41226165002</v>
      </c>
      <c r="AJ105" s="350">
        <f t="shared" si="314"/>
        <v>479597.85276550753</v>
      </c>
      <c r="AK105" s="350">
        <f t="shared" si="314"/>
        <v>531939.85523696628</v>
      </c>
      <c r="AL105" s="350">
        <f t="shared" si="314"/>
        <v>532926.42661455972</v>
      </c>
      <c r="AM105" s="351"/>
      <c r="AN105" s="350">
        <f t="shared" ref="AN105:BC105" si="317">AN10</f>
        <v>0</v>
      </c>
      <c r="AO105" s="350">
        <f t="shared" si="317"/>
        <v>0</v>
      </c>
      <c r="AP105" s="350">
        <f t="shared" si="317"/>
        <v>0</v>
      </c>
      <c r="AQ105" s="350">
        <f t="shared" si="317"/>
        <v>0</v>
      </c>
      <c r="AR105" s="350">
        <f t="shared" si="317"/>
        <v>0</v>
      </c>
      <c r="AS105" s="350">
        <f t="shared" si="317"/>
        <v>0</v>
      </c>
      <c r="AT105" s="350">
        <f t="shared" si="317"/>
        <v>0</v>
      </c>
      <c r="AU105" s="350">
        <f t="shared" si="317"/>
        <v>0</v>
      </c>
      <c r="AV105" s="350">
        <f t="shared" si="317"/>
        <v>0</v>
      </c>
      <c r="AW105" s="350">
        <f t="shared" si="317"/>
        <v>0</v>
      </c>
      <c r="AX105" s="350" t="e">
        <f t="shared" ref="AX105" si="318">AX10</f>
        <v>#REF!</v>
      </c>
      <c r="AY105" s="350" t="e">
        <f t="shared" si="317"/>
        <v>#REF!</v>
      </c>
      <c r="AZ105" s="350" t="e">
        <f t="shared" si="317"/>
        <v>#REF!</v>
      </c>
      <c r="BA105" s="350" t="e">
        <f t="shared" si="317"/>
        <v>#REF!</v>
      </c>
      <c r="BB105" s="350" t="e">
        <f t="shared" si="317"/>
        <v>#REF!</v>
      </c>
      <c r="BC105" s="350" t="e">
        <f t="shared" si="317"/>
        <v>#REF!</v>
      </c>
      <c r="BD105" s="351"/>
      <c r="BE105" s="350">
        <f t="shared" ref="BE105:BS105" si="319">BE10</f>
        <v>115696</v>
      </c>
      <c r="BF105" s="350">
        <f t="shared" si="319"/>
        <v>150801</v>
      </c>
      <c r="BG105" s="350">
        <f t="shared" si="319"/>
        <v>210210</v>
      </c>
      <c r="BH105" s="350">
        <f t="shared" si="319"/>
        <v>203165</v>
      </c>
      <c r="BI105" s="350">
        <f t="shared" si="319"/>
        <v>363215</v>
      </c>
      <c r="BJ105" s="350">
        <f t="shared" si="319"/>
        <v>425908.18841216236</v>
      </c>
      <c r="BK105" s="350">
        <f t="shared" si="319"/>
        <v>471786.70137136983</v>
      </c>
      <c r="BL105" s="350">
        <f t="shared" si="319"/>
        <v>532926.42661455972</v>
      </c>
      <c r="BM105" s="350">
        <f t="shared" si="319"/>
        <v>798162.33510030271</v>
      </c>
      <c r="BN105" s="350">
        <f t="shared" si="319"/>
        <v>947038.83991438197</v>
      </c>
      <c r="BO105" s="350">
        <f t="shared" si="319"/>
        <v>1102060.1163614206</v>
      </c>
      <c r="BP105" s="350">
        <f t="shared" si="319"/>
        <v>1262521.7337803522</v>
      </c>
      <c r="BQ105" s="350">
        <f t="shared" si="319"/>
        <v>1419872.8697752962</v>
      </c>
      <c r="BR105" s="350">
        <f t="shared" si="319"/>
        <v>1570110.4485409488</v>
      </c>
      <c r="BS105" s="350">
        <f t="shared" si="319"/>
        <v>1708424.3720231433</v>
      </c>
      <c r="BT105" s="203"/>
      <c r="BU105" s="203"/>
    </row>
    <row r="106" spans="1:73" ht="12.75" customHeight="1" x14ac:dyDescent="0.35">
      <c r="A106" s="200"/>
      <c r="B106" s="201"/>
      <c r="C106" s="338" t="s">
        <v>312</v>
      </c>
      <c r="D106" s="201"/>
      <c r="E106" s="147"/>
      <c r="F106" s="147"/>
      <c r="G106" s="147"/>
      <c r="H106" s="147"/>
      <c r="I106" s="147"/>
      <c r="J106" s="147"/>
      <c r="K106" s="350">
        <f>[32]PnL!I184</f>
        <v>0</v>
      </c>
      <c r="L106" s="350">
        <f>[32]PnL!J184</f>
        <v>0</v>
      </c>
      <c r="M106" s="350">
        <f>[32]PnL!K184</f>
        <v>0</v>
      </c>
      <c r="N106" s="350">
        <f>[32]PnL!L184</f>
        <v>0</v>
      </c>
      <c r="O106" s="350">
        <f>[32]PnL!M184</f>
        <v>0</v>
      </c>
      <c r="P106" s="350">
        <f>[32]PnL!N184</f>
        <v>0</v>
      </c>
      <c r="Q106" s="350">
        <f>[32]PnL!O184</f>
        <v>0</v>
      </c>
      <c r="R106" s="350">
        <f>[32]PnL!P184</f>
        <v>0</v>
      </c>
      <c r="S106" s="350">
        <f>[32]PnL!Q184</f>
        <v>0</v>
      </c>
      <c r="T106" s="350">
        <f>[32]PnL!R184</f>
        <v>0</v>
      </c>
      <c r="U106" s="350">
        <f>[32]PnL!S184</f>
        <v>0</v>
      </c>
      <c r="V106" s="350">
        <f>[32]PnL!T184</f>
        <v>0</v>
      </c>
      <c r="W106" s="350">
        <f>[32]PnL!U184</f>
        <v>0</v>
      </c>
      <c r="X106" s="350">
        <f>[32]PnL!V184</f>
        <v>0</v>
      </c>
      <c r="Y106" s="350">
        <f>[32]PnL!W184</f>
        <v>0</v>
      </c>
      <c r="Z106" s="350">
        <f>[32]PnL!X184</f>
        <v>0</v>
      </c>
      <c r="AA106" s="350">
        <f>[32]PnL!Y184</f>
        <v>0</v>
      </c>
      <c r="AB106" s="350">
        <f>[32]PnL!Z184</f>
        <v>0</v>
      </c>
      <c r="AC106" s="350">
        <f t="shared" ref="AC106" si="320">AB105*AC107</f>
        <v>0</v>
      </c>
      <c r="AD106" s="350">
        <f>AC105*AD107</f>
        <v>0</v>
      </c>
      <c r="AE106" s="350">
        <f t="shared" ref="AE106:AL106" si="321">AD105*AE107</f>
        <v>0</v>
      </c>
      <c r="AF106" s="350">
        <f t="shared" si="321"/>
        <v>0</v>
      </c>
      <c r="AG106" s="350">
        <f t="shared" si="321"/>
        <v>0</v>
      </c>
      <c r="AH106" s="350">
        <f t="shared" si="321"/>
        <v>0</v>
      </c>
      <c r="AI106" s="350">
        <f t="shared" si="321"/>
        <v>0</v>
      </c>
      <c r="AJ106" s="350">
        <f t="shared" si="321"/>
        <v>0</v>
      </c>
      <c r="AK106" s="350">
        <f t="shared" si="321"/>
        <v>0</v>
      </c>
      <c r="AL106" s="350">
        <f t="shared" si="321"/>
        <v>0</v>
      </c>
      <c r="AM106" s="351"/>
      <c r="AN106" s="350">
        <f>[32]PnL!AP184</f>
        <v>0</v>
      </c>
      <c r="AO106" s="350">
        <f>[32]PnL!AQ184</f>
        <v>0</v>
      </c>
      <c r="AP106" s="350">
        <f>[32]PnL!AR184</f>
        <v>0</v>
      </c>
      <c r="AQ106" s="350">
        <f>[32]PnL!AS184</f>
        <v>0</v>
      </c>
      <c r="AR106" s="350">
        <f>[32]PnL!AT184</f>
        <v>0</v>
      </c>
      <c r="AS106" s="350">
        <f>[32]PnL!AU184</f>
        <v>0</v>
      </c>
      <c r="AT106" s="350">
        <f>[32]PnL!AV184</f>
        <v>0</v>
      </c>
      <c r="AU106" s="350">
        <f>[32]PnL!AW184</f>
        <v>0</v>
      </c>
      <c r="AV106" s="350">
        <f>[32]PnL!AX184</f>
        <v>0</v>
      </c>
      <c r="AW106" s="350">
        <f>[32]PnL!AY184</f>
        <v>0</v>
      </c>
      <c r="AX106" s="350" t="e">
        <f t="shared" ref="AX106" si="322">AW105*AX107</f>
        <v>#DIV/0!</v>
      </c>
      <c r="AY106" s="350" t="e">
        <f t="shared" ref="AY106:BC106" si="323">AX105*AY107</f>
        <v>#REF!</v>
      </c>
      <c r="AZ106" s="350" t="e">
        <f t="shared" si="323"/>
        <v>#REF!</v>
      </c>
      <c r="BA106" s="350" t="e">
        <f t="shared" si="323"/>
        <v>#REF!</v>
      </c>
      <c r="BB106" s="350" t="e">
        <f t="shared" si="323"/>
        <v>#REF!</v>
      </c>
      <c r="BC106" s="350" t="e">
        <f t="shared" si="323"/>
        <v>#REF!</v>
      </c>
      <c r="BD106" s="351"/>
      <c r="BE106" s="350">
        <f>[32]PnL!BH184</f>
        <v>0</v>
      </c>
      <c r="BF106" s="350">
        <f>[32]PnL!BI184</f>
        <v>0</v>
      </c>
      <c r="BG106" s="350">
        <f>[32]PnL!BJ184</f>
        <v>0</v>
      </c>
      <c r="BH106" s="350">
        <f>[32]PnL!BK184</f>
        <v>0</v>
      </c>
      <c r="BI106" s="350">
        <f>[32]PnL!BL184</f>
        <v>0</v>
      </c>
      <c r="BJ106" s="350">
        <f>BJ107*BI105</f>
        <v>0</v>
      </c>
      <c r="BK106" s="350">
        <f t="shared" ref="BK106:BL106" si="324">BK107*BJ105</f>
        <v>0</v>
      </c>
      <c r="BL106" s="350">
        <f t="shared" si="324"/>
        <v>0</v>
      </c>
      <c r="BM106" s="350">
        <f t="shared" ref="BM106" si="325">BM107*BL105</f>
        <v>0</v>
      </c>
      <c r="BN106" s="350">
        <f t="shared" ref="BN106" si="326">BN107*BM105</f>
        <v>0</v>
      </c>
      <c r="BO106" s="350">
        <f t="shared" ref="BO106" si="327">BO107*BN105</f>
        <v>0</v>
      </c>
      <c r="BP106" s="350">
        <f t="shared" ref="BP106" si="328">BP107*BO105</f>
        <v>0</v>
      </c>
      <c r="BQ106" s="350">
        <f t="shared" ref="BQ106" si="329">BQ107*BP105</f>
        <v>0</v>
      </c>
      <c r="BR106" s="350">
        <f t="shared" ref="BR106:BS106" si="330">BR107*BQ105</f>
        <v>0</v>
      </c>
      <c r="BS106" s="350">
        <f t="shared" si="330"/>
        <v>0</v>
      </c>
      <c r="BT106" s="203"/>
      <c r="BU106" s="203"/>
    </row>
    <row r="107" spans="1:73" ht="12.75" customHeight="1" x14ac:dyDescent="0.35">
      <c r="A107" s="200"/>
      <c r="B107" s="201"/>
      <c r="C107" s="338" t="s">
        <v>313</v>
      </c>
      <c r="D107" s="201"/>
      <c r="E107" s="147"/>
      <c r="F107" s="147"/>
      <c r="G107" s="147"/>
      <c r="H107" s="147"/>
      <c r="I107" s="147"/>
      <c r="J107" s="147"/>
      <c r="K107" s="352"/>
      <c r="L107" s="352">
        <f t="shared" ref="L107:W107" si="331">L106/AVERAGE(K105:L105)</f>
        <v>0</v>
      </c>
      <c r="M107" s="352">
        <f t="shared" si="331"/>
        <v>0</v>
      </c>
      <c r="N107" s="352">
        <f t="shared" si="331"/>
        <v>0</v>
      </c>
      <c r="O107" s="352">
        <f t="shared" si="331"/>
        <v>0</v>
      </c>
      <c r="P107" s="352">
        <f t="shared" si="331"/>
        <v>0</v>
      </c>
      <c r="Q107" s="352">
        <f t="shared" si="331"/>
        <v>0</v>
      </c>
      <c r="R107" s="352">
        <f t="shared" si="331"/>
        <v>0</v>
      </c>
      <c r="S107" s="352">
        <f t="shared" si="331"/>
        <v>0</v>
      </c>
      <c r="T107" s="352">
        <f t="shared" si="331"/>
        <v>0</v>
      </c>
      <c r="U107" s="352">
        <f t="shared" si="331"/>
        <v>0</v>
      </c>
      <c r="V107" s="352">
        <f t="shared" si="331"/>
        <v>0</v>
      </c>
      <c r="W107" s="352">
        <f t="shared" si="331"/>
        <v>0</v>
      </c>
      <c r="X107" s="352">
        <f>X106/AVERAGE(W105:X105)</f>
        <v>0</v>
      </c>
      <c r="Y107" s="352">
        <f>Y106/AVERAGE(X105:Y105)</f>
        <v>0</v>
      </c>
      <c r="Z107" s="352">
        <f t="shared" ref="Z107" si="332">Z106/AVERAGE(Y105:Z105)</f>
        <v>0</v>
      </c>
      <c r="AA107" s="352">
        <f t="shared" ref="AA107:AB107" si="333">AA106/AVERAGE(Z105:AA105)</f>
        <v>0</v>
      </c>
      <c r="AB107" s="352">
        <f t="shared" si="333"/>
        <v>0</v>
      </c>
      <c r="AC107" s="262">
        <f t="shared" ref="AC107" si="334">AVERAGE(X107:AB107)</f>
        <v>0</v>
      </c>
      <c r="AD107" s="262">
        <f>AVERAGE(Y107:AC107)</f>
        <v>0</v>
      </c>
      <c r="AE107" s="262">
        <f t="shared" ref="AE107:AL107" si="335">AVERAGE(Z107:AD107)</f>
        <v>0</v>
      </c>
      <c r="AF107" s="262">
        <f t="shared" si="335"/>
        <v>0</v>
      </c>
      <c r="AG107" s="262">
        <f t="shared" si="335"/>
        <v>0</v>
      </c>
      <c r="AH107" s="262">
        <f t="shared" si="335"/>
        <v>0</v>
      </c>
      <c r="AI107" s="262">
        <f t="shared" si="335"/>
        <v>0</v>
      </c>
      <c r="AJ107" s="262">
        <f t="shared" si="335"/>
        <v>0</v>
      </c>
      <c r="AK107" s="262">
        <f t="shared" si="335"/>
        <v>0</v>
      </c>
      <c r="AL107" s="262">
        <f t="shared" si="335"/>
        <v>0</v>
      </c>
      <c r="AM107" s="353"/>
      <c r="AN107" s="352" t="e">
        <f>AN106/AVERAGE(AN105:AN105)</f>
        <v>#DIV/0!</v>
      </c>
      <c r="AO107" s="352" t="e">
        <f t="shared" ref="AO107" si="336">AO106/AVERAGE(AN105:AO105)</f>
        <v>#DIV/0!</v>
      </c>
      <c r="AP107" s="352" t="e">
        <f t="shared" ref="AP107" si="337">AP106/AVERAGE(AO105:AP105)</f>
        <v>#DIV/0!</v>
      </c>
      <c r="AQ107" s="352" t="e">
        <f t="shared" ref="AQ107" si="338">AQ106/AVERAGE(AP105:AQ105)</f>
        <v>#DIV/0!</v>
      </c>
      <c r="AR107" s="352" t="e">
        <f t="shared" ref="AR107" si="339">AR106/AVERAGE(AQ105:AR105)</f>
        <v>#DIV/0!</v>
      </c>
      <c r="AS107" s="352" t="e">
        <f t="shared" ref="AS107" si="340">AS106/AVERAGE(AR105:AS105)</f>
        <v>#DIV/0!</v>
      </c>
      <c r="AT107" s="352" t="e">
        <f t="shared" ref="AT107" si="341">AT106/AVERAGE(AS105:AT105)</f>
        <v>#DIV/0!</v>
      </c>
      <c r="AU107" s="352" t="e">
        <f t="shared" ref="AU107" si="342">AU106/AVERAGE(AT105:AU105)</f>
        <v>#DIV/0!</v>
      </c>
      <c r="AV107" s="352" t="e">
        <f t="shared" ref="AV107" si="343">AV106/AVERAGE(AU105:AV105)</f>
        <v>#DIV/0!</v>
      </c>
      <c r="AW107" s="352" t="e">
        <f t="shared" ref="AW107" si="344">AW106/AVERAGE(AV105:AW105)</f>
        <v>#DIV/0!</v>
      </c>
      <c r="AX107" s="262" t="e">
        <f t="shared" ref="AX107" si="345">AVERAGE(AS107:AW107)</f>
        <v>#DIV/0!</v>
      </c>
      <c r="AY107" s="262" t="e">
        <f t="shared" ref="AY107:BC107" si="346">AVERAGE(AT107:AX107)</f>
        <v>#DIV/0!</v>
      </c>
      <c r="AZ107" s="262" t="e">
        <f t="shared" si="346"/>
        <v>#DIV/0!</v>
      </c>
      <c r="BA107" s="262" t="e">
        <f t="shared" si="346"/>
        <v>#DIV/0!</v>
      </c>
      <c r="BB107" s="262" t="e">
        <f t="shared" si="346"/>
        <v>#DIV/0!</v>
      </c>
      <c r="BC107" s="262" t="e">
        <f t="shared" si="346"/>
        <v>#DIV/0!</v>
      </c>
      <c r="BD107" s="353"/>
      <c r="BE107" s="352">
        <f>BE106/AVERAGE(BE105:BE105)</f>
        <v>0</v>
      </c>
      <c r="BF107" s="352">
        <f t="shared" ref="BF107:BI107" si="347">BF106/AVERAGE(BE105:BF105)</f>
        <v>0</v>
      </c>
      <c r="BG107" s="352">
        <f t="shared" si="347"/>
        <v>0</v>
      </c>
      <c r="BH107" s="352">
        <f t="shared" si="347"/>
        <v>0</v>
      </c>
      <c r="BI107" s="352">
        <f t="shared" si="347"/>
        <v>0</v>
      </c>
      <c r="BJ107" s="262">
        <f>BI107</f>
        <v>0</v>
      </c>
      <c r="BK107" s="262">
        <f t="shared" ref="BK107:BL107" si="348">BJ107</f>
        <v>0</v>
      </c>
      <c r="BL107" s="262">
        <f t="shared" si="348"/>
        <v>0</v>
      </c>
      <c r="BM107" s="262">
        <f t="shared" ref="BM107" si="349">BL107</f>
        <v>0</v>
      </c>
      <c r="BN107" s="262">
        <f t="shared" ref="BN107" si="350">BM107</f>
        <v>0</v>
      </c>
      <c r="BO107" s="262">
        <f t="shared" ref="BO107" si="351">BN107</f>
        <v>0</v>
      </c>
      <c r="BP107" s="262">
        <f t="shared" ref="BP107" si="352">BO107</f>
        <v>0</v>
      </c>
      <c r="BQ107" s="262">
        <f t="shared" ref="BQ107" si="353">BP107</f>
        <v>0</v>
      </c>
      <c r="BR107" s="262">
        <f t="shared" ref="BR107" si="354">BQ107</f>
        <v>0</v>
      </c>
      <c r="BS107" s="262">
        <f t="shared" ref="BS107" si="355">BR107</f>
        <v>0</v>
      </c>
      <c r="BT107" s="203"/>
      <c r="BU107" s="203"/>
    </row>
    <row r="108" spans="1:73" ht="13.9" x14ac:dyDescent="0.35">
      <c r="A108" s="200"/>
      <c r="B108" s="143"/>
      <c r="C108" s="143"/>
      <c r="D108" s="143"/>
      <c r="E108" s="147"/>
      <c r="F108" s="147"/>
      <c r="G108" s="147"/>
      <c r="H108" s="147"/>
      <c r="I108" s="147"/>
      <c r="J108" s="147"/>
      <c r="K108" s="143"/>
      <c r="L108" s="143"/>
      <c r="M108" s="143"/>
      <c r="N108" s="143"/>
      <c r="O108" s="143"/>
      <c r="P108" s="143"/>
      <c r="Q108" s="143"/>
      <c r="R108" s="143"/>
      <c r="S108" s="143"/>
      <c r="T108" s="143"/>
      <c r="U108" s="143"/>
      <c r="V108" s="143"/>
      <c r="W108" s="143"/>
      <c r="X108" s="143"/>
      <c r="Y108" s="143"/>
      <c r="Z108" s="143"/>
      <c r="AA108" s="143"/>
      <c r="AB108" s="143"/>
      <c r="AC108" s="143"/>
      <c r="AD108" s="143"/>
      <c r="AE108" s="143"/>
      <c r="AF108" s="143"/>
      <c r="AG108" s="143"/>
      <c r="AH108" s="143"/>
      <c r="AI108" s="149"/>
      <c r="AJ108" s="335"/>
      <c r="BE108" s="143"/>
      <c r="BF108" s="143"/>
      <c r="BG108" s="143"/>
      <c r="BH108" s="143"/>
      <c r="BI108" s="143"/>
      <c r="BJ108" s="143"/>
      <c r="BK108" s="143"/>
      <c r="BL108" s="143"/>
      <c r="BM108" s="335"/>
      <c r="BN108" s="335"/>
      <c r="BO108" s="335"/>
      <c r="BP108" s="335"/>
      <c r="BQ108" s="335"/>
      <c r="BR108" s="335"/>
      <c r="BS108" s="335"/>
    </row>
    <row r="109" spans="1:73" ht="13.9" x14ac:dyDescent="0.35">
      <c r="A109" s="200"/>
      <c r="B109" s="143"/>
      <c r="C109" s="143"/>
      <c r="D109" s="143"/>
      <c r="E109" s="147"/>
      <c r="F109" s="147"/>
      <c r="G109" s="147"/>
      <c r="H109" s="147"/>
      <c r="I109" s="147"/>
      <c r="J109" s="147"/>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c r="AH109" s="143"/>
      <c r="AI109" s="149"/>
      <c r="AJ109" s="335"/>
      <c r="BE109" s="143"/>
      <c r="BF109" s="143"/>
      <c r="BG109" s="143"/>
      <c r="BH109" s="143"/>
      <c r="BI109" s="143"/>
      <c r="BJ109" s="143"/>
      <c r="BK109" s="143"/>
      <c r="BL109" s="143"/>
      <c r="BM109" s="335"/>
      <c r="BN109" s="335"/>
      <c r="BO109" s="335"/>
      <c r="BP109" s="335"/>
      <c r="BQ109" s="335"/>
      <c r="BR109" s="335"/>
      <c r="BS109" s="335"/>
    </row>
    <row r="110" spans="1:73" ht="13.9" x14ac:dyDescent="0.35">
      <c r="A110" s="200"/>
      <c r="B110" s="143"/>
      <c r="C110" s="143"/>
      <c r="D110" s="143"/>
      <c r="E110" s="147"/>
      <c r="F110" s="147"/>
      <c r="G110" s="147"/>
      <c r="H110" s="147"/>
      <c r="I110" s="147"/>
      <c r="J110" s="147"/>
      <c r="K110" s="143"/>
      <c r="L110" s="143"/>
      <c r="M110" s="143"/>
      <c r="N110" s="143"/>
      <c r="O110" s="143"/>
      <c r="P110" s="143"/>
      <c r="Q110" s="143"/>
      <c r="R110" s="143"/>
      <c r="S110" s="143"/>
      <c r="T110" s="143"/>
      <c r="U110" s="143"/>
      <c r="V110" s="143"/>
      <c r="W110" s="143"/>
      <c r="X110" s="143"/>
      <c r="Y110" s="143"/>
      <c r="Z110" s="143"/>
      <c r="AA110" s="143"/>
      <c r="AB110" s="143"/>
      <c r="AC110" s="143"/>
      <c r="AD110" s="143"/>
      <c r="AE110" s="143"/>
      <c r="AF110" s="143"/>
      <c r="AG110" s="143"/>
      <c r="AH110" s="143"/>
      <c r="AI110" s="149"/>
      <c r="AJ110" s="335"/>
      <c r="BE110" s="143"/>
      <c r="BF110" s="143"/>
      <c r="BG110" s="143"/>
      <c r="BH110" s="143"/>
      <c r="BI110" s="143"/>
      <c r="BJ110" s="143"/>
      <c r="BK110" s="143"/>
      <c r="BL110" s="143"/>
      <c r="BM110" s="335"/>
      <c r="BN110" s="335"/>
      <c r="BO110" s="335"/>
      <c r="BP110" s="335"/>
      <c r="BQ110" s="335"/>
      <c r="BR110" s="335"/>
      <c r="BS110" s="335"/>
    </row>
    <row r="111" spans="1:73" ht="13.9" x14ac:dyDescent="0.35">
      <c r="A111" s="200"/>
      <c r="B111" s="143"/>
      <c r="C111" s="143"/>
      <c r="D111" s="143"/>
      <c r="E111" s="147"/>
      <c r="F111" s="147"/>
      <c r="G111" s="147"/>
      <c r="H111" s="147"/>
      <c r="I111" s="147"/>
      <c r="J111" s="147"/>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9"/>
      <c r="AJ111" s="335"/>
      <c r="BE111" s="143"/>
      <c r="BF111" s="143"/>
      <c r="BG111" s="143"/>
      <c r="BH111" s="143"/>
      <c r="BI111" s="143"/>
      <c r="BJ111" s="143"/>
      <c r="BK111" s="143"/>
      <c r="BL111" s="143"/>
      <c r="BM111" s="335"/>
      <c r="BN111" s="335"/>
      <c r="BO111" s="335"/>
      <c r="BP111" s="335"/>
      <c r="BQ111" s="335"/>
      <c r="BR111" s="335"/>
      <c r="BS111" s="335"/>
    </row>
    <row r="112" spans="1:73" ht="13.9" x14ac:dyDescent="0.35">
      <c r="A112" s="200"/>
      <c r="B112" s="143"/>
      <c r="C112" s="143"/>
      <c r="D112" s="143"/>
      <c r="E112" s="147"/>
      <c r="F112" s="147"/>
      <c r="G112" s="147"/>
      <c r="H112" s="147"/>
      <c r="I112" s="147"/>
      <c r="J112" s="147"/>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c r="AH112" s="143"/>
      <c r="AI112" s="149"/>
      <c r="AJ112" s="335"/>
      <c r="BE112" s="143"/>
      <c r="BF112" s="143"/>
      <c r="BG112" s="143"/>
      <c r="BH112" s="143"/>
      <c r="BI112" s="143"/>
      <c r="BJ112" s="143"/>
      <c r="BK112" s="143"/>
      <c r="BL112" s="143"/>
      <c r="BM112" s="335"/>
      <c r="BN112" s="335"/>
      <c r="BO112" s="335"/>
      <c r="BP112" s="335"/>
      <c r="BQ112" s="335"/>
      <c r="BR112" s="335"/>
      <c r="BS112" s="335"/>
    </row>
    <row r="113" spans="1:71" ht="13.9" x14ac:dyDescent="0.35">
      <c r="A113" s="200"/>
      <c r="B113" s="143"/>
      <c r="C113" s="143"/>
      <c r="D113" s="143"/>
      <c r="E113" s="147"/>
      <c r="F113" s="147"/>
      <c r="G113" s="147"/>
      <c r="H113" s="147"/>
      <c r="I113" s="147"/>
      <c r="J113" s="147"/>
      <c r="K113" s="143"/>
      <c r="L113" s="143"/>
      <c r="M113" s="143"/>
      <c r="N113" s="143"/>
      <c r="O113" s="143"/>
      <c r="P113" s="143"/>
      <c r="Q113" s="143"/>
      <c r="R113" s="143"/>
      <c r="S113" s="143"/>
      <c r="T113" s="143"/>
      <c r="U113" s="143"/>
      <c r="V113" s="143"/>
      <c r="W113" s="143"/>
      <c r="X113" s="143"/>
      <c r="Y113" s="143"/>
      <c r="Z113" s="143"/>
      <c r="AA113" s="143"/>
      <c r="AB113" s="143"/>
      <c r="AC113" s="143"/>
      <c r="AD113" s="143"/>
      <c r="AE113" s="143"/>
      <c r="AF113" s="143"/>
      <c r="AG113" s="143"/>
      <c r="AH113" s="143"/>
      <c r="AI113" s="149"/>
      <c r="AJ113" s="335"/>
      <c r="BE113" s="143"/>
      <c r="BF113" s="143"/>
      <c r="BG113" s="143"/>
      <c r="BH113" s="143"/>
      <c r="BI113" s="143"/>
      <c r="BJ113" s="143"/>
      <c r="BK113" s="143"/>
      <c r="BL113" s="143"/>
      <c r="BM113" s="335"/>
      <c r="BN113" s="335"/>
      <c r="BO113" s="335"/>
      <c r="BP113" s="335"/>
      <c r="BQ113" s="335"/>
      <c r="BR113" s="335"/>
      <c r="BS113" s="335"/>
    </row>
  </sheetData>
  <phoneticPr fontId="4" type="noConversion"/>
  <pageMargins left="0.7" right="0.7" top="0.75" bottom="0.75" header="0.3" footer="0.3"/>
  <ignoredErrors>
    <ignoredError sqref="BM14 BN14:BS14" formula="1"/>
  </ignoredErrors>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60"/>
  <sheetViews>
    <sheetView showGridLines="0" zoomScaleNormal="100" workbookViewId="0">
      <pane xSplit="8" ySplit="9" topLeftCell="BE12" activePane="bottomRight" state="frozen"/>
      <selection pane="topRight" activeCell="I1" sqref="I1"/>
      <selection pane="bottomLeft" activeCell="A10" sqref="A10"/>
      <selection pane="bottomRight" activeCell="BK36" sqref="BK36"/>
    </sheetView>
  </sheetViews>
  <sheetFormatPr defaultRowHeight="13.5" outlineLevelRow="1" outlineLevelCol="1" x14ac:dyDescent="0.3"/>
  <cols>
    <col min="1" max="1" width="1.59765625" customWidth="1"/>
    <col min="2" max="5" width="2.1328125" customWidth="1"/>
    <col min="6" max="6" width="15.3984375" customWidth="1"/>
    <col min="7" max="7" width="8.1328125" customWidth="1"/>
    <col min="8" max="8" width="1.3984375" customWidth="1"/>
    <col min="9" max="22" width="9.86328125" hidden="1" customWidth="1" outlineLevel="1"/>
    <col min="23" max="23" width="9.86328125" customWidth="1" collapsed="1"/>
    <col min="24" max="39" width="9.86328125" customWidth="1"/>
    <col min="40" max="55" width="9.86328125" hidden="1" customWidth="1" outlineLevel="1"/>
    <col min="56" max="56" width="9.86328125" customWidth="1" collapsed="1"/>
    <col min="57" max="60" width="9.86328125" customWidth="1" outlineLevel="1"/>
    <col min="61" max="64" width="9.86328125" customWidth="1"/>
  </cols>
  <sheetData>
    <row r="1" spans="1:72" ht="20.25" customHeight="1" x14ac:dyDescent="0.5">
      <c r="A1" s="140" t="str">
        <f>Summary!A1</f>
        <v>Alibaba Group Holding-Sp Adr</v>
      </c>
      <c r="B1" s="141"/>
      <c r="C1" s="141"/>
      <c r="D1" s="142"/>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c r="AL1" s="143"/>
      <c r="AN1" s="143"/>
      <c r="AO1" s="143"/>
      <c r="AP1" s="143"/>
      <c r="AQ1" s="143"/>
      <c r="AR1" s="143"/>
      <c r="AS1" s="143"/>
      <c r="AT1" s="143"/>
      <c r="AU1" s="143"/>
      <c r="AV1" s="143"/>
      <c r="AW1" s="143"/>
      <c r="AX1" s="143"/>
      <c r="AY1" s="143"/>
      <c r="AZ1" s="143"/>
      <c r="BA1" s="143"/>
      <c r="BB1" s="143"/>
      <c r="BC1" s="143"/>
      <c r="BD1" s="143"/>
      <c r="BE1" s="143"/>
      <c r="BF1" s="143"/>
      <c r="BG1" s="143"/>
      <c r="BH1" s="143"/>
      <c r="BI1" s="143"/>
      <c r="BJ1" s="143"/>
      <c r="BK1" s="143"/>
      <c r="BL1" s="143"/>
      <c r="BM1" s="143"/>
      <c r="BN1" s="143"/>
      <c r="BO1" s="143"/>
      <c r="BP1" s="143"/>
      <c r="BQ1" s="143"/>
      <c r="BR1" s="143"/>
      <c r="BS1" s="143"/>
    </row>
    <row r="2" spans="1:72" ht="14.25" customHeight="1" x14ac:dyDescent="0.4">
      <c r="A2" s="144"/>
      <c r="B2" s="8" t="s">
        <v>0</v>
      </c>
      <c r="C2" s="143"/>
      <c r="D2" s="143"/>
      <c r="E2" s="143"/>
      <c r="F2" s="343" t="str">
        <f>Summary!$C$2</f>
        <v>BABA US</v>
      </c>
      <c r="G2" s="10"/>
      <c r="H2" s="143"/>
      <c r="I2" s="10"/>
      <c r="J2" s="10"/>
      <c r="K2" s="143"/>
      <c r="L2" s="143"/>
      <c r="M2" s="143"/>
      <c r="N2" s="143"/>
      <c r="O2" s="143"/>
      <c r="P2" s="143"/>
      <c r="Q2" s="143"/>
      <c r="R2" s="143"/>
      <c r="S2" s="143"/>
      <c r="T2" s="143"/>
      <c r="U2" s="143"/>
      <c r="V2" s="143"/>
      <c r="W2" s="143"/>
      <c r="X2" s="143"/>
      <c r="Y2" s="143"/>
      <c r="Z2" s="143"/>
      <c r="AA2" s="143"/>
      <c r="AB2" s="143"/>
      <c r="AC2" s="143"/>
      <c r="AD2" s="143"/>
      <c r="AE2" s="143"/>
      <c r="AF2" s="143"/>
      <c r="AG2" s="143"/>
      <c r="AH2" s="143"/>
      <c r="AI2" s="143"/>
      <c r="AJ2" s="143"/>
      <c r="AK2" s="143"/>
      <c r="AL2" s="143"/>
      <c r="AN2" s="143"/>
      <c r="AO2" s="143"/>
      <c r="AP2" s="143"/>
      <c r="AQ2" s="143"/>
      <c r="AR2" s="143"/>
      <c r="AS2" s="143"/>
      <c r="AT2" s="143"/>
      <c r="AU2" s="143"/>
      <c r="AV2" s="143"/>
      <c r="AW2" s="143"/>
      <c r="AX2" s="143"/>
      <c r="AY2" s="143"/>
      <c r="AZ2" s="143"/>
      <c r="BA2" s="143"/>
      <c r="BB2" s="143"/>
      <c r="BC2" s="143"/>
      <c r="BD2" s="143"/>
      <c r="BE2" s="143"/>
      <c r="BF2" s="143"/>
      <c r="BG2" s="143"/>
      <c r="BH2" s="143"/>
      <c r="BI2" s="143"/>
      <c r="BJ2" s="143"/>
      <c r="BK2" s="143"/>
      <c r="BL2" s="143"/>
      <c r="BM2" s="143"/>
      <c r="BN2" s="143"/>
      <c r="BO2" s="143"/>
      <c r="BP2" s="143"/>
      <c r="BQ2" s="143"/>
      <c r="BR2" s="143"/>
      <c r="BS2" s="143"/>
    </row>
    <row r="3" spans="1:72" ht="14.25" customHeight="1" x14ac:dyDescent="0.3">
      <c r="A3" s="143"/>
      <c r="B3" s="143"/>
      <c r="C3" s="143"/>
      <c r="D3" s="143"/>
      <c r="E3" s="143"/>
      <c r="F3" s="143"/>
      <c r="G3" s="143"/>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143"/>
      <c r="AI3" s="143"/>
      <c r="AJ3" s="143"/>
      <c r="AK3" s="143"/>
      <c r="AL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row>
    <row r="4" spans="1:72" ht="14.45" hidden="1" customHeight="1" outlineLevel="1" x14ac:dyDescent="0.4">
      <c r="A4" s="145"/>
      <c r="B4" s="145"/>
      <c r="C4" s="145"/>
      <c r="D4" s="145"/>
      <c r="E4" s="145"/>
      <c r="F4" s="145"/>
      <c r="G4" s="145"/>
      <c r="H4" s="145"/>
      <c r="I4" s="145"/>
      <c r="J4" s="145"/>
      <c r="K4" s="145"/>
      <c r="L4" s="145"/>
      <c r="M4" s="145"/>
      <c r="N4" s="145"/>
      <c r="O4" s="145"/>
      <c r="P4" s="145"/>
      <c r="Q4" s="145"/>
      <c r="R4" s="145"/>
      <c r="S4" s="145"/>
      <c r="T4" s="145"/>
      <c r="U4" s="145"/>
      <c r="V4" s="145"/>
      <c r="W4" s="145"/>
      <c r="X4" s="143"/>
      <c r="Y4" s="143"/>
      <c r="Z4" s="143"/>
      <c r="AA4" s="143"/>
      <c r="AB4" s="143"/>
      <c r="AC4" s="143"/>
      <c r="AD4" s="143"/>
      <c r="AE4" s="143"/>
      <c r="AF4" s="143"/>
      <c r="AG4" s="143"/>
      <c r="AH4" s="143"/>
      <c r="AI4" s="143"/>
      <c r="AJ4" s="143"/>
      <c r="AK4" s="143"/>
      <c r="AL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row>
    <row r="5" spans="1:72" ht="14.45" hidden="1" customHeight="1" outlineLevel="1" x14ac:dyDescent="0.4">
      <c r="A5" s="145"/>
      <c r="B5" s="8"/>
      <c r="C5" s="143"/>
      <c r="D5" s="143"/>
      <c r="E5" s="143"/>
      <c r="F5" s="143"/>
      <c r="G5" s="146"/>
      <c r="H5" s="25"/>
      <c r="I5" s="25"/>
      <c r="J5" s="25"/>
      <c r="K5" s="143"/>
      <c r="L5" s="143"/>
      <c r="M5" s="143"/>
      <c r="N5" s="143"/>
      <c r="O5" s="143"/>
      <c r="P5" s="143"/>
      <c r="Q5" s="143"/>
      <c r="R5" s="143"/>
      <c r="S5" s="143"/>
      <c r="T5" s="143"/>
      <c r="U5" s="143"/>
      <c r="V5" s="143"/>
      <c r="W5" s="143">
        <f t="shared" ref="W5:AH5" si="0">YEAR(W7)</f>
        <v>2019</v>
      </c>
      <c r="X5" s="143">
        <f t="shared" si="0"/>
        <v>2019</v>
      </c>
      <c r="Y5" s="143">
        <f t="shared" si="0"/>
        <v>2019</v>
      </c>
      <c r="Z5" s="143">
        <f t="shared" si="0"/>
        <v>2020</v>
      </c>
      <c r="AA5" s="143">
        <f t="shared" si="0"/>
        <v>2020</v>
      </c>
      <c r="AB5" s="143">
        <f t="shared" si="0"/>
        <v>2020</v>
      </c>
      <c r="AC5" s="143">
        <f t="shared" si="0"/>
        <v>2020</v>
      </c>
      <c r="AD5" s="143">
        <f t="shared" si="0"/>
        <v>2021</v>
      </c>
      <c r="AE5" s="143">
        <f t="shared" si="0"/>
        <v>2021</v>
      </c>
      <c r="AF5" s="143">
        <f t="shared" si="0"/>
        <v>2021</v>
      </c>
      <c r="AG5" s="143">
        <f t="shared" si="0"/>
        <v>2021</v>
      </c>
      <c r="AH5" s="143">
        <f t="shared" si="0"/>
        <v>2022</v>
      </c>
      <c r="AI5" s="143"/>
      <c r="AJ5" s="143"/>
      <c r="AK5" s="143"/>
      <c r="AL5" s="143"/>
      <c r="AM5" s="147"/>
      <c r="AN5" s="143"/>
      <c r="AO5" s="143"/>
      <c r="AP5" s="143"/>
      <c r="AQ5" s="143"/>
      <c r="AR5" s="143"/>
      <c r="AS5" s="143"/>
      <c r="AT5" s="143"/>
      <c r="AU5" s="143"/>
      <c r="AV5" s="143"/>
      <c r="AW5" s="143"/>
      <c r="AX5" s="143"/>
      <c r="AY5" s="143"/>
      <c r="AZ5" s="143"/>
      <c r="BA5" s="143"/>
      <c r="BB5" s="143"/>
      <c r="BC5" s="143"/>
      <c r="BD5" s="143"/>
      <c r="BE5" s="148"/>
      <c r="BF5" s="147"/>
      <c r="BG5" s="147"/>
      <c r="BH5" s="147"/>
      <c r="BI5" s="147"/>
      <c r="BJ5" s="147"/>
      <c r="BK5" s="147"/>
      <c r="BL5" s="147"/>
      <c r="BM5" s="147"/>
      <c r="BN5" s="148"/>
      <c r="BO5" s="148"/>
      <c r="BP5" s="148"/>
      <c r="BQ5" s="148"/>
      <c r="BR5" s="148"/>
      <c r="BS5" s="148"/>
    </row>
    <row r="6" spans="1:72" ht="14.45" hidden="1" customHeight="1" outlineLevel="1" x14ac:dyDescent="0.4">
      <c r="A6" s="145"/>
      <c r="B6" s="149"/>
      <c r="C6" s="149"/>
      <c r="D6" s="149"/>
      <c r="E6" s="143"/>
      <c r="F6" s="143"/>
      <c r="G6" s="143"/>
      <c r="H6" s="143"/>
      <c r="I6" s="143"/>
      <c r="J6" s="143"/>
      <c r="K6" s="150" t="str">
        <f>"1Q" &amp; RIGHT(BF8,2)</f>
        <v>1Q31</v>
      </c>
      <c r="L6" s="150" t="str">
        <f>"2Q" &amp; RIGHT(BF8,2)</f>
        <v>2Q31</v>
      </c>
      <c r="M6" s="150" t="str">
        <f>"3Q" &amp; RIGHT(BF8,2)</f>
        <v>3Q31</v>
      </c>
      <c r="N6" s="150" t="str">
        <f>"4Q" &amp; RIGHT(BF8,2)</f>
        <v>4Q31</v>
      </c>
      <c r="O6" s="150" t="str">
        <f>"1Q" &amp; RIGHT(BG8,2)</f>
        <v>1Q31</v>
      </c>
      <c r="P6" s="150" t="str">
        <f>"2Q" &amp; RIGHT(BG8,2)</f>
        <v>2Q31</v>
      </c>
      <c r="Q6" s="150" t="str">
        <f>"3Q" &amp; RIGHT(BG8,2)</f>
        <v>3Q31</v>
      </c>
      <c r="R6" s="150" t="str">
        <f>"4Q" &amp; RIGHT(BG8,2)</f>
        <v>4Q31</v>
      </c>
      <c r="S6" s="150" t="str">
        <f>"1Q" &amp; RIGHT(BH8,2)</f>
        <v>1Q31</v>
      </c>
      <c r="T6" s="150" t="str">
        <f>"2Q" &amp; RIGHT(BH8,2)</f>
        <v>2Q31</v>
      </c>
      <c r="U6" s="150" t="str">
        <f>"3Q" &amp; RIGHT(BH8,2)</f>
        <v>3Q31</v>
      </c>
      <c r="V6" s="150" t="str">
        <f>"4Q" &amp; RIGHT(BH8,2)</f>
        <v>4Q31</v>
      </c>
      <c r="W6" s="151" t="s">
        <v>49</v>
      </c>
      <c r="X6" s="151" t="s">
        <v>50</v>
      </c>
      <c r="Y6" s="151" t="s">
        <v>51</v>
      </c>
      <c r="Z6" s="151" t="s">
        <v>347</v>
      </c>
      <c r="AA6" s="151" t="s">
        <v>49</v>
      </c>
      <c r="AB6" s="151" t="s">
        <v>50</v>
      </c>
      <c r="AC6" s="151" t="s">
        <v>348</v>
      </c>
      <c r="AD6" s="151" t="s">
        <v>52</v>
      </c>
      <c r="AE6" s="151" t="s">
        <v>49</v>
      </c>
      <c r="AF6" s="151" t="s">
        <v>50</v>
      </c>
      <c r="AG6" s="151" t="s">
        <v>51</v>
      </c>
      <c r="AH6" s="151" t="s">
        <v>349</v>
      </c>
      <c r="AI6" s="151"/>
      <c r="AJ6" s="151"/>
      <c r="AK6" s="151"/>
      <c r="AL6" s="151"/>
      <c r="AM6" s="151"/>
      <c r="AN6" s="151"/>
      <c r="AO6" s="151"/>
      <c r="AP6" s="151"/>
      <c r="AQ6" s="151"/>
      <c r="AR6" s="151"/>
      <c r="AS6" s="151"/>
      <c r="AT6" s="151"/>
      <c r="AU6" s="151"/>
      <c r="AV6" s="151"/>
      <c r="AW6" s="151"/>
      <c r="AX6" s="151"/>
      <c r="AY6" s="151"/>
      <c r="AZ6" s="151"/>
      <c r="BA6" s="151"/>
      <c r="BB6" s="151"/>
      <c r="BC6" s="151"/>
      <c r="BD6" s="151"/>
      <c r="BE6" s="152"/>
      <c r="BF6" s="147">
        <f t="shared" ref="BF6:BL6" si="1">YEAR(BF8)</f>
        <v>2017</v>
      </c>
      <c r="BG6" s="147">
        <f t="shared" si="1"/>
        <v>2018</v>
      </c>
      <c r="BH6" s="147">
        <f t="shared" si="1"/>
        <v>2019</v>
      </c>
      <c r="BI6" s="147">
        <f t="shared" si="1"/>
        <v>2020</v>
      </c>
      <c r="BJ6" s="147">
        <f t="shared" si="1"/>
        <v>2021</v>
      </c>
      <c r="BK6" s="147">
        <f t="shared" si="1"/>
        <v>2022</v>
      </c>
      <c r="BL6" s="147">
        <f t="shared" si="1"/>
        <v>2023</v>
      </c>
      <c r="BM6" s="147" t="e">
        <f t="shared" ref="BM6" si="2">YEAR(BM7)</f>
        <v>#VALUE!</v>
      </c>
      <c r="BN6" s="148"/>
      <c r="BO6" s="148"/>
      <c r="BP6" s="148"/>
      <c r="BQ6" s="148"/>
      <c r="BR6" s="148"/>
      <c r="BS6" s="148"/>
    </row>
    <row r="7" spans="1:72" ht="12.75" customHeight="1" collapsed="1" x14ac:dyDescent="0.35">
      <c r="A7" s="153"/>
      <c r="B7" s="154" t="s">
        <v>53</v>
      </c>
      <c r="C7" s="155"/>
      <c r="D7" s="155"/>
      <c r="E7" s="156"/>
      <c r="F7" s="154"/>
      <c r="G7" s="154"/>
      <c r="H7" s="154"/>
      <c r="I7" s="157">
        <f t="shared" ref="I7:X7" si="3">EDATE(J7,-3)</f>
        <v>42368</v>
      </c>
      <c r="J7" s="157">
        <f t="shared" si="3"/>
        <v>42459</v>
      </c>
      <c r="K7" s="157">
        <f t="shared" si="3"/>
        <v>42551</v>
      </c>
      <c r="L7" s="157">
        <f t="shared" si="3"/>
        <v>42643</v>
      </c>
      <c r="M7" s="157">
        <f t="shared" si="3"/>
        <v>42734</v>
      </c>
      <c r="N7" s="157">
        <f t="shared" si="3"/>
        <v>42824</v>
      </c>
      <c r="O7" s="157">
        <f t="shared" si="3"/>
        <v>42916</v>
      </c>
      <c r="P7" s="157">
        <f t="shared" si="3"/>
        <v>43008</v>
      </c>
      <c r="Q7" s="157">
        <f t="shared" si="3"/>
        <v>43099</v>
      </c>
      <c r="R7" s="157">
        <f t="shared" si="3"/>
        <v>43189</v>
      </c>
      <c r="S7" s="157">
        <f t="shared" si="3"/>
        <v>43281</v>
      </c>
      <c r="T7" s="157">
        <f t="shared" si="3"/>
        <v>43373</v>
      </c>
      <c r="U7" s="157">
        <f t="shared" si="3"/>
        <v>43464</v>
      </c>
      <c r="V7" s="157">
        <f t="shared" si="3"/>
        <v>43554</v>
      </c>
      <c r="W7" s="158">
        <f t="shared" si="3"/>
        <v>43646</v>
      </c>
      <c r="X7" s="158">
        <f t="shared" si="3"/>
        <v>43738</v>
      </c>
      <c r="Y7" s="158">
        <f>EDATE(Z7,-3)</f>
        <v>43830</v>
      </c>
      <c r="Z7" s="158">
        <f>EDATE(BI8,0)</f>
        <v>43921</v>
      </c>
      <c r="AA7" s="158">
        <f>EDATE(Z7,3)</f>
        <v>44012</v>
      </c>
      <c r="AB7" s="158">
        <f>EDATE(AA7,3)</f>
        <v>44104</v>
      </c>
      <c r="AC7" s="158">
        <f>EDATE(AB7,3)</f>
        <v>44195</v>
      </c>
      <c r="AD7" s="158">
        <f t="shared" ref="AD7:AL7" si="4">EDATE(AC7,3)</f>
        <v>44285</v>
      </c>
      <c r="AE7" s="158">
        <f t="shared" si="4"/>
        <v>44377</v>
      </c>
      <c r="AF7" s="158">
        <f t="shared" si="4"/>
        <v>44469</v>
      </c>
      <c r="AG7" s="158">
        <f t="shared" si="4"/>
        <v>44560</v>
      </c>
      <c r="AH7" s="158">
        <f t="shared" si="4"/>
        <v>44650</v>
      </c>
      <c r="AI7" s="158">
        <f t="shared" si="4"/>
        <v>44742</v>
      </c>
      <c r="AJ7" s="158">
        <f t="shared" si="4"/>
        <v>44834</v>
      </c>
      <c r="AK7" s="158">
        <f t="shared" si="4"/>
        <v>44925</v>
      </c>
      <c r="AL7" s="158">
        <f t="shared" si="4"/>
        <v>45015</v>
      </c>
      <c r="AM7" s="156"/>
      <c r="AN7" s="158">
        <f t="shared" ref="AN7:AU7" si="5">EDATE(AO7,-6)</f>
        <v>42277</v>
      </c>
      <c r="AO7" s="158">
        <f t="shared" si="5"/>
        <v>42459</v>
      </c>
      <c r="AP7" s="158">
        <f>EDATE(AQ7,-6)</f>
        <v>42643</v>
      </c>
      <c r="AQ7" s="158">
        <f t="shared" si="5"/>
        <v>42824</v>
      </c>
      <c r="AR7" s="158">
        <f t="shared" si="5"/>
        <v>43008</v>
      </c>
      <c r="AS7" s="158">
        <f t="shared" si="5"/>
        <v>43189</v>
      </c>
      <c r="AT7" s="158">
        <f t="shared" si="5"/>
        <v>43373</v>
      </c>
      <c r="AU7" s="158">
        <f t="shared" si="5"/>
        <v>43554</v>
      </c>
      <c r="AV7" s="158">
        <f>EDATE(AW7,-6)</f>
        <v>43738</v>
      </c>
      <c r="AW7" s="158">
        <f>EDATE(BI8,0)</f>
        <v>43921</v>
      </c>
      <c r="AX7" s="158">
        <f>EDATE(AW7,6)</f>
        <v>44104</v>
      </c>
      <c r="AY7" s="158">
        <f t="shared" ref="AY7:BC7" si="6">EDATE(AX7,6)</f>
        <v>44285</v>
      </c>
      <c r="AZ7" s="158">
        <f t="shared" si="6"/>
        <v>44469</v>
      </c>
      <c r="BA7" s="158">
        <f t="shared" si="6"/>
        <v>44650</v>
      </c>
      <c r="BB7" s="158">
        <f t="shared" si="6"/>
        <v>44834</v>
      </c>
      <c r="BC7" s="158">
        <f t="shared" si="6"/>
        <v>45015</v>
      </c>
      <c r="BD7" s="158"/>
      <c r="BE7" s="159" t="str">
        <f>"FY"&amp;MID(BE8,3,2)</f>
        <v>FY16</v>
      </c>
      <c r="BF7" s="159" t="str">
        <f t="shared" ref="BF7:BS7" si="7">"FY"&amp;MID(BF8,3,2)</f>
        <v>FY17</v>
      </c>
      <c r="BG7" s="159" t="str">
        <f t="shared" si="7"/>
        <v>FY18</v>
      </c>
      <c r="BH7" s="159" t="str">
        <f t="shared" si="7"/>
        <v>FY19</v>
      </c>
      <c r="BI7" s="159" t="str">
        <f t="shared" si="7"/>
        <v>FY20</v>
      </c>
      <c r="BJ7" s="159" t="str">
        <f t="shared" si="7"/>
        <v>FY21</v>
      </c>
      <c r="BK7" s="159" t="str">
        <f t="shared" si="7"/>
        <v>FY22</v>
      </c>
      <c r="BL7" s="159" t="str">
        <f t="shared" si="7"/>
        <v>FY23</v>
      </c>
      <c r="BM7" s="159" t="str">
        <f t="shared" si="7"/>
        <v>FY24</v>
      </c>
      <c r="BN7" s="159" t="str">
        <f t="shared" si="7"/>
        <v>FY25</v>
      </c>
      <c r="BO7" s="159" t="str">
        <f t="shared" si="7"/>
        <v>FY26</v>
      </c>
      <c r="BP7" s="159" t="str">
        <f t="shared" si="7"/>
        <v>FY27</v>
      </c>
      <c r="BQ7" s="159" t="str">
        <f t="shared" si="7"/>
        <v>FY28</v>
      </c>
      <c r="BR7" s="159" t="str">
        <f t="shared" si="7"/>
        <v>FY29</v>
      </c>
      <c r="BS7" s="159" t="str">
        <f t="shared" si="7"/>
        <v>FY30</v>
      </c>
      <c r="BT7" s="203"/>
    </row>
    <row r="8" spans="1:72" ht="12.75" customHeight="1" x14ac:dyDescent="0.35">
      <c r="A8" s="153" t="str">
        <f>IF(ISERR(AB13/1),"E","-")</f>
        <v>-</v>
      </c>
      <c r="B8" s="160"/>
      <c r="C8" s="161" t="e">
        <f ca="1">_xll.BDP(Summary!$C$2&amp;" equity","gics industry name")</f>
        <v>#NAME?</v>
      </c>
      <c r="D8" s="161" t="e">
        <f ca="1">IF(C8="software","Y",IF(C8="Internet","Y","N"))</f>
        <v>#NAME?</v>
      </c>
      <c r="E8" s="161"/>
      <c r="F8" s="162"/>
      <c r="G8" s="162"/>
      <c r="H8" s="162"/>
      <c r="I8" s="157" t="str">
        <f>"3Q" &amp; RIGHT(YEAR($J7),2)</f>
        <v>3Q16</v>
      </c>
      <c r="J8" s="157" t="str">
        <f>"4Q" &amp; RIGHT(YEAR($J7),2)</f>
        <v>4Q16</v>
      </c>
      <c r="K8" s="157" t="str">
        <f>"1Q" &amp; RIGHT(YEAR($N7),2)</f>
        <v>1Q17</v>
      </c>
      <c r="L8" s="157" t="str">
        <f>"2Q" &amp; RIGHT(YEAR($N7),2)</f>
        <v>2Q17</v>
      </c>
      <c r="M8" s="157" t="str">
        <f>"3Q" &amp; RIGHT(YEAR($N7),2)</f>
        <v>3Q17</v>
      </c>
      <c r="N8" s="157" t="str">
        <f>"4Q" &amp; RIGHT(YEAR($N7),2)</f>
        <v>4Q17</v>
      </c>
      <c r="O8" s="157" t="str">
        <f>"1Q" &amp; RIGHT(YEAR($R7),2)</f>
        <v>1Q18</v>
      </c>
      <c r="P8" s="157" t="str">
        <f>"2Q" &amp; RIGHT(YEAR($R7),2)</f>
        <v>2Q18</v>
      </c>
      <c r="Q8" s="157" t="str">
        <f>"3Q" &amp; RIGHT(YEAR($R7),2)</f>
        <v>3Q18</v>
      </c>
      <c r="R8" s="157" t="str">
        <f>"4Q" &amp; RIGHT(YEAR($R7),2)</f>
        <v>4Q18</v>
      </c>
      <c r="S8" s="157" t="str">
        <f>"1Q" &amp; RIGHT(YEAR($V7),2)</f>
        <v>1Q19</v>
      </c>
      <c r="T8" s="157" t="str">
        <f>"2Q" &amp; RIGHT(YEAR($V7),2)</f>
        <v>2Q19</v>
      </c>
      <c r="U8" s="157" t="str">
        <f>"3Q" &amp; RIGHT(YEAR($V7),2)</f>
        <v>3Q19</v>
      </c>
      <c r="V8" s="157" t="str">
        <f>"4Q" &amp; RIGHT(YEAR($V7),2)</f>
        <v>4Q19</v>
      </c>
      <c r="W8" s="158" t="str">
        <f>"1Q" &amp; RIGHT(YEAR($Z7),2)</f>
        <v>1Q20</v>
      </c>
      <c r="X8" s="158" t="str">
        <f>"2Q" &amp; RIGHT(YEAR($Z7),2)</f>
        <v>2Q20</v>
      </c>
      <c r="Y8" s="158" t="str">
        <f>"3Q" &amp; RIGHT(YEAR($Z7),2)</f>
        <v>3Q20</v>
      </c>
      <c r="Z8" s="158" t="str">
        <f>"4Q" &amp; RIGHT(YEAR($Z7),2)</f>
        <v>4Q20</v>
      </c>
      <c r="AA8" s="158" t="str">
        <f>"1Q" &amp; RIGHT(YEAR($AD7),2)</f>
        <v>1Q21</v>
      </c>
      <c r="AB8" s="158" t="str">
        <f>"2Q" &amp; RIGHT(YEAR($AD7),2)</f>
        <v>2Q21</v>
      </c>
      <c r="AC8" s="158" t="str">
        <f>"3Q" &amp; RIGHT(YEAR($AD7),2)</f>
        <v>3Q21</v>
      </c>
      <c r="AD8" s="158" t="str">
        <f>"4Q" &amp; RIGHT(YEAR($AD7),2)</f>
        <v>4Q21</v>
      </c>
      <c r="AE8" s="158" t="str">
        <f>"1Q" &amp; RIGHT(YEAR($AH7),2)</f>
        <v>1Q22</v>
      </c>
      <c r="AF8" s="158" t="str">
        <f>"2Q" &amp; RIGHT(YEAR($AH7),2)</f>
        <v>2Q22</v>
      </c>
      <c r="AG8" s="158" t="str">
        <f>"3Q" &amp; RIGHT(YEAR($AH7),2)</f>
        <v>3Q22</v>
      </c>
      <c r="AH8" s="158" t="str">
        <f>"4Q" &amp; RIGHT(YEAR($AH7),2)</f>
        <v>4Q22</v>
      </c>
      <c r="AI8" s="158" t="str">
        <f>"1Q" &amp; RIGHT(YEAR($AL7),2)</f>
        <v>1Q23</v>
      </c>
      <c r="AJ8" s="158" t="str">
        <f>"2Q" &amp; RIGHT(YEAR($AL7),2)</f>
        <v>2Q23</v>
      </c>
      <c r="AK8" s="158" t="str">
        <f>"3Q" &amp; RIGHT(YEAR($AL7),2)</f>
        <v>3Q23</v>
      </c>
      <c r="AL8" s="158" t="str">
        <f>"4Q" &amp; RIGHT(YEAR($AL7),2)</f>
        <v>4Q23</v>
      </c>
      <c r="AM8" s="163"/>
      <c r="AN8" s="158" t="str">
        <f t="shared" ref="AN8" si="8">"1H" &amp; RIGHT(YEAR(AN7),2)</f>
        <v>1H15</v>
      </c>
      <c r="AO8" s="158" t="str">
        <f t="shared" ref="AO8" si="9">"2H" &amp; RIGHT(YEAR(AO7),2)</f>
        <v>2H16</v>
      </c>
      <c r="AP8" s="158" t="str">
        <f t="shared" ref="AP8" si="10">"1H" &amp; RIGHT(YEAR(AP7),2)</f>
        <v>1H16</v>
      </c>
      <c r="AQ8" s="158" t="str">
        <f t="shared" ref="AQ8" si="11">"2H" &amp; RIGHT(YEAR(AQ7),2)</f>
        <v>2H17</v>
      </c>
      <c r="AR8" s="158" t="str">
        <f t="shared" ref="AR8" si="12">"1H" &amp; RIGHT(YEAR(AR7),2)</f>
        <v>1H17</v>
      </c>
      <c r="AS8" s="158" t="str">
        <f t="shared" ref="AS8" si="13">"2H" &amp; RIGHT(YEAR(AS7),2)</f>
        <v>2H18</v>
      </c>
      <c r="AT8" s="158" t="str">
        <f t="shared" ref="AT8" si="14">"1H" &amp; RIGHT(YEAR(AT7),2)</f>
        <v>1H18</v>
      </c>
      <c r="AU8" s="158" t="str">
        <f t="shared" ref="AU8" si="15">"2H" &amp; RIGHT(YEAR(AU7),2)</f>
        <v>2H19</v>
      </c>
      <c r="AV8" s="158" t="str">
        <f>"1H" &amp; RIGHT(YEAR(AV7),2)</f>
        <v>1H19</v>
      </c>
      <c r="AW8" s="158" t="str">
        <f>"2H" &amp; RIGHT(YEAR(AW7),2)</f>
        <v>2H20</v>
      </c>
      <c r="AX8" s="158" t="str">
        <f t="shared" ref="AX8" si="16">"1H" &amp; RIGHT(YEAR(AX7),2)</f>
        <v>1H20</v>
      </c>
      <c r="AY8" s="158" t="str">
        <f t="shared" ref="AY8" si="17">"2H" &amp; RIGHT(YEAR(AY7),2)</f>
        <v>2H21</v>
      </c>
      <c r="AZ8" s="158" t="str">
        <f t="shared" ref="AZ8" si="18">"1H" &amp; RIGHT(YEAR(AZ7),2)</f>
        <v>1H21</v>
      </c>
      <c r="BA8" s="158" t="str">
        <f t="shared" ref="BA8" si="19">"2H" &amp; RIGHT(YEAR(BA7),2)</f>
        <v>2H22</v>
      </c>
      <c r="BB8" s="158" t="str">
        <f t="shared" ref="BB8" si="20">"1H" &amp; RIGHT(YEAR(BB7),2)</f>
        <v>1H22</v>
      </c>
      <c r="BC8" s="158" t="str">
        <f t="shared" ref="BC8" si="21">"2H" &amp; RIGHT(YEAR(BC7),2)</f>
        <v>2H23</v>
      </c>
      <c r="BD8" s="158"/>
      <c r="BE8" s="159" t="str">
        <f>PnL!BE$10</f>
        <v>2016/03/31</v>
      </c>
      <c r="BF8" s="159" t="str">
        <f>PnL!BF$10</f>
        <v>2017/03/31</v>
      </c>
      <c r="BG8" s="159" t="str">
        <f>PnL!BG$10</f>
        <v>2018/03/31</v>
      </c>
      <c r="BH8" s="159" t="str">
        <f>PnL!BH$10</f>
        <v>2019/03/31</v>
      </c>
      <c r="BI8" s="159" t="str">
        <f>PnL!BI$10</f>
        <v>2020/03/31</v>
      </c>
      <c r="BJ8" s="158" t="str">
        <f>PnL!BJ$10</f>
        <v>2021/03/31</v>
      </c>
      <c r="BK8" s="158" t="str">
        <f>PnL!BK$10</f>
        <v>2022/03/31</v>
      </c>
      <c r="BL8" s="158" t="str">
        <f>PnL!BL$10</f>
        <v>2023/03/31</v>
      </c>
      <c r="BM8" s="158" t="str">
        <f>PnL!BM$10</f>
        <v>2024/03/31</v>
      </c>
      <c r="BN8" s="158" t="str">
        <f>PnL!BN$10</f>
        <v>2025/03/31</v>
      </c>
      <c r="BO8" s="158" t="str">
        <f>PnL!BO$10</f>
        <v>2026/03/31</v>
      </c>
      <c r="BP8" s="158" t="str">
        <f>PnL!BP$10</f>
        <v>2027/03/31</v>
      </c>
      <c r="BQ8" s="158" t="str">
        <f>PnL!BQ$10</f>
        <v>2028/03/31</v>
      </c>
      <c r="BR8" s="158" t="str">
        <f>PnL!BR$10</f>
        <v>2029/03/31</v>
      </c>
      <c r="BS8" s="158" t="str">
        <f>PnL!BS$10</f>
        <v>2030/03/31</v>
      </c>
      <c r="BT8" s="203"/>
    </row>
    <row r="9" spans="1:72" ht="12.75" customHeight="1" x14ac:dyDescent="0.35">
      <c r="A9" s="153"/>
      <c r="B9" s="164" t="s">
        <v>54</v>
      </c>
      <c r="C9" s="165"/>
      <c r="D9" s="165"/>
      <c r="E9" s="166"/>
      <c r="F9" s="164"/>
      <c r="G9" s="164"/>
      <c r="H9" s="167"/>
      <c r="I9" s="168"/>
      <c r="J9" s="168"/>
      <c r="K9" s="169"/>
      <c r="L9" s="169"/>
      <c r="M9" s="169"/>
      <c r="N9" s="169"/>
      <c r="O9" s="169"/>
      <c r="P9" s="169"/>
      <c r="Q9" s="169"/>
      <c r="R9" s="169"/>
      <c r="S9" s="169"/>
      <c r="T9" s="169"/>
      <c r="U9" s="169"/>
      <c r="V9" s="169"/>
      <c r="W9" s="167"/>
      <c r="X9" s="167"/>
      <c r="Y9" s="167"/>
      <c r="Z9" s="167"/>
      <c r="AA9" s="167"/>
      <c r="AB9" s="167"/>
      <c r="AC9" s="167"/>
      <c r="AD9" s="167"/>
      <c r="AE9" s="167"/>
      <c r="AF9" s="167"/>
      <c r="AG9" s="167"/>
      <c r="AH9" s="167"/>
      <c r="AI9" s="167"/>
      <c r="AJ9" s="167"/>
      <c r="AK9" s="167"/>
      <c r="AL9" s="167"/>
      <c r="AM9" s="169"/>
      <c r="AN9" s="167"/>
      <c r="AO9" s="167"/>
      <c r="AP9" s="167"/>
      <c r="AQ9" s="167"/>
      <c r="AR9" s="167"/>
      <c r="AS9" s="167"/>
      <c r="AT9" s="167"/>
      <c r="AU9" s="167"/>
      <c r="AV9" s="167"/>
      <c r="AW9" s="167"/>
      <c r="AX9" s="167"/>
      <c r="AY9" s="167"/>
      <c r="AZ9" s="167"/>
      <c r="BA9" s="167"/>
      <c r="BB9" s="167"/>
      <c r="BC9" s="167"/>
      <c r="BD9" s="167"/>
      <c r="BE9" s="170"/>
      <c r="BF9" s="169"/>
      <c r="BG9" s="169"/>
      <c r="BH9" s="169"/>
      <c r="BI9" s="169"/>
      <c r="BJ9" s="169"/>
      <c r="BK9" s="169"/>
      <c r="BL9" s="169"/>
      <c r="BM9" s="169"/>
      <c r="BN9" s="169"/>
      <c r="BO9" s="169"/>
      <c r="BP9" s="169"/>
      <c r="BQ9" s="169"/>
      <c r="BR9" s="169"/>
      <c r="BS9" s="169"/>
      <c r="BT9" s="203"/>
    </row>
    <row r="10" spans="1:72" ht="12.75" customHeight="1" x14ac:dyDescent="0.35">
      <c r="A10" s="153" t="s">
        <v>55</v>
      </c>
      <c r="B10" s="171"/>
      <c r="C10" s="172" t="s">
        <v>56</v>
      </c>
      <c r="D10" s="171"/>
      <c r="E10" s="166"/>
      <c r="F10" s="172"/>
      <c r="G10" s="172"/>
      <c r="H10" s="172"/>
      <c r="I10" s="173">
        <f>[32]CF!$I$10</f>
        <v>12498</v>
      </c>
      <c r="J10" s="173">
        <f>[32]CF!J10</f>
        <v>5365</v>
      </c>
      <c r="K10" s="173">
        <f>[32]CF!K10</f>
        <v>7550</v>
      </c>
      <c r="L10" s="173">
        <f>[32]CF!L10</f>
        <v>7623</v>
      </c>
      <c r="M10" s="173">
        <f>[32]CF!M10</f>
        <v>17855</v>
      </c>
      <c r="N10" s="173">
        <f>[32]CF!N10</f>
        <v>10647</v>
      </c>
      <c r="O10" s="173">
        <f>[32]CF!O10</f>
        <v>14683</v>
      </c>
      <c r="P10" s="173">
        <f>[32]CF!P10</f>
        <v>17668</v>
      </c>
      <c r="Q10" s="173">
        <f>[32]CF!Q10</f>
        <v>24073</v>
      </c>
      <c r="R10" s="173">
        <f>[32]CF!R10</f>
        <v>7669</v>
      </c>
      <c r="S10" s="173">
        <f>[32]CF!S10</f>
        <v>8720</v>
      </c>
      <c r="T10" s="173">
        <f>[32]CF!T10</f>
        <v>20133</v>
      </c>
      <c r="U10" s="173">
        <f>[32]CF!U10</f>
        <v>33120</v>
      </c>
      <c r="V10" s="173">
        <f>[32]CF!V10</f>
        <v>25913</v>
      </c>
      <c r="W10" s="173">
        <f>[32]CF!W10</f>
        <v>21448</v>
      </c>
      <c r="X10" s="173">
        <f>[32]CF!X10</f>
        <v>72591</v>
      </c>
      <c r="Y10" s="173">
        <f>[32]CF!Y10</f>
        <v>52174</v>
      </c>
      <c r="Z10" s="173">
        <f>[32]CF!Z10</f>
        <v>3220</v>
      </c>
      <c r="AA10" s="173">
        <f>[32]CF!AA10</f>
        <v>47533</v>
      </c>
      <c r="AB10" s="173">
        <f>[32]CF!AB10</f>
        <v>28876</v>
      </c>
      <c r="AC10" s="173">
        <f>PnL!AC41</f>
        <v>57174.387081958848</v>
      </c>
      <c r="AD10" s="173">
        <f>PnL!AD41</f>
        <v>10753.480858951976</v>
      </c>
      <c r="AE10" s="173">
        <f>PnL!AE41</f>
        <v>51932.312489113843</v>
      </c>
      <c r="AF10" s="173">
        <f>PnL!AF41</f>
        <v>26463.343517695463</v>
      </c>
      <c r="AG10" s="173">
        <f>PnL!AG41</f>
        <v>62093.022715655708</v>
      </c>
      <c r="AH10" s="173">
        <f>PnL!AH41</f>
        <v>11111.903519326901</v>
      </c>
      <c r="AI10" s="173">
        <f>PnL!AI41</f>
        <v>57021.7275276398</v>
      </c>
      <c r="AJ10" s="173">
        <f>PnL!AJ41</f>
        <v>25610.637002995183</v>
      </c>
      <c r="AK10" s="173">
        <f>PnL!AK41</f>
        <v>68193.090842542384</v>
      </c>
      <c r="AL10" s="173">
        <f>PnL!AL41</f>
        <v>10735.072825263407</v>
      </c>
      <c r="AM10" s="167"/>
      <c r="AN10" s="173">
        <f>[32]CF!AP10</f>
        <v>0</v>
      </c>
      <c r="AO10" s="173">
        <f>[32]CF!AQ10</f>
        <v>0</v>
      </c>
      <c r="AP10" s="173">
        <f>[32]CF!AR10</f>
        <v>0</v>
      </c>
      <c r="AQ10" s="173">
        <f>[32]CF!AS10</f>
        <v>0</v>
      </c>
      <c r="AR10" s="173">
        <f>[32]CF!AT10</f>
        <v>0</v>
      </c>
      <c r="AS10" s="173">
        <f>[32]CF!AU10</f>
        <v>0</v>
      </c>
      <c r="AT10" s="173">
        <f>[32]CF!AV10</f>
        <v>0</v>
      </c>
      <c r="AU10" s="173">
        <f>[32]CF!AW10</f>
        <v>0</v>
      </c>
      <c r="AV10" s="173">
        <f>[32]CF!AX10</f>
        <v>0</v>
      </c>
      <c r="AW10" s="173">
        <f>[32]CF!AY10</f>
        <v>0</v>
      </c>
      <c r="AX10" s="173">
        <f>[32]CF!AZ10</f>
        <v>0</v>
      </c>
      <c r="AY10" s="173" t="e">
        <f>PnL!AY41</f>
        <v>#DIV/0!</v>
      </c>
      <c r="AZ10" s="173" t="e">
        <f>PnL!AZ41</f>
        <v>#DIV/0!</v>
      </c>
      <c r="BA10" s="173" t="e">
        <f>PnL!BA41</f>
        <v>#DIV/0!</v>
      </c>
      <c r="BB10" s="173" t="e">
        <f>PnL!BB41</f>
        <v>#DIV/0!</v>
      </c>
      <c r="BC10" s="173" t="e">
        <f>PnL!BC41</f>
        <v>#DIV/0!</v>
      </c>
      <c r="BD10" s="173"/>
      <c r="BE10" s="173">
        <f>[32]CF!BH10</f>
        <v>71460</v>
      </c>
      <c r="BF10" s="173">
        <f>[32]CF!BI10</f>
        <v>43675</v>
      </c>
      <c r="BG10" s="173">
        <f>[32]CF!BJ10</f>
        <v>64093</v>
      </c>
      <c r="BH10" s="173">
        <f>[32]CF!BK10</f>
        <v>87886</v>
      </c>
      <c r="BI10" s="173">
        <f>[32]CF!BL10</f>
        <v>149433</v>
      </c>
      <c r="BJ10" s="173">
        <f t="shared" ref="BJ10:BJ15" si="22">SUM(AA10:AD10)</f>
        <v>144336.86794091083</v>
      </c>
      <c r="BK10" s="173">
        <f t="shared" ref="BK10:BK15" si="23">SUM(AE10:AH10)</f>
        <v>151600.58224179191</v>
      </c>
      <c r="BL10" s="173">
        <f t="shared" ref="BL10:BL15" si="24">SUM(AI10:AL10)</f>
        <v>161560.52819844076</v>
      </c>
      <c r="BM10" s="173">
        <f>PnL!BM41</f>
        <v>182840.9515864687</v>
      </c>
      <c r="BN10" s="173">
        <f>PnL!BN41</f>
        <v>203194.47531659875</v>
      </c>
      <c r="BO10" s="173">
        <f>PnL!BO41</f>
        <v>221630.49738489831</v>
      </c>
      <c r="BP10" s="173">
        <f>PnL!BP41</f>
        <v>237660.0263038936</v>
      </c>
      <c r="BQ10" s="173">
        <f>PnL!BQ41</f>
        <v>251182.81378229163</v>
      </c>
      <c r="BR10" s="173">
        <f>PnL!BR41</f>
        <v>262371.85545358335</v>
      </c>
      <c r="BS10" s="173">
        <f>PnL!BS41</f>
        <v>271422.19248444156</v>
      </c>
      <c r="BT10" s="203"/>
    </row>
    <row r="11" spans="1:72" ht="12.75" customHeight="1" x14ac:dyDescent="0.35">
      <c r="A11" s="153" t="s">
        <v>57</v>
      </c>
      <c r="B11" s="171"/>
      <c r="C11" s="172" t="s">
        <v>366</v>
      </c>
      <c r="D11" s="171"/>
      <c r="E11" s="166"/>
      <c r="F11" s="172"/>
      <c r="G11" s="172"/>
      <c r="H11" s="172"/>
      <c r="I11" s="173">
        <f>[32]CF!I11</f>
        <v>1852</v>
      </c>
      <c r="J11" s="173">
        <f>[32]CF!J11</f>
        <v>1833</v>
      </c>
      <c r="K11" s="173">
        <f>[32]CF!K11</f>
        <v>2455</v>
      </c>
      <c r="L11" s="173">
        <f>[32]CF!L11</f>
        <v>2579</v>
      </c>
      <c r="M11" s="173">
        <f>[32]CF!M11</f>
        <v>2613</v>
      </c>
      <c r="N11" s="173">
        <f>[32]CF!N11</f>
        <v>2759</v>
      </c>
      <c r="O11" s="173">
        <f>[32]CF!O11</f>
        <v>3592</v>
      </c>
      <c r="P11" s="173">
        <f>[32]CF!P11</f>
        <v>3761</v>
      </c>
      <c r="Q11" s="173">
        <f>[32]CF!Q11</f>
        <v>4578</v>
      </c>
      <c r="R11" s="173">
        <f>[32]CF!R11</f>
        <v>3978</v>
      </c>
      <c r="S11" s="173">
        <f>[32]CF!S11</f>
        <v>4961</v>
      </c>
      <c r="T11" s="173">
        <f>[32]CF!T11</f>
        <v>6166</v>
      </c>
      <c r="U11" s="173">
        <f>[32]CF!U11</f>
        <v>6950</v>
      </c>
      <c r="V11" s="173">
        <f>[32]CF!V11</f>
        <v>7612</v>
      </c>
      <c r="W11" s="173">
        <f>[32]CF!W11</f>
        <v>7748</v>
      </c>
      <c r="X11" s="173">
        <f>[32]CF!X11</f>
        <v>8016</v>
      </c>
      <c r="Y11" s="173">
        <f>[32]CF!Y11</f>
        <v>8490</v>
      </c>
      <c r="Z11" s="173">
        <f>[32]CF!Z11</f>
        <v>9657</v>
      </c>
      <c r="AA11" s="173">
        <f>[32]CF!AA11</f>
        <v>8619</v>
      </c>
      <c r="AB11" s="173">
        <f>[32]CF!AB11</f>
        <v>9197</v>
      </c>
      <c r="AC11" s="174">
        <f>AB11*1.03</f>
        <v>9472.91</v>
      </c>
      <c r="AD11" s="174">
        <f t="shared" ref="AD11:AL11" si="25">AC11*1.03</f>
        <v>9757.0972999999994</v>
      </c>
      <c r="AE11" s="174">
        <f t="shared" si="25"/>
        <v>10049.810218999999</v>
      </c>
      <c r="AF11" s="174">
        <f t="shared" si="25"/>
        <v>10351.30452557</v>
      </c>
      <c r="AG11" s="174">
        <f t="shared" si="25"/>
        <v>10661.8436613371</v>
      </c>
      <c r="AH11" s="174">
        <f t="shared" si="25"/>
        <v>10981.698971177213</v>
      </c>
      <c r="AI11" s="174">
        <f t="shared" si="25"/>
        <v>11311.149940312529</v>
      </c>
      <c r="AJ11" s="174">
        <f t="shared" si="25"/>
        <v>11650.484438521906</v>
      </c>
      <c r="AK11" s="174">
        <f t="shared" si="25"/>
        <v>11999.998971677564</v>
      </c>
      <c r="AL11" s="174">
        <f t="shared" si="25"/>
        <v>12359.998940827891</v>
      </c>
      <c r="AM11" s="167"/>
      <c r="AN11" s="173">
        <f>[32]CF!AP11</f>
        <v>0</v>
      </c>
      <c r="AO11" s="173">
        <f>[32]CF!AQ11</f>
        <v>0</v>
      </c>
      <c r="AP11" s="173">
        <f>[32]CF!AR11</f>
        <v>0</v>
      </c>
      <c r="AQ11" s="173">
        <f>[32]CF!AS11</f>
        <v>0</v>
      </c>
      <c r="AR11" s="173">
        <f>[32]CF!AT11</f>
        <v>0</v>
      </c>
      <c r="AS11" s="173">
        <f>[32]CF!AU11</f>
        <v>0</v>
      </c>
      <c r="AT11" s="173">
        <f>[32]CF!AV11</f>
        <v>0</v>
      </c>
      <c r="AU11" s="173">
        <f>[32]CF!AW11</f>
        <v>0</v>
      </c>
      <c r="AV11" s="173">
        <f>[32]CF!AX11</f>
        <v>0</v>
      </c>
      <c r="AW11" s="173">
        <f>[32]CF!AY11</f>
        <v>0</v>
      </c>
      <c r="AX11" s="173">
        <f>[32]CF!AZ11</f>
        <v>0</v>
      </c>
      <c r="AY11" s="173" t="e">
        <f>IF($A$8="E",AY46,BS!AY17-BS!AX17)</f>
        <v>#DIV/0!</v>
      </c>
      <c r="AZ11" s="173" t="e">
        <f>IF($A$8="E",AZ46,BS!AZ17-BS!AY17)</f>
        <v>#DIV/0!</v>
      </c>
      <c r="BA11" s="173" t="e">
        <f>IF($A$8="E",BA46,BS!BA17-BS!AZ17)</f>
        <v>#DIV/0!</v>
      </c>
      <c r="BB11" s="173" t="e">
        <f>IF($A$8="E",BB46,BS!BB17-BS!BA17)</f>
        <v>#DIV/0!</v>
      </c>
      <c r="BC11" s="173" t="e">
        <f>IF($A$8="E",BC46,BS!BC17-BS!BB17)</f>
        <v>#DIV/0!</v>
      </c>
      <c r="BD11" s="173"/>
      <c r="BE11" s="173">
        <f>[32]CF!BH11</f>
        <v>7048</v>
      </c>
      <c r="BF11" s="173">
        <f>[32]CF!BI11</f>
        <v>14292</v>
      </c>
      <c r="BG11" s="173">
        <f>[32]CF!BJ11</f>
        <v>22020</v>
      </c>
      <c r="BH11" s="173">
        <f>[32]CF!BK11</f>
        <v>37080</v>
      </c>
      <c r="BI11" s="173">
        <f>[32]CF!BL11</f>
        <v>42427</v>
      </c>
      <c r="BJ11" s="174">
        <f t="shared" si="22"/>
        <v>37046.007299999997</v>
      </c>
      <c r="BK11" s="174">
        <f t="shared" si="23"/>
        <v>42044.65737708431</v>
      </c>
      <c r="BL11" s="174">
        <f t="shared" si="24"/>
        <v>47321.632291339891</v>
      </c>
      <c r="BM11" s="2728">
        <f>BL11*1.05</f>
        <v>49687.713905906887</v>
      </c>
      <c r="BN11" s="2728">
        <f t="shared" ref="BN11:BS11" si="26">BM11*1.05</f>
        <v>52172.099601202237</v>
      </c>
      <c r="BO11" s="2728">
        <f t="shared" si="26"/>
        <v>54780.704581262355</v>
      </c>
      <c r="BP11" s="2728">
        <f t="shared" si="26"/>
        <v>57519.739810325475</v>
      </c>
      <c r="BQ11" s="2728">
        <f t="shared" si="26"/>
        <v>60395.726800841752</v>
      </c>
      <c r="BR11" s="2728">
        <f t="shared" si="26"/>
        <v>63415.513140883842</v>
      </c>
      <c r="BS11" s="2728">
        <f t="shared" si="26"/>
        <v>66586.288797928035</v>
      </c>
      <c r="BT11" s="203"/>
    </row>
    <row r="12" spans="1:72" ht="12.75" customHeight="1" x14ac:dyDescent="0.35">
      <c r="A12" s="153" t="s">
        <v>58</v>
      </c>
      <c r="B12" s="171"/>
      <c r="C12" s="2857" t="s">
        <v>59</v>
      </c>
      <c r="D12" s="171"/>
      <c r="E12" s="166"/>
      <c r="F12" s="172"/>
      <c r="G12" s="172"/>
      <c r="H12" s="172"/>
      <c r="I12" s="173"/>
      <c r="J12" s="173"/>
      <c r="K12" s="173"/>
      <c r="L12" s="173"/>
      <c r="M12" s="173"/>
      <c r="N12" s="173"/>
      <c r="O12" s="173"/>
      <c r="P12" s="173"/>
      <c r="Q12" s="173"/>
      <c r="R12" s="173"/>
      <c r="S12" s="173"/>
      <c r="T12" s="173"/>
      <c r="U12" s="173"/>
      <c r="V12" s="173"/>
      <c r="W12" s="173">
        <f>[32]CF!W$12</f>
        <v>0</v>
      </c>
      <c r="X12" s="173">
        <f>[32]CF!X$12</f>
        <v>0</v>
      </c>
      <c r="Y12" s="173">
        <f>[32]CF!Y$12</f>
        <v>0</v>
      </c>
      <c r="Z12" s="173">
        <f>[32]CF!Z$12</f>
        <v>0</v>
      </c>
      <c r="AA12" s="173">
        <f>[32]CF!AA$12</f>
        <v>0</v>
      </c>
      <c r="AB12" s="173">
        <f>[32]CF!AB$12</f>
        <v>0</v>
      </c>
      <c r="AC12" s="173">
        <f t="shared" ref="AC12" si="27">AC46</f>
        <v>0</v>
      </c>
      <c r="AD12" s="173">
        <f>AD46</f>
        <v>0</v>
      </c>
      <c r="AE12" s="173">
        <f t="shared" ref="AE12:AL12" si="28">AE46</f>
        <v>0</v>
      </c>
      <c r="AF12" s="173">
        <f t="shared" si="28"/>
        <v>0</v>
      </c>
      <c r="AG12" s="173">
        <f t="shared" si="28"/>
        <v>0</v>
      </c>
      <c r="AH12" s="173">
        <f t="shared" si="28"/>
        <v>0</v>
      </c>
      <c r="AI12" s="173">
        <f t="shared" si="28"/>
        <v>0</v>
      </c>
      <c r="AJ12" s="173">
        <f t="shared" si="28"/>
        <v>0</v>
      </c>
      <c r="AK12" s="173">
        <f t="shared" si="28"/>
        <v>0</v>
      </c>
      <c r="AL12" s="173">
        <f t="shared" si="28"/>
        <v>0</v>
      </c>
      <c r="AM12" s="173"/>
      <c r="AN12" s="173">
        <f>[32]CF!AP$12</f>
        <v>0</v>
      </c>
      <c r="AO12" s="173">
        <f>[32]CF!AQ$12</f>
        <v>0</v>
      </c>
      <c r="AP12" s="173">
        <f>[32]CF!AR$12</f>
        <v>0</v>
      </c>
      <c r="AQ12" s="173">
        <f>[32]CF!AS$12</f>
        <v>0</v>
      </c>
      <c r="AR12" s="173">
        <f>[32]CF!AT$12</f>
        <v>0</v>
      </c>
      <c r="AS12" s="173">
        <f>[32]CF!AU$12</f>
        <v>0</v>
      </c>
      <c r="AT12" s="173">
        <f>[32]CF!AV$12</f>
        <v>0</v>
      </c>
      <c r="AU12" s="173">
        <f>[32]CF!AW$12</f>
        <v>0</v>
      </c>
      <c r="AV12" s="173">
        <f>[32]CF!AX$12</f>
        <v>0</v>
      </c>
      <c r="AW12" s="173">
        <f>[32]CF!AY$12</f>
        <v>0</v>
      </c>
      <c r="AX12" s="173">
        <f>[32]CF!AZ$12</f>
        <v>0</v>
      </c>
      <c r="AY12" s="173" t="e">
        <f t="shared" ref="AY12:BC12" si="29">AY46</f>
        <v>#DIV/0!</v>
      </c>
      <c r="AZ12" s="173" t="e">
        <f t="shared" si="29"/>
        <v>#DIV/0!</v>
      </c>
      <c r="BA12" s="173" t="e">
        <f t="shared" si="29"/>
        <v>#DIV/0!</v>
      </c>
      <c r="BB12" s="173" t="e">
        <f t="shared" si="29"/>
        <v>#DIV/0!</v>
      </c>
      <c r="BC12" s="173" t="e">
        <f t="shared" si="29"/>
        <v>#DIV/0!</v>
      </c>
      <c r="BD12" s="173"/>
      <c r="BE12" s="173">
        <f>[32]CF!BH12</f>
        <v>1295</v>
      </c>
      <c r="BF12" s="173">
        <f>[32]CF!BI12</f>
        <v>5177</v>
      </c>
      <c r="BG12" s="173">
        <f>[32]CF!BJ12</f>
        <v>8654</v>
      </c>
      <c r="BH12" s="173">
        <f>[32]CF!BK12</f>
        <v>14818</v>
      </c>
      <c r="BI12" s="173">
        <f>[32]CF!BL12</f>
        <v>20325</v>
      </c>
      <c r="BJ12" s="173">
        <f>BJ11-BJ13</f>
        <v>25692.410645069474</v>
      </c>
      <c r="BK12" s="173">
        <f t="shared" ref="BK12:BS12" si="30">BK11-BK13</f>
        <v>32582.369552791832</v>
      </c>
      <c r="BL12" s="173">
        <f t="shared" si="30"/>
        <v>39619.610684314124</v>
      </c>
      <c r="BM12" s="173">
        <f t="shared" si="30"/>
        <v>41985.69229888112</v>
      </c>
      <c r="BN12" s="173">
        <f t="shared" si="30"/>
        <v>44470.07799417647</v>
      </c>
      <c r="BO12" s="173">
        <f t="shared" si="30"/>
        <v>47078.682974236588</v>
      </c>
      <c r="BP12" s="173">
        <f t="shared" si="30"/>
        <v>49817.718203299708</v>
      </c>
      <c r="BQ12" s="173">
        <f t="shared" si="30"/>
        <v>52693.705193815986</v>
      </c>
      <c r="BR12" s="173">
        <f t="shared" si="30"/>
        <v>55713.491533858076</v>
      </c>
      <c r="BS12" s="173">
        <f t="shared" si="30"/>
        <v>58884.267190902268</v>
      </c>
      <c r="BT12" s="203"/>
    </row>
    <row r="13" spans="1:72" ht="12.75" customHeight="1" x14ac:dyDescent="0.35">
      <c r="A13" s="153" t="s">
        <v>60</v>
      </c>
      <c r="B13" s="171"/>
      <c r="C13" s="2857" t="s">
        <v>61</v>
      </c>
      <c r="D13" s="171"/>
      <c r="E13" s="166"/>
      <c r="F13" s="172"/>
      <c r="G13" s="172"/>
      <c r="H13" s="172"/>
      <c r="I13" s="173"/>
      <c r="J13" s="173"/>
      <c r="K13" s="173"/>
      <c r="L13" s="173"/>
      <c r="M13" s="173"/>
      <c r="N13" s="173"/>
      <c r="O13" s="173"/>
      <c r="P13" s="173"/>
      <c r="Q13" s="173"/>
      <c r="R13" s="173"/>
      <c r="S13" s="173"/>
      <c r="T13" s="173"/>
      <c r="U13" s="173"/>
      <c r="V13" s="173"/>
      <c r="W13" s="173">
        <f>[32]CF!W$13</f>
        <v>3066</v>
      </c>
      <c r="X13" s="173">
        <f>[32]CF!X$13</f>
        <v>3006</v>
      </c>
      <c r="Y13" s="173">
        <f>[32]CF!Y$13</f>
        <v>3272</v>
      </c>
      <c r="Z13" s="173">
        <f>[32]CF!Z$13</f>
        <v>4044</v>
      </c>
      <c r="AA13" s="173">
        <f>[32]CF!AA$13</f>
        <v>2952</v>
      </c>
      <c r="AB13" s="173">
        <f>[32]CF!AB$13</f>
        <v>2888</v>
      </c>
      <c r="AC13" s="173">
        <f t="shared" ref="AC13" si="31">AC49</f>
        <v>2827.7121222646751</v>
      </c>
      <c r="AD13" s="173">
        <f>AD49</f>
        <v>2685.8845326658497</v>
      </c>
      <c r="AE13" s="173">
        <f t="shared" ref="AE13:AL13" si="32">AE49</f>
        <v>2551.170490805152</v>
      </c>
      <c r="AF13" s="173">
        <f t="shared" si="32"/>
        <v>2423.213207417773</v>
      </c>
      <c r="AG13" s="173">
        <f t="shared" si="32"/>
        <v>2301.6737884698305</v>
      </c>
      <c r="AH13" s="173">
        <f t="shared" si="32"/>
        <v>2186.2303375997217</v>
      </c>
      <c r="AI13" s="173">
        <f t="shared" si="32"/>
        <v>2076.5771035777002</v>
      </c>
      <c r="AJ13" s="173">
        <f t="shared" si="32"/>
        <v>1972.4236705257308</v>
      </c>
      <c r="AK13" s="173">
        <f t="shared" si="32"/>
        <v>1873.4941887529226</v>
      </c>
      <c r="AL13" s="173">
        <f t="shared" si="32"/>
        <v>1779.5266441694137</v>
      </c>
      <c r="AM13" s="173"/>
      <c r="AN13" s="173">
        <f>[32]CF!AP$13</f>
        <v>0</v>
      </c>
      <c r="AO13" s="173">
        <f>[32]CF!AQ$13</f>
        <v>0</v>
      </c>
      <c r="AP13" s="173">
        <f>[32]CF!AR$13</f>
        <v>0</v>
      </c>
      <c r="AQ13" s="173">
        <f>[32]CF!AS$13</f>
        <v>0</v>
      </c>
      <c r="AR13" s="173">
        <f>[32]CF!AT$13</f>
        <v>0</v>
      </c>
      <c r="AS13" s="173">
        <f>[32]CF!AU$13</f>
        <v>0</v>
      </c>
      <c r="AT13" s="173">
        <f>[32]CF!AV$13</f>
        <v>0</v>
      </c>
      <c r="AU13" s="173">
        <f>[32]CF!AW$13</f>
        <v>0</v>
      </c>
      <c r="AV13" s="173">
        <f>[32]CF!AX$13</f>
        <v>0</v>
      </c>
      <c r="AW13" s="173">
        <f>[32]CF!AY$13</f>
        <v>0</v>
      </c>
      <c r="AX13" s="173">
        <f>[32]CF!AZ$13</f>
        <v>0</v>
      </c>
      <c r="AY13" s="173">
        <f t="shared" ref="AY13:BC13" si="33">AY49</f>
        <v>0</v>
      </c>
      <c r="AZ13" s="173">
        <f t="shared" si="33"/>
        <v>0</v>
      </c>
      <c r="BA13" s="173">
        <f t="shared" si="33"/>
        <v>0</v>
      </c>
      <c r="BB13" s="173">
        <f t="shared" si="33"/>
        <v>0</v>
      </c>
      <c r="BC13" s="173">
        <f t="shared" si="33"/>
        <v>0</v>
      </c>
      <c r="BD13" s="173"/>
      <c r="BE13" s="173">
        <f>[32]CF!BH13</f>
        <v>2931</v>
      </c>
      <c r="BF13" s="173">
        <f>[32]CF!BI13</f>
        <v>5122</v>
      </c>
      <c r="BG13" s="173">
        <f>[32]CF!BJ13</f>
        <v>7120</v>
      </c>
      <c r="BH13" s="173">
        <f>[32]CF!BK13</f>
        <v>10727</v>
      </c>
      <c r="BI13" s="173">
        <f>[32]CF!BL13</f>
        <v>13388</v>
      </c>
      <c r="BJ13" s="173">
        <f t="shared" si="22"/>
        <v>11353.596654930525</v>
      </c>
      <c r="BK13" s="173">
        <f t="shared" si="23"/>
        <v>9462.287824292478</v>
      </c>
      <c r="BL13" s="173">
        <f t="shared" si="24"/>
        <v>7702.0216070257675</v>
      </c>
      <c r="BM13" s="2726">
        <f t="shared" ref="BM13:BM14" si="34">BL13</f>
        <v>7702.0216070257675</v>
      </c>
      <c r="BN13" s="2726">
        <f t="shared" ref="BN13:BS14" si="35">BM13</f>
        <v>7702.0216070257675</v>
      </c>
      <c r="BO13" s="2726">
        <f t="shared" si="35"/>
        <v>7702.0216070257675</v>
      </c>
      <c r="BP13" s="2726">
        <f t="shared" si="35"/>
        <v>7702.0216070257675</v>
      </c>
      <c r="BQ13" s="2726">
        <f t="shared" si="35"/>
        <v>7702.0216070257675</v>
      </c>
      <c r="BR13" s="2726">
        <f t="shared" si="35"/>
        <v>7702.0216070257675</v>
      </c>
      <c r="BS13" s="2726">
        <f t="shared" si="35"/>
        <v>7702.0216070257675</v>
      </c>
      <c r="BT13" s="203"/>
    </row>
    <row r="14" spans="1:72" ht="12.75" customHeight="1" x14ac:dyDescent="0.35">
      <c r="A14" s="153" t="s">
        <v>62</v>
      </c>
      <c r="B14" s="171"/>
      <c r="C14" s="172" t="s">
        <v>63</v>
      </c>
      <c r="D14" s="171"/>
      <c r="E14" s="166"/>
      <c r="F14" s="172"/>
      <c r="G14" s="172"/>
      <c r="H14" s="172"/>
      <c r="I14" s="173">
        <f>[32]CF!I14</f>
        <v>0</v>
      </c>
      <c r="J14" s="173">
        <f>[32]CF!J14</f>
        <v>0</v>
      </c>
      <c r="K14" s="173">
        <f>[32]CF!K14</f>
        <v>0</v>
      </c>
      <c r="L14" s="173">
        <f>[32]CF!L14</f>
        <v>0</v>
      </c>
      <c r="M14" s="173">
        <f>[32]CF!M14</f>
        <v>0</v>
      </c>
      <c r="N14" s="173">
        <f>[32]CF!N14</f>
        <v>0</v>
      </c>
      <c r="O14" s="173">
        <f>[32]CF!O14</f>
        <v>0</v>
      </c>
      <c r="P14" s="173">
        <f>[32]CF!P14</f>
        <v>0</v>
      </c>
      <c r="Q14" s="173">
        <f>[32]CF!Q14</f>
        <v>0</v>
      </c>
      <c r="R14" s="173">
        <f>[32]CF!R14</f>
        <v>0</v>
      </c>
      <c r="S14" s="173">
        <f>[32]CF!S14</f>
        <v>0</v>
      </c>
      <c r="T14" s="173">
        <f>[32]CF!T14</f>
        <v>0</v>
      </c>
      <c r="U14" s="173">
        <f>[32]CF!U14</f>
        <v>0</v>
      </c>
      <c r="V14" s="173">
        <f>[32]CF!V14</f>
        <v>0</v>
      </c>
      <c r="W14" s="173">
        <f>[32]CF!W14</f>
        <v>0</v>
      </c>
      <c r="X14" s="173">
        <f>[32]CF!X14</f>
        <v>0</v>
      </c>
      <c r="Y14" s="173">
        <f>[32]CF!Y14</f>
        <v>0</v>
      </c>
      <c r="Z14" s="173">
        <f>[32]CF!Z14</f>
        <v>0</v>
      </c>
      <c r="AA14" s="173">
        <f>[32]CF!AA14</f>
        <v>0</v>
      </c>
      <c r="AB14" s="173">
        <f>[32]CF!AB14</f>
        <v>0</v>
      </c>
      <c r="AC14" s="173">
        <f>BS!AC34-BS!AB34</f>
        <v>0</v>
      </c>
      <c r="AD14" s="173">
        <f>BS!AD34-BS!AC34</f>
        <v>0</v>
      </c>
      <c r="AE14" s="173">
        <f>BS!AE34-BS!AD34</f>
        <v>0</v>
      </c>
      <c r="AF14" s="173">
        <f>BS!AF34-BS!AE34</f>
        <v>0</v>
      </c>
      <c r="AG14" s="173">
        <f>BS!AG34-BS!AF34</f>
        <v>0</v>
      </c>
      <c r="AH14" s="173">
        <f>BS!AH34-BS!AG34</f>
        <v>0</v>
      </c>
      <c r="AI14" s="173">
        <f>BS!AI34-BS!AH34</f>
        <v>0</v>
      </c>
      <c r="AJ14" s="173">
        <f>BS!AJ34-BS!AI34</f>
        <v>0</v>
      </c>
      <c r="AK14" s="173">
        <f>BS!AK34-BS!AJ34</f>
        <v>0</v>
      </c>
      <c r="AL14" s="173">
        <f>BS!AL34-BS!AK34</f>
        <v>0</v>
      </c>
      <c r="AM14" s="167"/>
      <c r="AN14" s="173">
        <f>[32]CF!AP14</f>
        <v>0</v>
      </c>
      <c r="AO14" s="173">
        <f>[32]CF!AQ14</f>
        <v>0</v>
      </c>
      <c r="AP14" s="173">
        <f>[32]CF!AR14</f>
        <v>0</v>
      </c>
      <c r="AQ14" s="173">
        <f>[32]CF!AS14</f>
        <v>0</v>
      </c>
      <c r="AR14" s="173">
        <f>[32]CF!AT14</f>
        <v>0</v>
      </c>
      <c r="AS14" s="173">
        <f>[32]CF!AU14</f>
        <v>0</v>
      </c>
      <c r="AT14" s="173">
        <f>[32]CF!AV14</f>
        <v>0</v>
      </c>
      <c r="AU14" s="173">
        <f>[32]CF!AW14</f>
        <v>0</v>
      </c>
      <c r="AV14" s="173">
        <f>[32]CF!AX14</f>
        <v>0</v>
      </c>
      <c r="AW14" s="173">
        <f>[32]CF!AY14</f>
        <v>0</v>
      </c>
      <c r="AX14" s="173">
        <f>[32]CF!AZ14</f>
        <v>0</v>
      </c>
      <c r="AY14" s="173">
        <f>BS!AY34-BS!AX34</f>
        <v>0</v>
      </c>
      <c r="AZ14" s="173">
        <f>BS!AZ34-BS!AY34</f>
        <v>0</v>
      </c>
      <c r="BA14" s="173">
        <f>BS!BA34-BS!AZ34</f>
        <v>0</v>
      </c>
      <c r="BB14" s="173">
        <f>BS!BB34-BS!BA34</f>
        <v>0</v>
      </c>
      <c r="BC14" s="173">
        <f>BS!BC34-BS!BB34</f>
        <v>0</v>
      </c>
      <c r="BD14" s="173"/>
      <c r="BE14" s="173">
        <f>[32]CF!BH14</f>
        <v>1226</v>
      </c>
      <c r="BF14" s="173">
        <f>[32]CF!BI14</f>
        <v>281</v>
      </c>
      <c r="BG14" s="173">
        <f>[32]CF!BJ14</f>
        <v>976</v>
      </c>
      <c r="BH14" s="173">
        <f>[32]CF!BK14</f>
        <v>-2197</v>
      </c>
      <c r="BI14" s="173">
        <f>[32]CF!BL14</f>
        <v>-3443</v>
      </c>
      <c r="BJ14" s="173">
        <f t="shared" si="22"/>
        <v>0</v>
      </c>
      <c r="BK14" s="173">
        <f t="shared" si="23"/>
        <v>0</v>
      </c>
      <c r="BL14" s="173">
        <f t="shared" si="24"/>
        <v>0</v>
      </c>
      <c r="BM14" s="169">
        <f t="shared" si="34"/>
        <v>0</v>
      </c>
      <c r="BN14" s="169">
        <f t="shared" si="35"/>
        <v>0</v>
      </c>
      <c r="BO14" s="169">
        <f t="shared" si="35"/>
        <v>0</v>
      </c>
      <c r="BP14" s="169">
        <f t="shared" si="35"/>
        <v>0</v>
      </c>
      <c r="BQ14" s="169">
        <f t="shared" si="35"/>
        <v>0</v>
      </c>
      <c r="BR14" s="169">
        <f t="shared" si="35"/>
        <v>0</v>
      </c>
      <c r="BS14" s="169">
        <f t="shared" si="35"/>
        <v>0</v>
      </c>
      <c r="BT14" s="203"/>
    </row>
    <row r="15" spans="1:72" ht="12.75" customHeight="1" x14ac:dyDescent="0.35">
      <c r="A15" s="153" t="s">
        <v>64</v>
      </c>
      <c r="B15" s="171"/>
      <c r="C15" s="172" t="s">
        <v>65</v>
      </c>
      <c r="D15" s="171"/>
      <c r="E15" s="166"/>
      <c r="F15" s="172"/>
      <c r="G15" s="172"/>
      <c r="H15" s="172"/>
      <c r="I15" s="173">
        <f>[32]CF!I15</f>
        <v>0</v>
      </c>
      <c r="J15" s="173">
        <f>[32]CF!J15</f>
        <v>-2116</v>
      </c>
      <c r="K15" s="173">
        <f>[32]CF!K15</f>
        <v>4953</v>
      </c>
      <c r="L15" s="173">
        <f>[32]CF!L15</f>
        <v>0</v>
      </c>
      <c r="M15" s="173">
        <f>[32]CF!M15</f>
        <v>0</v>
      </c>
      <c r="N15" s="173">
        <f>[32]CF!N15</f>
        <v>0</v>
      </c>
      <c r="O15" s="173">
        <f>[32]CF!O15</f>
        <v>0</v>
      </c>
      <c r="P15" s="173">
        <f>[32]CF!P15</f>
        <v>0</v>
      </c>
      <c r="Q15" s="173">
        <f>[32]CF!Q15</f>
        <v>0</v>
      </c>
      <c r="R15" s="173">
        <f>[32]CF!R15</f>
        <v>2736</v>
      </c>
      <c r="S15" s="173">
        <f>[32]CF!S15</f>
        <v>22436</v>
      </c>
      <c r="T15" s="173">
        <f>[32]CF!T15</f>
        <v>0</v>
      </c>
      <c r="U15" s="173">
        <f>[32]CF!U15</f>
        <v>0</v>
      </c>
      <c r="V15" s="173">
        <f>[32]CF!V15</f>
        <v>-14972</v>
      </c>
      <c r="W15" s="173">
        <f>[32]CF!W15</f>
        <v>5416</v>
      </c>
      <c r="X15" s="173">
        <f>[32]CF!X15</f>
        <v>-33281</v>
      </c>
      <c r="Y15" s="173">
        <f>[32]CF!Y15</f>
        <v>0</v>
      </c>
      <c r="Z15" s="173">
        <f>[32]CF!Z15</f>
        <v>0</v>
      </c>
      <c r="AA15" s="173">
        <f>[32]CF!AA15</f>
        <v>-6053</v>
      </c>
      <c r="AB15" s="173">
        <f>[32]CF!AB15</f>
        <v>16223</v>
      </c>
      <c r="AC15" s="174"/>
      <c r="AD15" s="174"/>
      <c r="AE15" s="174"/>
      <c r="AF15" s="174"/>
      <c r="AG15" s="174"/>
      <c r="AH15" s="174"/>
      <c r="AI15" s="174"/>
      <c r="AJ15" s="174"/>
      <c r="AK15" s="174"/>
      <c r="AL15" s="174"/>
      <c r="AM15" s="167"/>
      <c r="AN15" s="173">
        <f>[32]CF!AP15</f>
        <v>0</v>
      </c>
      <c r="AO15" s="173">
        <f>[32]CF!AQ15</f>
        <v>0</v>
      </c>
      <c r="AP15" s="173">
        <f>[32]CF!AR15</f>
        <v>0</v>
      </c>
      <c r="AQ15" s="173">
        <f>[32]CF!AS15</f>
        <v>0</v>
      </c>
      <c r="AR15" s="173">
        <f>[32]CF!AT15</f>
        <v>0</v>
      </c>
      <c r="AS15" s="173">
        <f>[32]CF!AU15</f>
        <v>0</v>
      </c>
      <c r="AT15" s="173">
        <f>[32]CF!AV15</f>
        <v>0</v>
      </c>
      <c r="AU15" s="173">
        <f>[32]CF!AW15</f>
        <v>0</v>
      </c>
      <c r="AV15" s="173">
        <f>[32]CF!AX15</f>
        <v>0</v>
      </c>
      <c r="AW15" s="173">
        <f>[32]CF!AY15</f>
        <v>0</v>
      </c>
      <c r="AX15" s="173">
        <f>[32]CF!AZ15</f>
        <v>0</v>
      </c>
      <c r="AY15" s="174">
        <f>[32]CF!BA15</f>
        <v>0</v>
      </c>
      <c r="AZ15" s="174">
        <f>[32]CF!BB15</f>
        <v>0</v>
      </c>
      <c r="BA15" s="174">
        <f>[32]CF!BC15</f>
        <v>0</v>
      </c>
      <c r="BB15" s="174">
        <f>[32]CF!BD15</f>
        <v>0</v>
      </c>
      <c r="BC15" s="174">
        <f>[32]CF!BE15</f>
        <v>0</v>
      </c>
      <c r="BD15" s="173"/>
      <c r="BE15" s="173">
        <f>[32]CF!BH15</f>
        <v>-29851</v>
      </c>
      <c r="BF15" s="173">
        <f>[32]CF!BI15</f>
        <v>14819</v>
      </c>
      <c r="BG15" s="173">
        <f>[32]CF!BJ15</f>
        <v>15991</v>
      </c>
      <c r="BH15" s="173">
        <f>[32]CF!BK15</f>
        <v>-4044</v>
      </c>
      <c r="BI15" s="173">
        <f>[32]CF!BL15</f>
        <v>-29228</v>
      </c>
      <c r="BJ15" s="174">
        <f t="shared" si="22"/>
        <v>10170</v>
      </c>
      <c r="BK15" s="174">
        <f t="shared" si="23"/>
        <v>0</v>
      </c>
      <c r="BL15" s="174">
        <f t="shared" si="24"/>
        <v>0</v>
      </c>
      <c r="BM15" s="2728"/>
      <c r="BN15" s="2728"/>
      <c r="BO15" s="2728"/>
      <c r="BP15" s="2728"/>
      <c r="BQ15" s="2728"/>
      <c r="BR15" s="2728"/>
      <c r="BS15" s="2728"/>
      <c r="BT15" s="203"/>
    </row>
    <row r="16" spans="1:72" ht="12.75" customHeight="1" x14ac:dyDescent="0.35">
      <c r="A16" s="153" t="s">
        <v>66</v>
      </c>
      <c r="B16" s="175"/>
      <c r="C16" s="172" t="s">
        <v>67</v>
      </c>
      <c r="D16" s="175"/>
      <c r="E16" s="166"/>
      <c r="F16" s="172"/>
      <c r="G16" s="172"/>
      <c r="H16" s="172"/>
      <c r="I16" s="173">
        <f>[32]CF!I16</f>
        <v>0</v>
      </c>
      <c r="J16" s="173">
        <f>[32]CF!J16</f>
        <v>0</v>
      </c>
      <c r="K16" s="173">
        <f>[32]CF!K16</f>
        <v>0</v>
      </c>
      <c r="L16" s="173">
        <f>[32]CF!L16</f>
        <v>0</v>
      </c>
      <c r="M16" s="173">
        <f>[32]CF!M16</f>
        <v>0</v>
      </c>
      <c r="N16" s="173">
        <f>[32]CF!N16</f>
        <v>0</v>
      </c>
      <c r="O16" s="173">
        <f>[32]CF!O16</f>
        <v>0</v>
      </c>
      <c r="P16" s="173">
        <f>[32]CF!P16</f>
        <v>0</v>
      </c>
      <c r="Q16" s="173">
        <f>[32]CF!Q16</f>
        <v>0</v>
      </c>
      <c r="R16" s="173">
        <f>[32]CF!R16</f>
        <v>0</v>
      </c>
      <c r="S16" s="173">
        <f>[32]CF!S16</f>
        <v>0</v>
      </c>
      <c r="T16" s="173">
        <f>[32]CF!T16</f>
        <v>0</v>
      </c>
      <c r="U16" s="173">
        <f>[32]CF!U16</f>
        <v>0</v>
      </c>
      <c r="V16" s="173">
        <f>[32]CF!V16</f>
        <v>0</v>
      </c>
      <c r="W16" s="173">
        <f>[32]CF!W16</f>
        <v>0</v>
      </c>
      <c r="X16" s="173">
        <f>[32]CF!X16</f>
        <v>0</v>
      </c>
      <c r="Y16" s="173">
        <f>[32]CF!Y16</f>
        <v>0</v>
      </c>
      <c r="Z16" s="173">
        <f>[32]CF!Z16</f>
        <v>0</v>
      </c>
      <c r="AA16" s="173">
        <f>[32]CF!AA16</f>
        <v>0</v>
      </c>
      <c r="AB16" s="173">
        <f>[32]CF!AB16</f>
        <v>0</v>
      </c>
      <c r="AC16" s="2856">
        <f>-SUM(BS!AB11:AB13)+SUM(BS!AC11:AC13)+SUM(BS!AC27:AC30)-SUM(BS!AB27:AB30)+SUM(BS!AC34:AC34)-SUM(BS!AB34:AB34)</f>
        <v>-39377.84872567869</v>
      </c>
      <c r="AD16" s="2856">
        <f>-SUM(BS!AC11:AC13)+SUM(BS!AD11:AD13)+SUM(BS!AD27:AD30)-SUM(BS!AC27:AC30)+SUM(BS!AD34:AD34)-SUM(BS!AC34:AC34)</f>
        <v>9448.1767419996904</v>
      </c>
      <c r="AE16" s="2856">
        <f>-SUM(BS!AD11:AD13)+SUM(BS!AE11:AE13)+SUM(BS!AE27:AE30)-SUM(BS!AD27:AD30)+SUM(BS!AE34:AE34)-SUM(BS!AD34:AD34)</f>
        <v>-11174.088870910869</v>
      </c>
      <c r="AF16" s="2856">
        <f>-SUM(BS!AE11:AE13)+SUM(BS!AF11:AF13)+SUM(BS!AF27:AF30)-SUM(BS!AE27:AE30)+SUM(BS!AF34:AF34)-SUM(BS!AE34:AE34)</f>
        <v>-3633.8094073715329</v>
      </c>
      <c r="AG16" s="2856">
        <f>-SUM(BS!AF11:AF13)+SUM(BS!AG11:AG13)+SUM(BS!AG27:AG30)-SUM(BS!AF27:AF30)+SUM(BS!AG34:AG34)-SUM(BS!AF34:AF34)</f>
        <v>10502.554738931009</v>
      </c>
      <c r="AH16" s="2856">
        <f>-SUM(BS!AG11:AG13)+SUM(BS!AH11:AH13)+SUM(BS!AH27:AH30)-SUM(BS!AG27:AG30)+SUM(BS!AH34:AH34)-SUM(BS!AG34:AG34)</f>
        <v>13510.795236537466</v>
      </c>
      <c r="AI16" s="2856">
        <f>-SUM(BS!AH11:AH13)+SUM(BS!AI11:AI13)+SUM(BS!AI27:AI30)-SUM(BS!AH27:AH30)+SUM(BS!AI34:AI34)-SUM(BS!AH34:AH34)</f>
        <v>-15847.561350815406</v>
      </c>
      <c r="AJ16" s="2856">
        <f>-SUM(BS!AI11:AI13)+SUM(BS!AJ11:AJ13)+SUM(BS!AJ27:AJ30)-SUM(BS!AI27:AI30)+SUM(BS!AJ34:AJ34)-SUM(BS!AI34:AI34)</f>
        <v>-4223.0868078378844</v>
      </c>
      <c r="AK16" s="2856">
        <f>-SUM(BS!AJ11:AJ13)+SUM(BS!AK11:AK13)+SUM(BS!AK27:AK30)-SUM(BS!AJ27:AJ30)+SUM(BS!AK34:AK34)-SUM(BS!AJ34:AJ34)</f>
        <v>12439.436802843731</v>
      </c>
      <c r="AL16" s="2856">
        <f>-SUM(BS!AK11:AK13)+SUM(BS!AL11:AL13)+SUM(BS!AL27:AL30)-SUM(BS!AK27:AK30)+SUM(BS!AL34:AL34)-SUM(BS!AK34:AK34)</f>
        <v>19165.911851721379</v>
      </c>
      <c r="AM16" s="167"/>
      <c r="AN16" s="173">
        <f>[32]CF!AP16</f>
        <v>0</v>
      </c>
      <c r="AO16" s="173">
        <f>[32]CF!AQ16</f>
        <v>0</v>
      </c>
      <c r="AP16" s="173">
        <f>[32]CF!AR16</f>
        <v>0</v>
      </c>
      <c r="AQ16" s="173">
        <f>[32]CF!AS16</f>
        <v>0</v>
      </c>
      <c r="AR16" s="173">
        <f>[32]CF!AT16</f>
        <v>0</v>
      </c>
      <c r="AS16" s="173">
        <f>[32]CF!AU16</f>
        <v>0</v>
      </c>
      <c r="AT16" s="173">
        <f>[32]CF!AV16</f>
        <v>0</v>
      </c>
      <c r="AU16" s="173">
        <f>[32]CF!AW16</f>
        <v>0</v>
      </c>
      <c r="AV16" s="173">
        <f>[32]CF!AX16</f>
        <v>0</v>
      </c>
      <c r="AW16" s="173">
        <f>[32]CF!AY16</f>
        <v>0</v>
      </c>
      <c r="AX16" s="173">
        <f>[32]CF!AZ16</f>
        <v>0</v>
      </c>
      <c r="AY16" s="173">
        <f>SUM(BS!AX11:AX13)-SUM(BS!AY11:AY13)+SUM(BS!AY27:AY30)-SUM(BS!AX27:AX30)+SUM(BS!AY34)-SUM(BS!AX34)</f>
        <v>0</v>
      </c>
      <c r="AZ16" s="173">
        <f>SUM(BS!AY11:AY13)-SUM(BS!AZ11:AZ13)+SUM(BS!AZ27:AZ30)-SUM(BS!AY27:AY30)+SUM(BS!AZ34)-SUM(BS!AY34)</f>
        <v>0</v>
      </c>
      <c r="BA16" s="173">
        <f>SUM(BS!AZ11:AZ13)-SUM(BS!BA11:BA13)+SUM(BS!BA27:BA30)-SUM(BS!AZ27:AZ30)+SUM(BS!BA34)-SUM(BS!AZ34)</f>
        <v>0</v>
      </c>
      <c r="BB16" s="173">
        <f>SUM(BS!BA11:BA13)-SUM(BS!BB11:BB13)+SUM(BS!BB27:BB30)-SUM(BS!BA27:BA30)+SUM(BS!BB34)-SUM(BS!BA34)</f>
        <v>0</v>
      </c>
      <c r="BC16" s="173">
        <f>SUM(BS!BB11:BB13)-SUM(BS!BC11:BC13)+SUM(BS!BC27:BC30)-SUM(BS!BB27:BB30)+SUM(BS!BC34)-SUM(BS!BB34)</f>
        <v>0</v>
      </c>
      <c r="BD16" s="173"/>
      <c r="BE16" s="2856">
        <f>-SUM(BS!BD11:BD13)+SUM(BS!BE11:BE13)+SUM(BS!BE27:BE30)-SUM(BS!BD27:BD30)+SUM(BS!BE34:BE34)-SUM(BS!BD34:BD34)</f>
        <v>72580</v>
      </c>
      <c r="BF16" s="173">
        <f>[32]CF!BI16</f>
        <v>7259</v>
      </c>
      <c r="BG16" s="173">
        <f>[32]CF!BJ16</f>
        <v>22725</v>
      </c>
      <c r="BH16" s="173">
        <f>[32]CF!BK16</f>
        <v>32250</v>
      </c>
      <c r="BI16" s="173">
        <f>[32]CF!BL16</f>
        <v>21418</v>
      </c>
      <c r="BJ16" s="2856">
        <f>-SUM(BS!BI11:BI13)+SUM(BS!BJ11:BJ13)+SUM(BS!BJ27:BJ30)-SUM(BS!BI27:BI30)+SUM(BS!BJ34:BJ34)-SUM(BS!BI34:BI34)</f>
        <v>72176.809290642326</v>
      </c>
      <c r="BK16" s="2856">
        <f>-SUM(BS!BJ11:BJ13)+SUM(BS!BK11:BK13)+SUM(BS!BK27:BK30)-SUM(BS!BJ27:BJ30)+SUM(BS!BK34:BK34)-SUM(BS!BJ34:BJ34)</f>
        <v>21750.623783283052</v>
      </c>
      <c r="BL16" s="2856">
        <f>-SUM(BS!BK11:BK13)+SUM(BS!BL11:BL13)+SUM(BS!BL27:BL30)-SUM(BS!BK27:BK30)+SUM(BS!BL34:BL34)-SUM(BS!BK34:BK34)</f>
        <v>25888.965410736448</v>
      </c>
      <c r="BM16" s="2856">
        <f>-SUM(BS!BL11:BL13)+SUM(BS!BM11:BM13)+SUM(BS!BM27:BM30)-SUM(BS!BL27:BL30)+SUM(BS!BM34:BM34)-SUM(BS!BL34:BL34)</f>
        <v>28329.33514704695</v>
      </c>
      <c r="BN16" s="2856">
        <f>-SUM(BS!BM11:BM13)+SUM(BS!BN11:BN13)+SUM(BS!BN27:BN30)-SUM(BS!BM27:BM30)+SUM(BS!BN34:BN34)-SUM(BS!BM34:BM34)</f>
        <v>27621.391404040798</v>
      </c>
      <c r="BO16" s="2856">
        <f>-SUM(BS!BN11:BN13)+SUM(BS!BO11:BO13)+SUM(BS!BO27:BO30)-SUM(BS!BN27:BN30)+SUM(BS!BO34:BO34)-SUM(BS!BN34:BN34)</f>
        <v>25338.255214804958</v>
      </c>
      <c r="BP16" s="2856">
        <f>-SUM(BS!BO11:BO13)+SUM(BS!BP11:BP13)+SUM(BS!BP27:BP30)-SUM(BS!BO27:BO30)+SUM(BS!BP34:BP34)-SUM(BS!BO34:BO34)</f>
        <v>26519.25914872851</v>
      </c>
      <c r="BQ16" s="2856">
        <f>-SUM(BS!BP11:BP13)+SUM(BS!BQ11:BQ13)+SUM(BS!BQ27:BQ30)-SUM(BS!BP27:BP30)+SUM(BS!BQ34:BQ34)-SUM(BS!BP34:BP34)</f>
        <v>23695.614432429138</v>
      </c>
      <c r="BR16" s="2856">
        <f>-SUM(BS!BQ11:BQ13)+SUM(BS!BR11:BR13)+SUM(BS!BR27:BR30)-SUM(BS!BQ27:BQ30)+SUM(BS!BR34:BR34)-SUM(BS!BQ34:BQ34)</f>
        <v>21561.682044896705</v>
      </c>
      <c r="BS16" s="2856">
        <f>-SUM(BS!BR11:BR13)+SUM(BS!BS11:BS13)+SUM(BS!BS27:BS30)-SUM(BS!BR27:BR30)+SUM(BS!BS34:BS34)-SUM(BS!BR34:BR34)</f>
        <v>19483.63485459279</v>
      </c>
      <c r="BT16" s="203"/>
    </row>
    <row r="17" spans="1:72" ht="12.75" customHeight="1" x14ac:dyDescent="0.35">
      <c r="A17" s="153" t="s">
        <v>68</v>
      </c>
      <c r="B17" s="176" t="s">
        <v>69</v>
      </c>
      <c r="C17" s="176"/>
      <c r="D17" s="177"/>
      <c r="E17" s="178"/>
      <c r="F17" s="176"/>
      <c r="G17" s="176"/>
      <c r="H17" s="176"/>
      <c r="I17" s="179">
        <f>[32]CF!I17</f>
        <v>26230</v>
      </c>
      <c r="J17" s="179">
        <f>[32]CF!J17</f>
        <v>5082</v>
      </c>
      <c r="K17" s="179">
        <f>[32]CF!K17</f>
        <v>14958</v>
      </c>
      <c r="L17" s="179">
        <f>[32]CF!L17</f>
        <v>17206</v>
      </c>
      <c r="M17" s="179">
        <f>[32]CF!M17</f>
        <v>37416</v>
      </c>
      <c r="N17" s="179">
        <f>[32]CF!N17</f>
        <v>10746</v>
      </c>
      <c r="O17" s="179">
        <f>[32]CF!O17</f>
        <v>25311</v>
      </c>
      <c r="P17" s="179">
        <f>[32]CF!P17</f>
        <v>30507</v>
      </c>
      <c r="Q17" s="179">
        <f>[32]CF!Q17</f>
        <v>55173</v>
      </c>
      <c r="R17" s="179">
        <f>[32]CF!R17</f>
        <v>14383</v>
      </c>
      <c r="S17" s="179">
        <f>[32]CF!S17</f>
        <v>36117</v>
      </c>
      <c r="T17" s="179">
        <f>[32]CF!T17</f>
        <v>31407</v>
      </c>
      <c r="U17" s="179">
        <f>[32]CF!U17</f>
        <v>64898</v>
      </c>
      <c r="V17" s="179">
        <f>[32]CF!V17</f>
        <v>18553</v>
      </c>
      <c r="W17" s="179">
        <f>[32]CF!W17</f>
        <v>34612</v>
      </c>
      <c r="X17" s="179">
        <f>[32]CF!X17</f>
        <v>47326</v>
      </c>
      <c r="Y17" s="179">
        <f>[32]CF!Y17</f>
        <v>96505</v>
      </c>
      <c r="Z17" s="179">
        <f>[32]CF!Z17</f>
        <v>2164</v>
      </c>
      <c r="AA17" s="179">
        <f>[32]CF!AA17</f>
        <v>50099</v>
      </c>
      <c r="AB17" s="179">
        <f>[32]CF!AB17</f>
        <v>54296</v>
      </c>
      <c r="AC17" s="179">
        <f t="shared" ref="AC17" si="36">IF($A$8="E",AC10+AC11+SUM(AC14:AC16),AC10+SUM(AC12:AC16))</f>
        <v>20624.250478544833</v>
      </c>
      <c r="AD17" s="179">
        <f>IF($A$8="E",AD10+AD11+SUM(AD14:AD16),AD10+SUM(AD12:AD16))</f>
        <v>22887.542133617517</v>
      </c>
      <c r="AE17" s="179">
        <f t="shared" ref="AE17:AL17" si="37">IF($A$8="E",AE10+AE11+SUM(AE14:AE16),AE10+SUM(AE12:AE16))</f>
        <v>43309.394109008128</v>
      </c>
      <c r="AF17" s="179">
        <f t="shared" si="37"/>
        <v>25252.747317741701</v>
      </c>
      <c r="AG17" s="179">
        <f t="shared" si="37"/>
        <v>74897.251243056555</v>
      </c>
      <c r="AH17" s="179">
        <f t="shared" si="37"/>
        <v>26808.929093464089</v>
      </c>
      <c r="AI17" s="179">
        <f t="shared" si="37"/>
        <v>43250.743280402094</v>
      </c>
      <c r="AJ17" s="179">
        <f t="shared" si="37"/>
        <v>23359.97386568303</v>
      </c>
      <c r="AK17" s="179">
        <f t="shared" si="37"/>
        <v>82506.021834139043</v>
      </c>
      <c r="AL17" s="179">
        <f t="shared" si="37"/>
        <v>31680.511321154201</v>
      </c>
      <c r="AM17" s="180"/>
      <c r="AN17" s="179">
        <f>[32]CF!AP17</f>
        <v>0</v>
      </c>
      <c r="AO17" s="179">
        <f>[32]CF!AQ17</f>
        <v>0</v>
      </c>
      <c r="AP17" s="179">
        <f>[32]CF!AR17</f>
        <v>0</v>
      </c>
      <c r="AQ17" s="179">
        <f>[32]CF!AS17</f>
        <v>0</v>
      </c>
      <c r="AR17" s="179">
        <f>[32]CF!AT17</f>
        <v>0</v>
      </c>
      <c r="AS17" s="179">
        <f>[32]CF!AU17</f>
        <v>0</v>
      </c>
      <c r="AT17" s="179">
        <f>[32]CF!AV17</f>
        <v>0</v>
      </c>
      <c r="AU17" s="179">
        <f>[32]CF!AW17</f>
        <v>0</v>
      </c>
      <c r="AV17" s="179">
        <f>[32]CF!AX17</f>
        <v>0</v>
      </c>
      <c r="AW17" s="179">
        <f>[32]CF!AY17</f>
        <v>0</v>
      </c>
      <c r="AX17" s="179">
        <f>[32]CF!AZ17</f>
        <v>0</v>
      </c>
      <c r="AY17" s="179" t="e">
        <f t="shared" ref="AY17:BC17" si="38">IF($A$8="E",AY10+AY11+SUM(AY14:AY16),AY10+SUM(AY12:AY16))</f>
        <v>#DIV/0!</v>
      </c>
      <c r="AZ17" s="179" t="e">
        <f t="shared" si="38"/>
        <v>#DIV/0!</v>
      </c>
      <c r="BA17" s="179" t="e">
        <f t="shared" si="38"/>
        <v>#DIV/0!</v>
      </c>
      <c r="BB17" s="179" t="e">
        <f t="shared" si="38"/>
        <v>#DIV/0!</v>
      </c>
      <c r="BC17" s="179" t="e">
        <f t="shared" si="38"/>
        <v>#DIV/0!</v>
      </c>
      <c r="BD17" s="179"/>
      <c r="BE17" s="179">
        <f>[32]CF!BH17</f>
        <v>56836</v>
      </c>
      <c r="BF17" s="179">
        <f>[32]CF!BI17</f>
        <v>80326</v>
      </c>
      <c r="BG17" s="179">
        <f>[32]CF!BJ17</f>
        <v>125805</v>
      </c>
      <c r="BH17" s="179">
        <f>[32]CF!BK17</f>
        <v>150975</v>
      </c>
      <c r="BI17" s="179">
        <f>[32]CF!BL17</f>
        <v>180607</v>
      </c>
      <c r="BJ17" s="2836">
        <f t="shared" ref="BJ17:BR17" si="39">BJ10+BJ11+BJ14+BJ15+BJ16</f>
        <v>263729.68453155318</v>
      </c>
      <c r="BK17" s="2836">
        <f t="shared" si="39"/>
        <v>215395.86340215927</v>
      </c>
      <c r="BL17" s="2836">
        <f t="shared" si="39"/>
        <v>234771.1259005171</v>
      </c>
      <c r="BM17" s="2836">
        <f t="shared" si="39"/>
        <v>260858.00063942253</v>
      </c>
      <c r="BN17" s="2836">
        <f t="shared" si="39"/>
        <v>282987.96632184181</v>
      </c>
      <c r="BO17" s="2836">
        <f t="shared" si="39"/>
        <v>301749.45718096563</v>
      </c>
      <c r="BP17" s="2836">
        <f t="shared" si="39"/>
        <v>321699.0252629476</v>
      </c>
      <c r="BQ17" s="2836">
        <f t="shared" si="39"/>
        <v>335274.15501556254</v>
      </c>
      <c r="BR17" s="2836">
        <f t="shared" si="39"/>
        <v>347349.05063936388</v>
      </c>
      <c r="BS17" s="2836">
        <f>BS10+BS11+BS14+BS15+BS16</f>
        <v>357492.11613696237</v>
      </c>
      <c r="BT17" s="203"/>
    </row>
    <row r="18" spans="1:72" ht="12.75" customHeight="1" x14ac:dyDescent="0.35">
      <c r="A18" s="153"/>
      <c r="B18" s="171"/>
      <c r="C18" s="172"/>
      <c r="D18" s="171"/>
      <c r="E18" s="172"/>
      <c r="F18" s="172"/>
      <c r="G18" s="172"/>
      <c r="H18" s="172"/>
      <c r="I18" s="173"/>
      <c r="J18" s="173"/>
      <c r="K18" s="173"/>
      <c r="L18" s="173"/>
      <c r="M18" s="173"/>
      <c r="N18" s="173"/>
      <c r="O18" s="173"/>
      <c r="P18" s="173"/>
      <c r="Q18" s="173"/>
      <c r="R18" s="173"/>
      <c r="S18" s="173"/>
      <c r="T18" s="173"/>
      <c r="U18" s="173"/>
      <c r="V18" s="173"/>
      <c r="W18" s="173"/>
      <c r="X18" s="173"/>
      <c r="Y18" s="173"/>
      <c r="Z18" s="173"/>
      <c r="AA18" s="173"/>
      <c r="AB18" s="173"/>
      <c r="AC18" s="173"/>
      <c r="AD18" s="173"/>
      <c r="AE18" s="173"/>
      <c r="AF18" s="173"/>
      <c r="AG18" s="173"/>
      <c r="AH18" s="173"/>
      <c r="AI18" s="173"/>
      <c r="AJ18" s="173"/>
      <c r="AK18" s="173"/>
      <c r="AL18" s="173"/>
      <c r="AM18" s="167"/>
      <c r="AN18" s="173"/>
      <c r="AO18" s="173"/>
      <c r="AP18" s="173"/>
      <c r="AQ18" s="173"/>
      <c r="AR18" s="173"/>
      <c r="AS18" s="173"/>
      <c r="AT18" s="173"/>
      <c r="AU18" s="173"/>
      <c r="AV18" s="173"/>
      <c r="AW18" s="173"/>
      <c r="AX18" s="173"/>
      <c r="AY18" s="173"/>
      <c r="AZ18" s="173"/>
      <c r="BA18" s="173"/>
      <c r="BB18" s="173"/>
      <c r="BC18" s="173"/>
      <c r="BD18" s="173"/>
      <c r="BE18" s="173"/>
      <c r="BF18" s="173"/>
      <c r="BG18" s="173"/>
      <c r="BH18" s="173"/>
      <c r="BI18" s="173"/>
      <c r="BJ18" s="173"/>
      <c r="BK18" s="173"/>
      <c r="BL18" s="173"/>
      <c r="BM18" s="169"/>
      <c r="BN18" s="169"/>
      <c r="BO18" s="169"/>
      <c r="BP18" s="169"/>
      <c r="BQ18" s="169"/>
      <c r="BR18" s="169"/>
      <c r="BS18" s="169"/>
      <c r="BT18" s="203"/>
    </row>
    <row r="19" spans="1:72" ht="12.75" customHeight="1" x14ac:dyDescent="0.35">
      <c r="A19" s="153"/>
      <c r="B19" s="164" t="s">
        <v>70</v>
      </c>
      <c r="C19" s="164"/>
      <c r="D19" s="165"/>
      <c r="E19" s="182"/>
      <c r="F19" s="164"/>
      <c r="G19" s="164"/>
      <c r="H19" s="164"/>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4"/>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5"/>
      <c r="BN19" s="185"/>
      <c r="BO19" s="185"/>
      <c r="BP19" s="185"/>
      <c r="BQ19" s="185"/>
      <c r="BR19" s="185"/>
      <c r="BS19" s="185"/>
      <c r="BT19" s="203"/>
    </row>
    <row r="20" spans="1:72" ht="12.75" customHeight="1" x14ac:dyDescent="0.35">
      <c r="A20" s="153" t="s">
        <v>71</v>
      </c>
      <c r="B20" s="171"/>
      <c r="C20" s="172" t="s">
        <v>72</v>
      </c>
      <c r="D20" s="171"/>
      <c r="E20" s="166"/>
      <c r="F20" s="172"/>
      <c r="G20" s="172"/>
      <c r="H20" s="172"/>
      <c r="I20" s="173">
        <f>[32]CF!I20</f>
        <v>-2365</v>
      </c>
      <c r="J20" s="173">
        <f>[32]CF!J20</f>
        <v>-683</v>
      </c>
      <c r="K20" s="173">
        <f>[32]CF!K20</f>
        <v>-2794</v>
      </c>
      <c r="L20" s="173">
        <f>[32]CF!L20</f>
        <v>-3348</v>
      </c>
      <c r="M20" s="173">
        <f>[32]CF!M20</f>
        <v>-3246</v>
      </c>
      <c r="N20" s="173">
        <f>[32]CF!N20</f>
        <v>-2832</v>
      </c>
      <c r="O20" s="173">
        <f>[32]CF!O20</f>
        <v>-3162</v>
      </c>
      <c r="P20" s="173">
        <f>[32]CF!P20</f>
        <v>-8002</v>
      </c>
      <c r="Q20" s="173">
        <f>[32]CF!Q20</f>
        <v>-9029</v>
      </c>
      <c r="R20" s="173">
        <f>[32]CF!R20</f>
        <v>-2603</v>
      </c>
      <c r="S20" s="173">
        <f>[32]CF!S20</f>
        <v>-9759</v>
      </c>
      <c r="T20" s="173">
        <f>[32]CF!T20</f>
        <v>-11632</v>
      </c>
      <c r="U20" s="173">
        <f>[32]CF!U20</f>
        <v>-10011</v>
      </c>
      <c r="V20" s="173">
        <f>[32]CF!V20</f>
        <v>-5688</v>
      </c>
      <c r="W20" s="173">
        <f>[32]CF!W20</f>
        <v>-8251</v>
      </c>
      <c r="X20" s="173">
        <f>[32]CF!X20</f>
        <v>-11627</v>
      </c>
      <c r="Y20" s="173">
        <f>[32]CF!Y20</f>
        <v>-5749</v>
      </c>
      <c r="Z20" s="173">
        <f>[32]CF!Z20</f>
        <v>-3881</v>
      </c>
      <c r="AA20" s="173">
        <f>[32]CF!AA20</f>
        <v>-13428</v>
      </c>
      <c r="AB20" s="173">
        <f>[32]CF!AB20</f>
        <v>-13538</v>
      </c>
      <c r="AC20" s="173">
        <f t="shared" ref="AC20" si="40">-AC41</f>
        <v>-13944.140000000001</v>
      </c>
      <c r="AD20" s="173">
        <f t="shared" ref="AD20:AL20" si="41">-AD41</f>
        <v>-14362.464200000002</v>
      </c>
      <c r="AE20" s="173">
        <f t="shared" si="41"/>
        <v>-14793.338126000002</v>
      </c>
      <c r="AF20" s="173">
        <f t="shared" si="41"/>
        <v>-15237.138269780004</v>
      </c>
      <c r="AG20" s="173">
        <f t="shared" si="41"/>
        <v>-15694.252417873404</v>
      </c>
      <c r="AH20" s="173">
        <f t="shared" si="41"/>
        <v>-16165.079990409606</v>
      </c>
      <c r="AI20" s="173">
        <f t="shared" si="41"/>
        <v>-16650.032390121894</v>
      </c>
      <c r="AJ20" s="173">
        <f t="shared" si="41"/>
        <v>-17149.53336182555</v>
      </c>
      <c r="AK20" s="173">
        <f t="shared" si="41"/>
        <v>-17664.019362680316</v>
      </c>
      <c r="AL20" s="173">
        <f t="shared" si="41"/>
        <v>-18193.939943560727</v>
      </c>
      <c r="AM20" s="184"/>
      <c r="AN20" s="173">
        <f>[32]CF!AP20</f>
        <v>0</v>
      </c>
      <c r="AO20" s="173">
        <f>[32]CF!AQ20</f>
        <v>0</v>
      </c>
      <c r="AP20" s="173">
        <f>[32]CF!AR20</f>
        <v>0</v>
      </c>
      <c r="AQ20" s="173">
        <f>[32]CF!AS20</f>
        <v>0</v>
      </c>
      <c r="AR20" s="173">
        <f>[32]CF!AT20</f>
        <v>0</v>
      </c>
      <c r="AS20" s="173">
        <f>[32]CF!AU20</f>
        <v>0</v>
      </c>
      <c r="AT20" s="173">
        <f>[32]CF!AV20</f>
        <v>0</v>
      </c>
      <c r="AU20" s="173">
        <f>[32]CF!AW20</f>
        <v>0</v>
      </c>
      <c r="AV20" s="173">
        <f>[32]CF!AX20</f>
        <v>0</v>
      </c>
      <c r="AW20" s="173">
        <f>[32]CF!AY20</f>
        <v>0</v>
      </c>
      <c r="AX20" s="173">
        <f>-AX41</f>
        <v>-26966</v>
      </c>
      <c r="AY20" s="173">
        <f t="shared" ref="AY20:BC20" si="42">-AY41</f>
        <v>-28306.604200000002</v>
      </c>
      <c r="AZ20" s="173">
        <f t="shared" si="42"/>
        <v>-30030.476395780006</v>
      </c>
      <c r="BA20" s="173">
        <f t="shared" si="42"/>
        <v>-31859.332408283008</v>
      </c>
      <c r="BB20" s="173">
        <f t="shared" si="42"/>
        <v>-33799.565751947448</v>
      </c>
      <c r="BC20" s="173">
        <f t="shared" si="42"/>
        <v>-35857.959306241042</v>
      </c>
      <c r="BD20" s="173"/>
      <c r="BE20" s="173">
        <f>[32]CF!BH20</f>
        <v>-10845</v>
      </c>
      <c r="BF20" s="173">
        <f>[32]CF!BI20</f>
        <v>-17546</v>
      </c>
      <c r="BG20" s="173">
        <f>[32]CF!BJ20</f>
        <v>-29836</v>
      </c>
      <c r="BH20" s="173">
        <f>[32]CF!BK20</f>
        <v>-49643</v>
      </c>
      <c r="BI20" s="173">
        <f>[32]CF!BL20</f>
        <v>-45386</v>
      </c>
      <c r="BJ20" s="173">
        <f>-BJ41</f>
        <v>-55272.604200000002</v>
      </c>
      <c r="BK20" s="173">
        <f t="shared" ref="BK20" si="43">-BK41</f>
        <v>-61889.808804063017</v>
      </c>
      <c r="BL20" s="173">
        <f>-BL41</f>
        <v>-69657.52505818849</v>
      </c>
      <c r="BM20" s="173">
        <f t="shared" ref="BM20:BS20" si="44">-BM41</f>
        <v>-73140.401311097914</v>
      </c>
      <c r="BN20" s="173">
        <f t="shared" si="44"/>
        <v>-84111.461507762593</v>
      </c>
      <c r="BO20" s="173">
        <f t="shared" si="44"/>
        <v>-96728.180733926973</v>
      </c>
      <c r="BP20" s="173">
        <f t="shared" si="44"/>
        <v>-111237.40784401601</v>
      </c>
      <c r="BQ20" s="173">
        <f t="shared" si="44"/>
        <v>-127923.01902061841</v>
      </c>
      <c r="BR20" s="173">
        <f t="shared" si="44"/>
        <v>-147111.47187371115</v>
      </c>
      <c r="BS20" s="173">
        <f t="shared" si="44"/>
        <v>-169178.1926547678</v>
      </c>
      <c r="BT20" s="203"/>
    </row>
    <row r="21" spans="1:72" ht="12.75" customHeight="1" x14ac:dyDescent="0.35">
      <c r="A21" s="153"/>
      <c r="B21" s="171"/>
      <c r="C21" s="172" t="s">
        <v>73</v>
      </c>
      <c r="D21" s="171"/>
      <c r="E21" s="166"/>
      <c r="F21" s="172"/>
      <c r="G21" s="172"/>
      <c r="H21" s="172"/>
      <c r="I21" s="173">
        <f>[32]CF!I21</f>
        <v>0</v>
      </c>
      <c r="J21" s="173">
        <f>[32]CF!J21</f>
        <v>0</v>
      </c>
      <c r="K21" s="173">
        <f>[32]CF!K21</f>
        <v>0</v>
      </c>
      <c r="L21" s="173">
        <f>[32]CF!L21</f>
        <v>0</v>
      </c>
      <c r="M21" s="173">
        <f>[32]CF!M21</f>
        <v>0</v>
      </c>
      <c r="N21" s="173">
        <f>[32]CF!N21</f>
        <v>0</v>
      </c>
      <c r="O21" s="173">
        <f>[32]CF!O21</f>
        <v>0</v>
      </c>
      <c r="P21" s="173">
        <f>[32]CF!P21</f>
        <v>0</v>
      </c>
      <c r="Q21" s="173">
        <f>[32]CF!Q21</f>
        <v>0</v>
      </c>
      <c r="R21" s="173">
        <f>[32]CF!R21</f>
        <v>0</v>
      </c>
      <c r="S21" s="173">
        <f>[32]CF!S21</f>
        <v>0</v>
      </c>
      <c r="T21" s="173">
        <f>[32]CF!T21</f>
        <v>0</v>
      </c>
      <c r="U21" s="173">
        <f>[32]CF!U21</f>
        <v>0</v>
      </c>
      <c r="V21" s="173">
        <f>[32]CF!V21</f>
        <v>0</v>
      </c>
      <c r="W21" s="173">
        <f>[32]CF!W21</f>
        <v>0</v>
      </c>
      <c r="X21" s="173">
        <f>[32]CF!X21</f>
        <v>0</v>
      </c>
      <c r="Y21" s="173">
        <f>[32]CF!Y21</f>
        <v>0</v>
      </c>
      <c r="Z21" s="173">
        <f>[32]CF!Z21</f>
        <v>0</v>
      </c>
      <c r="AA21" s="173">
        <f>[32]CF!AA21</f>
        <v>0</v>
      </c>
      <c r="AB21" s="173">
        <f>[32]CF!AB21</f>
        <v>0</v>
      </c>
      <c r="AC21" s="173">
        <f t="shared" ref="AC21" si="45">IF(ISERROR(AC43/1),"-",-AC43)</f>
        <v>0</v>
      </c>
      <c r="AD21" s="173">
        <f>IF(ISERROR(AD43/1),"-",-AD43)</f>
        <v>0</v>
      </c>
      <c r="AE21" s="173">
        <f t="shared" ref="AE21:AL21" si="46">IF(ISERROR(AE43/1),"-",-AE43)</f>
        <v>0</v>
      </c>
      <c r="AF21" s="173">
        <f t="shared" si="46"/>
        <v>0</v>
      </c>
      <c r="AG21" s="173">
        <f t="shared" si="46"/>
        <v>0</v>
      </c>
      <c r="AH21" s="173">
        <f t="shared" si="46"/>
        <v>0</v>
      </c>
      <c r="AI21" s="173">
        <f t="shared" si="46"/>
        <v>0</v>
      </c>
      <c r="AJ21" s="173">
        <f t="shared" si="46"/>
        <v>0</v>
      </c>
      <c r="AK21" s="173">
        <f t="shared" si="46"/>
        <v>0</v>
      </c>
      <c r="AL21" s="173">
        <f t="shared" si="46"/>
        <v>0</v>
      </c>
      <c r="AM21" s="173"/>
      <c r="AN21" s="173">
        <f>[32]CF!AP21</f>
        <v>0</v>
      </c>
      <c r="AO21" s="173">
        <f>[32]CF!AQ21</f>
        <v>0</v>
      </c>
      <c r="AP21" s="173">
        <f>[32]CF!AR21</f>
        <v>0</v>
      </c>
      <c r="AQ21" s="173">
        <f>[32]CF!AS21</f>
        <v>0</v>
      </c>
      <c r="AR21" s="173">
        <f>[32]CF!AT21</f>
        <v>0</v>
      </c>
      <c r="AS21" s="173">
        <f>[32]CF!AU21</f>
        <v>0</v>
      </c>
      <c r="AT21" s="173">
        <f>[32]CF!AV21</f>
        <v>0</v>
      </c>
      <c r="AU21" s="173">
        <f>[32]CF!AW21</f>
        <v>0</v>
      </c>
      <c r="AV21" s="173">
        <f>[32]CF!AX21</f>
        <v>0</v>
      </c>
      <c r="AW21" s="173">
        <f>[32]CF!AY21</f>
        <v>0</v>
      </c>
      <c r="AX21" s="173">
        <f>[32]CF!AZ21</f>
        <v>0</v>
      </c>
      <c r="AY21" s="173">
        <f t="shared" ref="AY21:BC21" si="47">IF(ISERROR(AY43/1),"-",-AY43)</f>
        <v>0</v>
      </c>
      <c r="AZ21" s="173">
        <f t="shared" si="47"/>
        <v>0</v>
      </c>
      <c r="BA21" s="173">
        <f t="shared" si="47"/>
        <v>0</v>
      </c>
      <c r="BB21" s="173">
        <f t="shared" si="47"/>
        <v>0</v>
      </c>
      <c r="BC21" s="173">
        <f t="shared" si="47"/>
        <v>0</v>
      </c>
      <c r="BD21" s="173"/>
      <c r="BE21" s="173" t="str">
        <f>[32]CF!BH21</f>
        <v>#N/A N/A</v>
      </c>
      <c r="BF21" s="173" t="str">
        <f>[32]CF!BI21</f>
        <v>#N/A N/A</v>
      </c>
      <c r="BG21" s="173" t="str">
        <f>[32]CF!BJ21</f>
        <v>#N/A N/A</v>
      </c>
      <c r="BH21" s="173" t="str">
        <f>[32]CF!BK21</f>
        <v>#N/A N/A</v>
      </c>
      <c r="BI21" s="173" t="str">
        <f>[32]CF!BL21</f>
        <v>#N/A N/A</v>
      </c>
      <c r="BJ21" s="173">
        <f t="shared" ref="BJ21:BJ26" si="48">SUM(AA21:AD21)</f>
        <v>0</v>
      </c>
      <c r="BK21" s="173">
        <f t="shared" ref="BK21:BK26" si="49">SUM(AE21:AH21)</f>
        <v>0</v>
      </c>
      <c r="BL21" s="173">
        <f t="shared" ref="BL21:BL26" si="50">SUM(AI21:AL21)</f>
        <v>0</v>
      </c>
      <c r="BM21" s="169">
        <f>BL21</f>
        <v>0</v>
      </c>
      <c r="BN21" s="169">
        <f t="shared" ref="BN21:BS21" si="51">BM21</f>
        <v>0</v>
      </c>
      <c r="BO21" s="169">
        <f t="shared" si="51"/>
        <v>0</v>
      </c>
      <c r="BP21" s="169">
        <f t="shared" si="51"/>
        <v>0</v>
      </c>
      <c r="BQ21" s="169">
        <f t="shared" si="51"/>
        <v>0</v>
      </c>
      <c r="BR21" s="169">
        <f t="shared" si="51"/>
        <v>0</v>
      </c>
      <c r="BS21" s="169">
        <f t="shared" si="51"/>
        <v>0</v>
      </c>
      <c r="BT21" s="203"/>
    </row>
    <row r="22" spans="1:72" ht="12.75" customHeight="1" x14ac:dyDescent="0.35">
      <c r="A22" s="153" t="s">
        <v>74</v>
      </c>
      <c r="B22" s="171"/>
      <c r="C22" s="172" t="s">
        <v>75</v>
      </c>
      <c r="D22" s="171"/>
      <c r="E22" s="166"/>
      <c r="F22" s="172"/>
      <c r="G22" s="172"/>
      <c r="H22" s="172"/>
      <c r="I22" s="173">
        <f>[32]CF!I22</f>
        <v>0</v>
      </c>
      <c r="J22" s="173">
        <f>[32]CF!J22</f>
        <v>0</v>
      </c>
      <c r="K22" s="173">
        <f>[32]CF!K22</f>
        <v>0</v>
      </c>
      <c r="L22" s="173">
        <f>[32]CF!L22</f>
        <v>0</v>
      </c>
      <c r="M22" s="173">
        <f>[32]CF!M22</f>
        <v>0</v>
      </c>
      <c r="N22" s="173">
        <f>[32]CF!N22</f>
        <v>0</v>
      </c>
      <c r="O22" s="173">
        <f>[32]CF!O22</f>
        <v>0</v>
      </c>
      <c r="P22" s="173">
        <f>[32]CF!P22</f>
        <v>0</v>
      </c>
      <c r="Q22" s="173">
        <f>[32]CF!Q22</f>
        <v>0</v>
      </c>
      <c r="R22" s="173">
        <f>[32]CF!R22</f>
        <v>0</v>
      </c>
      <c r="S22" s="173">
        <f>[32]CF!S22</f>
        <v>0</v>
      </c>
      <c r="T22" s="173">
        <f>[32]CF!T22</f>
        <v>0</v>
      </c>
      <c r="U22" s="173">
        <f>[32]CF!U22</f>
        <v>0</v>
      </c>
      <c r="V22" s="173">
        <f>[32]CF!V22</f>
        <v>0</v>
      </c>
      <c r="W22" s="173">
        <f>[32]CF!W22</f>
        <v>0</v>
      </c>
      <c r="X22" s="173">
        <f>[32]CF!X22</f>
        <v>0</v>
      </c>
      <c r="Y22" s="173">
        <f>[32]CF!Y22</f>
        <v>0</v>
      </c>
      <c r="Z22" s="173">
        <f>[32]CF!Z22</f>
        <v>0</v>
      </c>
      <c r="AA22" s="173">
        <f>[32]CF!AA22</f>
        <v>0</v>
      </c>
      <c r="AB22" s="173">
        <f>[32]CF!AB22</f>
        <v>0</v>
      </c>
      <c r="AC22" s="174">
        <f>[32]CF!AC22</f>
        <v>0</v>
      </c>
      <c r="AD22" s="174">
        <f>[32]CF!AD22</f>
        <v>0</v>
      </c>
      <c r="AE22" s="174">
        <f>[32]CF!AE22</f>
        <v>0</v>
      </c>
      <c r="AF22" s="174">
        <f>[32]CF!AF22</f>
        <v>0</v>
      </c>
      <c r="AG22" s="174">
        <f>[32]CF!AG22</f>
        <v>0</v>
      </c>
      <c r="AH22" s="174">
        <f>[32]CF!AH22</f>
        <v>0</v>
      </c>
      <c r="AI22" s="174">
        <f>[32]CF!AI22</f>
        <v>0</v>
      </c>
      <c r="AJ22" s="174">
        <f>[32]CF!AJ22</f>
        <v>0</v>
      </c>
      <c r="AK22" s="174">
        <f>[32]CF!AK22</f>
        <v>0</v>
      </c>
      <c r="AL22" s="174">
        <f>[32]CF!AL22</f>
        <v>0</v>
      </c>
      <c r="AM22" s="167"/>
      <c r="AN22" s="173">
        <f>[32]CF!AP22</f>
        <v>0</v>
      </c>
      <c r="AO22" s="173">
        <f>[32]CF!AQ22</f>
        <v>0</v>
      </c>
      <c r="AP22" s="173">
        <f>[32]CF!AR22</f>
        <v>0</v>
      </c>
      <c r="AQ22" s="173">
        <f>[32]CF!AS22</f>
        <v>0</v>
      </c>
      <c r="AR22" s="173">
        <f>[32]CF!AT22</f>
        <v>0</v>
      </c>
      <c r="AS22" s="173">
        <f>[32]CF!AU22</f>
        <v>0</v>
      </c>
      <c r="AT22" s="173">
        <f>[32]CF!AV22</f>
        <v>0</v>
      </c>
      <c r="AU22" s="173">
        <f>[32]CF!AW22</f>
        <v>0</v>
      </c>
      <c r="AV22" s="173">
        <f>[32]CF!AX22</f>
        <v>0</v>
      </c>
      <c r="AW22" s="173">
        <f>[32]CF!AY22</f>
        <v>0</v>
      </c>
      <c r="AX22" s="173">
        <f>[32]CF!AZ22</f>
        <v>0</v>
      </c>
      <c r="AY22" s="174">
        <f>[32]CF!BA22</f>
        <v>0</v>
      </c>
      <c r="AZ22" s="174">
        <f>[32]CF!BB22</f>
        <v>0</v>
      </c>
      <c r="BA22" s="174">
        <f>[32]CF!BC22</f>
        <v>0</v>
      </c>
      <c r="BB22" s="174">
        <f>[32]CF!BD22</f>
        <v>0</v>
      </c>
      <c r="BC22" s="174">
        <f>[32]CF!BE22</f>
        <v>0</v>
      </c>
      <c r="BD22" s="173"/>
      <c r="BE22" s="173">
        <f>[32]CF!BH22</f>
        <v>-1495</v>
      </c>
      <c r="BF22" s="173">
        <f>[32]CF!BI22</f>
        <v>-33454</v>
      </c>
      <c r="BG22" s="173">
        <f>[32]CF!BJ22</f>
        <v>-515</v>
      </c>
      <c r="BH22" s="173">
        <f>[32]CF!BK22</f>
        <v>-35434</v>
      </c>
      <c r="BI22" s="173">
        <f>[32]CF!BL22</f>
        <v>-14536</v>
      </c>
      <c r="BJ22" s="174">
        <f t="shared" si="48"/>
        <v>0</v>
      </c>
      <c r="BK22" s="174">
        <f t="shared" si="49"/>
        <v>0</v>
      </c>
      <c r="BL22" s="174">
        <f t="shared" si="50"/>
        <v>0</v>
      </c>
      <c r="BM22" s="2728">
        <f>BL22</f>
        <v>0</v>
      </c>
      <c r="BN22" s="2728">
        <f t="shared" ref="BN22:BS22" si="52">BM22</f>
        <v>0</v>
      </c>
      <c r="BO22" s="2728">
        <f t="shared" si="52"/>
        <v>0</v>
      </c>
      <c r="BP22" s="2728">
        <f t="shared" si="52"/>
        <v>0</v>
      </c>
      <c r="BQ22" s="2728">
        <f t="shared" si="52"/>
        <v>0</v>
      </c>
      <c r="BR22" s="2728">
        <f t="shared" si="52"/>
        <v>0</v>
      </c>
      <c r="BS22" s="2728">
        <f t="shared" si="52"/>
        <v>0</v>
      </c>
      <c r="BT22" s="203"/>
    </row>
    <row r="23" spans="1:72" ht="12.75" customHeight="1" x14ac:dyDescent="0.35">
      <c r="A23" s="153" t="s">
        <v>76</v>
      </c>
      <c r="B23" s="186"/>
      <c r="C23" s="172" t="s">
        <v>77</v>
      </c>
      <c r="D23" s="186"/>
      <c r="E23" s="166"/>
      <c r="F23" s="172"/>
      <c r="G23" s="172"/>
      <c r="H23" s="172"/>
      <c r="I23" s="173">
        <f>[32]CF!I23</f>
        <v>0</v>
      </c>
      <c r="J23" s="173">
        <f>[32]CF!J23</f>
        <v>0</v>
      </c>
      <c r="K23" s="173">
        <f>[32]CF!K23</f>
        <v>0</v>
      </c>
      <c r="L23" s="173">
        <f>[32]CF!L23</f>
        <v>0</v>
      </c>
      <c r="M23" s="173">
        <f>[32]CF!M23</f>
        <v>0</v>
      </c>
      <c r="N23" s="173">
        <f>[32]CF!N23</f>
        <v>0</v>
      </c>
      <c r="O23" s="173">
        <f>[32]CF!O23</f>
        <v>0</v>
      </c>
      <c r="P23" s="173">
        <f>[32]CF!P23</f>
        <v>0</v>
      </c>
      <c r="Q23" s="173">
        <f>[32]CF!Q23</f>
        <v>0</v>
      </c>
      <c r="R23" s="173">
        <f>[32]CF!R23</f>
        <v>0</v>
      </c>
      <c r="S23" s="173">
        <f>[32]CF!S23</f>
        <v>0</v>
      </c>
      <c r="T23" s="173">
        <f>[32]CF!T23</f>
        <v>0</v>
      </c>
      <c r="U23" s="173">
        <f>[32]CF!U23</f>
        <v>0</v>
      </c>
      <c r="V23" s="173">
        <f>[32]CF!V23</f>
        <v>0</v>
      </c>
      <c r="W23" s="173">
        <f>[32]CF!W23</f>
        <v>0</v>
      </c>
      <c r="X23" s="173">
        <f>[32]CF!X23</f>
        <v>0</v>
      </c>
      <c r="Y23" s="173">
        <f>[32]CF!Y23</f>
        <v>0</v>
      </c>
      <c r="Z23" s="173">
        <f>[32]CF!Z23</f>
        <v>0</v>
      </c>
      <c r="AA23" s="173">
        <f>[32]CF!AA23</f>
        <v>0</v>
      </c>
      <c r="AB23" s="173">
        <f>[32]CF!AB23</f>
        <v>0</v>
      </c>
      <c r="AC23" s="174">
        <f>[32]CF!AC23</f>
        <v>0</v>
      </c>
      <c r="AD23" s="174">
        <f>[32]CF!AD23</f>
        <v>0</v>
      </c>
      <c r="AE23" s="174">
        <f>[32]CF!AE23</f>
        <v>0</v>
      </c>
      <c r="AF23" s="174">
        <f>[32]CF!AF23</f>
        <v>0</v>
      </c>
      <c r="AG23" s="174">
        <f>[32]CF!AG23</f>
        <v>0</v>
      </c>
      <c r="AH23" s="174">
        <f>[32]CF!AH23</f>
        <v>0</v>
      </c>
      <c r="AI23" s="174">
        <f>[32]CF!AI23</f>
        <v>0</v>
      </c>
      <c r="AJ23" s="174">
        <f>[32]CF!AJ23</f>
        <v>0</v>
      </c>
      <c r="AK23" s="174">
        <f>[32]CF!AK23</f>
        <v>0</v>
      </c>
      <c r="AL23" s="174">
        <f>[32]CF!AL23</f>
        <v>0</v>
      </c>
      <c r="AM23" s="167"/>
      <c r="AN23" s="173">
        <f>[32]CF!AP23</f>
        <v>0</v>
      </c>
      <c r="AO23" s="173">
        <f>[32]CF!AQ23</f>
        <v>0</v>
      </c>
      <c r="AP23" s="173">
        <f>[32]CF!AR23</f>
        <v>0</v>
      </c>
      <c r="AQ23" s="173">
        <f>[32]CF!AS23</f>
        <v>0</v>
      </c>
      <c r="AR23" s="173">
        <f>[32]CF!AT23</f>
        <v>0</v>
      </c>
      <c r="AS23" s="173">
        <f>[32]CF!AU23</f>
        <v>0</v>
      </c>
      <c r="AT23" s="173">
        <f>[32]CF!AV23</f>
        <v>0</v>
      </c>
      <c r="AU23" s="173">
        <f>[32]CF!AW23</f>
        <v>0</v>
      </c>
      <c r="AV23" s="173">
        <f>[32]CF!AX23</f>
        <v>0</v>
      </c>
      <c r="AW23" s="173">
        <f>[32]CF!AY23</f>
        <v>0</v>
      </c>
      <c r="AX23" s="173">
        <f>[32]CF!AZ23</f>
        <v>0</v>
      </c>
      <c r="AY23" s="174">
        <f>[32]CF!BA23</f>
        <v>0</v>
      </c>
      <c r="AZ23" s="174">
        <f>[32]CF!BB23</f>
        <v>0</v>
      </c>
      <c r="BA23" s="174">
        <f>[32]CF!BC23</f>
        <v>0</v>
      </c>
      <c r="BB23" s="174">
        <f>[32]CF!BD23</f>
        <v>0</v>
      </c>
      <c r="BC23" s="174">
        <f>[32]CF!BE23</f>
        <v>0</v>
      </c>
      <c r="BD23" s="173"/>
      <c r="BE23" s="173">
        <f>[32]CF!BH23</f>
        <v>0</v>
      </c>
      <c r="BF23" s="173">
        <f>[32]CF!BI23</f>
        <v>0</v>
      </c>
      <c r="BG23" s="173">
        <f>[32]CF!BJ23</f>
        <v>0</v>
      </c>
      <c r="BH23" s="173">
        <f>[32]CF!BK23</f>
        <v>0</v>
      </c>
      <c r="BI23" s="173">
        <f>[32]CF!BL23</f>
        <v>0</v>
      </c>
      <c r="BJ23" s="174">
        <f t="shared" si="48"/>
        <v>0</v>
      </c>
      <c r="BK23" s="174">
        <f t="shared" si="49"/>
        <v>0</v>
      </c>
      <c r="BL23" s="174">
        <f t="shared" si="50"/>
        <v>0</v>
      </c>
      <c r="BM23" s="2728">
        <f>BL23</f>
        <v>0</v>
      </c>
      <c r="BN23" s="2728">
        <f t="shared" ref="BN23:BS23" si="53">BM23</f>
        <v>0</v>
      </c>
      <c r="BO23" s="2728">
        <f t="shared" si="53"/>
        <v>0</v>
      </c>
      <c r="BP23" s="2728">
        <f t="shared" si="53"/>
        <v>0</v>
      </c>
      <c r="BQ23" s="2728">
        <f t="shared" si="53"/>
        <v>0</v>
      </c>
      <c r="BR23" s="2728">
        <f t="shared" si="53"/>
        <v>0</v>
      </c>
      <c r="BS23" s="2728">
        <f t="shared" si="53"/>
        <v>0</v>
      </c>
      <c r="BT23" s="203"/>
    </row>
    <row r="24" spans="1:72" ht="12.75" customHeight="1" x14ac:dyDescent="0.35">
      <c r="A24" s="153" t="s">
        <v>78</v>
      </c>
      <c r="B24" s="171"/>
      <c r="C24" s="172" t="s">
        <v>79</v>
      </c>
      <c r="D24" s="171"/>
      <c r="E24" s="166"/>
      <c r="F24" s="172"/>
      <c r="G24" s="172"/>
      <c r="H24" s="172"/>
      <c r="I24" s="173">
        <f>[32]CF!I24</f>
        <v>0</v>
      </c>
      <c r="J24" s="173">
        <f>[32]CF!J24</f>
        <v>0</v>
      </c>
      <c r="K24" s="173">
        <f>[32]CF!K24</f>
        <v>0</v>
      </c>
      <c r="L24" s="173">
        <f>[32]CF!L24</f>
        <v>0</v>
      </c>
      <c r="M24" s="173">
        <f>[32]CF!M24</f>
        <v>0</v>
      </c>
      <c r="N24" s="173">
        <f>[32]CF!N24</f>
        <v>0</v>
      </c>
      <c r="O24" s="173">
        <f>[32]CF!O24</f>
        <v>0</v>
      </c>
      <c r="P24" s="173">
        <f>[32]CF!P24</f>
        <v>0</v>
      </c>
      <c r="Q24" s="173">
        <f>[32]CF!Q24</f>
        <v>0</v>
      </c>
      <c r="R24" s="173">
        <f>[32]CF!R24</f>
        <v>0</v>
      </c>
      <c r="S24" s="173">
        <f>[32]CF!S24</f>
        <v>0</v>
      </c>
      <c r="T24" s="173">
        <f>[32]CF!T24</f>
        <v>0</v>
      </c>
      <c r="U24" s="173">
        <f>[32]CF!U24</f>
        <v>0</v>
      </c>
      <c r="V24" s="173">
        <f>[32]CF!V24</f>
        <v>0</v>
      </c>
      <c r="W24" s="173">
        <f>[32]CF!W24</f>
        <v>0</v>
      </c>
      <c r="X24" s="173">
        <f>[32]CF!X24</f>
        <v>0</v>
      </c>
      <c r="Y24" s="173">
        <f>[32]CF!Y24</f>
        <v>0</v>
      </c>
      <c r="Z24" s="173">
        <f>[32]CF!Z24</f>
        <v>0</v>
      </c>
      <c r="AA24" s="173">
        <f>[32]CF!AA24</f>
        <v>0</v>
      </c>
      <c r="AB24" s="173">
        <f>[32]CF!AB24</f>
        <v>0</v>
      </c>
      <c r="AC24" s="174">
        <f>[32]CF!AC24</f>
        <v>0</v>
      </c>
      <c r="AD24" s="174">
        <f>[32]CF!AD24</f>
        <v>0</v>
      </c>
      <c r="AE24" s="174">
        <f>[32]CF!AE24</f>
        <v>0</v>
      </c>
      <c r="AF24" s="174">
        <f>[32]CF!AF24</f>
        <v>0</v>
      </c>
      <c r="AG24" s="174">
        <f>[32]CF!AG24</f>
        <v>0</v>
      </c>
      <c r="AH24" s="174">
        <f>[32]CF!AH24</f>
        <v>0</v>
      </c>
      <c r="AI24" s="174">
        <f>[32]CF!AI24</f>
        <v>0</v>
      </c>
      <c r="AJ24" s="174">
        <f>[32]CF!AJ24</f>
        <v>0</v>
      </c>
      <c r="AK24" s="174">
        <f>[32]CF!AK24</f>
        <v>0</v>
      </c>
      <c r="AL24" s="174">
        <f>[32]CF!AL24</f>
        <v>0</v>
      </c>
      <c r="AM24" s="167"/>
      <c r="AN24" s="173">
        <f>[32]CF!AP24</f>
        <v>0</v>
      </c>
      <c r="AO24" s="173">
        <f>[32]CF!AQ24</f>
        <v>0</v>
      </c>
      <c r="AP24" s="173">
        <f>[32]CF!AR24</f>
        <v>0</v>
      </c>
      <c r="AQ24" s="173">
        <f>[32]CF!AS24</f>
        <v>0</v>
      </c>
      <c r="AR24" s="173">
        <f>[32]CF!AT24</f>
        <v>0</v>
      </c>
      <c r="AS24" s="173">
        <f>[32]CF!AU24</f>
        <v>0</v>
      </c>
      <c r="AT24" s="173">
        <f>[32]CF!AV24</f>
        <v>0</v>
      </c>
      <c r="AU24" s="173">
        <f>[32]CF!AW24</f>
        <v>0</v>
      </c>
      <c r="AV24" s="173">
        <f>[32]CF!AX24</f>
        <v>0</v>
      </c>
      <c r="AW24" s="173">
        <f>[32]CF!AY24</f>
        <v>0</v>
      </c>
      <c r="AX24" s="173">
        <f>[32]CF!AZ24</f>
        <v>0</v>
      </c>
      <c r="AY24" s="174">
        <f>[32]CF!BA24</f>
        <v>0</v>
      </c>
      <c r="AZ24" s="174">
        <f>[32]CF!BB24</f>
        <v>0</v>
      </c>
      <c r="BA24" s="174">
        <f>[32]CF!BC24</f>
        <v>0</v>
      </c>
      <c r="BB24" s="174">
        <f>[32]CF!BD24</f>
        <v>0</v>
      </c>
      <c r="BC24" s="174">
        <f>[32]CF!BE24</f>
        <v>0</v>
      </c>
      <c r="BD24" s="173"/>
      <c r="BE24" s="173">
        <f>[32]CF!BH24</f>
        <v>0</v>
      </c>
      <c r="BF24" s="173">
        <f>[32]CF!BI24</f>
        <v>0</v>
      </c>
      <c r="BG24" s="173">
        <f>[32]CF!BJ24</f>
        <v>0</v>
      </c>
      <c r="BH24" s="173">
        <f>[32]CF!BK24</f>
        <v>0</v>
      </c>
      <c r="BI24" s="173">
        <f>[32]CF!BL24</f>
        <v>0</v>
      </c>
      <c r="BJ24" s="174">
        <f t="shared" si="48"/>
        <v>0</v>
      </c>
      <c r="BK24" s="174">
        <f t="shared" si="49"/>
        <v>0</v>
      </c>
      <c r="BL24" s="174">
        <f t="shared" si="50"/>
        <v>0</v>
      </c>
      <c r="BM24" s="2728">
        <f>BL24</f>
        <v>0</v>
      </c>
      <c r="BN24" s="2728">
        <f t="shared" ref="BN24:BS25" si="54">BM24</f>
        <v>0</v>
      </c>
      <c r="BO24" s="2728">
        <f t="shared" si="54"/>
        <v>0</v>
      </c>
      <c r="BP24" s="2728">
        <f t="shared" si="54"/>
        <v>0</v>
      </c>
      <c r="BQ24" s="2728">
        <f t="shared" si="54"/>
        <v>0</v>
      </c>
      <c r="BR24" s="2728">
        <f t="shared" si="54"/>
        <v>0</v>
      </c>
      <c r="BS24" s="2728">
        <f t="shared" si="54"/>
        <v>0</v>
      </c>
      <c r="BT24" s="203"/>
    </row>
    <row r="25" spans="1:72" ht="12.75" customHeight="1" x14ac:dyDescent="0.35">
      <c r="A25" s="153" t="s">
        <v>80</v>
      </c>
      <c r="B25" s="171"/>
      <c r="C25" s="172" t="s">
        <v>81</v>
      </c>
      <c r="D25" s="171"/>
      <c r="E25" s="166"/>
      <c r="F25" s="172"/>
      <c r="G25" s="172"/>
      <c r="H25" s="172"/>
      <c r="I25" s="173">
        <f>[32]CF!I25</f>
        <v>-11906</v>
      </c>
      <c r="J25" s="173">
        <f>[32]CF!J25</f>
        <v>-6710</v>
      </c>
      <c r="K25" s="173">
        <f>[32]CF!K25</f>
        <v>-58674</v>
      </c>
      <c r="L25" s="173">
        <f>[32]CF!L25</f>
        <v>-2367</v>
      </c>
      <c r="M25" s="173">
        <f>[32]CF!M25</f>
        <v>-4900</v>
      </c>
      <c r="N25" s="173">
        <f>[32]CF!N25</f>
        <v>-203</v>
      </c>
      <c r="O25" s="173">
        <f>[32]CF!O25</f>
        <v>-10750</v>
      </c>
      <c r="P25" s="173">
        <f>[32]CF!P25</f>
        <v>-17681</v>
      </c>
      <c r="Q25" s="173">
        <f>[32]CF!Q25</f>
        <v>-15450</v>
      </c>
      <c r="R25" s="173">
        <f>[32]CF!R25</f>
        <v>-17373</v>
      </c>
      <c r="S25" s="173">
        <f>[32]CF!S25</f>
        <v>-61911</v>
      </c>
      <c r="T25" s="173">
        <f>[32]CF!T25</f>
        <v>-19952</v>
      </c>
      <c r="U25" s="173">
        <f>[32]CF!U25</f>
        <v>-21044</v>
      </c>
      <c r="V25" s="173">
        <f>[32]CF!V25</f>
        <v>-11063</v>
      </c>
      <c r="W25" s="173">
        <f>[32]CF!W25</f>
        <v>-12885</v>
      </c>
      <c r="X25" s="173">
        <f>[32]CF!X25</f>
        <v>-9726</v>
      </c>
      <c r="Y25" s="173">
        <f>[32]CF!Y25</f>
        <v>-26839</v>
      </c>
      <c r="Z25" s="173">
        <f>[32]CF!Z25</f>
        <v>-29114</v>
      </c>
      <c r="AA25" s="173">
        <f>[32]CF!AA25</f>
        <v>-54300</v>
      </c>
      <c r="AB25" s="173">
        <f>[32]CF!AB25</f>
        <v>-55515</v>
      </c>
      <c r="AC25" s="174">
        <v>0</v>
      </c>
      <c r="AD25" s="174">
        <v>0</v>
      </c>
      <c r="AE25" s="174">
        <v>-25000</v>
      </c>
      <c r="AF25" s="174">
        <v>-12500</v>
      </c>
      <c r="AG25" s="174">
        <v>-12500</v>
      </c>
      <c r="AH25" s="174">
        <v>-12500</v>
      </c>
      <c r="AI25" s="174">
        <v>-12500</v>
      </c>
      <c r="AJ25" s="174">
        <v>-12500</v>
      </c>
      <c r="AK25" s="174">
        <v>-12500</v>
      </c>
      <c r="AL25" s="174">
        <v>-12500</v>
      </c>
      <c r="AM25" s="167"/>
      <c r="AN25" s="173">
        <f>[32]CF!AP25</f>
        <v>0</v>
      </c>
      <c r="AO25" s="173">
        <f>[32]CF!AQ25</f>
        <v>0</v>
      </c>
      <c r="AP25" s="173">
        <f>[32]CF!AR25</f>
        <v>0</v>
      </c>
      <c r="AQ25" s="173">
        <f>[32]CF!AS25</f>
        <v>0</v>
      </c>
      <c r="AR25" s="173">
        <f>[32]CF!AT25</f>
        <v>0</v>
      </c>
      <c r="AS25" s="173">
        <f>[32]CF!AU25</f>
        <v>0</v>
      </c>
      <c r="AT25" s="173">
        <f>[32]CF!AV25</f>
        <v>0</v>
      </c>
      <c r="AU25" s="173">
        <f>[32]CF!AW25</f>
        <v>0</v>
      </c>
      <c r="AV25" s="173">
        <f>[32]CF!AX25</f>
        <v>0</v>
      </c>
      <c r="AW25" s="173">
        <f>[32]CF!AY25</f>
        <v>0</v>
      </c>
      <c r="AX25" s="173">
        <f>[32]CF!AZ25</f>
        <v>0</v>
      </c>
      <c r="AY25" s="174">
        <f>[32]CF!BA25</f>
        <v>0</v>
      </c>
      <c r="AZ25" s="174">
        <f>[32]CF!BB25</f>
        <v>0</v>
      </c>
      <c r="BA25" s="174">
        <f>[32]CF!BC25</f>
        <v>0</v>
      </c>
      <c r="BB25" s="174">
        <f>[32]CF!BD25</f>
        <v>0</v>
      </c>
      <c r="BC25" s="174">
        <f>[32]CF!BE25</f>
        <v>0</v>
      </c>
      <c r="BD25" s="173"/>
      <c r="BE25" s="173">
        <f>[32]CF!BH25</f>
        <v>-30491</v>
      </c>
      <c r="BF25" s="173">
        <f>[32]CF!BI25</f>
        <v>-27364</v>
      </c>
      <c r="BG25" s="173">
        <f>[32]CF!BJ25</f>
        <v>-53413</v>
      </c>
      <c r="BH25" s="173">
        <f>[32]CF!BK25</f>
        <v>-65983</v>
      </c>
      <c r="BI25" s="173">
        <f>[32]CF!BL25</f>
        <v>-48150</v>
      </c>
      <c r="BJ25" s="174">
        <f t="shared" si="48"/>
        <v>-109815</v>
      </c>
      <c r="BK25" s="174">
        <f t="shared" si="49"/>
        <v>-62500</v>
      </c>
      <c r="BL25" s="174">
        <f t="shared" si="50"/>
        <v>-50000</v>
      </c>
      <c r="BM25" s="2728">
        <f>BL25</f>
        <v>-50000</v>
      </c>
      <c r="BN25" s="2728">
        <f t="shared" si="54"/>
        <v>-50000</v>
      </c>
      <c r="BO25" s="2728">
        <f t="shared" si="54"/>
        <v>-50000</v>
      </c>
      <c r="BP25" s="2728">
        <f t="shared" si="54"/>
        <v>-50000</v>
      </c>
      <c r="BQ25" s="2728">
        <f t="shared" si="54"/>
        <v>-50000</v>
      </c>
      <c r="BR25" s="2728">
        <f t="shared" si="54"/>
        <v>-50000</v>
      </c>
      <c r="BS25" s="2728">
        <f t="shared" si="54"/>
        <v>-50000</v>
      </c>
      <c r="BT25" s="203"/>
    </row>
    <row r="26" spans="1:72" ht="12.75" customHeight="1" x14ac:dyDescent="0.35">
      <c r="A26" s="153" t="s">
        <v>82</v>
      </c>
      <c r="B26" s="176" t="s">
        <v>83</v>
      </c>
      <c r="C26" s="176"/>
      <c r="D26" s="177"/>
      <c r="E26" s="178"/>
      <c r="F26" s="176"/>
      <c r="G26" s="176"/>
      <c r="H26" s="176"/>
      <c r="I26" s="179">
        <f>[32]CF!I26</f>
        <v>-14271</v>
      </c>
      <c r="J26" s="179">
        <f>[32]CF!J26</f>
        <v>-7393</v>
      </c>
      <c r="K26" s="179">
        <f>[32]CF!K26</f>
        <v>-61468</v>
      </c>
      <c r="L26" s="179">
        <f>[32]CF!L26</f>
        <v>-5715</v>
      </c>
      <c r="M26" s="179">
        <f>[32]CF!M26</f>
        <v>-8146</v>
      </c>
      <c r="N26" s="179">
        <f>[32]CF!N26</f>
        <v>-3035</v>
      </c>
      <c r="O26" s="179">
        <f>[32]CF!O26</f>
        <v>-13912</v>
      </c>
      <c r="P26" s="179">
        <f>[32]CF!P26</f>
        <v>-25683</v>
      </c>
      <c r="Q26" s="179">
        <f>[32]CF!Q26</f>
        <v>-24479</v>
      </c>
      <c r="R26" s="179">
        <f>[32]CF!R26</f>
        <v>-19976</v>
      </c>
      <c r="S26" s="179">
        <f>[32]CF!S26</f>
        <v>-71670</v>
      </c>
      <c r="T26" s="179">
        <f>[32]CF!T26</f>
        <v>-31584</v>
      </c>
      <c r="U26" s="179">
        <f>[32]CF!U26</f>
        <v>-31055</v>
      </c>
      <c r="V26" s="179">
        <f>[32]CF!V26</f>
        <v>-16751</v>
      </c>
      <c r="W26" s="179">
        <f>[32]CF!W26</f>
        <v>-21136</v>
      </c>
      <c r="X26" s="179">
        <f>[32]CF!X26</f>
        <v>-21353</v>
      </c>
      <c r="Y26" s="179">
        <f>[32]CF!Y26</f>
        <v>-32588</v>
      </c>
      <c r="Z26" s="179">
        <f>[32]CF!Z26</f>
        <v>-32995</v>
      </c>
      <c r="AA26" s="179">
        <f>[32]CF!AA26</f>
        <v>-67728</v>
      </c>
      <c r="AB26" s="179">
        <f>[32]CF!AB26</f>
        <v>-69053</v>
      </c>
      <c r="AC26" s="179">
        <f t="shared" ref="AC26" si="55">SUM(AC20:AC25)</f>
        <v>-13944.140000000001</v>
      </c>
      <c r="AD26" s="179">
        <f>SUM(AD20:AD25)</f>
        <v>-14362.464200000002</v>
      </c>
      <c r="AE26" s="179">
        <f t="shared" ref="AE26:AL26" si="56">SUM(AE20:AE25)</f>
        <v>-39793.338126000002</v>
      </c>
      <c r="AF26" s="179">
        <f t="shared" si="56"/>
        <v>-27737.138269780004</v>
      </c>
      <c r="AG26" s="179">
        <f t="shared" si="56"/>
        <v>-28194.252417873402</v>
      </c>
      <c r="AH26" s="179">
        <f t="shared" si="56"/>
        <v>-28665.079990409606</v>
      </c>
      <c r="AI26" s="179">
        <f t="shared" si="56"/>
        <v>-29150.032390121894</v>
      </c>
      <c r="AJ26" s="179">
        <f t="shared" si="56"/>
        <v>-29649.53336182555</v>
      </c>
      <c r="AK26" s="179">
        <f t="shared" si="56"/>
        <v>-30164.019362680316</v>
      </c>
      <c r="AL26" s="179">
        <f t="shared" si="56"/>
        <v>-30693.939943560727</v>
      </c>
      <c r="AM26" s="180"/>
      <c r="AN26" s="179">
        <f>[32]CF!AP26</f>
        <v>0</v>
      </c>
      <c r="AO26" s="179">
        <f>[32]CF!AQ26</f>
        <v>0</v>
      </c>
      <c r="AP26" s="179">
        <f>[32]CF!AR26</f>
        <v>0</v>
      </c>
      <c r="AQ26" s="179">
        <f>[32]CF!AS26</f>
        <v>0</v>
      </c>
      <c r="AR26" s="179">
        <f>[32]CF!AT26</f>
        <v>0</v>
      </c>
      <c r="AS26" s="179">
        <f>[32]CF!AU26</f>
        <v>0</v>
      </c>
      <c r="AT26" s="179">
        <f>[32]CF!AV26</f>
        <v>0</v>
      </c>
      <c r="AU26" s="179">
        <f>[32]CF!AW26</f>
        <v>0</v>
      </c>
      <c r="AV26" s="179">
        <f>[32]CF!AX26</f>
        <v>0</v>
      </c>
      <c r="AW26" s="179">
        <f>[32]CF!AY26</f>
        <v>0</v>
      </c>
      <c r="AX26" s="179">
        <f>[32]CF!AZ26</f>
        <v>0</v>
      </c>
      <c r="AY26" s="179">
        <f t="shared" ref="AY26:BC26" si="57">SUM(AY20:AY25)</f>
        <v>-28306.604200000002</v>
      </c>
      <c r="AZ26" s="179">
        <f t="shared" si="57"/>
        <v>-30030.476395780006</v>
      </c>
      <c r="BA26" s="179">
        <f t="shared" si="57"/>
        <v>-31859.332408283008</v>
      </c>
      <c r="BB26" s="179">
        <f t="shared" si="57"/>
        <v>-33799.565751947448</v>
      </c>
      <c r="BC26" s="179">
        <f t="shared" si="57"/>
        <v>-35857.959306241042</v>
      </c>
      <c r="BD26" s="179"/>
      <c r="BE26" s="179">
        <f>[32]CF!BH26</f>
        <v>-42831</v>
      </c>
      <c r="BF26" s="179">
        <f>[32]CF!BI26</f>
        <v>-78364</v>
      </c>
      <c r="BG26" s="179">
        <f>[32]CF!BJ26</f>
        <v>-83764</v>
      </c>
      <c r="BH26" s="179">
        <f>[32]CF!BK26</f>
        <v>-151060</v>
      </c>
      <c r="BI26" s="179">
        <f>[32]CF!BL26</f>
        <v>-108072</v>
      </c>
      <c r="BJ26" s="179">
        <f t="shared" si="48"/>
        <v>-165087.6042</v>
      </c>
      <c r="BK26" s="179">
        <f t="shared" si="49"/>
        <v>-124389.80880406301</v>
      </c>
      <c r="BL26" s="179">
        <f t="shared" si="50"/>
        <v>-119657.52505818848</v>
      </c>
      <c r="BM26" s="179">
        <f>BM20+BM21+BM22+BM23+BM24+BM25</f>
        <v>-123140.40131109791</v>
      </c>
      <c r="BN26" s="179">
        <f t="shared" ref="BN26:BS26" si="58">BN20+BN21+BN22+BN23+BN24+BN25</f>
        <v>-134111.46150776261</v>
      </c>
      <c r="BO26" s="179">
        <f t="shared" si="58"/>
        <v>-146728.18073392697</v>
      </c>
      <c r="BP26" s="179">
        <f t="shared" si="58"/>
        <v>-161237.40784401601</v>
      </c>
      <c r="BQ26" s="179">
        <f t="shared" si="58"/>
        <v>-177923.01902061841</v>
      </c>
      <c r="BR26" s="179">
        <f t="shared" si="58"/>
        <v>-197111.47187371115</v>
      </c>
      <c r="BS26" s="179">
        <f t="shared" si="58"/>
        <v>-219178.1926547678</v>
      </c>
      <c r="BT26" s="203"/>
    </row>
    <row r="27" spans="1:72" ht="12.75" customHeight="1" x14ac:dyDescent="0.35">
      <c r="A27" s="153"/>
      <c r="B27" s="171"/>
      <c r="C27" s="172"/>
      <c r="D27" s="171"/>
      <c r="E27" s="172"/>
      <c r="F27" s="172"/>
      <c r="G27" s="172"/>
      <c r="H27" s="172"/>
      <c r="I27" s="173"/>
      <c r="J27" s="173"/>
      <c r="K27" s="173"/>
      <c r="L27" s="173"/>
      <c r="M27" s="173"/>
      <c r="N27" s="173"/>
      <c r="O27" s="173"/>
      <c r="P27" s="173"/>
      <c r="Q27" s="173"/>
      <c r="R27" s="173"/>
      <c r="S27" s="173"/>
      <c r="T27" s="173"/>
      <c r="U27" s="173"/>
      <c r="V27" s="173"/>
      <c r="W27" s="173"/>
      <c r="X27" s="173"/>
      <c r="Y27" s="173"/>
      <c r="Z27" s="173"/>
      <c r="AA27" s="173"/>
      <c r="AB27" s="173"/>
      <c r="AC27" s="173"/>
      <c r="AD27" s="173"/>
      <c r="AE27" s="173"/>
      <c r="AF27" s="173"/>
      <c r="AG27" s="173"/>
      <c r="AH27" s="173"/>
      <c r="AI27" s="173"/>
      <c r="AJ27" s="173"/>
      <c r="AK27" s="173"/>
      <c r="AL27" s="173"/>
      <c r="AM27" s="167"/>
      <c r="AN27" s="173"/>
      <c r="AO27" s="173"/>
      <c r="AP27" s="173"/>
      <c r="AQ27" s="173"/>
      <c r="AR27" s="173"/>
      <c r="AS27" s="173"/>
      <c r="AT27" s="173"/>
      <c r="AU27" s="173"/>
      <c r="AV27" s="173"/>
      <c r="AW27" s="173"/>
      <c r="AX27" s="173"/>
      <c r="AY27" s="173"/>
      <c r="AZ27" s="173"/>
      <c r="BA27" s="173"/>
      <c r="BB27" s="173"/>
      <c r="BC27" s="173"/>
      <c r="BD27" s="173"/>
      <c r="BE27" s="173"/>
      <c r="BF27" s="173"/>
      <c r="BG27" s="173"/>
      <c r="BH27" s="173"/>
      <c r="BI27" s="173"/>
      <c r="BJ27" s="173"/>
      <c r="BK27" s="173"/>
      <c r="BL27" s="173"/>
      <c r="BM27" s="169"/>
      <c r="BN27" s="169"/>
      <c r="BO27" s="169"/>
      <c r="BP27" s="169"/>
      <c r="BQ27" s="169"/>
      <c r="BR27" s="169"/>
      <c r="BS27" s="169"/>
      <c r="BT27" s="203"/>
    </row>
    <row r="28" spans="1:72" ht="12.75" customHeight="1" x14ac:dyDescent="0.35">
      <c r="A28" s="153"/>
      <c r="B28" s="164" t="s">
        <v>84</v>
      </c>
      <c r="C28" s="164"/>
      <c r="D28" s="165"/>
      <c r="E28" s="182"/>
      <c r="F28" s="164"/>
      <c r="G28" s="164"/>
      <c r="H28" s="164"/>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4"/>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5"/>
      <c r="BN28" s="185"/>
      <c r="BO28" s="185"/>
      <c r="BP28" s="185"/>
      <c r="BQ28" s="185"/>
      <c r="BR28" s="185"/>
      <c r="BS28" s="185"/>
      <c r="BT28" s="203"/>
    </row>
    <row r="29" spans="1:72" ht="12.75" customHeight="1" x14ac:dyDescent="0.35">
      <c r="A29" s="153" t="s">
        <v>85</v>
      </c>
      <c r="B29" s="171"/>
      <c r="C29" s="172" t="s">
        <v>86</v>
      </c>
      <c r="D29" s="171"/>
      <c r="E29" s="166"/>
      <c r="F29" s="172"/>
      <c r="G29" s="172"/>
      <c r="H29" s="172"/>
      <c r="I29" s="173">
        <f>[32]CF!I29</f>
        <v>0</v>
      </c>
      <c r="J29" s="173">
        <f>[32]CF!J29</f>
        <v>0</v>
      </c>
      <c r="K29" s="173">
        <f>[32]CF!K29</f>
        <v>0</v>
      </c>
      <c r="L29" s="173">
        <f>[32]CF!L29</f>
        <v>0</v>
      </c>
      <c r="M29" s="173">
        <f>[32]CF!M29</f>
        <v>0</v>
      </c>
      <c r="N29" s="173">
        <f>[32]CF!N29</f>
        <v>0</v>
      </c>
      <c r="O29" s="173">
        <f>[32]CF!O29</f>
        <v>0</v>
      </c>
      <c r="P29" s="173">
        <f>[32]CF!P29</f>
        <v>0</v>
      </c>
      <c r="Q29" s="173">
        <f>[32]CF!Q29</f>
        <v>0</v>
      </c>
      <c r="R29" s="173">
        <f>[32]CF!R29</f>
        <v>0</v>
      </c>
      <c r="S29" s="173">
        <f>[32]CF!S29</f>
        <v>0</v>
      </c>
      <c r="T29" s="173">
        <f>[32]CF!T29</f>
        <v>0</v>
      </c>
      <c r="U29" s="173">
        <f>[32]CF!U29</f>
        <v>0</v>
      </c>
      <c r="V29" s="173">
        <f>[32]CF!V29</f>
        <v>0</v>
      </c>
      <c r="W29" s="173">
        <f>[32]CF!W29</f>
        <v>0</v>
      </c>
      <c r="X29" s="173">
        <f>[32]CF!X29</f>
        <v>0</v>
      </c>
      <c r="Y29" s="173">
        <f>[32]CF!Y29</f>
        <v>0</v>
      </c>
      <c r="Z29" s="173">
        <f>[32]CF!Z29</f>
        <v>0</v>
      </c>
      <c r="AA29" s="173">
        <f>[32]CF!AA29</f>
        <v>0</v>
      </c>
      <c r="AB29" s="173">
        <f>[32]CF!AB29</f>
        <v>0</v>
      </c>
      <c r="AC29" s="174">
        <v>0</v>
      </c>
      <c r="AD29" s="174">
        <v>0</v>
      </c>
      <c r="AE29" s="174">
        <v>0</v>
      </c>
      <c r="AF29" s="174">
        <v>0</v>
      </c>
      <c r="AG29" s="174">
        <v>0</v>
      </c>
      <c r="AH29" s="174">
        <v>0</v>
      </c>
      <c r="AI29" s="174">
        <v>0</v>
      </c>
      <c r="AJ29" s="174">
        <v>0</v>
      </c>
      <c r="AK29" s="174">
        <v>0</v>
      </c>
      <c r="AL29" s="174">
        <v>0</v>
      </c>
      <c r="AM29" s="184"/>
      <c r="AN29" s="173">
        <f>[32]CF!AP29</f>
        <v>0</v>
      </c>
      <c r="AO29" s="173">
        <f>[32]CF!AQ29</f>
        <v>0</v>
      </c>
      <c r="AP29" s="173">
        <f>[32]CF!AR29</f>
        <v>0</v>
      </c>
      <c r="AQ29" s="173">
        <f>[32]CF!AS29</f>
        <v>0</v>
      </c>
      <c r="AR29" s="173">
        <f>[32]CF!AT29</f>
        <v>0</v>
      </c>
      <c r="AS29" s="173">
        <f>[32]CF!AU29</f>
        <v>0</v>
      </c>
      <c r="AT29" s="173">
        <f>[32]CF!AV29</f>
        <v>0</v>
      </c>
      <c r="AU29" s="173">
        <f>[32]CF!AW29</f>
        <v>0</v>
      </c>
      <c r="AV29" s="173">
        <f>[32]CF!AX29</f>
        <v>0</v>
      </c>
      <c r="AW29" s="173">
        <f>[32]CF!AY29</f>
        <v>0</v>
      </c>
      <c r="AX29" s="173">
        <f>[32]CF!AZ29</f>
        <v>0</v>
      </c>
      <c r="AY29" s="174">
        <v>0</v>
      </c>
      <c r="AZ29" s="174">
        <v>0</v>
      </c>
      <c r="BA29" s="174">
        <v>0</v>
      </c>
      <c r="BB29" s="174">
        <v>0</v>
      </c>
      <c r="BC29" s="174">
        <v>0</v>
      </c>
      <c r="BD29" s="173"/>
      <c r="BE29" s="173">
        <f>[32]CF!BH29</f>
        <v>0</v>
      </c>
      <c r="BF29" s="173">
        <f>[32]CF!BI29</f>
        <v>0</v>
      </c>
      <c r="BG29" s="173">
        <f>[32]CF!BJ29</f>
        <v>0</v>
      </c>
      <c r="BH29" s="173">
        <f>[32]CF!BK29</f>
        <v>0</v>
      </c>
      <c r="BI29" s="173">
        <f>[32]CF!BL29</f>
        <v>0</v>
      </c>
      <c r="BJ29" s="174">
        <v>0</v>
      </c>
      <c r="BK29" s="174">
        <v>0</v>
      </c>
      <c r="BL29" s="174">
        <v>0</v>
      </c>
      <c r="BM29" s="2728">
        <f>BL29</f>
        <v>0</v>
      </c>
      <c r="BN29" s="2728">
        <f t="shared" ref="BN29:BS29" si="59">BM29</f>
        <v>0</v>
      </c>
      <c r="BO29" s="2728">
        <f t="shared" si="59"/>
        <v>0</v>
      </c>
      <c r="BP29" s="2728">
        <f t="shared" si="59"/>
        <v>0</v>
      </c>
      <c r="BQ29" s="2728">
        <f t="shared" si="59"/>
        <v>0</v>
      </c>
      <c r="BR29" s="2728">
        <f t="shared" si="59"/>
        <v>0</v>
      </c>
      <c r="BS29" s="2728">
        <f t="shared" si="59"/>
        <v>0</v>
      </c>
      <c r="BT29" s="203"/>
    </row>
    <row r="30" spans="1:72" ht="12.75" customHeight="1" x14ac:dyDescent="0.35">
      <c r="A30" s="153" t="s">
        <v>87</v>
      </c>
      <c r="B30" s="171"/>
      <c r="C30" s="172" t="s">
        <v>88</v>
      </c>
      <c r="D30" s="171"/>
      <c r="E30" s="166"/>
      <c r="F30" s="172"/>
      <c r="G30" s="172"/>
      <c r="H30" s="172"/>
      <c r="I30" s="173">
        <f>[32]CF!I30</f>
        <v>0</v>
      </c>
      <c r="J30" s="173">
        <f>[32]CF!J30</f>
        <v>0</v>
      </c>
      <c r="K30" s="173">
        <f>[32]CF!K30</f>
        <v>0</v>
      </c>
      <c r="L30" s="173">
        <f>[32]CF!L30</f>
        <v>0</v>
      </c>
      <c r="M30" s="173">
        <f>[32]CF!M30</f>
        <v>0</v>
      </c>
      <c r="N30" s="173">
        <f>[32]CF!N30</f>
        <v>0</v>
      </c>
      <c r="O30" s="173">
        <f>[32]CF!O30</f>
        <v>0</v>
      </c>
      <c r="P30" s="173">
        <f>[32]CF!P30</f>
        <v>0</v>
      </c>
      <c r="Q30" s="173">
        <f>[32]CF!Q30</f>
        <v>0</v>
      </c>
      <c r="R30" s="173">
        <f>[32]CF!R30</f>
        <v>0</v>
      </c>
      <c r="S30" s="173">
        <f>[32]CF!S30</f>
        <v>0</v>
      </c>
      <c r="T30" s="173">
        <f>[32]CF!T30</f>
        <v>0</v>
      </c>
      <c r="U30" s="173">
        <f>[32]CF!U30</f>
        <v>0</v>
      </c>
      <c r="V30" s="173">
        <f>[32]CF!V30</f>
        <v>0</v>
      </c>
      <c r="W30" s="173">
        <f>[32]CF!W30</f>
        <v>0</v>
      </c>
      <c r="X30" s="173">
        <f>[32]CF!X30</f>
        <v>0</v>
      </c>
      <c r="Y30" s="173">
        <f>[32]CF!Y30</f>
        <v>0</v>
      </c>
      <c r="Z30" s="173">
        <f>[32]CF!Z30</f>
        <v>0</v>
      </c>
      <c r="AA30" s="173">
        <f>[32]CF!AA30</f>
        <v>0</v>
      </c>
      <c r="AB30" s="173">
        <f>[32]CF!AB30</f>
        <v>0</v>
      </c>
      <c r="AC30" s="187">
        <f>BS!AC39-BS!AB39</f>
        <v>0</v>
      </c>
      <c r="AD30" s="187">
        <f>BS!AD39-BS!AC39</f>
        <v>0</v>
      </c>
      <c r="AE30" s="187">
        <f>BS!AE39-BS!AD39</f>
        <v>0</v>
      </c>
      <c r="AF30" s="187">
        <f>BS!AF39-BS!AE39</f>
        <v>0</v>
      </c>
      <c r="AG30" s="187">
        <f>BS!AG39-BS!AF39</f>
        <v>0</v>
      </c>
      <c r="AH30" s="187">
        <f>BS!AH39-BS!AG39</f>
        <v>0</v>
      </c>
      <c r="AI30" s="187">
        <f>BS!AI39-BS!AH39</f>
        <v>0</v>
      </c>
      <c r="AJ30" s="187">
        <f>BS!AJ39-BS!AI39</f>
        <v>0</v>
      </c>
      <c r="AK30" s="187">
        <f>BS!AK39-BS!AJ39</f>
        <v>0</v>
      </c>
      <c r="AL30" s="187">
        <f>BS!AL39-BS!AK39</f>
        <v>0</v>
      </c>
      <c r="AM30" s="167"/>
      <c r="AN30" s="173">
        <f>[32]CF!AP30</f>
        <v>0</v>
      </c>
      <c r="AO30" s="173">
        <f>[32]CF!AQ30</f>
        <v>0</v>
      </c>
      <c r="AP30" s="173">
        <f>[32]CF!AR30</f>
        <v>0</v>
      </c>
      <c r="AQ30" s="173">
        <f>[32]CF!AS30</f>
        <v>0</v>
      </c>
      <c r="AR30" s="173">
        <f>[32]CF!AT30</f>
        <v>0</v>
      </c>
      <c r="AS30" s="173">
        <f>[32]CF!AU30</f>
        <v>0</v>
      </c>
      <c r="AT30" s="173">
        <f>[32]CF!AV30</f>
        <v>0</v>
      </c>
      <c r="AU30" s="173">
        <f>[32]CF!AW30</f>
        <v>0</v>
      </c>
      <c r="AV30" s="173">
        <f>[32]CF!AX30</f>
        <v>0</v>
      </c>
      <c r="AW30" s="173">
        <f>[32]CF!AY30</f>
        <v>0</v>
      </c>
      <c r="AX30" s="173">
        <f>[32]CF!AZ30</f>
        <v>0</v>
      </c>
      <c r="AY30" s="187">
        <f>BS!AY39-BS!AX39</f>
        <v>0</v>
      </c>
      <c r="AZ30" s="187">
        <f>BS!AZ39-BS!AY39</f>
        <v>0</v>
      </c>
      <c r="BA30" s="187">
        <f>BS!BA39-BS!AZ39</f>
        <v>0</v>
      </c>
      <c r="BB30" s="187">
        <f>BS!BB39-BS!BA39</f>
        <v>0</v>
      </c>
      <c r="BC30" s="187">
        <f>BS!BC39-BS!BB39</f>
        <v>0</v>
      </c>
      <c r="BD30" s="173"/>
      <c r="BE30" s="173">
        <f>[32]CF!BH30</f>
        <v>-19102</v>
      </c>
      <c r="BF30" s="173">
        <f>[32]CF!BI30</f>
        <v>2114</v>
      </c>
      <c r="BG30" s="173">
        <f>[32]CF!BJ30</f>
        <v>399</v>
      </c>
      <c r="BH30" s="173">
        <f>[32]CF!BK30</f>
        <v>-10518</v>
      </c>
      <c r="BI30" s="173">
        <f>[32]CF!BL30</f>
        <v>91506</v>
      </c>
      <c r="BJ30" s="173">
        <f>SUM(AA30:AD30)</f>
        <v>0</v>
      </c>
      <c r="BK30" s="173">
        <f>SUM(AE30:AH30)</f>
        <v>0</v>
      </c>
      <c r="BL30" s="173">
        <f>SUM(AI30:AL30)</f>
        <v>0</v>
      </c>
      <c r="BM30" s="169">
        <f>BL30</f>
        <v>0</v>
      </c>
      <c r="BN30" s="169">
        <f t="shared" ref="BN30:BS30" si="60">BM30</f>
        <v>0</v>
      </c>
      <c r="BO30" s="169">
        <f t="shared" si="60"/>
        <v>0</v>
      </c>
      <c r="BP30" s="169">
        <f t="shared" si="60"/>
        <v>0</v>
      </c>
      <c r="BQ30" s="169">
        <f t="shared" si="60"/>
        <v>0</v>
      </c>
      <c r="BR30" s="169">
        <f t="shared" si="60"/>
        <v>0</v>
      </c>
      <c r="BS30" s="169">
        <f t="shared" si="60"/>
        <v>0</v>
      </c>
      <c r="BT30" s="203"/>
    </row>
    <row r="31" spans="1:72" ht="12.75" customHeight="1" x14ac:dyDescent="0.35">
      <c r="A31" s="153" t="s">
        <v>89</v>
      </c>
      <c r="B31" s="171"/>
      <c r="C31" s="172" t="s">
        <v>90</v>
      </c>
      <c r="D31" s="171"/>
      <c r="E31" s="166"/>
      <c r="F31" s="172"/>
      <c r="G31" s="172"/>
      <c r="H31" s="172"/>
      <c r="I31" s="173">
        <f>[32]CF!I31</f>
        <v>0</v>
      </c>
      <c r="J31" s="173">
        <f>[32]CF!J31</f>
        <v>0</v>
      </c>
      <c r="K31" s="173">
        <f>[32]CF!K31</f>
        <v>0</v>
      </c>
      <c r="L31" s="173">
        <f>[32]CF!L31</f>
        <v>0</v>
      </c>
      <c r="M31" s="173">
        <f>[32]CF!M31</f>
        <v>0</v>
      </c>
      <c r="N31" s="173">
        <f>[32]CF!N31</f>
        <v>0</v>
      </c>
      <c r="O31" s="173">
        <f>[32]CF!O31</f>
        <v>0</v>
      </c>
      <c r="P31" s="173">
        <f>[32]CF!P31</f>
        <v>0</v>
      </c>
      <c r="Q31" s="173">
        <f>[32]CF!Q31</f>
        <v>0</v>
      </c>
      <c r="R31" s="173">
        <f>[32]CF!R31</f>
        <v>0</v>
      </c>
      <c r="S31" s="173">
        <f>[32]CF!S31</f>
        <v>0</v>
      </c>
      <c r="T31" s="173">
        <f>[32]CF!T31</f>
        <v>0</v>
      </c>
      <c r="U31" s="173">
        <f>[32]CF!U31</f>
        <v>0</v>
      </c>
      <c r="V31" s="173">
        <f>[32]CF!V31</f>
        <v>0</v>
      </c>
      <c r="W31" s="173">
        <f>[32]CF!W31</f>
        <v>0</v>
      </c>
      <c r="X31" s="173">
        <f>[32]CF!X31</f>
        <v>0</v>
      </c>
      <c r="Y31" s="173">
        <f>[32]CF!Y31</f>
        <v>0</v>
      </c>
      <c r="Z31" s="173">
        <f>[32]CF!Z31</f>
        <v>0</v>
      </c>
      <c r="AA31" s="173">
        <f>[32]CF!AA31</f>
        <v>0</v>
      </c>
      <c r="AB31" s="173">
        <f>[32]CF!AB31</f>
        <v>0</v>
      </c>
      <c r="AC31" s="174">
        <f>AB31</f>
        <v>0</v>
      </c>
      <c r="AD31" s="174">
        <f t="shared" ref="AD31:AL31" si="61">AC31</f>
        <v>0</v>
      </c>
      <c r="AE31" s="174">
        <f t="shared" si="61"/>
        <v>0</v>
      </c>
      <c r="AF31" s="174">
        <f t="shared" si="61"/>
        <v>0</v>
      </c>
      <c r="AG31" s="174">
        <f t="shared" si="61"/>
        <v>0</v>
      </c>
      <c r="AH31" s="174">
        <f t="shared" si="61"/>
        <v>0</v>
      </c>
      <c r="AI31" s="174">
        <f t="shared" si="61"/>
        <v>0</v>
      </c>
      <c r="AJ31" s="174">
        <f t="shared" si="61"/>
        <v>0</v>
      </c>
      <c r="AK31" s="174">
        <f t="shared" si="61"/>
        <v>0</v>
      </c>
      <c r="AL31" s="174">
        <f t="shared" si="61"/>
        <v>0</v>
      </c>
      <c r="AM31" s="167"/>
      <c r="AN31" s="173">
        <f>[32]CF!AP31</f>
        <v>0</v>
      </c>
      <c r="AO31" s="173">
        <f>[32]CF!AQ31</f>
        <v>0</v>
      </c>
      <c r="AP31" s="173">
        <f>[32]CF!AR31</f>
        <v>0</v>
      </c>
      <c r="AQ31" s="173">
        <f>[32]CF!AS31</f>
        <v>0</v>
      </c>
      <c r="AR31" s="173">
        <f>[32]CF!AT31</f>
        <v>0</v>
      </c>
      <c r="AS31" s="173">
        <f>[32]CF!AU31</f>
        <v>0</v>
      </c>
      <c r="AT31" s="173">
        <f>[32]CF!AV31</f>
        <v>0</v>
      </c>
      <c r="AU31" s="173">
        <f>[32]CF!AW31</f>
        <v>0</v>
      </c>
      <c r="AV31" s="173">
        <f>[32]CF!AX31</f>
        <v>0</v>
      </c>
      <c r="AW31" s="173">
        <f>[32]CF!AY31</f>
        <v>0</v>
      </c>
      <c r="AX31" s="173">
        <f>[32]CF!AZ31</f>
        <v>0</v>
      </c>
      <c r="AY31" s="173" t="e">
        <f>-BS!AY102</f>
        <v>#REF!</v>
      </c>
      <c r="AZ31" s="173" t="e">
        <f>-BS!AZ102</f>
        <v>#REF!</v>
      </c>
      <c r="BA31" s="173" t="e">
        <f>-BS!BA102</f>
        <v>#REF!</v>
      </c>
      <c r="BB31" s="173" t="e">
        <f>-BS!BB102</f>
        <v>#REF!</v>
      </c>
      <c r="BC31" s="173" t="e">
        <f>-BS!BC102</f>
        <v>#REF!</v>
      </c>
      <c r="BD31" s="173"/>
      <c r="BE31" s="188">
        <f>[32]CF!BH31</f>
        <v>2478</v>
      </c>
      <c r="BF31" s="188">
        <f>[32]CF!BI31</f>
        <v>29333</v>
      </c>
      <c r="BG31" s="188">
        <f>[32]CF!BJ31</f>
        <v>33345</v>
      </c>
      <c r="BH31" s="188">
        <f>[32]CF!BK31</f>
        <v>-4231</v>
      </c>
      <c r="BI31" s="188">
        <f>[32]CF!BL31</f>
        <v>-16022</v>
      </c>
      <c r="BJ31" s="173">
        <f>SUM(AA31:AD31)</f>
        <v>0</v>
      </c>
      <c r="BK31" s="173">
        <f>SUM(AE31:AH31)</f>
        <v>0</v>
      </c>
      <c r="BL31" s="173">
        <f>SUM(AI31:AL31)</f>
        <v>0</v>
      </c>
      <c r="BM31" s="169">
        <f>BL31</f>
        <v>0</v>
      </c>
      <c r="BN31" s="169">
        <f t="shared" ref="BN31:BS31" si="62">BM31</f>
        <v>0</v>
      </c>
      <c r="BO31" s="169">
        <f t="shared" si="62"/>
        <v>0</v>
      </c>
      <c r="BP31" s="169">
        <f t="shared" si="62"/>
        <v>0</v>
      </c>
      <c r="BQ31" s="169">
        <f t="shared" si="62"/>
        <v>0</v>
      </c>
      <c r="BR31" s="169">
        <f t="shared" si="62"/>
        <v>0</v>
      </c>
      <c r="BS31" s="169">
        <f t="shared" si="62"/>
        <v>0</v>
      </c>
      <c r="BT31" s="203"/>
    </row>
    <row r="32" spans="1:72" ht="12.75" customHeight="1" x14ac:dyDescent="0.35">
      <c r="A32" s="153" t="s">
        <v>91</v>
      </c>
      <c r="B32" s="171"/>
      <c r="C32" s="172" t="s">
        <v>92</v>
      </c>
      <c r="D32" s="171"/>
      <c r="E32" s="166"/>
      <c r="F32" s="172"/>
      <c r="G32" s="172"/>
      <c r="H32" s="172"/>
      <c r="I32" s="173">
        <f>[32]CF!I32</f>
        <v>0</v>
      </c>
      <c r="J32" s="173">
        <f>[32]CF!J32</f>
        <v>0</v>
      </c>
      <c r="K32" s="173">
        <f>[32]CF!K32</f>
        <v>0</v>
      </c>
      <c r="L32" s="173">
        <f>[32]CF!L32</f>
        <v>0</v>
      </c>
      <c r="M32" s="173">
        <f>[32]CF!M32</f>
        <v>0</v>
      </c>
      <c r="N32" s="173">
        <f>[32]CF!N32</f>
        <v>0</v>
      </c>
      <c r="O32" s="173">
        <f>[32]CF!O32</f>
        <v>0</v>
      </c>
      <c r="P32" s="173">
        <f>[32]CF!P32</f>
        <v>0</v>
      </c>
      <c r="Q32" s="173">
        <f>[32]CF!Q32</f>
        <v>0</v>
      </c>
      <c r="R32" s="173">
        <f>[32]CF!R32</f>
        <v>0</v>
      </c>
      <c r="S32" s="173">
        <f>[32]CF!S32</f>
        <v>0</v>
      </c>
      <c r="T32" s="173">
        <f>[32]CF!T32</f>
        <v>0</v>
      </c>
      <c r="U32" s="173">
        <f>[32]CF!U32</f>
        <v>0</v>
      </c>
      <c r="V32" s="173">
        <f>[32]CF!V32</f>
        <v>0</v>
      </c>
      <c r="W32" s="173">
        <f>[32]CF!W32</f>
        <v>0</v>
      </c>
      <c r="X32" s="173">
        <f>[32]CF!X32</f>
        <v>0</v>
      </c>
      <c r="Y32" s="173">
        <f>[32]CF!Y32</f>
        <v>0</v>
      </c>
      <c r="Z32" s="173">
        <f>[32]CF!Z32</f>
        <v>0</v>
      </c>
      <c r="AA32" s="173">
        <f>[32]CF!AA32</f>
        <v>0</v>
      </c>
      <c r="AB32" s="173">
        <f>[32]CF!AB32</f>
        <v>0</v>
      </c>
      <c r="AC32" s="174">
        <f>[32]CF!AC32</f>
        <v>0</v>
      </c>
      <c r="AD32" s="174">
        <f>[32]CF!AD32</f>
        <v>0</v>
      </c>
      <c r="AE32" s="174">
        <f>[32]CF!AE32</f>
        <v>0</v>
      </c>
      <c r="AF32" s="174">
        <f>[32]CF!AF32</f>
        <v>0</v>
      </c>
      <c r="AG32" s="174">
        <f>[32]CF!AG32</f>
        <v>0</v>
      </c>
      <c r="AH32" s="174">
        <f>[32]CF!AH32</f>
        <v>0</v>
      </c>
      <c r="AI32" s="174">
        <f>[32]CF!AI32</f>
        <v>0</v>
      </c>
      <c r="AJ32" s="174">
        <f>[32]CF!AJ32</f>
        <v>0</v>
      </c>
      <c r="AK32" s="174">
        <f>[32]CF!AK32</f>
        <v>0</v>
      </c>
      <c r="AL32" s="174">
        <f>[32]CF!AL32</f>
        <v>0</v>
      </c>
      <c r="AM32" s="167"/>
      <c r="AN32" s="173">
        <f>[32]CF!AP32</f>
        <v>0</v>
      </c>
      <c r="AO32" s="173">
        <f>[32]CF!AQ32</f>
        <v>0</v>
      </c>
      <c r="AP32" s="173">
        <f>[32]CF!AR32</f>
        <v>0</v>
      </c>
      <c r="AQ32" s="173">
        <f>[32]CF!AS32</f>
        <v>0</v>
      </c>
      <c r="AR32" s="173">
        <f>[32]CF!AT32</f>
        <v>0</v>
      </c>
      <c r="AS32" s="173">
        <f>[32]CF!AU32</f>
        <v>0</v>
      </c>
      <c r="AT32" s="173">
        <f>[32]CF!AV32</f>
        <v>0</v>
      </c>
      <c r="AU32" s="173">
        <f>[32]CF!AW32</f>
        <v>0</v>
      </c>
      <c r="AV32" s="173">
        <f>[32]CF!AX32</f>
        <v>0</v>
      </c>
      <c r="AW32" s="173">
        <f>[32]CF!AY32</f>
        <v>0</v>
      </c>
      <c r="AX32" s="173">
        <f>[32]CF!AZ32</f>
        <v>0</v>
      </c>
      <c r="AY32" s="174">
        <f>[32]CF!BA32</f>
        <v>0</v>
      </c>
      <c r="AZ32" s="174">
        <f>[32]CF!BB32</f>
        <v>0</v>
      </c>
      <c r="BA32" s="174">
        <f>[32]CF!BC32</f>
        <v>0</v>
      </c>
      <c r="BB32" s="174">
        <f>[32]CF!BD32</f>
        <v>0</v>
      </c>
      <c r="BC32" s="174">
        <f>[32]CF!BE32</f>
        <v>0</v>
      </c>
      <c r="BD32" s="173"/>
      <c r="BE32" s="188">
        <f>[32]CF!BH32</f>
        <v>778</v>
      </c>
      <c r="BF32" s="188">
        <f>[32]CF!BI32</f>
        <v>1467</v>
      </c>
      <c r="BG32" s="188">
        <f>[32]CF!BJ32</f>
        <v>-13385</v>
      </c>
      <c r="BH32" s="188">
        <f>[32]CF!BK32</f>
        <v>7357</v>
      </c>
      <c r="BI32" s="188">
        <f>[32]CF!BL32</f>
        <v>-4631</v>
      </c>
      <c r="BJ32" s="189">
        <f>SUM(AA32:AD32)</f>
        <v>0</v>
      </c>
      <c r="BK32" s="189">
        <f>SUM(AE32:AH32)</f>
        <v>0</v>
      </c>
      <c r="BL32" s="189">
        <f>SUM(AI32:AL32)</f>
        <v>0</v>
      </c>
      <c r="BM32" s="2728">
        <f>BL32</f>
        <v>0</v>
      </c>
      <c r="BN32" s="2728">
        <f t="shared" ref="BN32:BS32" si="63">BM32</f>
        <v>0</v>
      </c>
      <c r="BO32" s="2728">
        <f t="shared" si="63"/>
        <v>0</v>
      </c>
      <c r="BP32" s="2728">
        <f t="shared" si="63"/>
        <v>0</v>
      </c>
      <c r="BQ32" s="2728">
        <f t="shared" si="63"/>
        <v>0</v>
      </c>
      <c r="BR32" s="2728">
        <f t="shared" si="63"/>
        <v>0</v>
      </c>
      <c r="BS32" s="2728">
        <f t="shared" si="63"/>
        <v>0</v>
      </c>
      <c r="BT32" s="203"/>
    </row>
    <row r="33" spans="1:72" ht="12.75" customHeight="1" x14ac:dyDescent="0.35">
      <c r="A33" s="153" t="s">
        <v>93</v>
      </c>
      <c r="B33" s="171"/>
      <c r="C33" s="172" t="s">
        <v>94</v>
      </c>
      <c r="D33" s="171"/>
      <c r="E33" s="166"/>
      <c r="F33" s="172"/>
      <c r="G33" s="172"/>
      <c r="H33" s="172"/>
      <c r="I33" s="173">
        <f>[32]CF!I33</f>
        <v>327</v>
      </c>
      <c r="J33" s="173">
        <f>[32]CF!J33</f>
        <v>-182</v>
      </c>
      <c r="K33" s="173">
        <f>[32]CF!K33</f>
        <v>626</v>
      </c>
      <c r="L33" s="173">
        <f>[32]CF!L33</f>
        <v>117</v>
      </c>
      <c r="M33" s="173">
        <f>[32]CF!M33</f>
        <v>1745</v>
      </c>
      <c r="N33" s="173">
        <f>[32]CF!N33</f>
        <v>-446</v>
      </c>
      <c r="O33" s="173">
        <f>[32]CF!O33</f>
        <v>-1097</v>
      </c>
      <c r="P33" s="173">
        <f>[32]CF!P33</f>
        <v>-806</v>
      </c>
      <c r="Q33" s="173">
        <f>[32]CF!Q33</f>
        <v>-1518</v>
      </c>
      <c r="R33" s="173">
        <f>[32]CF!R33</f>
        <v>-2653</v>
      </c>
      <c r="S33" s="173">
        <f>[32]CF!S33</f>
        <v>2783</v>
      </c>
      <c r="T33" s="173">
        <f>[32]CF!T33</f>
        <v>1670</v>
      </c>
      <c r="U33" s="173">
        <f>[32]CF!U33</f>
        <v>-66</v>
      </c>
      <c r="V33" s="173">
        <f>[32]CF!V33</f>
        <v>-1142</v>
      </c>
      <c r="W33" s="173">
        <f>[32]CF!W33</f>
        <v>1377</v>
      </c>
      <c r="X33" s="173">
        <f>[32]CF!X33</f>
        <v>2353</v>
      </c>
      <c r="Y33" s="173">
        <f>[32]CF!Y33</f>
        <v>-1952</v>
      </c>
      <c r="Z33" s="173">
        <f>[32]CF!Z33</f>
        <v>2322</v>
      </c>
      <c r="AA33" s="173">
        <f>[32]CF!AA33</f>
        <v>-351</v>
      </c>
      <c r="AB33" s="173">
        <f>[32]CF!AB33</f>
        <v>-3853</v>
      </c>
      <c r="AC33" s="174">
        <v>0</v>
      </c>
      <c r="AD33" s="174">
        <v>0</v>
      </c>
      <c r="AE33" s="174">
        <v>0</v>
      </c>
      <c r="AF33" s="174">
        <v>0</v>
      </c>
      <c r="AG33" s="174">
        <v>0</v>
      </c>
      <c r="AH33" s="174">
        <v>0</v>
      </c>
      <c r="AI33" s="174">
        <v>0</v>
      </c>
      <c r="AJ33" s="174">
        <v>0</v>
      </c>
      <c r="AK33" s="174">
        <v>0</v>
      </c>
      <c r="AL33" s="174">
        <v>0</v>
      </c>
      <c r="AM33" s="167"/>
      <c r="AN33" s="173">
        <f>[32]CF!AP33</f>
        <v>0</v>
      </c>
      <c r="AO33" s="173">
        <f>[32]CF!AQ33</f>
        <v>0</v>
      </c>
      <c r="AP33" s="173">
        <f>[32]CF!AR33</f>
        <v>0</v>
      </c>
      <c r="AQ33" s="173">
        <f>[32]CF!AS33</f>
        <v>0</v>
      </c>
      <c r="AR33" s="173">
        <f>[32]CF!AT33</f>
        <v>0</v>
      </c>
      <c r="AS33" s="173">
        <f>[32]CF!AU33</f>
        <v>0</v>
      </c>
      <c r="AT33" s="173">
        <f>[32]CF!AV33</f>
        <v>0</v>
      </c>
      <c r="AU33" s="173">
        <f>[32]CF!AW33</f>
        <v>0</v>
      </c>
      <c r="AV33" s="173">
        <f>[32]CF!AX33</f>
        <v>0</v>
      </c>
      <c r="AW33" s="173">
        <f>[32]CF!AY33</f>
        <v>0</v>
      </c>
      <c r="AX33" s="173">
        <f>[32]CF!AZ33</f>
        <v>0</v>
      </c>
      <c r="AY33" s="174">
        <f>[32]CF!BA33</f>
        <v>0</v>
      </c>
      <c r="AZ33" s="174">
        <f>[32]CF!BB33</f>
        <v>0</v>
      </c>
      <c r="BA33" s="174">
        <f>[32]CF!BC33</f>
        <v>0</v>
      </c>
      <c r="BB33" s="174">
        <f>[32]CF!BD33</f>
        <v>0</v>
      </c>
      <c r="BC33" s="174">
        <f>[32]CF!BE33</f>
        <v>0</v>
      </c>
      <c r="BD33" s="173"/>
      <c r="BE33" s="188">
        <f>[32]CF!BH33</f>
        <v>466</v>
      </c>
      <c r="BF33" s="188">
        <f>[32]CF!BI33</f>
        <v>2042</v>
      </c>
      <c r="BG33" s="188">
        <f>[32]CF!BJ33</f>
        <v>-6065</v>
      </c>
      <c r="BH33" s="188">
        <f>[32]CF!BK33</f>
        <v>3245</v>
      </c>
      <c r="BI33" s="188">
        <f>[32]CF!BL33</f>
        <v>4100</v>
      </c>
      <c r="BJ33" s="174">
        <f t="shared" ref="BJ33" si="64">SUM(AA33:AD33)</f>
        <v>-4204</v>
      </c>
      <c r="BK33" s="189"/>
      <c r="BL33" s="189"/>
      <c r="BM33" s="2728"/>
      <c r="BN33" s="2728"/>
      <c r="BO33" s="2728"/>
      <c r="BP33" s="2728"/>
      <c r="BQ33" s="2728"/>
      <c r="BR33" s="2728">
        <v>0</v>
      </c>
      <c r="BS33" s="2728">
        <v>0</v>
      </c>
      <c r="BT33" s="203"/>
    </row>
    <row r="34" spans="1:72" ht="12.75" customHeight="1" x14ac:dyDescent="0.35">
      <c r="A34" s="153" t="s">
        <v>95</v>
      </c>
      <c r="B34" s="176" t="s">
        <v>96</v>
      </c>
      <c r="C34" s="177"/>
      <c r="D34" s="177"/>
      <c r="E34" s="178"/>
      <c r="F34" s="176"/>
      <c r="G34" s="176"/>
      <c r="H34" s="176"/>
      <c r="I34" s="190">
        <f>[32]CF!I34</f>
        <v>1268</v>
      </c>
      <c r="J34" s="190">
        <f>[32]CF!J34</f>
        <v>-990</v>
      </c>
      <c r="K34" s="190">
        <f>[32]CF!K34</f>
        <v>21312</v>
      </c>
      <c r="L34" s="190">
        <f>[32]CF!L34</f>
        <v>9830</v>
      </c>
      <c r="M34" s="190">
        <f>[32]CF!M34</f>
        <v>-710</v>
      </c>
      <c r="N34" s="190">
        <f>[32]CF!N34</f>
        <v>2482</v>
      </c>
      <c r="O34" s="190">
        <f>[32]CF!O34</f>
        <v>-8894</v>
      </c>
      <c r="P34" s="190">
        <f>[32]CF!P34</f>
        <v>-416</v>
      </c>
      <c r="Q34" s="190">
        <f>[32]CF!Q34</f>
        <v>34274</v>
      </c>
      <c r="R34" s="190">
        <f>[32]CF!R34</f>
        <v>-4605</v>
      </c>
      <c r="S34" s="190">
        <f>[32]CF!S34</f>
        <v>4281</v>
      </c>
      <c r="T34" s="190">
        <f>[32]CF!T34</f>
        <v>-3477</v>
      </c>
      <c r="U34" s="190">
        <f>[32]CF!U34</f>
        <v>-8915</v>
      </c>
      <c r="V34" s="190">
        <f>[32]CF!V34</f>
        <v>719</v>
      </c>
      <c r="W34" s="190">
        <f>[32]CF!W34</f>
        <v>4493</v>
      </c>
      <c r="X34" s="190">
        <f>[32]CF!X34</f>
        <v>2106</v>
      </c>
      <c r="Y34" s="190">
        <f>[32]CF!Y34</f>
        <v>61287</v>
      </c>
      <c r="Z34" s="190">
        <f>[32]CF!Z34</f>
        <v>2967</v>
      </c>
      <c r="AA34" s="190">
        <f>[32]CF!AA34</f>
        <v>-4609</v>
      </c>
      <c r="AB34" s="190">
        <f>[32]CF!AB34</f>
        <v>10106</v>
      </c>
      <c r="AC34" s="181">
        <f t="shared" ref="AC34:AL34" si="65">AC29+AC30+AC31+AC32+AC33</f>
        <v>0</v>
      </c>
      <c r="AD34" s="181">
        <f t="shared" si="65"/>
        <v>0</v>
      </c>
      <c r="AE34" s="181">
        <f t="shared" si="65"/>
        <v>0</v>
      </c>
      <c r="AF34" s="181">
        <f t="shared" si="65"/>
        <v>0</v>
      </c>
      <c r="AG34" s="181">
        <f t="shared" si="65"/>
        <v>0</v>
      </c>
      <c r="AH34" s="181">
        <f t="shared" si="65"/>
        <v>0</v>
      </c>
      <c r="AI34" s="181">
        <f t="shared" si="65"/>
        <v>0</v>
      </c>
      <c r="AJ34" s="181">
        <f t="shared" si="65"/>
        <v>0</v>
      </c>
      <c r="AK34" s="181">
        <f t="shared" si="65"/>
        <v>0</v>
      </c>
      <c r="AL34" s="181">
        <f t="shared" si="65"/>
        <v>0</v>
      </c>
      <c r="AM34" s="180"/>
      <c r="AN34" s="190">
        <f>[32]CF!AP34</f>
        <v>0</v>
      </c>
      <c r="AO34" s="190">
        <f>[32]CF!AQ34</f>
        <v>0</v>
      </c>
      <c r="AP34" s="190">
        <f>[32]CF!AR34</f>
        <v>0</v>
      </c>
      <c r="AQ34" s="190">
        <f>[32]CF!AS34</f>
        <v>0</v>
      </c>
      <c r="AR34" s="190">
        <f>[32]CF!AT34</f>
        <v>0</v>
      </c>
      <c r="AS34" s="190">
        <f>[32]CF!AU34</f>
        <v>0</v>
      </c>
      <c r="AT34" s="190">
        <f>[32]CF!AV34</f>
        <v>0</v>
      </c>
      <c r="AU34" s="190">
        <f>[32]CF!AW34</f>
        <v>0</v>
      </c>
      <c r="AV34" s="190">
        <f>[32]CF!AX34</f>
        <v>0</v>
      </c>
      <c r="AW34" s="190">
        <f>[32]CF!AY34</f>
        <v>0</v>
      </c>
      <c r="AX34" s="190">
        <f>[32]CF!AZ34</f>
        <v>0</v>
      </c>
      <c r="AY34" s="190" t="e">
        <f t="shared" ref="AY34:BC34" si="66">AY29-AY30+AY31+AY32</f>
        <v>#REF!</v>
      </c>
      <c r="AZ34" s="190" t="e">
        <f t="shared" si="66"/>
        <v>#REF!</v>
      </c>
      <c r="BA34" s="190" t="e">
        <f t="shared" si="66"/>
        <v>#REF!</v>
      </c>
      <c r="BB34" s="190" t="e">
        <f t="shared" si="66"/>
        <v>#REF!</v>
      </c>
      <c r="BC34" s="190" t="e">
        <f t="shared" si="66"/>
        <v>#REF!</v>
      </c>
      <c r="BD34" s="190"/>
      <c r="BE34" s="190">
        <f>[32]CF!BH34</f>
        <v>-15846</v>
      </c>
      <c r="BF34" s="190">
        <f>[32]CF!BI34</f>
        <v>32914</v>
      </c>
      <c r="BG34" s="190">
        <f>[32]CF!BJ34</f>
        <v>20359</v>
      </c>
      <c r="BH34" s="190">
        <f>[32]CF!BK34</f>
        <v>-7392</v>
      </c>
      <c r="BI34" s="190">
        <f>[32]CF!BL34</f>
        <v>70853</v>
      </c>
      <c r="BJ34" s="190">
        <f>SUM(AA34:AD34)</f>
        <v>5497</v>
      </c>
      <c r="BK34" s="190">
        <f>SUM(AE34:AH34)</f>
        <v>0</v>
      </c>
      <c r="BL34" s="190">
        <f>SUM(AI34:AL34)</f>
        <v>0</v>
      </c>
      <c r="BM34" s="181">
        <f>BM29+BM30+BM31+BM32+BM33</f>
        <v>0</v>
      </c>
      <c r="BN34" s="181">
        <f t="shared" ref="BN34:BS34" si="67">BN29+BN30+BN31+BN32+BN33</f>
        <v>0</v>
      </c>
      <c r="BO34" s="181">
        <f t="shared" si="67"/>
        <v>0</v>
      </c>
      <c r="BP34" s="181">
        <f t="shared" si="67"/>
        <v>0</v>
      </c>
      <c r="BQ34" s="181">
        <f t="shared" si="67"/>
        <v>0</v>
      </c>
      <c r="BR34" s="181">
        <f t="shared" si="67"/>
        <v>0</v>
      </c>
      <c r="BS34" s="181">
        <f t="shared" si="67"/>
        <v>0</v>
      </c>
      <c r="BT34" s="203"/>
    </row>
    <row r="35" spans="1:72" ht="12.75" customHeight="1" x14ac:dyDescent="0.35">
      <c r="A35" s="153"/>
      <c r="B35" s="171"/>
      <c r="C35" s="171"/>
      <c r="D35" s="171"/>
      <c r="E35" s="172"/>
      <c r="F35" s="172"/>
      <c r="G35" s="172"/>
      <c r="H35" s="172"/>
      <c r="I35" s="188"/>
      <c r="J35" s="188"/>
      <c r="K35" s="188"/>
      <c r="L35" s="188"/>
      <c r="M35" s="188"/>
      <c r="N35" s="188"/>
      <c r="O35" s="188"/>
      <c r="P35" s="188"/>
      <c r="Q35" s="188"/>
      <c r="R35" s="188"/>
      <c r="S35" s="188"/>
      <c r="T35" s="188"/>
      <c r="U35" s="188"/>
      <c r="V35" s="188"/>
      <c r="W35" s="188"/>
      <c r="X35" s="188"/>
      <c r="Y35" s="188"/>
      <c r="Z35" s="188"/>
      <c r="AA35" s="188"/>
      <c r="AB35" s="188"/>
      <c r="AC35" s="173"/>
      <c r="AD35" s="173"/>
      <c r="AE35" s="188"/>
      <c r="AF35" s="188"/>
      <c r="AG35" s="188"/>
      <c r="AH35" s="188"/>
      <c r="AI35" s="188"/>
      <c r="AJ35" s="188"/>
      <c r="AK35" s="188"/>
      <c r="AL35" s="188"/>
      <c r="AM35" s="167"/>
      <c r="AN35" s="188"/>
      <c r="AO35" s="188"/>
      <c r="AP35" s="188"/>
      <c r="AQ35" s="188"/>
      <c r="AR35" s="188"/>
      <c r="AS35" s="188"/>
      <c r="AT35" s="188"/>
      <c r="AU35" s="188"/>
      <c r="AV35" s="188"/>
      <c r="AW35" s="188"/>
      <c r="AX35" s="188"/>
      <c r="AY35" s="188"/>
      <c r="AZ35" s="188"/>
      <c r="BA35" s="188"/>
      <c r="BB35" s="188"/>
      <c r="BC35" s="188"/>
      <c r="BD35" s="188"/>
      <c r="BE35" s="188"/>
      <c r="BF35" s="188"/>
      <c r="BG35" s="188"/>
      <c r="BH35" s="188"/>
      <c r="BI35" s="188"/>
      <c r="BJ35" s="188"/>
      <c r="BK35" s="188"/>
      <c r="BL35" s="188"/>
      <c r="BM35" s="169"/>
      <c r="BN35" s="169"/>
      <c r="BO35" s="169"/>
      <c r="BP35" s="169"/>
      <c r="BQ35" s="169"/>
      <c r="BR35" s="169"/>
      <c r="BS35" s="169"/>
      <c r="BT35" s="203"/>
    </row>
    <row r="36" spans="1:72" ht="12.75" customHeight="1" x14ac:dyDescent="0.35">
      <c r="A36" s="153" t="s">
        <v>97</v>
      </c>
      <c r="B36" s="164" t="s">
        <v>98</v>
      </c>
      <c r="C36" s="165"/>
      <c r="D36" s="165"/>
      <c r="E36" s="182"/>
      <c r="F36" s="164"/>
      <c r="G36" s="164"/>
      <c r="H36" s="164"/>
      <c r="I36" s="168">
        <f t="shared" ref="I36:Z36" si="68">I17+I26+I34+I33</f>
        <v>13554</v>
      </c>
      <c r="J36" s="168">
        <f t="shared" si="68"/>
        <v>-3483</v>
      </c>
      <c r="K36" s="168">
        <f t="shared" si="68"/>
        <v>-24572</v>
      </c>
      <c r="L36" s="168">
        <f t="shared" si="68"/>
        <v>21438</v>
      </c>
      <c r="M36" s="168">
        <f t="shared" si="68"/>
        <v>30305</v>
      </c>
      <c r="N36" s="168">
        <f t="shared" si="68"/>
        <v>9747</v>
      </c>
      <c r="O36" s="168">
        <f t="shared" si="68"/>
        <v>1408</v>
      </c>
      <c r="P36" s="168">
        <f t="shared" si="68"/>
        <v>3602</v>
      </c>
      <c r="Q36" s="168">
        <f t="shared" si="68"/>
        <v>63450</v>
      </c>
      <c r="R36" s="168">
        <f t="shared" si="68"/>
        <v>-12851</v>
      </c>
      <c r="S36" s="168">
        <f t="shared" si="68"/>
        <v>-28489</v>
      </c>
      <c r="T36" s="168">
        <f t="shared" si="68"/>
        <v>-1984</v>
      </c>
      <c r="U36" s="168">
        <f t="shared" si="68"/>
        <v>24862</v>
      </c>
      <c r="V36" s="168">
        <f t="shared" si="68"/>
        <v>1379</v>
      </c>
      <c r="W36" s="168">
        <f t="shared" si="68"/>
        <v>19346</v>
      </c>
      <c r="X36" s="168">
        <f t="shared" si="68"/>
        <v>30432</v>
      </c>
      <c r="Y36" s="168">
        <f t="shared" si="68"/>
        <v>123252</v>
      </c>
      <c r="Z36" s="168">
        <f t="shared" si="68"/>
        <v>-25542</v>
      </c>
      <c r="AA36" s="168">
        <f t="shared" ref="AA36:AB36" si="69">AA17+AA26+AA34+AA33</f>
        <v>-22589</v>
      </c>
      <c r="AB36" s="168">
        <f t="shared" si="69"/>
        <v>-8504</v>
      </c>
      <c r="AC36" s="168">
        <f>AC17+AC26+AC34+AC33</f>
        <v>6680.1104785448315</v>
      </c>
      <c r="AD36" s="168">
        <f>AD17+AD26+AD34+AD33</f>
        <v>8525.0779336175146</v>
      </c>
      <c r="AE36" s="168">
        <f t="shared" ref="AE36:AL36" si="70">AE17+AE26+AE34+AE33</f>
        <v>3516.0559830081256</v>
      </c>
      <c r="AF36" s="168">
        <f t="shared" si="70"/>
        <v>-2484.3909520383022</v>
      </c>
      <c r="AG36" s="168">
        <f t="shared" si="70"/>
        <v>46702.998825183153</v>
      </c>
      <c r="AH36" s="168">
        <f t="shared" si="70"/>
        <v>-1856.1508969455172</v>
      </c>
      <c r="AI36" s="168">
        <f t="shared" si="70"/>
        <v>14100.710890280199</v>
      </c>
      <c r="AJ36" s="168">
        <f t="shared" si="70"/>
        <v>-6289.5594961425195</v>
      </c>
      <c r="AK36" s="168">
        <f t="shared" si="70"/>
        <v>52342.002471458727</v>
      </c>
      <c r="AL36" s="168">
        <f t="shared" si="70"/>
        <v>986.57137759347461</v>
      </c>
      <c r="AM36" s="184"/>
      <c r="AN36" s="168">
        <f t="shared" ref="AN36:AX36" si="71">AN17+AN26+AN34+AN33</f>
        <v>0</v>
      </c>
      <c r="AO36" s="168">
        <f t="shared" si="71"/>
        <v>0</v>
      </c>
      <c r="AP36" s="168">
        <f t="shared" si="71"/>
        <v>0</v>
      </c>
      <c r="AQ36" s="168">
        <f t="shared" si="71"/>
        <v>0</v>
      </c>
      <c r="AR36" s="168">
        <f t="shared" si="71"/>
        <v>0</v>
      </c>
      <c r="AS36" s="168">
        <f t="shared" si="71"/>
        <v>0</v>
      </c>
      <c r="AT36" s="168">
        <f t="shared" si="71"/>
        <v>0</v>
      </c>
      <c r="AU36" s="168">
        <f t="shared" si="71"/>
        <v>0</v>
      </c>
      <c r="AV36" s="168">
        <f t="shared" si="71"/>
        <v>0</v>
      </c>
      <c r="AW36" s="168">
        <f t="shared" si="71"/>
        <v>0</v>
      </c>
      <c r="AX36" s="168">
        <f t="shared" si="71"/>
        <v>0</v>
      </c>
      <c r="AY36" s="168" t="e">
        <f t="shared" ref="AY36:BC36" si="72">AY17+AY26+AY34+AY33</f>
        <v>#DIV/0!</v>
      </c>
      <c r="AZ36" s="168" t="e">
        <f t="shared" si="72"/>
        <v>#DIV/0!</v>
      </c>
      <c r="BA36" s="168" t="e">
        <f t="shared" si="72"/>
        <v>#DIV/0!</v>
      </c>
      <c r="BB36" s="168" t="e">
        <f t="shared" si="72"/>
        <v>#DIV/0!</v>
      </c>
      <c r="BC36" s="168" t="e">
        <f t="shared" si="72"/>
        <v>#DIV/0!</v>
      </c>
      <c r="BD36" s="168"/>
      <c r="BE36" s="168">
        <f>[32]CF!BH36</f>
        <v>-1375</v>
      </c>
      <c r="BF36" s="168">
        <f>[32]CF!BI36</f>
        <v>36918</v>
      </c>
      <c r="BG36" s="168">
        <f>[32]CF!BJ36</f>
        <v>56335</v>
      </c>
      <c r="BH36" s="168">
        <f>[32]CF!BK36</f>
        <v>-4232</v>
      </c>
      <c r="BI36" s="168">
        <f>[32]CF!BL36</f>
        <v>147488</v>
      </c>
      <c r="BJ36" s="168">
        <f>BJ34+BJ26+BJ17-BJ33</f>
        <v>108343.08033155318</v>
      </c>
      <c r="BK36" s="168">
        <f>BK34+BK26+BK17-BK33</f>
        <v>91006.054598096263</v>
      </c>
      <c r="BL36" s="168">
        <f>BL34+BL26+BL17-BL33</f>
        <v>115113.60084232863</v>
      </c>
      <c r="BM36" s="168">
        <f t="shared" ref="BM36:BS36" si="73">BM34+BM26+BM17-BM33</f>
        <v>137717.59932832461</v>
      </c>
      <c r="BN36" s="168">
        <f t="shared" si="73"/>
        <v>148876.50481407921</v>
      </c>
      <c r="BO36" s="168">
        <f>BO34+BO26+BO17-BO33</f>
        <v>155021.27644703866</v>
      </c>
      <c r="BP36" s="168">
        <f t="shared" si="73"/>
        <v>160461.61741893159</v>
      </c>
      <c r="BQ36" s="168">
        <f t="shared" si="73"/>
        <v>157351.13599494414</v>
      </c>
      <c r="BR36" s="168">
        <f t="shared" si="73"/>
        <v>150237.57876565272</v>
      </c>
      <c r="BS36" s="168">
        <f t="shared" si="73"/>
        <v>138313.92348219457</v>
      </c>
      <c r="BT36" s="203"/>
    </row>
    <row r="37" spans="1:72" ht="12.75" customHeight="1" x14ac:dyDescent="0.35">
      <c r="A37" s="153" t="s">
        <v>99</v>
      </c>
      <c r="B37" s="164" t="s">
        <v>100</v>
      </c>
      <c r="C37" s="165"/>
      <c r="D37" s="165"/>
      <c r="E37" s="182"/>
      <c r="F37" s="164"/>
      <c r="G37" s="164"/>
      <c r="H37" s="164"/>
      <c r="I37" s="168">
        <f>BS!F10</f>
        <v>0</v>
      </c>
      <c r="J37" s="168">
        <f>BS!G10</f>
        <v>0</v>
      </c>
      <c r="K37" s="168">
        <f>BS!H10</f>
        <v>0</v>
      </c>
      <c r="L37" s="168">
        <f>BS!K10</f>
        <v>92088</v>
      </c>
      <c r="M37" s="168">
        <f>BS!L10</f>
        <v>111008</v>
      </c>
      <c r="N37" s="168">
        <f>BS!M10</f>
        <v>141796</v>
      </c>
      <c r="O37" s="168">
        <f>BS!N10</f>
        <v>150801</v>
      </c>
      <c r="P37" s="168">
        <f>BS!O10</f>
        <v>152614</v>
      </c>
      <c r="Q37" s="168">
        <f>BS!P10</f>
        <v>165010</v>
      </c>
      <c r="R37" s="168">
        <f>BS!Q10</f>
        <v>224132</v>
      </c>
      <c r="S37" s="168">
        <f>BS!R10</f>
        <v>210210</v>
      </c>
      <c r="T37" s="168">
        <f>BS!S10</f>
        <v>185151</v>
      </c>
      <c r="U37" s="168">
        <f>BS!T10</f>
        <v>181537</v>
      </c>
      <c r="V37" s="168">
        <f>BS!U10</f>
        <v>200591</v>
      </c>
      <c r="W37" s="168">
        <f>BS!V10</f>
        <v>203165</v>
      </c>
      <c r="X37" s="168">
        <f>BS!W10</f>
        <v>220620</v>
      </c>
      <c r="Y37" s="168">
        <f>BS!X10</f>
        <v>241010</v>
      </c>
      <c r="Z37" s="168">
        <f>BS!Y10</f>
        <v>357210</v>
      </c>
      <c r="AA37" s="168">
        <f>BS!Z10</f>
        <v>363215</v>
      </c>
      <c r="AB37" s="168">
        <f>BS!AA10</f>
        <v>386558</v>
      </c>
      <c r="AC37" s="168">
        <f>BS!AB10</f>
        <v>410703</v>
      </c>
      <c r="AD37" s="168">
        <f>BS!AC10</f>
        <v>417383.11047854484</v>
      </c>
      <c r="AE37" s="168">
        <f>AD38</f>
        <v>425908.18841216236</v>
      </c>
      <c r="AF37" s="168">
        <f t="shared" ref="AF37:AK37" si="74">AE38</f>
        <v>429424.24439517048</v>
      </c>
      <c r="AG37" s="168">
        <f t="shared" si="74"/>
        <v>426939.85344313219</v>
      </c>
      <c r="AH37" s="168">
        <f t="shared" si="74"/>
        <v>473642.85226831533</v>
      </c>
      <c r="AI37" s="168">
        <f t="shared" si="74"/>
        <v>471786.70137136983</v>
      </c>
      <c r="AJ37" s="168">
        <f t="shared" si="74"/>
        <v>485887.41226165002</v>
      </c>
      <c r="AK37" s="168">
        <f t="shared" si="74"/>
        <v>479597.85276550753</v>
      </c>
      <c r="AL37" s="168">
        <f>AK38</f>
        <v>531939.85523696628</v>
      </c>
      <c r="AM37" s="184"/>
      <c r="AN37" s="168" t="e">
        <f>#REF!</f>
        <v>#REF!</v>
      </c>
      <c r="AO37" s="168" t="e">
        <f t="shared" ref="AO37" si="75">AN38</f>
        <v>#REF!</v>
      </c>
      <c r="AP37" s="168" t="e">
        <f t="shared" ref="AP37" si="76">AO38</f>
        <v>#REF!</v>
      </c>
      <c r="AQ37" s="168" t="e">
        <f t="shared" ref="AQ37" si="77">AP38</f>
        <v>#REF!</v>
      </c>
      <c r="AR37" s="168" t="e">
        <f t="shared" ref="AR37" si="78">AQ38</f>
        <v>#REF!</v>
      </c>
      <c r="AS37" s="168" t="e">
        <f t="shared" ref="AS37" si="79">AR38</f>
        <v>#REF!</v>
      </c>
      <c r="AT37" s="168" t="e">
        <f t="shared" ref="AT37" si="80">AS38</f>
        <v>#REF!</v>
      </c>
      <c r="AU37" s="168" t="e">
        <f t="shared" ref="AU37" si="81">AT38</f>
        <v>#REF!</v>
      </c>
      <c r="AV37" s="168" t="e">
        <f t="shared" ref="AV37" si="82">AU38</f>
        <v>#REF!</v>
      </c>
      <c r="AW37" s="168" t="e">
        <f t="shared" ref="AW37" si="83">AV38</f>
        <v>#REF!</v>
      </c>
      <c r="AX37" s="168" t="e">
        <f t="shared" ref="AX37" si="84">AW38</f>
        <v>#REF!</v>
      </c>
      <c r="AY37" s="168" t="e">
        <f t="shared" ref="AY37" si="85">AX38</f>
        <v>#REF!</v>
      </c>
      <c r="AZ37" s="168" t="e">
        <f t="shared" ref="AZ37" si="86">AY38</f>
        <v>#REF!</v>
      </c>
      <c r="BA37" s="168" t="e">
        <f t="shared" ref="BA37" si="87">AZ38</f>
        <v>#REF!</v>
      </c>
      <c r="BB37" s="168" t="e">
        <f t="shared" ref="BB37" si="88">BA38</f>
        <v>#REF!</v>
      </c>
      <c r="BC37" s="168" t="e">
        <f t="shared" ref="BC37" si="89">BB38</f>
        <v>#REF!</v>
      </c>
      <c r="BD37" s="168"/>
      <c r="BE37" s="168">
        <f>[32]CF!BH37</f>
        <v>108193</v>
      </c>
      <c r="BF37" s="168">
        <f>[32]CF!BI37</f>
        <v>106818</v>
      </c>
      <c r="BG37" s="168">
        <f>[32]CF!BJ37</f>
        <v>146391</v>
      </c>
      <c r="BH37" s="168">
        <f>[32]CF!BK37</f>
        <v>202726</v>
      </c>
      <c r="BI37" s="168">
        <f>[32]CF!BL37</f>
        <v>198494</v>
      </c>
      <c r="BJ37" s="168">
        <f>BI38</f>
        <v>345982</v>
      </c>
      <c r="BK37" s="168">
        <f t="shared" ref="BK37" si="90">BJ38</f>
        <v>454325.08033155318</v>
      </c>
      <c r="BL37" s="168">
        <f>BK38</f>
        <v>545331.13492964942</v>
      </c>
      <c r="BM37" s="168">
        <f t="shared" ref="BM37:BS37" si="91">BL38</f>
        <v>660444.73577197804</v>
      </c>
      <c r="BN37" s="168">
        <f t="shared" si="91"/>
        <v>798162.33510030271</v>
      </c>
      <c r="BO37" s="168">
        <f t="shared" si="91"/>
        <v>947038.83991438197</v>
      </c>
      <c r="BP37" s="168">
        <f t="shared" si="91"/>
        <v>1102060.1163614206</v>
      </c>
      <c r="BQ37" s="168">
        <f t="shared" si="91"/>
        <v>1262521.7337803522</v>
      </c>
      <c r="BR37" s="168">
        <f t="shared" si="91"/>
        <v>1419872.8697752962</v>
      </c>
      <c r="BS37" s="168">
        <f t="shared" si="91"/>
        <v>1570110.4485409488</v>
      </c>
      <c r="BT37" s="203"/>
    </row>
    <row r="38" spans="1:72" ht="12.75" customHeight="1" x14ac:dyDescent="0.35">
      <c r="A38" s="153" t="s">
        <v>101</v>
      </c>
      <c r="B38" s="164" t="s">
        <v>102</v>
      </c>
      <c r="C38" s="165"/>
      <c r="D38" s="165"/>
      <c r="E38" s="182"/>
      <c r="F38" s="164"/>
      <c r="G38" s="164"/>
      <c r="H38" s="164"/>
      <c r="I38" s="168">
        <f t="shared" ref="I38:AC38" si="92">I37+I36</f>
        <v>13554</v>
      </c>
      <c r="J38" s="168">
        <f t="shared" si="92"/>
        <v>-3483</v>
      </c>
      <c r="K38" s="168">
        <f t="shared" si="92"/>
        <v>-24572</v>
      </c>
      <c r="L38" s="168">
        <f t="shared" si="92"/>
        <v>113526</v>
      </c>
      <c r="M38" s="168">
        <f t="shared" si="92"/>
        <v>141313</v>
      </c>
      <c r="N38" s="168">
        <f t="shared" si="92"/>
        <v>151543</v>
      </c>
      <c r="O38" s="168">
        <f t="shared" si="92"/>
        <v>152209</v>
      </c>
      <c r="P38" s="168">
        <f t="shared" si="92"/>
        <v>156216</v>
      </c>
      <c r="Q38" s="168">
        <f t="shared" si="92"/>
        <v>228460</v>
      </c>
      <c r="R38" s="168">
        <f t="shared" si="92"/>
        <v>211281</v>
      </c>
      <c r="S38" s="168">
        <f t="shared" si="92"/>
        <v>181721</v>
      </c>
      <c r="T38" s="168">
        <f t="shared" si="92"/>
        <v>183167</v>
      </c>
      <c r="U38" s="168">
        <f t="shared" si="92"/>
        <v>206399</v>
      </c>
      <c r="V38" s="168">
        <f t="shared" si="92"/>
        <v>201970</v>
      </c>
      <c r="W38" s="168">
        <f t="shared" si="92"/>
        <v>222511</v>
      </c>
      <c r="X38" s="168">
        <f t="shared" si="92"/>
        <v>251052</v>
      </c>
      <c r="Y38" s="168">
        <f t="shared" si="92"/>
        <v>364262</v>
      </c>
      <c r="Z38" s="168">
        <f t="shared" si="92"/>
        <v>331668</v>
      </c>
      <c r="AA38" s="168">
        <f t="shared" ref="AA38:AB38" si="93">AA37+AA36</f>
        <v>340626</v>
      </c>
      <c r="AB38" s="168">
        <f t="shared" si="93"/>
        <v>378054</v>
      </c>
      <c r="AC38" s="168">
        <f t="shared" si="92"/>
        <v>417383.11047854484</v>
      </c>
      <c r="AD38" s="168">
        <f>AD37+AD36</f>
        <v>425908.18841216236</v>
      </c>
      <c r="AE38" s="168">
        <f>AE37+AE36</f>
        <v>429424.24439517048</v>
      </c>
      <c r="AF38" s="168">
        <f t="shared" ref="AF38:AL38" si="94">AF37+AF36</f>
        <v>426939.85344313219</v>
      </c>
      <c r="AG38" s="168">
        <f t="shared" si="94"/>
        <v>473642.85226831533</v>
      </c>
      <c r="AH38" s="168">
        <f t="shared" si="94"/>
        <v>471786.70137136983</v>
      </c>
      <c r="AI38" s="168">
        <f t="shared" si="94"/>
        <v>485887.41226165002</v>
      </c>
      <c r="AJ38" s="168">
        <f t="shared" si="94"/>
        <v>479597.85276550753</v>
      </c>
      <c r="AK38" s="168">
        <f t="shared" si="94"/>
        <v>531939.85523696628</v>
      </c>
      <c r="AL38" s="168">
        <f t="shared" si="94"/>
        <v>532926.42661455972</v>
      </c>
      <c r="AM38" s="184"/>
      <c r="AN38" s="168" t="e">
        <f t="shared" ref="AN38:AX38" si="95">AN37+AN36</f>
        <v>#REF!</v>
      </c>
      <c r="AO38" s="168" t="e">
        <f t="shared" si="95"/>
        <v>#REF!</v>
      </c>
      <c r="AP38" s="168" t="e">
        <f t="shared" si="95"/>
        <v>#REF!</v>
      </c>
      <c r="AQ38" s="168" t="e">
        <f t="shared" si="95"/>
        <v>#REF!</v>
      </c>
      <c r="AR38" s="168" t="e">
        <f t="shared" si="95"/>
        <v>#REF!</v>
      </c>
      <c r="AS38" s="168" t="e">
        <f t="shared" si="95"/>
        <v>#REF!</v>
      </c>
      <c r="AT38" s="168" t="e">
        <f t="shared" si="95"/>
        <v>#REF!</v>
      </c>
      <c r="AU38" s="168" t="e">
        <f t="shared" si="95"/>
        <v>#REF!</v>
      </c>
      <c r="AV38" s="168" t="e">
        <f t="shared" si="95"/>
        <v>#REF!</v>
      </c>
      <c r="AW38" s="168" t="e">
        <f t="shared" si="95"/>
        <v>#REF!</v>
      </c>
      <c r="AX38" s="168" t="e">
        <f t="shared" si="95"/>
        <v>#REF!</v>
      </c>
      <c r="AY38" s="168" t="e">
        <f t="shared" ref="AY38:BC38" si="96">AY37+AY36</f>
        <v>#REF!</v>
      </c>
      <c r="AZ38" s="168" t="e">
        <f t="shared" si="96"/>
        <v>#REF!</v>
      </c>
      <c r="BA38" s="168" t="e">
        <f t="shared" si="96"/>
        <v>#REF!</v>
      </c>
      <c r="BB38" s="168" t="e">
        <f t="shared" si="96"/>
        <v>#REF!</v>
      </c>
      <c r="BC38" s="168" t="e">
        <f t="shared" si="96"/>
        <v>#REF!</v>
      </c>
      <c r="BD38" s="168"/>
      <c r="BE38" s="168">
        <f>[32]CF!BH38</f>
        <v>106818</v>
      </c>
      <c r="BF38" s="168">
        <f>[32]CF!BI38</f>
        <v>143736</v>
      </c>
      <c r="BG38" s="168">
        <f>[32]CF!BJ38</f>
        <v>202726</v>
      </c>
      <c r="BH38" s="168">
        <f>[32]CF!BK38</f>
        <v>198494</v>
      </c>
      <c r="BI38" s="168">
        <f>[32]CF!BL38</f>
        <v>345982</v>
      </c>
      <c r="BJ38" s="168">
        <f>SUM(BJ36:BJ37)</f>
        <v>454325.08033155318</v>
      </c>
      <c r="BK38" s="168">
        <f t="shared" ref="BK38" si="97">SUM(BK36:BK37)</f>
        <v>545331.13492964942</v>
      </c>
      <c r="BL38" s="168">
        <f>SUM(BL36:BL37)</f>
        <v>660444.73577197804</v>
      </c>
      <c r="BM38" s="168">
        <f t="shared" ref="BM38:BS38" si="98">SUM(BM36:BM37)</f>
        <v>798162.33510030271</v>
      </c>
      <c r="BN38" s="168">
        <f t="shared" si="98"/>
        <v>947038.83991438197</v>
      </c>
      <c r="BO38" s="168">
        <f t="shared" si="98"/>
        <v>1102060.1163614206</v>
      </c>
      <c r="BP38" s="168">
        <f t="shared" si="98"/>
        <v>1262521.7337803522</v>
      </c>
      <c r="BQ38" s="168">
        <f t="shared" si="98"/>
        <v>1419872.8697752962</v>
      </c>
      <c r="BR38" s="168">
        <f t="shared" si="98"/>
        <v>1570110.4485409488</v>
      </c>
      <c r="BS38" s="168">
        <f t="shared" si="98"/>
        <v>1708424.3720231433</v>
      </c>
      <c r="BT38" s="203"/>
    </row>
    <row r="39" spans="1:72" ht="12.75" customHeight="1" x14ac:dyDescent="0.35">
      <c r="A39" s="153"/>
      <c r="B39" s="171"/>
      <c r="C39" s="171"/>
      <c r="D39" s="171"/>
      <c r="E39" s="191"/>
      <c r="F39" s="191"/>
      <c r="G39" s="191"/>
      <c r="H39" s="191"/>
      <c r="I39" s="192"/>
      <c r="J39" s="192"/>
      <c r="K39" s="192"/>
      <c r="L39" s="192"/>
      <c r="M39" s="192"/>
      <c r="N39" s="192"/>
      <c r="O39" s="192"/>
      <c r="P39" s="192"/>
      <c r="Q39" s="192"/>
      <c r="R39" s="192"/>
      <c r="S39" s="192"/>
      <c r="T39" s="192"/>
      <c r="U39" s="192"/>
      <c r="V39" s="192"/>
      <c r="W39" s="192"/>
      <c r="X39" s="192"/>
      <c r="Y39" s="192"/>
      <c r="Z39" s="192"/>
      <c r="AA39" s="192"/>
      <c r="AB39" s="192"/>
      <c r="AC39" s="192"/>
      <c r="AD39" s="192"/>
      <c r="AE39" s="192"/>
      <c r="AF39" s="192"/>
      <c r="AG39" s="192"/>
      <c r="AH39" s="192"/>
      <c r="AI39" s="192"/>
      <c r="AJ39" s="192"/>
      <c r="AK39" s="192"/>
      <c r="AL39" s="192"/>
      <c r="AM39" s="184"/>
      <c r="AN39" s="192"/>
      <c r="AO39" s="192"/>
      <c r="AP39" s="192"/>
      <c r="AQ39" s="192"/>
      <c r="AR39" s="192"/>
      <c r="AS39" s="192"/>
      <c r="AT39" s="192"/>
      <c r="AU39" s="192"/>
      <c r="AV39" s="192"/>
      <c r="AW39" s="192"/>
      <c r="AX39" s="192"/>
      <c r="AY39" s="192"/>
      <c r="AZ39" s="192"/>
      <c r="BA39" s="192"/>
      <c r="BB39" s="192"/>
      <c r="BC39" s="192"/>
      <c r="BD39" s="192"/>
      <c r="BE39" s="192"/>
      <c r="BF39" s="192"/>
      <c r="BG39" s="192"/>
      <c r="BH39" s="192"/>
      <c r="BI39" s="192"/>
      <c r="BJ39" s="192"/>
      <c r="BK39" s="192"/>
      <c r="BL39" s="192"/>
      <c r="BM39" s="170"/>
      <c r="BN39" s="170"/>
      <c r="BO39" s="170"/>
      <c r="BP39" s="170"/>
      <c r="BQ39" s="170"/>
      <c r="BR39" s="170"/>
      <c r="BS39" s="170"/>
      <c r="BT39" s="203"/>
    </row>
    <row r="40" spans="1:72" ht="12.75" customHeight="1" x14ac:dyDescent="0.35">
      <c r="A40" s="153"/>
      <c r="B40" s="193" t="s">
        <v>103</v>
      </c>
      <c r="C40" s="194"/>
      <c r="D40" s="194"/>
      <c r="E40" s="346"/>
      <c r="F40" s="346"/>
      <c r="G40" s="346"/>
      <c r="H40" s="346"/>
      <c r="I40" s="360"/>
      <c r="J40" s="360"/>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5"/>
      <c r="AK40" s="195"/>
      <c r="AL40" s="195"/>
      <c r="AM40" s="195"/>
      <c r="AN40" s="195"/>
      <c r="AO40" s="195"/>
      <c r="AP40" s="195"/>
      <c r="AQ40" s="195"/>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361"/>
      <c r="BN40" s="361"/>
      <c r="BO40" s="361"/>
      <c r="BP40" s="361"/>
      <c r="BQ40" s="361"/>
      <c r="BR40" s="361"/>
      <c r="BS40" s="361"/>
      <c r="BT40" s="203"/>
    </row>
    <row r="41" spans="1:72" ht="12.75" customHeight="1" x14ac:dyDescent="0.35">
      <c r="A41" s="153"/>
      <c r="B41" s="362" t="s">
        <v>104</v>
      </c>
      <c r="C41" s="196"/>
      <c r="D41" s="196"/>
      <c r="E41" s="363"/>
      <c r="F41" s="363"/>
      <c r="G41" s="363"/>
      <c r="H41" s="363"/>
      <c r="I41" s="364"/>
      <c r="J41" s="364"/>
      <c r="K41" s="364"/>
      <c r="L41" s="364"/>
      <c r="M41" s="364"/>
      <c r="N41" s="364"/>
      <c r="O41" s="364"/>
      <c r="P41" s="364"/>
      <c r="Q41" s="364"/>
      <c r="R41" s="364"/>
      <c r="S41" s="364"/>
      <c r="T41" s="364"/>
      <c r="U41" s="364"/>
      <c r="V41" s="364"/>
      <c r="W41" s="364">
        <f t="shared" ref="W41:Z41" si="99">-W20</f>
        <v>8251</v>
      </c>
      <c r="X41" s="364">
        <f t="shared" si="99"/>
        <v>11627</v>
      </c>
      <c r="Y41" s="364">
        <f t="shared" si="99"/>
        <v>5749</v>
      </c>
      <c r="Z41" s="364">
        <f t="shared" si="99"/>
        <v>3881</v>
      </c>
      <c r="AA41" s="364">
        <f t="shared" ref="AA41:AB41" si="100">-AA20</f>
        <v>13428</v>
      </c>
      <c r="AB41" s="364">
        <f t="shared" si="100"/>
        <v>13538</v>
      </c>
      <c r="AC41" s="445">
        <f>AB41*1.03</f>
        <v>13944.140000000001</v>
      </c>
      <c r="AD41" s="445">
        <f t="shared" ref="AD41:AL41" si="101">AC41*1.03</f>
        <v>14362.464200000002</v>
      </c>
      <c r="AE41" s="445">
        <f t="shared" si="101"/>
        <v>14793.338126000002</v>
      </c>
      <c r="AF41" s="445">
        <f t="shared" si="101"/>
        <v>15237.138269780004</v>
      </c>
      <c r="AG41" s="445">
        <f t="shared" si="101"/>
        <v>15694.252417873404</v>
      </c>
      <c r="AH41" s="445">
        <f t="shared" si="101"/>
        <v>16165.079990409606</v>
      </c>
      <c r="AI41" s="445">
        <f t="shared" si="101"/>
        <v>16650.032390121894</v>
      </c>
      <c r="AJ41" s="445">
        <f t="shared" si="101"/>
        <v>17149.53336182555</v>
      </c>
      <c r="AK41" s="445">
        <f t="shared" si="101"/>
        <v>17664.019362680316</v>
      </c>
      <c r="AL41" s="445">
        <f t="shared" si="101"/>
        <v>18193.939943560727</v>
      </c>
      <c r="AM41" s="364"/>
      <c r="AN41" s="364"/>
      <c r="AO41" s="364">
        <f t="shared" ref="AO41" si="102">-AO20</f>
        <v>0</v>
      </c>
      <c r="AP41" s="364">
        <f t="shared" ref="AP41:AW41" si="103">-AP20</f>
        <v>0</v>
      </c>
      <c r="AQ41" s="364">
        <f t="shared" si="103"/>
        <v>0</v>
      </c>
      <c r="AR41" s="364">
        <f t="shared" si="103"/>
        <v>0</v>
      </c>
      <c r="AS41" s="364">
        <f t="shared" si="103"/>
        <v>0</v>
      </c>
      <c r="AT41" s="364">
        <f t="shared" si="103"/>
        <v>0</v>
      </c>
      <c r="AU41" s="364">
        <f t="shared" si="103"/>
        <v>0</v>
      </c>
      <c r="AV41" s="364">
        <f t="shared" si="103"/>
        <v>0</v>
      </c>
      <c r="AW41" s="364">
        <f t="shared" si="103"/>
        <v>0</v>
      </c>
      <c r="AX41" s="364">
        <f>SUM(AA41:AB41)</f>
        <v>26966</v>
      </c>
      <c r="AY41" s="364">
        <f>SUM(AC41:AD41)</f>
        <v>28306.604200000002</v>
      </c>
      <c r="AZ41" s="364">
        <f>SUM(AE41:AF41)</f>
        <v>30030.476395780006</v>
      </c>
      <c r="BA41" s="364">
        <f>SUM(AG41:AH41)</f>
        <v>31859.332408283008</v>
      </c>
      <c r="BB41" s="364">
        <f>SUM(AI41:AJ41)</f>
        <v>33799.565751947448</v>
      </c>
      <c r="BC41" s="364">
        <f>SUM(AK41:AL41)</f>
        <v>35857.959306241042</v>
      </c>
      <c r="BD41" s="364"/>
      <c r="BE41" s="364">
        <f t="shared" ref="BE41:BI41" si="104">-BE20</f>
        <v>10845</v>
      </c>
      <c r="BF41" s="364">
        <f t="shared" si="104"/>
        <v>17546</v>
      </c>
      <c r="BG41" s="364">
        <f t="shared" si="104"/>
        <v>29836</v>
      </c>
      <c r="BH41" s="364">
        <f t="shared" si="104"/>
        <v>49643</v>
      </c>
      <c r="BI41" s="364">
        <f t="shared" si="104"/>
        <v>45386</v>
      </c>
      <c r="BJ41" s="174">
        <f>SUM(AA41:AD41)</f>
        <v>55272.604200000002</v>
      </c>
      <c r="BK41" s="174">
        <f>SUM(AE41:AH41)</f>
        <v>61889.808804063017</v>
      </c>
      <c r="BL41" s="174">
        <f>SUM(AI41:AL41)</f>
        <v>69657.52505818849</v>
      </c>
      <c r="BM41" s="2858">
        <f>BL41*1.05</f>
        <v>73140.401311097914</v>
      </c>
      <c r="BN41" s="2858">
        <f>BM41*1.15</f>
        <v>84111.461507762593</v>
      </c>
      <c r="BO41" s="2858">
        <f t="shared" ref="BO41:BS41" si="105">BN41*1.15</f>
        <v>96728.180733926973</v>
      </c>
      <c r="BP41" s="2858">
        <f t="shared" si="105"/>
        <v>111237.40784401601</v>
      </c>
      <c r="BQ41" s="2858">
        <f t="shared" si="105"/>
        <v>127923.01902061841</v>
      </c>
      <c r="BR41" s="2858">
        <f t="shared" si="105"/>
        <v>147111.47187371115</v>
      </c>
      <c r="BS41" s="2858">
        <f t="shared" si="105"/>
        <v>169178.1926547678</v>
      </c>
      <c r="BT41" s="203"/>
    </row>
    <row r="42" spans="1:72" ht="12.75" customHeight="1" x14ac:dyDescent="0.35">
      <c r="A42" s="153"/>
      <c r="B42" s="362" t="s">
        <v>105</v>
      </c>
      <c r="C42" s="196"/>
      <c r="D42" s="196"/>
      <c r="E42" s="363"/>
      <c r="F42" s="363"/>
      <c r="G42" s="363"/>
      <c r="H42" s="363"/>
      <c r="I42" s="366"/>
      <c r="J42" s="366"/>
      <c r="K42" s="366"/>
      <c r="L42" s="366"/>
      <c r="M42" s="366"/>
      <c r="N42" s="366"/>
      <c r="O42" s="366"/>
      <c r="P42" s="366"/>
      <c r="Q42" s="366"/>
      <c r="R42" s="366"/>
      <c r="S42" s="366"/>
      <c r="T42" s="366"/>
      <c r="U42" s="366"/>
      <c r="V42" s="366"/>
      <c r="W42" s="367">
        <f>W41/PnL!W12</f>
        <v>7.1795273398071763E-2</v>
      </c>
      <c r="X42" s="367">
        <f>X41/PnL!X12</f>
        <v>9.7691926363460677E-2</v>
      </c>
      <c r="Y42" s="367">
        <f>Y41/PnL!Y12</f>
        <v>3.5607224259240906E-2</v>
      </c>
      <c r="Z42" s="367">
        <f>Z41/PnL!Z12</f>
        <v>3.395034728904596E-2</v>
      </c>
      <c r="AA42" s="367">
        <f>AA41/PnL!AA12</f>
        <v>8.7336017326716572E-2</v>
      </c>
      <c r="AB42" s="367">
        <f>AB41/PnL!AB12</f>
        <v>8.7308701848973616E-2</v>
      </c>
      <c r="AC42" s="367">
        <f>AC41/PnL!AC12</f>
        <v>6.8138583957211438E-2</v>
      </c>
      <c r="AD42" s="367">
        <f>AD41/PnL!AD12</f>
        <v>9.2848236249638796E-2</v>
      </c>
      <c r="AE42" s="367">
        <f>AE41/PnL!AE12</f>
        <v>7.6172130791373541E-2</v>
      </c>
      <c r="AF42" s="367">
        <f>AF41/PnL!AF12</f>
        <v>7.5093728381825542E-2</v>
      </c>
      <c r="AG42" s="367">
        <f>AG41/PnL!AG12</f>
        <v>6.0718146531801583E-2</v>
      </c>
      <c r="AH42" s="367">
        <f>AH41/PnL!AH12</f>
        <v>8.4484230058225168E-2</v>
      </c>
      <c r="AI42" s="367">
        <f>AI41/PnL!AI12</f>
        <v>6.9362401600650159E-2</v>
      </c>
      <c r="AJ42" s="367">
        <f>AJ41/PnL!AJ12</f>
        <v>6.7516773778563938E-2</v>
      </c>
      <c r="AK42" s="367">
        <f>AK41/PnL!AK12</f>
        <v>5.5371489527190051E-2</v>
      </c>
      <c r="AL42" s="367">
        <f>AL41/PnL!AL12</f>
        <v>7.7036443232464502E-2</v>
      </c>
      <c r="AM42" s="367"/>
      <c r="AN42" s="366"/>
      <c r="AO42" s="367" t="e">
        <f>AO41/PnL!AO12</f>
        <v>#VALUE!</v>
      </c>
      <c r="AP42" s="367" t="e">
        <f>AP41/PnL!AP12</f>
        <v>#VALUE!</v>
      </c>
      <c r="AQ42" s="367" t="e">
        <f>AQ41/PnL!AQ12</f>
        <v>#VALUE!</v>
      </c>
      <c r="AR42" s="367" t="e">
        <f>AR41/PnL!AR12</f>
        <v>#VALUE!</v>
      </c>
      <c r="AS42" s="367" t="e">
        <f>AS41/PnL!AS12</f>
        <v>#VALUE!</v>
      </c>
      <c r="AT42" s="367" t="e">
        <f>AT41/PnL!AT12</f>
        <v>#VALUE!</v>
      </c>
      <c r="AU42" s="367" t="e">
        <f>AU41/PnL!AU12</f>
        <v>#VALUE!</v>
      </c>
      <c r="AV42" s="367" t="e">
        <f>AV41/PnL!AV12</f>
        <v>#VALUE!</v>
      </c>
      <c r="AW42" s="367" t="e">
        <f>AW41/PnL!AW12</f>
        <v>#VALUE!</v>
      </c>
      <c r="AX42" s="367">
        <f>AX41/PnL!AX12</f>
        <v>8.7322301738933322E-2</v>
      </c>
      <c r="AY42" s="367">
        <f>AY41/PnL!AY12</f>
        <v>7.8775771827842359E-2</v>
      </c>
      <c r="AZ42" s="367">
        <f>AZ41/PnL!AZ12</f>
        <v>7.562111827474588E-2</v>
      </c>
      <c r="BA42" s="367">
        <f>BA41/PnL!BA12</f>
        <v>7.0827545793758967E-2</v>
      </c>
      <c r="BB42" s="367">
        <f>BB41/PnL!BB12</f>
        <v>6.8413512362425405E-2</v>
      </c>
      <c r="BC42" s="367">
        <f>BC41/PnL!BC12</f>
        <v>6.458770405971101E-2</v>
      </c>
      <c r="BD42" s="366"/>
      <c r="BE42" s="367">
        <f>BE41/PnL!BE12</f>
        <v>0.10722442482425873</v>
      </c>
      <c r="BF42" s="367">
        <f>BF41/PnL!BF12</f>
        <v>0.11085908525143265</v>
      </c>
      <c r="BG42" s="367">
        <f>BG41/PnL!BG12</f>
        <v>0.11921715294926198</v>
      </c>
      <c r="BH42" s="367">
        <f>BH41/PnL!BH12</f>
        <v>0.13173355552960908</v>
      </c>
      <c r="BI42" s="367">
        <f>BI41/PnL!BI12</f>
        <v>8.9042614344206822E-2</v>
      </c>
      <c r="BJ42" s="367">
        <f>BJ41/PnL!BJ12</f>
        <v>8.2725914883331836E-2</v>
      </c>
      <c r="BK42" s="367">
        <f>BK41/PnL!BK12</f>
        <v>7.3075198927764054E-2</v>
      </c>
      <c r="BL42" s="367">
        <f>BL41/PnL!BL12</f>
        <v>6.638915116282329E-2</v>
      </c>
      <c r="BM42" s="367">
        <f>BM41/PnL!BM12</f>
        <v>5.7766795225890434E-2</v>
      </c>
      <c r="BN42" s="367">
        <f>BN41/PnL!BN12</f>
        <v>5.6634691670568477E-2</v>
      </c>
      <c r="BO42" s="367">
        <f>BO41/PnL!BO12</f>
        <v>5.6988516480277009E-2</v>
      </c>
      <c r="BP42" s="367">
        <f>BP41/PnL!BP12</f>
        <v>5.8620667780868378E-2</v>
      </c>
      <c r="BQ42" s="367">
        <f>BQ41/PnL!BQ12</f>
        <v>6.1378910586197738E-2</v>
      </c>
      <c r="BR42" s="367">
        <f>BR41/PnL!BR12</f>
        <v>6.5155709635285511E-2</v>
      </c>
      <c r="BS42" s="367">
        <f>BS41/PnL!BS12</f>
        <v>6.991514410570622E-2</v>
      </c>
      <c r="BT42" s="203"/>
    </row>
    <row r="43" spans="1:72" ht="12.75" customHeight="1" x14ac:dyDescent="0.35">
      <c r="A43" s="153"/>
      <c r="B43" s="362" t="s">
        <v>106</v>
      </c>
      <c r="C43" s="196"/>
      <c r="D43" s="196"/>
      <c r="E43" s="363"/>
      <c r="F43" s="363"/>
      <c r="G43" s="363"/>
      <c r="H43" s="363"/>
      <c r="I43" s="364"/>
      <c r="J43" s="364"/>
      <c r="K43" s="364"/>
      <c r="L43" s="364"/>
      <c r="M43" s="364"/>
      <c r="N43" s="364"/>
      <c r="O43" s="364"/>
      <c r="P43" s="364"/>
      <c r="Q43" s="364"/>
      <c r="R43" s="364"/>
      <c r="S43" s="364"/>
      <c r="T43" s="364"/>
      <c r="U43" s="364"/>
      <c r="V43" s="364"/>
      <c r="W43" s="364">
        <f>IF(ISERR(W21/1),"-",-W21)</f>
        <v>0</v>
      </c>
      <c r="X43" s="364">
        <f t="shared" ref="X43:Z43" si="106">IF(ISERR(X21/1),"-",-X21)</f>
        <v>0</v>
      </c>
      <c r="Y43" s="364">
        <f t="shared" si="106"/>
        <v>0</v>
      </c>
      <c r="Z43" s="364">
        <f t="shared" si="106"/>
        <v>0</v>
      </c>
      <c r="AA43" s="364">
        <f t="shared" ref="AA43:AB43" si="107">IF(ISERR(AA21/1),"-",-AA21)</f>
        <v>0</v>
      </c>
      <c r="AB43" s="364">
        <f t="shared" si="107"/>
        <v>0</v>
      </c>
      <c r="AC43" s="368">
        <f>IF(ISERR(AC44*PnL!AC12),"-",AC44*PnL!AC12)</f>
        <v>0</v>
      </c>
      <c r="AD43" s="368">
        <f>IF(ISERR(AD44*PnL!AD12),"-",AD44*PnL!AD12)</f>
        <v>0</v>
      </c>
      <c r="AE43" s="368">
        <f>IF(ISERR(AE44*PnL!AE12),"-",AE44*PnL!AE12)</f>
        <v>0</v>
      </c>
      <c r="AF43" s="368">
        <f>IF(ISERR(AF44*PnL!AF12),"-",AF44*PnL!AF12)</f>
        <v>0</v>
      </c>
      <c r="AG43" s="368">
        <f>IF(ISERR(AG44*PnL!AG12),"-",AG44*PnL!AG12)</f>
        <v>0</v>
      </c>
      <c r="AH43" s="368">
        <f>IF(ISERR(AH44*PnL!AH12),"-",AH44*PnL!AH12)</f>
        <v>0</v>
      </c>
      <c r="AI43" s="368">
        <f>IF(ISERR(AI44*PnL!AI12),"-",AI44*PnL!AI12)</f>
        <v>0</v>
      </c>
      <c r="AJ43" s="368">
        <f>IF(ISERR(AJ44*PnL!AJ12),"-",AJ44*PnL!AJ12)</f>
        <v>0</v>
      </c>
      <c r="AK43" s="368">
        <f>IF(ISERR(AK44*PnL!AK12),"-",AK44*PnL!AK12)</f>
        <v>0</v>
      </c>
      <c r="AL43" s="368">
        <f>IF(ISERR(AL44*PnL!AL12),"-",AL44*PnL!AL12)</f>
        <v>0</v>
      </c>
      <c r="AM43" s="364"/>
      <c r="AN43" s="364"/>
      <c r="AO43" s="364">
        <f t="shared" ref="AO43" si="108">IF(ISERR(AO21/1),"-",-AO21)</f>
        <v>0</v>
      </c>
      <c r="AP43" s="364">
        <f t="shared" ref="AP43:AX43" si="109">IF(ISERR(AP21/1),"-",-AP21)</f>
        <v>0</v>
      </c>
      <c r="AQ43" s="364">
        <f t="shared" si="109"/>
        <v>0</v>
      </c>
      <c r="AR43" s="364">
        <f t="shared" si="109"/>
        <v>0</v>
      </c>
      <c r="AS43" s="364">
        <f t="shared" si="109"/>
        <v>0</v>
      </c>
      <c r="AT43" s="364">
        <f t="shared" si="109"/>
        <v>0</v>
      </c>
      <c r="AU43" s="364">
        <f t="shared" si="109"/>
        <v>0</v>
      </c>
      <c r="AV43" s="364">
        <f t="shared" si="109"/>
        <v>0</v>
      </c>
      <c r="AW43" s="364">
        <f t="shared" si="109"/>
        <v>0</v>
      </c>
      <c r="AX43" s="364">
        <f t="shared" si="109"/>
        <v>0</v>
      </c>
      <c r="AY43" s="368">
        <f>IF(ISERR(AY44*PnL!AY12),"-",AY44*PnL!AY12)</f>
        <v>0</v>
      </c>
      <c r="AZ43" s="368">
        <f>IF(ISERR(AZ44*PnL!AZ12),"-",AZ44*PnL!AZ12)</f>
        <v>0</v>
      </c>
      <c r="BA43" s="368">
        <f>IF(ISERR(BA44*PnL!BA12),"-",BA44*PnL!BA12)</f>
        <v>0</v>
      </c>
      <c r="BB43" s="368">
        <f>IF(ISERR(BB44*PnL!BB12),"-",BB44*PnL!BB12)</f>
        <v>0</v>
      </c>
      <c r="BC43" s="368">
        <f>IF(ISERR(BC44*PnL!BC12),"-",BC44*PnL!BC12)</f>
        <v>0</v>
      </c>
      <c r="BD43" s="364"/>
      <c r="BE43" s="364" t="str">
        <f t="shared" ref="BE43:BI43" si="110">IF(ISERR(BE21/1),"-",-BE21)</f>
        <v>-</v>
      </c>
      <c r="BF43" s="364" t="str">
        <f t="shared" si="110"/>
        <v>-</v>
      </c>
      <c r="BG43" s="364" t="str">
        <f t="shared" si="110"/>
        <v>-</v>
      </c>
      <c r="BH43" s="364" t="str">
        <f t="shared" si="110"/>
        <v>-</v>
      </c>
      <c r="BI43" s="364" t="str">
        <f t="shared" si="110"/>
        <v>-</v>
      </c>
      <c r="BJ43" s="364">
        <f>SUM(AA43:AD43)</f>
        <v>0</v>
      </c>
      <c r="BK43" s="364">
        <f>SUM(AE43:AH43)</f>
        <v>0</v>
      </c>
      <c r="BL43" s="364">
        <f>BL44*PnL!BL12</f>
        <v>0</v>
      </c>
      <c r="BM43" s="364">
        <f>BM44*PnL!BM12</f>
        <v>0</v>
      </c>
      <c r="BN43" s="364">
        <f>BN44*PnL!BN12</f>
        <v>0</v>
      </c>
      <c r="BO43" s="364">
        <f>BO44*PnL!BO12</f>
        <v>0</v>
      </c>
      <c r="BP43" s="364">
        <f>BP44*PnL!BP12</f>
        <v>0</v>
      </c>
      <c r="BQ43" s="364">
        <f>BQ44*PnL!BQ12</f>
        <v>0</v>
      </c>
      <c r="BR43" s="364">
        <f>BR44*PnL!BR12</f>
        <v>0</v>
      </c>
      <c r="BS43" s="364">
        <f>BS44*PnL!BS12</f>
        <v>0</v>
      </c>
      <c r="BT43" s="203"/>
    </row>
    <row r="44" spans="1:72" ht="12.75" customHeight="1" x14ac:dyDescent="0.35">
      <c r="A44" s="153"/>
      <c r="B44" s="362" t="s">
        <v>107</v>
      </c>
      <c r="C44" s="196"/>
      <c r="D44" s="196"/>
      <c r="E44" s="363"/>
      <c r="F44" s="363"/>
      <c r="G44" s="363"/>
      <c r="H44" s="363"/>
      <c r="I44" s="364"/>
      <c r="J44" s="364"/>
      <c r="K44" s="364"/>
      <c r="L44" s="364"/>
      <c r="M44" s="364"/>
      <c r="N44" s="364"/>
      <c r="O44" s="364"/>
      <c r="P44" s="364"/>
      <c r="Q44" s="364"/>
      <c r="R44" s="364"/>
      <c r="S44" s="364"/>
      <c r="T44" s="364"/>
      <c r="U44" s="364"/>
      <c r="V44" s="364"/>
      <c r="W44" s="369">
        <f>IF(ISERR(W43/PnL!W12),"-",W43/PnL!W12)</f>
        <v>0</v>
      </c>
      <c r="X44" s="369">
        <f>IF(ISERR(X43/PnL!X12),"-",X43/PnL!X12)</f>
        <v>0</v>
      </c>
      <c r="Y44" s="369">
        <f>IF(ISERR(Y43/PnL!Y12),"-",Y43/PnL!Y12)</f>
        <v>0</v>
      </c>
      <c r="Z44" s="369">
        <f>IF(ISERR(Z43/PnL!Z12),"-",Z43/PnL!Z12)</f>
        <v>0</v>
      </c>
      <c r="AA44" s="369">
        <f>IF(ISERR(AA43/PnL!AA12),"-",AA43/PnL!AA12)</f>
        <v>0</v>
      </c>
      <c r="AB44" s="369">
        <f>IF(ISERR(AB43/PnL!AB12),"-",AB43/PnL!AB12)</f>
        <v>0</v>
      </c>
      <c r="AC44" s="357">
        <f t="shared" ref="AC44" si="111">IF(ISERROR(AVERAGE(V44:AB44)),"-",AVERAGE(V44:AB44))</f>
        <v>0</v>
      </c>
      <c r="AD44" s="357">
        <f>IF(ISERROR(AVERAGE(W44:AC44)),"-",AVERAGE(W44:AC44))</f>
        <v>0</v>
      </c>
      <c r="AE44" s="357">
        <f t="shared" ref="AE44:AL44" si="112">AD44</f>
        <v>0</v>
      </c>
      <c r="AF44" s="357">
        <f t="shared" si="112"/>
        <v>0</v>
      </c>
      <c r="AG44" s="357">
        <f t="shared" si="112"/>
        <v>0</v>
      </c>
      <c r="AH44" s="357">
        <f t="shared" si="112"/>
        <v>0</v>
      </c>
      <c r="AI44" s="357">
        <f t="shared" si="112"/>
        <v>0</v>
      </c>
      <c r="AJ44" s="357">
        <f t="shared" si="112"/>
        <v>0</v>
      </c>
      <c r="AK44" s="357">
        <f t="shared" si="112"/>
        <v>0</v>
      </c>
      <c r="AL44" s="357">
        <f t="shared" si="112"/>
        <v>0</v>
      </c>
      <c r="AM44" s="370"/>
      <c r="AN44" s="369"/>
      <c r="AO44" s="369" t="str">
        <f>IF(ISERR(AO43/PnL!AO12),"-",AO43/PnL!AO12)</f>
        <v>-</v>
      </c>
      <c r="AP44" s="369" t="str">
        <f>IF(ISERR(AP43/PnL!AP12),"-",AP43/PnL!AP12)</f>
        <v>-</v>
      </c>
      <c r="AQ44" s="369" t="str">
        <f>IF(ISERR(AQ43/PnL!AQ12),"-",AQ43/PnL!AQ12)</f>
        <v>-</v>
      </c>
      <c r="AR44" s="369" t="str">
        <f>IF(ISERR(AR43/PnL!AR12),"-",AR43/PnL!AR12)</f>
        <v>-</v>
      </c>
      <c r="AS44" s="369" t="str">
        <f>IF(ISERR(AS43/PnL!AS12),"-",AS43/PnL!AS12)</f>
        <v>-</v>
      </c>
      <c r="AT44" s="369" t="str">
        <f>IF(ISERR(AT43/PnL!AT12),"-",AT43/PnL!AT12)</f>
        <v>-</v>
      </c>
      <c r="AU44" s="369" t="str">
        <f>IF(ISERR(AU43/PnL!AU12),"-",AU43/PnL!AU12)</f>
        <v>-</v>
      </c>
      <c r="AV44" s="369" t="str">
        <f>IF(ISERR(AV43/PnL!AV12),"-",AV43/PnL!AV12)</f>
        <v>-</v>
      </c>
      <c r="AW44" s="369" t="str">
        <f>IF(ISERR(AW43/PnL!AW12),"-",AW43/PnL!AW12)</f>
        <v>-</v>
      </c>
      <c r="AX44" s="369">
        <f>IF(ISERR(AX43/PnL!AX12),"-",AX43/PnL!AX12)</f>
        <v>0</v>
      </c>
      <c r="AY44" s="357">
        <f t="shared" ref="AY44" si="113">AX44</f>
        <v>0</v>
      </c>
      <c r="AZ44" s="357">
        <f t="shared" ref="AZ44" si="114">AY44</f>
        <v>0</v>
      </c>
      <c r="BA44" s="357">
        <f t="shared" ref="BA44" si="115">AZ44</f>
        <v>0</v>
      </c>
      <c r="BB44" s="357">
        <f t="shared" ref="BB44" si="116">BA44</f>
        <v>0</v>
      </c>
      <c r="BC44" s="357">
        <f t="shared" ref="BC44" si="117">BB44</f>
        <v>0</v>
      </c>
      <c r="BD44" s="369"/>
      <c r="BE44" s="369" t="str">
        <f>IF(ISERR(BE43/PnL!BE12),"-",BE43/PnL!BE12)</f>
        <v>-</v>
      </c>
      <c r="BF44" s="369" t="str">
        <f>IF(ISERR(BF43/PnL!BF12),"-",BF43/PnL!BF12)</f>
        <v>-</v>
      </c>
      <c r="BG44" s="369" t="str">
        <f>IF(ISERR(BG43/PnL!BG12),"-",BG43/PnL!BG12)</f>
        <v>-</v>
      </c>
      <c r="BH44" s="369" t="str">
        <f>IF(ISERR(BH43/PnL!BH12),"-",BH43/PnL!BH12)</f>
        <v>-</v>
      </c>
      <c r="BI44" s="369" t="str">
        <f>IF(ISERR(BI43/PnL!BI12),"-",BI43/PnL!BI12)</f>
        <v>-</v>
      </c>
      <c r="BJ44" s="357">
        <f t="shared" ref="BJ44:BS44" si="118">IF(BI43="-",AVERAGE(AA44:AD44),AVERAGE(BE44:BI44))</f>
        <v>0</v>
      </c>
      <c r="BK44" s="357">
        <f t="shared" si="118"/>
        <v>0</v>
      </c>
      <c r="BL44" s="357">
        <f t="shared" si="118"/>
        <v>0</v>
      </c>
      <c r="BM44" s="357">
        <f t="shared" si="118"/>
        <v>0</v>
      </c>
      <c r="BN44" s="357">
        <f t="shared" si="118"/>
        <v>0</v>
      </c>
      <c r="BO44" s="357">
        <f t="shared" si="118"/>
        <v>0</v>
      </c>
      <c r="BP44" s="357">
        <f t="shared" si="118"/>
        <v>0</v>
      </c>
      <c r="BQ44" s="357">
        <f t="shared" si="118"/>
        <v>0</v>
      </c>
      <c r="BR44" s="357">
        <f t="shared" si="118"/>
        <v>0</v>
      </c>
      <c r="BS44" s="357">
        <f t="shared" si="118"/>
        <v>0</v>
      </c>
      <c r="BT44" s="203"/>
    </row>
    <row r="45" spans="1:72" ht="12.75" customHeight="1" x14ac:dyDescent="0.35">
      <c r="A45" s="153"/>
      <c r="B45" s="362"/>
      <c r="C45" s="196"/>
      <c r="D45" s="196"/>
      <c r="E45" s="363"/>
      <c r="F45" s="363"/>
      <c r="G45" s="363"/>
      <c r="H45" s="363"/>
      <c r="I45" s="364"/>
      <c r="J45" s="364"/>
      <c r="K45" s="364"/>
      <c r="L45" s="364"/>
      <c r="M45" s="364"/>
      <c r="N45" s="364"/>
      <c r="O45" s="364"/>
      <c r="P45" s="364"/>
      <c r="Q45" s="364"/>
      <c r="R45" s="364"/>
      <c r="S45" s="364"/>
      <c r="T45" s="364"/>
      <c r="U45" s="364"/>
      <c r="V45" s="364"/>
      <c r="W45" s="364"/>
      <c r="X45" s="364"/>
      <c r="Y45" s="364"/>
      <c r="Z45" s="364"/>
      <c r="AA45" s="364"/>
      <c r="AB45" s="364"/>
      <c r="AC45" s="364"/>
      <c r="AD45" s="364"/>
      <c r="AE45" s="364"/>
      <c r="AF45" s="364"/>
      <c r="AG45" s="364"/>
      <c r="AH45" s="364"/>
      <c r="AI45" s="364"/>
      <c r="AJ45" s="364"/>
      <c r="AK45" s="364"/>
      <c r="AL45" s="364"/>
      <c r="AM45" s="365"/>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5"/>
      <c r="BN45" s="365"/>
      <c r="BO45" s="365"/>
      <c r="BP45" s="365"/>
      <c r="BQ45" s="365"/>
      <c r="BR45" s="365"/>
      <c r="BS45" s="365"/>
      <c r="BT45" s="203"/>
    </row>
    <row r="46" spans="1:72" ht="12.75" customHeight="1" x14ac:dyDescent="0.35">
      <c r="A46" s="153"/>
      <c r="B46" s="197" t="s">
        <v>108</v>
      </c>
      <c r="C46" s="197"/>
      <c r="D46" s="149"/>
      <c r="E46" s="201"/>
      <c r="F46" s="201"/>
      <c r="G46" s="201"/>
      <c r="H46" s="201"/>
      <c r="I46" s="371"/>
      <c r="J46" s="371"/>
      <c r="K46" s="371"/>
      <c r="L46" s="371"/>
      <c r="M46" s="371"/>
      <c r="N46" s="371"/>
      <c r="O46" s="371"/>
      <c r="P46" s="371"/>
      <c r="Q46" s="371"/>
      <c r="R46" s="371"/>
      <c r="S46" s="371"/>
      <c r="T46" s="371"/>
      <c r="U46" s="371"/>
      <c r="V46" s="371"/>
      <c r="W46" s="371">
        <f>W12</f>
        <v>0</v>
      </c>
      <c r="X46" s="371">
        <f t="shared" ref="X46:Z46" si="119">X12</f>
        <v>0</v>
      </c>
      <c r="Y46" s="371">
        <f t="shared" si="119"/>
        <v>0</v>
      </c>
      <c r="Z46" s="371">
        <f t="shared" si="119"/>
        <v>0</v>
      </c>
      <c r="AA46" s="371">
        <f t="shared" ref="AA46:AB46" si="120">AA12</f>
        <v>0</v>
      </c>
      <c r="AB46" s="371">
        <f t="shared" si="120"/>
        <v>0</v>
      </c>
      <c r="AC46" s="2715">
        <f>AB46</f>
        <v>0</v>
      </c>
      <c r="AD46" s="2715">
        <f t="shared" ref="AD46:AL46" si="121">AC46</f>
        <v>0</v>
      </c>
      <c r="AE46" s="2715">
        <f t="shared" si="121"/>
        <v>0</v>
      </c>
      <c r="AF46" s="2715">
        <f t="shared" si="121"/>
        <v>0</v>
      </c>
      <c r="AG46" s="2715">
        <f t="shared" si="121"/>
        <v>0</v>
      </c>
      <c r="AH46" s="2715">
        <f t="shared" si="121"/>
        <v>0</v>
      </c>
      <c r="AI46" s="2715">
        <f t="shared" si="121"/>
        <v>0</v>
      </c>
      <c r="AJ46" s="2715">
        <f t="shared" si="121"/>
        <v>0</v>
      </c>
      <c r="AK46" s="2715">
        <f t="shared" si="121"/>
        <v>0</v>
      </c>
      <c r="AL46" s="2715">
        <f t="shared" si="121"/>
        <v>0</v>
      </c>
      <c r="AM46" s="371"/>
      <c r="AN46" s="371"/>
      <c r="AO46" s="371">
        <f t="shared" ref="AO46" si="122">IF($A$8="E",AO11,AO12)</f>
        <v>0</v>
      </c>
      <c r="AP46" s="371">
        <f t="shared" ref="AP46:AX46" si="123">IF($A$8="E",AP11,AP12)</f>
        <v>0</v>
      </c>
      <c r="AQ46" s="371">
        <f t="shared" si="123"/>
        <v>0</v>
      </c>
      <c r="AR46" s="371">
        <f t="shared" si="123"/>
        <v>0</v>
      </c>
      <c r="AS46" s="371">
        <f t="shared" si="123"/>
        <v>0</v>
      </c>
      <c r="AT46" s="371">
        <f t="shared" si="123"/>
        <v>0</v>
      </c>
      <c r="AU46" s="371">
        <f t="shared" si="123"/>
        <v>0</v>
      </c>
      <c r="AV46" s="371">
        <f t="shared" si="123"/>
        <v>0</v>
      </c>
      <c r="AW46" s="371">
        <f t="shared" si="123"/>
        <v>0</v>
      </c>
      <c r="AX46" s="371">
        <f t="shared" si="123"/>
        <v>0</v>
      </c>
      <c r="AY46" s="371" t="e">
        <f>AY47*BS!AX16</f>
        <v>#DIV/0!</v>
      </c>
      <c r="AZ46" s="371" t="e">
        <f>AZ47*BS!AY16</f>
        <v>#DIV/0!</v>
      </c>
      <c r="BA46" s="371" t="e">
        <f>BA47*BS!AZ16</f>
        <v>#DIV/0!</v>
      </c>
      <c r="BB46" s="371" t="e">
        <f>BB47*BS!BA16</f>
        <v>#DIV/0!</v>
      </c>
      <c r="BC46" s="371" t="e">
        <f>BC47*BS!BB16</f>
        <v>#DIV/0!</v>
      </c>
      <c r="BD46" s="371"/>
      <c r="BE46" s="371">
        <f t="shared" ref="BE46:BS46" si="124">IF($A$8="E",BE11,BE12)</f>
        <v>1295</v>
      </c>
      <c r="BF46" s="371">
        <f t="shared" si="124"/>
        <v>5177</v>
      </c>
      <c r="BG46" s="371">
        <f t="shared" si="124"/>
        <v>8654</v>
      </c>
      <c r="BH46" s="371">
        <f t="shared" si="124"/>
        <v>14818</v>
      </c>
      <c r="BI46" s="371">
        <f t="shared" si="124"/>
        <v>20325</v>
      </c>
      <c r="BJ46" s="371">
        <f t="shared" si="124"/>
        <v>25692.410645069474</v>
      </c>
      <c r="BK46" s="371">
        <f t="shared" si="124"/>
        <v>32582.369552791832</v>
      </c>
      <c r="BL46" s="371">
        <f>IF($A$8="E",BL11,BL12)</f>
        <v>39619.610684314124</v>
      </c>
      <c r="BM46" s="371">
        <f t="shared" si="124"/>
        <v>41985.69229888112</v>
      </c>
      <c r="BN46" s="371">
        <f t="shared" si="124"/>
        <v>44470.07799417647</v>
      </c>
      <c r="BO46" s="371">
        <f t="shared" si="124"/>
        <v>47078.682974236588</v>
      </c>
      <c r="BP46" s="371">
        <f t="shared" si="124"/>
        <v>49817.718203299708</v>
      </c>
      <c r="BQ46" s="371">
        <f t="shared" si="124"/>
        <v>52693.705193815986</v>
      </c>
      <c r="BR46" s="371">
        <f t="shared" si="124"/>
        <v>55713.491533858076</v>
      </c>
      <c r="BS46" s="371">
        <f t="shared" si="124"/>
        <v>58884.267190902268</v>
      </c>
      <c r="BT46" s="203"/>
    </row>
    <row r="47" spans="1:72" ht="12.75" customHeight="1" x14ac:dyDescent="0.35">
      <c r="A47" s="153"/>
      <c r="B47" s="197" t="s">
        <v>109</v>
      </c>
      <c r="C47" s="197"/>
      <c r="D47" s="149"/>
      <c r="E47" s="201"/>
      <c r="F47" s="201"/>
      <c r="G47" s="201"/>
      <c r="H47" s="201"/>
      <c r="I47" s="371"/>
      <c r="J47" s="371"/>
      <c r="K47" s="371"/>
      <c r="L47" s="371"/>
      <c r="M47" s="371"/>
      <c r="N47" s="371"/>
      <c r="O47" s="371"/>
      <c r="P47" s="371"/>
      <c r="Q47" s="371"/>
      <c r="R47" s="371"/>
      <c r="S47" s="371"/>
      <c r="T47" s="371"/>
      <c r="U47" s="371"/>
      <c r="V47" s="371"/>
      <c r="W47" s="354"/>
      <c r="X47" s="371" t="e">
        <f>X46/BS!W16</f>
        <v>#DIV/0!</v>
      </c>
      <c r="Y47" s="371" t="e">
        <f>Y46/BS!X16</f>
        <v>#DIV/0!</v>
      </c>
      <c r="Z47" s="371" t="e">
        <f>Z46/BS!Y16</f>
        <v>#DIV/0!</v>
      </c>
      <c r="AA47" s="371">
        <f>AA46/BS!Z16</f>
        <v>0</v>
      </c>
      <c r="AB47" s="371" t="e">
        <f>AB46/BS!AA16</f>
        <v>#DIV/0!</v>
      </c>
      <c r="AC47" s="357">
        <v>0</v>
      </c>
      <c r="AD47" s="357">
        <f>AC47</f>
        <v>0</v>
      </c>
      <c r="AE47" s="357">
        <f>AD47</f>
        <v>0</v>
      </c>
      <c r="AF47" s="357">
        <f t="shared" ref="AF47:AL47" si="125">AE47</f>
        <v>0</v>
      </c>
      <c r="AG47" s="357">
        <f t="shared" si="125"/>
        <v>0</v>
      </c>
      <c r="AH47" s="357">
        <f t="shared" si="125"/>
        <v>0</v>
      </c>
      <c r="AI47" s="357">
        <f t="shared" si="125"/>
        <v>0</v>
      </c>
      <c r="AJ47" s="357">
        <f t="shared" si="125"/>
        <v>0</v>
      </c>
      <c r="AK47" s="357">
        <f t="shared" si="125"/>
        <v>0</v>
      </c>
      <c r="AL47" s="357">
        <f t="shared" si="125"/>
        <v>0</v>
      </c>
      <c r="AM47" s="354"/>
      <c r="AN47" s="371"/>
      <c r="AO47" s="371" t="e">
        <f>AO46/BS!AN16</f>
        <v>#DIV/0!</v>
      </c>
      <c r="AP47" s="371" t="e">
        <f>AP46/BS!AO16</f>
        <v>#DIV/0!</v>
      </c>
      <c r="AQ47" s="371" t="e">
        <f>AQ46/BS!AP16</f>
        <v>#DIV/0!</v>
      </c>
      <c r="AR47" s="371" t="e">
        <f>AR46/BS!AQ16</f>
        <v>#DIV/0!</v>
      </c>
      <c r="AS47" s="371" t="e">
        <f>AS46/BS!AR16</f>
        <v>#DIV/0!</v>
      </c>
      <c r="AT47" s="371" t="e">
        <f>AT46/BS!AS16</f>
        <v>#DIV/0!</v>
      </c>
      <c r="AU47" s="371" t="e">
        <f>AU46/BS!AT16</f>
        <v>#DIV/0!</v>
      </c>
      <c r="AV47" s="371" t="e">
        <f>AV46/BS!AU16</f>
        <v>#DIV/0!</v>
      </c>
      <c r="AW47" s="371" t="e">
        <f>AW46/BS!AV16</f>
        <v>#DIV/0!</v>
      </c>
      <c r="AX47" s="371" t="e">
        <f>AX46/BS!AW16</f>
        <v>#DIV/0!</v>
      </c>
      <c r="AY47" s="357" t="e">
        <f t="shared" ref="AY47" si="126">AX47</f>
        <v>#DIV/0!</v>
      </c>
      <c r="AZ47" s="357" t="e">
        <f t="shared" ref="AZ47" si="127">AY47</f>
        <v>#DIV/0!</v>
      </c>
      <c r="BA47" s="357" t="e">
        <f t="shared" ref="BA47" si="128">AZ47</f>
        <v>#DIV/0!</v>
      </c>
      <c r="BB47" s="357" t="e">
        <f t="shared" ref="BB47" si="129">BA47</f>
        <v>#DIV/0!</v>
      </c>
      <c r="BC47" s="357" t="e">
        <f t="shared" ref="BC47" si="130">BB47</f>
        <v>#DIV/0!</v>
      </c>
      <c r="BD47" s="371"/>
      <c r="BE47" s="373"/>
      <c r="BF47" s="385">
        <f>BF46/BS!BE16</f>
        <v>0.23736817973406693</v>
      </c>
      <c r="BG47" s="385">
        <f>BG46/BS!BF16</f>
        <v>0.26654757138017066</v>
      </c>
      <c r="BH47" s="385">
        <f>BH46/BS!BG16</f>
        <v>0.17046291183508192</v>
      </c>
      <c r="BI47" s="355">
        <f>BI46/BS!BH16</f>
        <v>0.16134153601905141</v>
      </c>
      <c r="BJ47" s="2721">
        <f>BI47</f>
        <v>0.16134153601905141</v>
      </c>
      <c r="BK47" s="2721">
        <f>BJ47</f>
        <v>0.16134153601905141</v>
      </c>
      <c r="BL47" s="2721">
        <f>BK47</f>
        <v>0.16134153601905141</v>
      </c>
      <c r="BM47" s="2721">
        <f t="shared" ref="BM47:BS47" si="131">BL47</f>
        <v>0.16134153601905141</v>
      </c>
      <c r="BN47" s="2721">
        <f t="shared" si="131"/>
        <v>0.16134153601905141</v>
      </c>
      <c r="BO47" s="2721">
        <f t="shared" si="131"/>
        <v>0.16134153601905141</v>
      </c>
      <c r="BP47" s="2721">
        <f t="shared" si="131"/>
        <v>0.16134153601905141</v>
      </c>
      <c r="BQ47" s="2721">
        <f t="shared" si="131"/>
        <v>0.16134153601905141</v>
      </c>
      <c r="BR47" s="2721">
        <f t="shared" si="131"/>
        <v>0.16134153601905141</v>
      </c>
      <c r="BS47" s="2721">
        <f t="shared" si="131"/>
        <v>0.16134153601905141</v>
      </c>
      <c r="BT47" s="203"/>
    </row>
    <row r="48" spans="1:72" ht="12.75" customHeight="1" x14ac:dyDescent="0.35">
      <c r="A48" s="153"/>
      <c r="B48" s="149"/>
      <c r="C48" s="197"/>
      <c r="D48" s="197"/>
      <c r="E48" s="197"/>
      <c r="F48" s="201"/>
      <c r="G48" s="201"/>
      <c r="H48" s="201"/>
      <c r="I48" s="371"/>
      <c r="J48" s="371"/>
      <c r="K48" s="371"/>
      <c r="L48" s="371"/>
      <c r="M48" s="371"/>
      <c r="N48" s="371"/>
      <c r="O48" s="371"/>
      <c r="P48" s="371"/>
      <c r="Q48" s="371"/>
      <c r="R48" s="371"/>
      <c r="S48" s="371"/>
      <c r="T48" s="371"/>
      <c r="U48" s="371"/>
      <c r="V48" s="371"/>
      <c r="W48" s="371"/>
      <c r="X48" s="371"/>
      <c r="Y48" s="371"/>
      <c r="Z48" s="371"/>
      <c r="AA48" s="371"/>
      <c r="AB48" s="371"/>
      <c r="AC48" s="167"/>
      <c r="AD48" s="167"/>
      <c r="AE48" s="167"/>
      <c r="AF48" s="167"/>
      <c r="AG48" s="167"/>
      <c r="AH48" s="167"/>
      <c r="AI48" s="167"/>
      <c r="AJ48" s="167"/>
      <c r="AK48" s="167"/>
      <c r="AL48" s="167"/>
      <c r="AM48" s="372"/>
      <c r="AN48" s="167"/>
      <c r="AO48" s="167"/>
      <c r="AP48" s="167"/>
      <c r="AQ48" s="167"/>
      <c r="AR48" s="167"/>
      <c r="AS48" s="167"/>
      <c r="AT48" s="167"/>
      <c r="AU48" s="167"/>
      <c r="AV48" s="167"/>
      <c r="AW48" s="167"/>
      <c r="AX48" s="167"/>
      <c r="AY48" s="167"/>
      <c r="AZ48" s="167"/>
      <c r="BA48" s="167"/>
      <c r="BB48" s="167"/>
      <c r="BC48" s="167"/>
      <c r="BD48" s="371"/>
      <c r="BE48" s="371"/>
      <c r="BF48" s="371"/>
      <c r="BG48" s="371"/>
      <c r="BH48" s="371"/>
      <c r="BI48" s="371"/>
      <c r="BJ48" s="167"/>
      <c r="BK48" s="167"/>
      <c r="BL48" s="167"/>
      <c r="BM48" s="372"/>
      <c r="BN48" s="372"/>
      <c r="BO48" s="372"/>
      <c r="BP48" s="372"/>
      <c r="BQ48" s="372"/>
      <c r="BR48" s="372"/>
      <c r="BS48" s="372"/>
      <c r="BT48" s="203"/>
    </row>
    <row r="49" spans="1:72" ht="12.75" customHeight="1" x14ac:dyDescent="0.35">
      <c r="A49" s="153"/>
      <c r="B49" s="197" t="s">
        <v>110</v>
      </c>
      <c r="C49" s="197"/>
      <c r="D49" s="197"/>
      <c r="E49" s="197"/>
      <c r="F49" s="201"/>
      <c r="G49" s="201"/>
      <c r="H49" s="201"/>
      <c r="I49" s="371"/>
      <c r="J49" s="371"/>
      <c r="K49" s="371"/>
      <c r="L49" s="371"/>
      <c r="M49" s="371"/>
      <c r="N49" s="371"/>
      <c r="O49" s="371"/>
      <c r="P49" s="371"/>
      <c r="Q49" s="371"/>
      <c r="R49" s="371"/>
      <c r="S49" s="371"/>
      <c r="T49" s="371"/>
      <c r="U49" s="371"/>
      <c r="V49" s="371"/>
      <c r="W49" s="371">
        <f>IF(W13/1&gt;0,W13,W11-W12)</f>
        <v>3066</v>
      </c>
      <c r="X49" s="371">
        <f t="shared" ref="X49:Y49" si="132">IF(X13/1&gt;0,X13,X11-X12)</f>
        <v>3006</v>
      </c>
      <c r="Y49" s="371">
        <f t="shared" si="132"/>
        <v>3272</v>
      </c>
      <c r="Z49" s="371">
        <f>IF(Z13/1&gt;0,Z13,Z11-Z12)</f>
        <v>4044</v>
      </c>
      <c r="AA49" s="371">
        <f t="shared" ref="AA49:AB49" si="133">IF(AA13/1&gt;0,AA13,AA11-AA12)</f>
        <v>2952</v>
      </c>
      <c r="AB49" s="371">
        <f t="shared" si="133"/>
        <v>2888</v>
      </c>
      <c r="AC49" s="371">
        <f>IF(ISERR(AC50*BS!AB20),0,AC50*BS!AB20)</f>
        <v>2827.7121222646751</v>
      </c>
      <c r="AD49" s="371">
        <f>IF(ISERR(AD50*BS!AC20),0,AD50*BS!AC20)</f>
        <v>2685.8845326658497</v>
      </c>
      <c r="AE49" s="371">
        <f>IF(ISERR(AE50*BS!AD20),0,AE50*BS!AD20)</f>
        <v>2551.170490805152</v>
      </c>
      <c r="AF49" s="371">
        <f>IF(ISERR(AF50*BS!AE20),0,AF50*BS!AE20)</f>
        <v>2423.213207417773</v>
      </c>
      <c r="AG49" s="371">
        <f>IF(ISERR(AG50*BS!AF20),0,AG50*BS!AF20)</f>
        <v>2301.6737884698305</v>
      </c>
      <c r="AH49" s="371">
        <f>IF(ISERR(AH50*BS!AG20),0,AH50*BS!AG20)</f>
        <v>2186.2303375997217</v>
      </c>
      <c r="AI49" s="371">
        <f>IF(ISERR(AI50*BS!AH20),0,AI50*BS!AH20)</f>
        <v>2076.5771035777002</v>
      </c>
      <c r="AJ49" s="371">
        <f>IF(ISERR(AJ50*BS!AI20),0,AJ50*BS!AI20)</f>
        <v>1972.4236705257308</v>
      </c>
      <c r="AK49" s="371">
        <f>IF(ISERR(AK50*BS!AJ20),0,AK50*BS!AJ20)</f>
        <v>1873.4941887529226</v>
      </c>
      <c r="AL49" s="371">
        <f>IF(ISERR(AL50*BS!AK20),0,AL50*BS!AK20)</f>
        <v>1779.5266441694137</v>
      </c>
      <c r="AM49" s="372"/>
      <c r="AN49" s="371"/>
      <c r="AO49" s="371">
        <f t="shared" ref="AO49:AX49" si="134">IF($A$8="E","-",AO13)</f>
        <v>0</v>
      </c>
      <c r="AP49" s="371">
        <f t="shared" si="134"/>
        <v>0</v>
      </c>
      <c r="AQ49" s="371">
        <f t="shared" si="134"/>
        <v>0</v>
      </c>
      <c r="AR49" s="371">
        <f t="shared" si="134"/>
        <v>0</v>
      </c>
      <c r="AS49" s="371">
        <f t="shared" si="134"/>
        <v>0</v>
      </c>
      <c r="AT49" s="371">
        <f t="shared" si="134"/>
        <v>0</v>
      </c>
      <c r="AU49" s="371">
        <f t="shared" si="134"/>
        <v>0</v>
      </c>
      <c r="AV49" s="371">
        <f t="shared" si="134"/>
        <v>0</v>
      </c>
      <c r="AW49" s="371">
        <f t="shared" si="134"/>
        <v>0</v>
      </c>
      <c r="AX49" s="371">
        <f t="shared" si="134"/>
        <v>0</v>
      </c>
      <c r="AY49" s="371">
        <f>IF(ISERR(AY50*BS!AX20),0,AY50*BS!AX20)</f>
        <v>0</v>
      </c>
      <c r="AZ49" s="371">
        <f>IF(ISERR(AZ50*BS!AY20),0,AZ50*BS!AY20)</f>
        <v>0</v>
      </c>
      <c r="BA49" s="371">
        <f>IF(ISERR(BA50*BS!AZ20),0,BA50*BS!AZ20)</f>
        <v>0</v>
      </c>
      <c r="BB49" s="371">
        <f>IF(ISERR(BB50*BS!BA20),0,BB50*BS!BA20)</f>
        <v>0</v>
      </c>
      <c r="BC49" s="371">
        <f>IF(ISERR(BC50*BS!BB20),0,BC50*BS!BB20)</f>
        <v>0</v>
      </c>
      <c r="BD49" s="371"/>
      <c r="BE49" s="371">
        <f>IF($A$8="E","-",BE13)</f>
        <v>2931</v>
      </c>
      <c r="BF49" s="371">
        <f>IF($A$8="E","-",BF13)</f>
        <v>5122</v>
      </c>
      <c r="BG49" s="371">
        <f>IF($A$8="E","-",BG13)</f>
        <v>7120</v>
      </c>
      <c r="BH49" s="371">
        <f>IF($A$8="E","-",BH13)</f>
        <v>10727</v>
      </c>
      <c r="BI49" s="371">
        <f>IF($A$8="E","-",BI13)</f>
        <v>13388</v>
      </c>
      <c r="BJ49" s="371">
        <f>IF(ISERR(BJ50*BS!BI20),0,BJ50*BS!BI20)</f>
        <v>12189.400000000001</v>
      </c>
      <c r="BK49" s="371">
        <f>IF(ISERR(BK50*BS!BJ20),0,BK50*BS!BJ20)</f>
        <v>10172.880669013895</v>
      </c>
      <c r="BL49" s="371">
        <f>IF(ISERR(BL50*BS!BK20),0,BL50*BS!BK20)</f>
        <v>8280.4231041553994</v>
      </c>
      <c r="BM49" s="371">
        <f>IF(ISERR(BM50*BS!BL20),0,BM50*BS!BL20)</f>
        <v>6740.0187827502486</v>
      </c>
      <c r="BN49" s="371">
        <f>IF(ISERR(BN50*BS!BM20),0,BN50*BS!BM20)</f>
        <v>5392.0150262001989</v>
      </c>
      <c r="BO49" s="371">
        <f>IF(ISERR(BO50*BS!BN20),0,BO50*BS!BN20)</f>
        <v>4313.6120209601586</v>
      </c>
      <c r="BP49" s="371">
        <f>IF(ISERR(BP50*BS!BO20),0,BP50*BS!BO20)</f>
        <v>3450.8896167681269</v>
      </c>
      <c r="BQ49" s="371">
        <f>IF(ISERR(BQ50*BS!BP20),0,BQ50*BS!BP20)</f>
        <v>2760.7116934145015</v>
      </c>
      <c r="BR49" s="371">
        <f>IF(ISERR(BR50*BS!BQ20),0,BR50*BS!BQ20)</f>
        <v>2208.5693547316014</v>
      </c>
      <c r="BS49" s="371">
        <f>IF(ISERR(BS50*BS!BR20),0,BS50*BS!BR20)</f>
        <v>1766.8554837852812</v>
      </c>
      <c r="BT49" s="203"/>
    </row>
    <row r="50" spans="1:72" ht="12.75" customHeight="1" x14ac:dyDescent="0.35">
      <c r="A50" s="153"/>
      <c r="B50" s="197" t="s">
        <v>111</v>
      </c>
      <c r="C50" s="197"/>
      <c r="D50" s="197"/>
      <c r="E50" s="197"/>
      <c r="F50" s="201"/>
      <c r="G50" s="201"/>
      <c r="H50" s="201"/>
      <c r="I50" s="371"/>
      <c r="J50" s="371"/>
      <c r="K50" s="371"/>
      <c r="L50" s="371"/>
      <c r="M50" s="371"/>
      <c r="N50" s="371"/>
      <c r="O50" s="371"/>
      <c r="P50" s="371"/>
      <c r="Q50" s="371"/>
      <c r="R50" s="371"/>
      <c r="S50" s="371"/>
      <c r="T50" s="371"/>
      <c r="U50" s="371"/>
      <c r="V50" s="371"/>
      <c r="W50" s="371"/>
      <c r="X50" s="354">
        <f>X49/BS!W20</f>
        <v>4.5532346748663265E-2</v>
      </c>
      <c r="Y50" s="354">
        <f>Y49/BS!X20</f>
        <v>4.9500756429652043E-2</v>
      </c>
      <c r="Z50" s="354">
        <f>Z49/BS!Y20</f>
        <v>6.2457527645641567E-2</v>
      </c>
      <c r="AA50" s="354">
        <f>AA49/BS!Z20</f>
        <v>4.8435525948775163E-2</v>
      </c>
      <c r="AB50" s="354">
        <f>AB49/BS!AA20</f>
        <v>5.0156304272316779E-2</v>
      </c>
      <c r="AC50" s="357">
        <f t="shared" ref="AC50" si="135">AB50</f>
        <v>5.0156304272316779E-2</v>
      </c>
      <c r="AD50" s="357">
        <f>AC50</f>
        <v>5.0156304272316779E-2</v>
      </c>
      <c r="AE50" s="357">
        <f t="shared" ref="AE50:AL50" si="136">AD50</f>
        <v>5.0156304272316779E-2</v>
      </c>
      <c r="AF50" s="357">
        <f>AE50</f>
        <v>5.0156304272316779E-2</v>
      </c>
      <c r="AG50" s="357">
        <f t="shared" si="136"/>
        <v>5.0156304272316779E-2</v>
      </c>
      <c r="AH50" s="357">
        <f t="shared" si="136"/>
        <v>5.0156304272316779E-2</v>
      </c>
      <c r="AI50" s="357">
        <f t="shared" si="136"/>
        <v>5.0156304272316779E-2</v>
      </c>
      <c r="AJ50" s="357">
        <f t="shared" si="136"/>
        <v>5.0156304272316779E-2</v>
      </c>
      <c r="AK50" s="357">
        <f t="shared" si="136"/>
        <v>5.0156304272316779E-2</v>
      </c>
      <c r="AL50" s="357">
        <f t="shared" si="136"/>
        <v>5.0156304272316779E-2</v>
      </c>
      <c r="AM50" s="372"/>
      <c r="AN50" s="354"/>
      <c r="AO50" s="354" t="e">
        <f>IF($A$8="E","-",AO49/BS!AN20)</f>
        <v>#DIV/0!</v>
      </c>
      <c r="AP50" s="354" t="e">
        <f>IF($A$8="E","-",AP49/BS!AO20)</f>
        <v>#DIV/0!</v>
      </c>
      <c r="AQ50" s="354" t="e">
        <f>IF($A$8="E","-",AQ49/BS!AP20)</f>
        <v>#DIV/0!</v>
      </c>
      <c r="AR50" s="354" t="e">
        <f>IF($A$8="E","-",AR49/BS!AQ20)</f>
        <v>#DIV/0!</v>
      </c>
      <c r="AS50" s="354" t="e">
        <f>IF($A$8="E","-",AS49/BS!AR20)</f>
        <v>#DIV/0!</v>
      </c>
      <c r="AT50" s="354" t="e">
        <f>IF($A$8="E","-",AT49/BS!AS20)</f>
        <v>#DIV/0!</v>
      </c>
      <c r="AU50" s="354" t="e">
        <f>IF($A$8="E","-",AU49/BS!AT20)</f>
        <v>#DIV/0!</v>
      </c>
      <c r="AV50" s="354" t="e">
        <f>IF($A$8="E","-",AV49/BS!AU20)</f>
        <v>#DIV/0!</v>
      </c>
      <c r="AW50" s="354" t="e">
        <f>IF($A$8="E","-",AW49/BS!AV20)</f>
        <v>#DIV/0!</v>
      </c>
      <c r="AX50" s="354" t="e">
        <f>IF($A$8="E","-",AX49/BS!AW20)</f>
        <v>#DIV/0!</v>
      </c>
      <c r="AY50" s="357" t="e">
        <f t="shared" ref="AY50" si="137">AX50</f>
        <v>#DIV/0!</v>
      </c>
      <c r="AZ50" s="357" t="e">
        <f t="shared" ref="AZ50" si="138">AY50</f>
        <v>#DIV/0!</v>
      </c>
      <c r="BA50" s="357" t="e">
        <f t="shared" ref="BA50" si="139">AZ50</f>
        <v>#DIV/0!</v>
      </c>
      <c r="BB50" s="357" t="e">
        <f t="shared" ref="BB50" si="140">BA50</f>
        <v>#DIV/0!</v>
      </c>
      <c r="BC50" s="357" t="e">
        <f t="shared" ref="BC50" si="141">BB50</f>
        <v>#DIV/0!</v>
      </c>
      <c r="BD50" s="354"/>
      <c r="BE50" s="371"/>
      <c r="BF50" s="354">
        <f>IF($A$8="E","-",BF49/BS!BE20)</f>
        <v>0.95381750465549353</v>
      </c>
      <c r="BG50" s="354">
        <f>IF($A$8="E","-",BG49/BS!BF20)</f>
        <v>0.50467819676779135</v>
      </c>
      <c r="BH50" s="354">
        <f>IF($A$8="E","-",BH49/BS!BG20)</f>
        <v>0.3905698161296195</v>
      </c>
      <c r="BI50" s="354">
        <f>IF($A$8="E","-",BI49/BS!BH20)</f>
        <v>0.19608647255258072</v>
      </c>
      <c r="BJ50" s="198">
        <v>0.2</v>
      </c>
      <c r="BK50" s="198">
        <v>0.2</v>
      </c>
      <c r="BL50" s="198">
        <v>0.2</v>
      </c>
      <c r="BM50" s="198">
        <v>0.2</v>
      </c>
      <c r="BN50" s="198">
        <v>0.2</v>
      </c>
      <c r="BO50" s="198">
        <v>0.2</v>
      </c>
      <c r="BP50" s="198">
        <v>0.2</v>
      </c>
      <c r="BQ50" s="198">
        <v>0.2</v>
      </c>
      <c r="BR50" s="198">
        <v>0.2</v>
      </c>
      <c r="BS50" s="198">
        <v>0.2</v>
      </c>
      <c r="BT50" s="203"/>
    </row>
    <row r="51" spans="1:72" ht="12.75" customHeight="1" x14ac:dyDescent="0.35">
      <c r="A51" s="153"/>
      <c r="B51" s="197" t="s">
        <v>112</v>
      </c>
      <c r="C51" s="197"/>
      <c r="D51" s="197"/>
      <c r="E51" s="197"/>
      <c r="F51" s="201"/>
      <c r="G51" s="201"/>
      <c r="H51" s="201"/>
      <c r="I51" s="371"/>
      <c r="J51" s="371"/>
      <c r="K51" s="371"/>
      <c r="L51" s="371"/>
      <c r="M51" s="371"/>
      <c r="N51" s="371"/>
      <c r="O51" s="371"/>
      <c r="P51" s="371"/>
      <c r="Q51" s="371"/>
      <c r="R51" s="371"/>
      <c r="S51" s="371"/>
      <c r="T51" s="371"/>
      <c r="U51" s="371"/>
      <c r="V51" s="371"/>
      <c r="W51" s="371"/>
      <c r="X51" s="371"/>
      <c r="Y51" s="371"/>
      <c r="Z51" s="371"/>
      <c r="AA51" s="371"/>
      <c r="AB51" s="371"/>
      <c r="AC51" s="167" t="str">
        <f t="shared" ref="AC51" si="142">IF(AC49&gt;AC43,"Yes","No")</f>
        <v>Yes</v>
      </c>
      <c r="AD51" s="167" t="str">
        <f t="shared" ref="AD51:AL51" si="143">IF(AD49&gt;AD43,"Yes","No")</f>
        <v>Yes</v>
      </c>
      <c r="AE51" s="167" t="str">
        <f t="shared" si="143"/>
        <v>Yes</v>
      </c>
      <c r="AF51" s="167" t="str">
        <f t="shared" si="143"/>
        <v>Yes</v>
      </c>
      <c r="AG51" s="167" t="str">
        <f t="shared" si="143"/>
        <v>Yes</v>
      </c>
      <c r="AH51" s="167" t="str">
        <f t="shared" si="143"/>
        <v>Yes</v>
      </c>
      <c r="AI51" s="167" t="str">
        <f t="shared" si="143"/>
        <v>Yes</v>
      </c>
      <c r="AJ51" s="167" t="str">
        <f t="shared" si="143"/>
        <v>Yes</v>
      </c>
      <c r="AK51" s="167" t="str">
        <f t="shared" si="143"/>
        <v>Yes</v>
      </c>
      <c r="AL51" s="167" t="str">
        <f t="shared" si="143"/>
        <v>Yes</v>
      </c>
      <c r="AM51" s="372"/>
      <c r="AN51" s="371"/>
      <c r="AO51" s="167"/>
      <c r="AP51" s="167"/>
      <c r="AQ51" s="167"/>
      <c r="AR51" s="167"/>
      <c r="AS51" s="167"/>
      <c r="AT51" s="167"/>
      <c r="AU51" s="167"/>
      <c r="AV51" s="167"/>
      <c r="AW51" s="167"/>
      <c r="AX51" s="167"/>
      <c r="AY51" s="167" t="str">
        <f>IF(AY49&gt;AY43,"Yes","No")</f>
        <v>No</v>
      </c>
      <c r="AZ51" s="167" t="str">
        <f>IF(AZ49&gt;AZ43,"Yes","No")</f>
        <v>No</v>
      </c>
      <c r="BA51" s="167" t="str">
        <f>IF(BA49&gt;BA43,"Yes","No")</f>
        <v>No</v>
      </c>
      <c r="BB51" s="167" t="str">
        <f>IF(BB49&gt;BB43,"Yes","No")</f>
        <v>No</v>
      </c>
      <c r="BC51" s="167" t="str">
        <f>IF(BC49&gt;BC43,"Yes","No")</f>
        <v>No</v>
      </c>
      <c r="BD51" s="371"/>
      <c r="BE51" s="371"/>
      <c r="BF51" s="371"/>
      <c r="BG51" s="371"/>
      <c r="BH51" s="371"/>
      <c r="BI51" s="371"/>
      <c r="BJ51" s="167" t="str">
        <f>IF(BJ49&gt;BJ43,"Yes","No")</f>
        <v>Yes</v>
      </c>
      <c r="BK51" s="167" t="str">
        <f>IF(BK49&gt;BK43,"Yes","No")</f>
        <v>Yes</v>
      </c>
      <c r="BL51" s="167" t="str">
        <f>IF(BL49&gt;BL43,"Yes","No")</f>
        <v>Yes</v>
      </c>
      <c r="BM51" s="167" t="str">
        <f t="shared" ref="BM51:BS51" si="144">IF(BM49&gt;BM43,"Yes","No")</f>
        <v>Yes</v>
      </c>
      <c r="BN51" s="167" t="str">
        <f t="shared" si="144"/>
        <v>Yes</v>
      </c>
      <c r="BO51" s="167" t="str">
        <f t="shared" si="144"/>
        <v>Yes</v>
      </c>
      <c r="BP51" s="167" t="str">
        <f t="shared" si="144"/>
        <v>Yes</v>
      </c>
      <c r="BQ51" s="167" t="str">
        <f t="shared" si="144"/>
        <v>Yes</v>
      </c>
      <c r="BR51" s="167" t="str">
        <f t="shared" si="144"/>
        <v>Yes</v>
      </c>
      <c r="BS51" s="167" t="str">
        <f t="shared" si="144"/>
        <v>Yes</v>
      </c>
      <c r="BT51" s="203"/>
    </row>
    <row r="52" spans="1:72" ht="13.9" x14ac:dyDescent="0.35">
      <c r="A52" s="153"/>
      <c r="B52" s="197"/>
      <c r="C52" s="197"/>
      <c r="D52" s="197"/>
      <c r="E52" s="197"/>
      <c r="F52" s="201"/>
      <c r="G52" s="201"/>
      <c r="H52" s="201"/>
      <c r="I52" s="371"/>
      <c r="J52" s="371"/>
      <c r="K52" s="371"/>
      <c r="L52" s="371"/>
      <c r="M52" s="371"/>
      <c r="N52" s="371"/>
      <c r="O52" s="371"/>
      <c r="P52" s="371"/>
      <c r="Q52" s="371"/>
      <c r="R52" s="371"/>
      <c r="S52" s="371"/>
      <c r="T52" s="371"/>
      <c r="U52" s="371"/>
      <c r="V52" s="371"/>
      <c r="W52" s="371"/>
      <c r="X52" s="371"/>
      <c r="Y52" s="371"/>
      <c r="Z52" s="371"/>
      <c r="AA52" s="167"/>
      <c r="AB52" s="167"/>
      <c r="AC52" s="167"/>
      <c r="AD52" s="167"/>
      <c r="AE52" s="167"/>
      <c r="AF52" s="167"/>
      <c r="AG52" s="167"/>
      <c r="AH52" s="167"/>
      <c r="AI52" s="167"/>
      <c r="AJ52" s="167"/>
      <c r="AK52" s="167"/>
      <c r="AL52" s="167"/>
      <c r="AM52" s="372"/>
      <c r="AN52" s="371"/>
      <c r="AO52" s="371"/>
      <c r="AP52" s="371"/>
      <c r="AQ52" s="371"/>
      <c r="AR52" s="371"/>
      <c r="AS52" s="371"/>
      <c r="AT52" s="371"/>
      <c r="AU52" s="371"/>
      <c r="AV52" s="371"/>
      <c r="AW52" s="371"/>
      <c r="AX52" s="371"/>
      <c r="AY52" s="371"/>
      <c r="AZ52" s="371"/>
      <c r="BA52" s="371"/>
      <c r="BB52" s="371"/>
      <c r="BC52" s="371"/>
      <c r="BD52" s="371"/>
      <c r="BE52" s="371"/>
      <c r="BF52" s="371"/>
      <c r="BG52" s="371"/>
      <c r="BH52" s="371"/>
      <c r="BI52" s="167"/>
      <c r="BJ52" s="167"/>
      <c r="BK52" s="167"/>
      <c r="BL52" s="167"/>
      <c r="BM52" s="372"/>
      <c r="BN52" s="372"/>
      <c r="BO52" s="372"/>
      <c r="BP52" s="372"/>
      <c r="BQ52" s="372"/>
      <c r="BR52" s="372"/>
      <c r="BS52" s="372"/>
      <c r="BT52" s="203"/>
    </row>
    <row r="53" spans="1:72" ht="12.75" customHeight="1" x14ac:dyDescent="0.35">
      <c r="A53" s="153"/>
      <c r="B53" s="193" t="s">
        <v>393</v>
      </c>
      <c r="C53" s="194"/>
      <c r="D53" s="194"/>
      <c r="E53" s="346"/>
      <c r="F53" s="346"/>
      <c r="G53" s="346"/>
      <c r="H53" s="346"/>
      <c r="I53" s="360"/>
      <c r="J53" s="360"/>
      <c r="K53" s="195"/>
      <c r="L53" s="195"/>
      <c r="M53" s="195"/>
      <c r="N53" s="195"/>
      <c r="O53" s="195"/>
      <c r="P53" s="195"/>
      <c r="Q53" s="195"/>
      <c r="R53" s="195"/>
      <c r="S53" s="195"/>
      <c r="T53" s="195"/>
      <c r="U53" s="195"/>
      <c r="V53" s="195"/>
      <c r="W53" s="195"/>
      <c r="X53" s="195"/>
      <c r="Y53" s="195"/>
      <c r="Z53" s="195"/>
      <c r="AA53" s="195"/>
      <c r="AB53" s="195"/>
      <c r="AC53" s="195"/>
      <c r="AD53" s="195"/>
      <c r="AE53" s="195"/>
      <c r="AF53" s="195"/>
      <c r="AG53" s="195"/>
      <c r="AH53" s="195"/>
      <c r="AI53" s="195"/>
      <c r="AJ53" s="195"/>
      <c r="AK53" s="195"/>
      <c r="AL53" s="195"/>
      <c r="AM53" s="195"/>
      <c r="AN53" s="195"/>
      <c r="AO53" s="195"/>
      <c r="AP53" s="195"/>
      <c r="AQ53" s="195"/>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361"/>
      <c r="BN53" s="361"/>
      <c r="BO53" s="361"/>
      <c r="BP53" s="361"/>
      <c r="BQ53" s="361"/>
      <c r="BR53" s="361"/>
      <c r="BS53" s="361"/>
      <c r="BT53" s="203"/>
    </row>
    <row r="54" spans="1:72" s="449" customFormat="1" ht="13.9" x14ac:dyDescent="0.35">
      <c r="A54" s="470"/>
      <c r="B54" s="197"/>
      <c r="C54" s="199" t="s">
        <v>394</v>
      </c>
      <c r="D54" s="147"/>
      <c r="E54" s="471"/>
      <c r="F54" s="471"/>
      <c r="G54" s="471"/>
      <c r="H54" s="471"/>
      <c r="I54" s="371">
        <f t="shared" ref="I54:V54" si="145">I17</f>
        <v>26230</v>
      </c>
      <c r="J54" s="371">
        <f t="shared" si="145"/>
        <v>5082</v>
      </c>
      <c r="K54" s="371">
        <f t="shared" si="145"/>
        <v>14958</v>
      </c>
      <c r="L54" s="371">
        <f t="shared" si="145"/>
        <v>17206</v>
      </c>
      <c r="M54" s="371">
        <f t="shared" si="145"/>
        <v>37416</v>
      </c>
      <c r="N54" s="371">
        <f t="shared" si="145"/>
        <v>10746</v>
      </c>
      <c r="O54" s="371">
        <f t="shared" si="145"/>
        <v>25311</v>
      </c>
      <c r="P54" s="371">
        <f t="shared" si="145"/>
        <v>30507</v>
      </c>
      <c r="Q54" s="371">
        <f t="shared" si="145"/>
        <v>55173</v>
      </c>
      <c r="R54" s="371">
        <f t="shared" si="145"/>
        <v>14383</v>
      </c>
      <c r="S54" s="371">
        <f t="shared" si="145"/>
        <v>36117</v>
      </c>
      <c r="T54" s="371">
        <f t="shared" si="145"/>
        <v>31407</v>
      </c>
      <c r="U54" s="371">
        <f t="shared" si="145"/>
        <v>64898</v>
      </c>
      <c r="V54" s="371">
        <f t="shared" si="145"/>
        <v>18553</v>
      </c>
      <c r="W54" s="371">
        <f>W17</f>
        <v>34612</v>
      </c>
      <c r="X54" s="371">
        <f t="shared" ref="X54:Z54" si="146">X17</f>
        <v>47326</v>
      </c>
      <c r="Y54" s="371">
        <f t="shared" si="146"/>
        <v>96505</v>
      </c>
      <c r="Z54" s="371">
        <f t="shared" si="146"/>
        <v>2164</v>
      </c>
      <c r="AA54" s="371">
        <f t="shared" ref="AA54:AL54" si="147">AA17</f>
        <v>50099</v>
      </c>
      <c r="AB54" s="371">
        <f t="shared" ref="AB54" si="148">AB17</f>
        <v>54296</v>
      </c>
      <c r="AC54" s="371">
        <f t="shared" si="147"/>
        <v>20624.250478544833</v>
      </c>
      <c r="AD54" s="371">
        <f t="shared" si="147"/>
        <v>22887.542133617517</v>
      </c>
      <c r="AE54" s="371">
        <f t="shared" si="147"/>
        <v>43309.394109008128</v>
      </c>
      <c r="AF54" s="371">
        <f t="shared" si="147"/>
        <v>25252.747317741701</v>
      </c>
      <c r="AG54" s="371">
        <f t="shared" si="147"/>
        <v>74897.251243056555</v>
      </c>
      <c r="AH54" s="371">
        <f t="shared" si="147"/>
        <v>26808.929093464089</v>
      </c>
      <c r="AI54" s="371">
        <f t="shared" si="147"/>
        <v>43250.743280402094</v>
      </c>
      <c r="AJ54" s="371">
        <f t="shared" si="147"/>
        <v>23359.97386568303</v>
      </c>
      <c r="AK54" s="371">
        <f t="shared" si="147"/>
        <v>82506.021834139043</v>
      </c>
      <c r="AL54" s="371">
        <f t="shared" si="147"/>
        <v>31680.511321154201</v>
      </c>
      <c r="AM54" s="473"/>
      <c r="AN54" s="371">
        <f t="shared" ref="AN54:AS54" si="149">AN17</f>
        <v>0</v>
      </c>
      <c r="AO54" s="371">
        <f t="shared" si="149"/>
        <v>0</v>
      </c>
      <c r="AP54" s="371">
        <f t="shared" si="149"/>
        <v>0</v>
      </c>
      <c r="AQ54" s="371">
        <f t="shared" si="149"/>
        <v>0</v>
      </c>
      <c r="AR54" s="371">
        <f t="shared" si="149"/>
        <v>0</v>
      </c>
      <c r="AS54" s="371">
        <f t="shared" si="149"/>
        <v>0</v>
      </c>
      <c r="AT54" s="371">
        <f t="shared" ref="AT54:BC54" si="150">AT17</f>
        <v>0</v>
      </c>
      <c r="AU54" s="371">
        <f t="shared" si="150"/>
        <v>0</v>
      </c>
      <c r="AV54" s="371">
        <f t="shared" si="150"/>
        <v>0</v>
      </c>
      <c r="AW54" s="371">
        <f t="shared" si="150"/>
        <v>0</v>
      </c>
      <c r="AX54" s="371">
        <f t="shared" si="150"/>
        <v>0</v>
      </c>
      <c r="AY54" s="371" t="e">
        <f t="shared" si="150"/>
        <v>#DIV/0!</v>
      </c>
      <c r="AZ54" s="371" t="e">
        <f t="shared" si="150"/>
        <v>#DIV/0!</v>
      </c>
      <c r="BA54" s="371" t="e">
        <f t="shared" si="150"/>
        <v>#DIV/0!</v>
      </c>
      <c r="BB54" s="371" t="e">
        <f t="shared" si="150"/>
        <v>#DIV/0!</v>
      </c>
      <c r="BC54" s="371" t="e">
        <f t="shared" si="150"/>
        <v>#DIV/0!</v>
      </c>
      <c r="BD54" s="472"/>
      <c r="BE54" s="371">
        <f t="shared" ref="BE54:BH54" si="151">BE17</f>
        <v>56836</v>
      </c>
      <c r="BF54" s="371">
        <f t="shared" si="151"/>
        <v>80326</v>
      </c>
      <c r="BG54" s="371">
        <f t="shared" si="151"/>
        <v>125805</v>
      </c>
      <c r="BH54" s="371">
        <f t="shared" si="151"/>
        <v>150975</v>
      </c>
      <c r="BI54" s="371">
        <f t="shared" ref="BI54:BS54" si="152">BI17</f>
        <v>180607</v>
      </c>
      <c r="BJ54" s="371">
        <f t="shared" si="152"/>
        <v>263729.68453155318</v>
      </c>
      <c r="BK54" s="371">
        <f t="shared" si="152"/>
        <v>215395.86340215927</v>
      </c>
      <c r="BL54" s="371">
        <f t="shared" si="152"/>
        <v>234771.1259005171</v>
      </c>
      <c r="BM54" s="371">
        <f t="shared" si="152"/>
        <v>260858.00063942253</v>
      </c>
      <c r="BN54" s="371">
        <f t="shared" si="152"/>
        <v>282987.96632184181</v>
      </c>
      <c r="BO54" s="371">
        <f t="shared" si="152"/>
        <v>301749.45718096563</v>
      </c>
      <c r="BP54" s="371">
        <f t="shared" si="152"/>
        <v>321699.0252629476</v>
      </c>
      <c r="BQ54" s="371">
        <f t="shared" si="152"/>
        <v>335274.15501556254</v>
      </c>
      <c r="BR54" s="371">
        <f t="shared" si="152"/>
        <v>347349.05063936388</v>
      </c>
      <c r="BS54" s="371">
        <f t="shared" si="152"/>
        <v>357492.11613696237</v>
      </c>
    </row>
    <row r="55" spans="1:72" s="449" customFormat="1" ht="13.9" x14ac:dyDescent="0.35">
      <c r="A55" s="470"/>
      <c r="B55" s="197"/>
      <c r="D55" s="199" t="s">
        <v>395</v>
      </c>
      <c r="E55" s="471"/>
      <c r="F55" s="471"/>
      <c r="G55" s="471"/>
      <c r="H55" s="471"/>
      <c r="I55" s="371">
        <f t="shared" ref="I55:V55" si="153">I20</f>
        <v>-2365</v>
      </c>
      <c r="J55" s="371">
        <f t="shared" si="153"/>
        <v>-683</v>
      </c>
      <c r="K55" s="371">
        <f t="shared" si="153"/>
        <v>-2794</v>
      </c>
      <c r="L55" s="371">
        <f t="shared" si="153"/>
        <v>-3348</v>
      </c>
      <c r="M55" s="371">
        <f t="shared" si="153"/>
        <v>-3246</v>
      </c>
      <c r="N55" s="371">
        <f t="shared" si="153"/>
        <v>-2832</v>
      </c>
      <c r="O55" s="371">
        <f t="shared" si="153"/>
        <v>-3162</v>
      </c>
      <c r="P55" s="371">
        <f t="shared" si="153"/>
        <v>-8002</v>
      </c>
      <c r="Q55" s="371">
        <f t="shared" si="153"/>
        <v>-9029</v>
      </c>
      <c r="R55" s="371">
        <f t="shared" si="153"/>
        <v>-2603</v>
      </c>
      <c r="S55" s="371">
        <f t="shared" si="153"/>
        <v>-9759</v>
      </c>
      <c r="T55" s="371">
        <f t="shared" si="153"/>
        <v>-11632</v>
      </c>
      <c r="U55" s="371">
        <f t="shared" si="153"/>
        <v>-10011</v>
      </c>
      <c r="V55" s="371">
        <f t="shared" si="153"/>
        <v>-5688</v>
      </c>
      <c r="W55" s="371">
        <f>W20</f>
        <v>-8251</v>
      </c>
      <c r="X55" s="371">
        <f t="shared" ref="X55:Z55" si="154">X20</f>
        <v>-11627</v>
      </c>
      <c r="Y55" s="371">
        <f t="shared" si="154"/>
        <v>-5749</v>
      </c>
      <c r="Z55" s="371">
        <f t="shared" si="154"/>
        <v>-3881</v>
      </c>
      <c r="AA55" s="371">
        <f t="shared" ref="AA55:AL55" si="155">AA20</f>
        <v>-13428</v>
      </c>
      <c r="AB55" s="371">
        <f t="shared" ref="AB55" si="156">AB20</f>
        <v>-13538</v>
      </c>
      <c r="AC55" s="371">
        <f t="shared" si="155"/>
        <v>-13944.140000000001</v>
      </c>
      <c r="AD55" s="371">
        <f t="shared" si="155"/>
        <v>-14362.464200000002</v>
      </c>
      <c r="AE55" s="371">
        <f t="shared" si="155"/>
        <v>-14793.338126000002</v>
      </c>
      <c r="AF55" s="371">
        <f t="shared" si="155"/>
        <v>-15237.138269780004</v>
      </c>
      <c r="AG55" s="371">
        <f t="shared" si="155"/>
        <v>-15694.252417873404</v>
      </c>
      <c r="AH55" s="371">
        <f t="shared" si="155"/>
        <v>-16165.079990409606</v>
      </c>
      <c r="AI55" s="371">
        <f t="shared" si="155"/>
        <v>-16650.032390121894</v>
      </c>
      <c r="AJ55" s="371">
        <f t="shared" si="155"/>
        <v>-17149.53336182555</v>
      </c>
      <c r="AK55" s="371">
        <f t="shared" si="155"/>
        <v>-17664.019362680316</v>
      </c>
      <c r="AL55" s="371">
        <f t="shared" si="155"/>
        <v>-18193.939943560727</v>
      </c>
      <c r="AM55" s="473"/>
      <c r="AN55" s="371">
        <f t="shared" ref="AN55:AS55" si="157">AN20</f>
        <v>0</v>
      </c>
      <c r="AO55" s="371">
        <f t="shared" si="157"/>
        <v>0</v>
      </c>
      <c r="AP55" s="371">
        <f t="shared" si="157"/>
        <v>0</v>
      </c>
      <c r="AQ55" s="371">
        <f t="shared" si="157"/>
        <v>0</v>
      </c>
      <c r="AR55" s="371">
        <f t="shared" si="157"/>
        <v>0</v>
      </c>
      <c r="AS55" s="371">
        <f t="shared" si="157"/>
        <v>0</v>
      </c>
      <c r="AT55" s="371">
        <f t="shared" ref="AT55:BC55" si="158">AT20</f>
        <v>0</v>
      </c>
      <c r="AU55" s="371">
        <f t="shared" si="158"/>
        <v>0</v>
      </c>
      <c r="AV55" s="371">
        <f t="shared" si="158"/>
        <v>0</v>
      </c>
      <c r="AW55" s="371">
        <f t="shared" si="158"/>
        <v>0</v>
      </c>
      <c r="AX55" s="371">
        <f t="shared" si="158"/>
        <v>-26966</v>
      </c>
      <c r="AY55" s="371">
        <f t="shared" si="158"/>
        <v>-28306.604200000002</v>
      </c>
      <c r="AZ55" s="371">
        <f t="shared" si="158"/>
        <v>-30030.476395780006</v>
      </c>
      <c r="BA55" s="371">
        <f t="shared" si="158"/>
        <v>-31859.332408283008</v>
      </c>
      <c r="BB55" s="371">
        <f t="shared" si="158"/>
        <v>-33799.565751947448</v>
      </c>
      <c r="BC55" s="371">
        <f t="shared" si="158"/>
        <v>-35857.959306241042</v>
      </c>
      <c r="BD55" s="472"/>
      <c r="BE55" s="371">
        <f t="shared" ref="BE55:BH55" si="159">BE20</f>
        <v>-10845</v>
      </c>
      <c r="BF55" s="371">
        <f t="shared" si="159"/>
        <v>-17546</v>
      </c>
      <c r="BG55" s="371">
        <f t="shared" si="159"/>
        <v>-29836</v>
      </c>
      <c r="BH55" s="371">
        <f t="shared" si="159"/>
        <v>-49643</v>
      </c>
      <c r="BI55" s="371">
        <f t="shared" ref="BI55:BS55" si="160">BI20</f>
        <v>-45386</v>
      </c>
      <c r="BJ55" s="371">
        <f t="shared" si="160"/>
        <v>-55272.604200000002</v>
      </c>
      <c r="BK55" s="371">
        <f t="shared" si="160"/>
        <v>-61889.808804063017</v>
      </c>
      <c r="BL55" s="371">
        <f t="shared" si="160"/>
        <v>-69657.52505818849</v>
      </c>
      <c r="BM55" s="371">
        <f t="shared" si="160"/>
        <v>-73140.401311097914</v>
      </c>
      <c r="BN55" s="371">
        <f t="shared" si="160"/>
        <v>-84111.461507762593</v>
      </c>
      <c r="BO55" s="371">
        <f t="shared" si="160"/>
        <v>-96728.180733926973</v>
      </c>
      <c r="BP55" s="371">
        <f t="shared" si="160"/>
        <v>-111237.40784401601</v>
      </c>
      <c r="BQ55" s="371">
        <f t="shared" si="160"/>
        <v>-127923.01902061841</v>
      </c>
      <c r="BR55" s="371">
        <f t="shared" si="160"/>
        <v>-147111.47187371115</v>
      </c>
      <c r="BS55" s="371">
        <f t="shared" si="160"/>
        <v>-169178.1926547678</v>
      </c>
    </row>
    <row r="56" spans="1:72" s="449" customFormat="1" ht="13.9" x14ac:dyDescent="0.35">
      <c r="A56" s="470"/>
      <c r="B56" s="199"/>
      <c r="C56" s="199" t="s">
        <v>396</v>
      </c>
      <c r="D56" s="147"/>
      <c r="E56" s="471"/>
      <c r="F56" s="471"/>
      <c r="G56" s="471"/>
      <c r="H56" s="471"/>
      <c r="I56" s="371">
        <f t="shared" ref="I56:V56" si="161">SUM(I54:I55)</f>
        <v>23865</v>
      </c>
      <c r="J56" s="371">
        <f t="shared" si="161"/>
        <v>4399</v>
      </c>
      <c r="K56" s="371">
        <f t="shared" si="161"/>
        <v>12164</v>
      </c>
      <c r="L56" s="371">
        <f t="shared" si="161"/>
        <v>13858</v>
      </c>
      <c r="M56" s="371">
        <f t="shared" si="161"/>
        <v>34170</v>
      </c>
      <c r="N56" s="371">
        <f t="shared" si="161"/>
        <v>7914</v>
      </c>
      <c r="O56" s="371">
        <f t="shared" si="161"/>
        <v>22149</v>
      </c>
      <c r="P56" s="371">
        <f t="shared" si="161"/>
        <v>22505</v>
      </c>
      <c r="Q56" s="371">
        <f t="shared" si="161"/>
        <v>46144</v>
      </c>
      <c r="R56" s="371">
        <f t="shared" si="161"/>
        <v>11780</v>
      </c>
      <c r="S56" s="371">
        <f t="shared" si="161"/>
        <v>26358</v>
      </c>
      <c r="T56" s="371">
        <f t="shared" si="161"/>
        <v>19775</v>
      </c>
      <c r="U56" s="371">
        <f t="shared" si="161"/>
        <v>54887</v>
      </c>
      <c r="V56" s="371">
        <f t="shared" si="161"/>
        <v>12865</v>
      </c>
      <c r="W56" s="371">
        <f>SUM(W54:W55)</f>
        <v>26361</v>
      </c>
      <c r="X56" s="371">
        <f t="shared" ref="X56:AA56" si="162">SUM(X54:X55)</f>
        <v>35699</v>
      </c>
      <c r="Y56" s="371">
        <f t="shared" si="162"/>
        <v>90756</v>
      </c>
      <c r="Z56" s="371">
        <f t="shared" si="162"/>
        <v>-1717</v>
      </c>
      <c r="AA56" s="371">
        <f t="shared" si="162"/>
        <v>36671</v>
      </c>
      <c r="AB56" s="371">
        <f t="shared" ref="AB56" si="163">SUM(AB54:AB55)</f>
        <v>40758</v>
      </c>
      <c r="AC56" s="371">
        <f t="shared" ref="AC56" si="164">SUM(AC54:AC55)</f>
        <v>6680.1104785448315</v>
      </c>
      <c r="AD56" s="371">
        <f t="shared" ref="AD56" si="165">SUM(AD54:AD55)</f>
        <v>8525.0779336175146</v>
      </c>
      <c r="AE56" s="371">
        <f t="shared" ref="AE56" si="166">SUM(AE54:AE55)</f>
        <v>28516.055983008126</v>
      </c>
      <c r="AF56" s="371">
        <f t="shared" ref="AF56" si="167">SUM(AF54:AF55)</f>
        <v>10015.609047961698</v>
      </c>
      <c r="AG56" s="371">
        <f t="shared" ref="AG56" si="168">SUM(AG54:AG55)</f>
        <v>59202.998825183153</v>
      </c>
      <c r="AH56" s="371">
        <f t="shared" ref="AH56" si="169">SUM(AH54:AH55)</f>
        <v>10643.849103054483</v>
      </c>
      <c r="AI56" s="371">
        <f t="shared" ref="AI56" si="170">SUM(AI54:AI55)</f>
        <v>26600.710890280199</v>
      </c>
      <c r="AJ56" s="371">
        <f t="shared" ref="AJ56" si="171">SUM(AJ54:AJ55)</f>
        <v>6210.4405038574805</v>
      </c>
      <c r="AK56" s="371">
        <f t="shared" ref="AK56" si="172">SUM(AK54:AK55)</f>
        <v>64842.002471458727</v>
      </c>
      <c r="AL56" s="371">
        <f t="shared" ref="AL56" si="173">SUM(AL54:AL55)</f>
        <v>13486.571377593475</v>
      </c>
      <c r="AM56" s="473"/>
      <c r="AN56" s="371">
        <f t="shared" ref="AN56" si="174">SUM(AN54:AN55)</f>
        <v>0</v>
      </c>
      <c r="AO56" s="371">
        <f t="shared" ref="AO56" si="175">SUM(AO54:AO55)</f>
        <v>0</v>
      </c>
      <c r="AP56" s="371">
        <f t="shared" ref="AP56" si="176">SUM(AP54:AP55)</f>
        <v>0</v>
      </c>
      <c r="AQ56" s="371">
        <f t="shared" ref="AQ56" si="177">SUM(AQ54:AQ55)</f>
        <v>0</v>
      </c>
      <c r="AR56" s="371">
        <f t="shared" ref="AR56" si="178">SUM(AR54:AR55)</f>
        <v>0</v>
      </c>
      <c r="AS56" s="371">
        <f t="shared" ref="AS56" si="179">SUM(AS54:AS55)</f>
        <v>0</v>
      </c>
      <c r="AT56" s="371">
        <f t="shared" ref="AT56" si="180">SUM(AT54:AT55)</f>
        <v>0</v>
      </c>
      <c r="AU56" s="371">
        <f t="shared" ref="AU56" si="181">SUM(AU54:AU55)</f>
        <v>0</v>
      </c>
      <c r="AV56" s="371">
        <f t="shared" ref="AV56" si="182">SUM(AV54:AV55)</f>
        <v>0</v>
      </c>
      <c r="AW56" s="371">
        <f t="shared" ref="AW56" si="183">SUM(AW54:AW55)</f>
        <v>0</v>
      </c>
      <c r="AX56" s="371">
        <f t="shared" ref="AX56" si="184">SUM(AX54:AX55)</f>
        <v>-26966</v>
      </c>
      <c r="AY56" s="371" t="e">
        <f t="shared" ref="AY56" si="185">SUM(AY54:AY55)</f>
        <v>#DIV/0!</v>
      </c>
      <c r="AZ56" s="371" t="e">
        <f t="shared" ref="AZ56" si="186">SUM(AZ54:AZ55)</f>
        <v>#DIV/0!</v>
      </c>
      <c r="BA56" s="371" t="e">
        <f t="shared" ref="BA56" si="187">SUM(BA54:BA55)</f>
        <v>#DIV/0!</v>
      </c>
      <c r="BB56" s="371" t="e">
        <f t="shared" ref="BB56" si="188">SUM(BB54:BB55)</f>
        <v>#DIV/0!</v>
      </c>
      <c r="BC56" s="371" t="e">
        <f t="shared" ref="BC56" si="189">SUM(BC54:BC55)</f>
        <v>#DIV/0!</v>
      </c>
      <c r="BD56" s="472"/>
      <c r="BE56" s="371">
        <f t="shared" ref="BE56" si="190">SUM(BE54:BE55)</f>
        <v>45991</v>
      </c>
      <c r="BF56" s="371">
        <f t="shared" ref="BF56" si="191">SUM(BF54:BF55)</f>
        <v>62780</v>
      </c>
      <c r="BG56" s="371">
        <f t="shared" ref="BG56" si="192">SUM(BG54:BG55)</f>
        <v>95969</v>
      </c>
      <c r="BH56" s="371">
        <f t="shared" ref="BH56" si="193">SUM(BH54:BH55)</f>
        <v>101332</v>
      </c>
      <c r="BI56" s="371">
        <f t="shared" ref="BI56" si="194">SUM(BI54:BI55)</f>
        <v>135221</v>
      </c>
      <c r="BJ56" s="371">
        <f t="shared" ref="BJ56" si="195">SUM(BJ54:BJ55)</f>
        <v>208457.08033155318</v>
      </c>
      <c r="BK56" s="371">
        <f t="shared" ref="BK56" si="196">SUM(BK54:BK55)</f>
        <v>153506.05459809626</v>
      </c>
      <c r="BL56" s="371">
        <f t="shared" ref="BL56:BS56" si="197">SUM(BL54:BL55)</f>
        <v>165113.60084232863</v>
      </c>
      <c r="BM56" s="371">
        <f t="shared" si="197"/>
        <v>187717.59932832461</v>
      </c>
      <c r="BN56" s="371">
        <f t="shared" si="197"/>
        <v>198876.50481407921</v>
      </c>
      <c r="BO56" s="371">
        <f t="shared" si="197"/>
        <v>205021.27644703866</v>
      </c>
      <c r="BP56" s="371">
        <f t="shared" si="197"/>
        <v>210461.61741893159</v>
      </c>
      <c r="BQ56" s="371">
        <f t="shared" si="197"/>
        <v>207351.13599494414</v>
      </c>
      <c r="BR56" s="371">
        <f t="shared" si="197"/>
        <v>200237.57876565272</v>
      </c>
      <c r="BS56" s="371">
        <f t="shared" si="197"/>
        <v>188313.92348219457</v>
      </c>
    </row>
    <row r="57" spans="1:72" s="459" customFormat="1" ht="12.75" customHeight="1" x14ac:dyDescent="0.35">
      <c r="A57" s="452"/>
      <c r="B57" s="460"/>
      <c r="C57" s="460" t="s">
        <v>385</v>
      </c>
      <c r="D57" s="461"/>
      <c r="E57" s="461"/>
      <c r="F57" s="460"/>
      <c r="G57" s="460"/>
      <c r="H57" s="460"/>
      <c r="I57" s="462"/>
      <c r="J57" s="462"/>
      <c r="K57" s="462"/>
      <c r="L57" s="462"/>
      <c r="M57" s="462"/>
      <c r="N57" s="462"/>
      <c r="O57" s="462"/>
      <c r="P57" s="462"/>
      <c r="Q57" s="462"/>
      <c r="R57" s="462"/>
      <c r="S57" s="462"/>
      <c r="T57" s="462"/>
      <c r="U57" s="462"/>
      <c r="V57" s="462"/>
      <c r="W57" s="462"/>
      <c r="X57" s="462"/>
      <c r="Y57" s="462"/>
      <c r="Z57" s="462"/>
      <c r="AA57" s="462">
        <f>[32]CF!AA40</f>
        <v>7148.576</v>
      </c>
      <c r="AB57" s="462">
        <f>[32]CF!AB40</f>
        <v>33221</v>
      </c>
      <c r="AC57" s="462">
        <f>[32]CF!AC40</f>
        <v>57224</v>
      </c>
      <c r="AD57" s="462">
        <f>[32]CF!AD40</f>
        <v>35212</v>
      </c>
      <c r="AE57" s="462">
        <f>[32]CF!AE40</f>
        <v>52055</v>
      </c>
      <c r="AF57" s="462">
        <f>[32]CF!AF40</f>
        <v>49278</v>
      </c>
      <c r="AG57" s="462">
        <f>[32]CF!AG40</f>
        <v>76360</v>
      </c>
      <c r="AH57" s="462">
        <f>[32]CF!AH40</f>
        <v>47066</v>
      </c>
      <c r="AI57" s="462" t="str">
        <f>[32]CF!AI40</f>
        <v>#N/A N/A</v>
      </c>
      <c r="AJ57" s="462" t="str">
        <f>[32]CF!AJ40</f>
        <v>#N/A N/A</v>
      </c>
      <c r="AK57" s="462" t="str">
        <f>[32]CF!AK40</f>
        <v>#N/A N/A</v>
      </c>
      <c r="AL57" s="462" t="str">
        <f>[32]CF!AL40</f>
        <v>#N/A N/A</v>
      </c>
      <c r="AM57" s="462"/>
      <c r="AN57" s="462"/>
      <c r="AO57" s="462"/>
      <c r="AP57" s="462"/>
      <c r="AQ57" s="462"/>
      <c r="AR57" s="462"/>
      <c r="AS57" s="462"/>
      <c r="AT57" s="462">
        <f>[32]CF!AV40</f>
        <v>57224</v>
      </c>
      <c r="AU57" s="462">
        <f>[32]CF!AW40</f>
        <v>57224</v>
      </c>
      <c r="AV57" s="462">
        <f>[32]CF!AX40</f>
        <v>57224</v>
      </c>
      <c r="AW57" s="462">
        <f>[32]CF!AY40</f>
        <v>57224</v>
      </c>
      <c r="AX57" s="462">
        <f>[32]CF!AZ40</f>
        <v>57224</v>
      </c>
      <c r="AY57" s="462" t="str">
        <f>[32]CF!BA40</f>
        <v>#N/A N/A</v>
      </c>
      <c r="AZ57" s="462" t="str">
        <f>[32]CF!BB40</f>
        <v>#N/A N/A</v>
      </c>
      <c r="BA57" s="462" t="str">
        <f>[32]CF!BC40</f>
        <v>#N/A N/A</v>
      </c>
      <c r="BB57" s="462" t="str">
        <f>[32]CF!BD40</f>
        <v>#N/A N/A</v>
      </c>
      <c r="BC57" s="463" t="str">
        <f>[32]CF!BE40</f>
        <v>#N/A N/A</v>
      </c>
      <c r="BD57" s="462"/>
      <c r="BE57" s="462"/>
      <c r="BF57" s="462"/>
      <c r="BG57" s="462"/>
      <c r="BH57" s="462"/>
      <c r="BI57" s="462">
        <f>[32]CF!BL40</f>
        <v>57224</v>
      </c>
      <c r="BJ57" s="462">
        <f>[32]CF!BM40</f>
        <v>176095.34599999999</v>
      </c>
      <c r="BK57" s="462">
        <f>[32]CF!BN40</f>
        <v>196263.38500000001</v>
      </c>
      <c r="BL57" s="462">
        <f>[32]CF!BO40</f>
        <v>234633.45699999999</v>
      </c>
      <c r="BM57" s="462"/>
      <c r="BN57" s="462"/>
      <c r="BO57" s="462"/>
      <c r="BP57" s="462"/>
      <c r="BQ57" s="462"/>
      <c r="BR57" s="462"/>
      <c r="BS57" s="462"/>
    </row>
    <row r="58" spans="1:72" s="459" customFormat="1" ht="12.75" customHeight="1" x14ac:dyDescent="0.35">
      <c r="A58" s="452"/>
      <c r="B58" s="460"/>
      <c r="C58" s="474"/>
      <c r="D58" s="464" t="s">
        <v>397</v>
      </c>
      <c r="E58" s="461"/>
      <c r="F58" s="460"/>
      <c r="G58" s="460"/>
      <c r="H58" s="460"/>
      <c r="I58" s="462"/>
      <c r="J58" s="462"/>
      <c r="K58" s="462"/>
      <c r="L58" s="462"/>
      <c r="M58" s="462"/>
      <c r="N58" s="462"/>
      <c r="O58" s="462"/>
      <c r="P58" s="462"/>
      <c r="Q58" s="462"/>
      <c r="R58" s="462"/>
      <c r="S58" s="462"/>
      <c r="T58" s="462"/>
      <c r="U58" s="462"/>
      <c r="V58" s="462"/>
      <c r="W58" s="462"/>
      <c r="X58" s="462"/>
      <c r="Y58" s="462"/>
      <c r="Z58" s="462"/>
      <c r="AA58" s="475">
        <f>AA56/AA57-1</f>
        <v>4.1298328506264745</v>
      </c>
      <c r="AB58" s="475">
        <f>AB56/AB57-1</f>
        <v>0.22687456729177335</v>
      </c>
      <c r="AC58" s="475">
        <f t="shared" ref="AC58:AL58" si="198">AC56/AC57-1</f>
        <v>-0.88326383198404812</v>
      </c>
      <c r="AD58" s="475">
        <f t="shared" si="198"/>
        <v>-0.75789282251455425</v>
      </c>
      <c r="AE58" s="475">
        <f t="shared" si="198"/>
        <v>-0.45219371850911294</v>
      </c>
      <c r="AF58" s="475">
        <f t="shared" si="198"/>
        <v>-0.79675293136974523</v>
      </c>
      <c r="AG58" s="475">
        <f t="shared" si="198"/>
        <v>-0.22468571470425414</v>
      </c>
      <c r="AH58" s="475">
        <f t="shared" si="198"/>
        <v>-0.77385269402425361</v>
      </c>
      <c r="AI58" s="475" t="e">
        <f t="shared" si="198"/>
        <v>#VALUE!</v>
      </c>
      <c r="AJ58" s="475" t="e">
        <f t="shared" si="198"/>
        <v>#VALUE!</v>
      </c>
      <c r="AK58" s="475" t="e">
        <f t="shared" si="198"/>
        <v>#VALUE!</v>
      </c>
      <c r="AL58" s="475" t="e">
        <f t="shared" si="198"/>
        <v>#VALUE!</v>
      </c>
      <c r="AM58" s="462"/>
      <c r="AN58" s="462"/>
      <c r="AO58" s="462"/>
      <c r="AP58" s="462"/>
      <c r="AQ58" s="462"/>
      <c r="AR58" s="462"/>
      <c r="AS58" s="462"/>
      <c r="AT58" s="475"/>
      <c r="AU58" s="475"/>
      <c r="AV58" s="475"/>
      <c r="AW58" s="475"/>
      <c r="AX58" s="475">
        <f t="shared" ref="AX58:AY58" si="199">AX56/AX57-1</f>
        <v>-1.4712358450999581</v>
      </c>
      <c r="AY58" s="475" t="e">
        <f t="shared" si="199"/>
        <v>#DIV/0!</v>
      </c>
      <c r="AZ58" s="475" t="e">
        <f t="shared" ref="AZ58" si="200">AZ56/AZ57-1</f>
        <v>#DIV/0!</v>
      </c>
      <c r="BA58" s="475" t="e">
        <f t="shared" ref="BA58" si="201">BA56/BA57-1</f>
        <v>#DIV/0!</v>
      </c>
      <c r="BB58" s="475" t="e">
        <f t="shared" ref="BB58" si="202">BB56/BB57-1</f>
        <v>#DIV/0!</v>
      </c>
      <c r="BC58" s="475" t="e">
        <f t="shared" ref="BC58" si="203">BC56/BC57-1</f>
        <v>#DIV/0!</v>
      </c>
      <c r="BD58" s="462"/>
      <c r="BE58" s="462"/>
      <c r="BF58" s="462"/>
      <c r="BG58" s="462"/>
      <c r="BH58" s="462"/>
      <c r="BI58" s="462"/>
      <c r="BJ58" s="462">
        <f t="shared" ref="BJ58" si="204">BJ56/BJ57-1</f>
        <v>0.18377393308028256</v>
      </c>
      <c r="BK58" s="462">
        <f t="shared" ref="BK58" si="205">BK56/BK57-1</f>
        <v>-0.21785688859847063</v>
      </c>
      <c r="BL58" s="462">
        <f t="shared" ref="BL58" si="206">BL56/BL57-1</f>
        <v>-0.29629131772827855</v>
      </c>
      <c r="BM58" s="462"/>
      <c r="BN58" s="462"/>
      <c r="BO58" s="462"/>
      <c r="BP58" s="462"/>
      <c r="BQ58" s="462"/>
      <c r="BR58" s="462"/>
      <c r="BS58" s="462"/>
    </row>
    <row r="59" spans="1:72" s="449" customFormat="1" x14ac:dyDescent="0.3"/>
    <row r="60" spans="1:72" s="449" customFormat="1" x14ac:dyDescent="0.3"/>
  </sheetData>
  <phoneticPr fontId="4"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G7" sqref="G7"/>
    </sheetView>
  </sheetViews>
  <sheetFormatPr defaultRowHeight="13.5" x14ac:dyDescent="0.3"/>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8"/>
  <sheetViews>
    <sheetView showGridLines="0" workbookViewId="0">
      <selection activeCell="C2" sqref="C2"/>
    </sheetView>
  </sheetViews>
  <sheetFormatPr defaultColWidth="8.86328125" defaultRowHeight="13.5" x14ac:dyDescent="0.35"/>
  <cols>
    <col min="1" max="1" width="21.3984375" style="344" customWidth="1"/>
    <col min="2" max="15" width="11.59765625" style="344" customWidth="1"/>
    <col min="16" max="16384" width="8.86328125" style="344"/>
  </cols>
  <sheetData>
    <row r="1" spans="1:15" x14ac:dyDescent="0.35">
      <c r="A1" s="439" t="s">
        <v>362</v>
      </c>
      <c r="B1" s="436"/>
      <c r="C1" s="433">
        <f ca="1">NOW()</f>
        <v>44195.933208449074</v>
      </c>
    </row>
    <row r="2" spans="1:15" x14ac:dyDescent="0.35">
      <c r="A2" s="407" t="s">
        <v>363</v>
      </c>
      <c r="B2" s="437"/>
      <c r="C2" s="435" t="s">
        <v>401</v>
      </c>
    </row>
    <row r="3" spans="1:15" x14ac:dyDescent="0.35">
      <c r="A3" s="427" t="s">
        <v>364</v>
      </c>
      <c r="B3" s="438"/>
      <c r="C3" s="434"/>
    </row>
    <row r="6" spans="1:15" x14ac:dyDescent="0.35">
      <c r="A6" s="386" t="s">
        <v>314</v>
      </c>
    </row>
    <row r="7" spans="1:15" x14ac:dyDescent="0.35">
      <c r="A7" s="387" t="s">
        <v>315</v>
      </c>
    </row>
    <row r="9" spans="1:15" x14ac:dyDescent="0.35">
      <c r="A9" s="203"/>
    </row>
    <row r="10" spans="1:15" x14ac:dyDescent="0.35">
      <c r="A10" s="407" t="s">
        <v>352</v>
      </c>
      <c r="B10" s="401"/>
      <c r="C10" s="401"/>
      <c r="D10" s="401"/>
      <c r="E10" s="401"/>
      <c r="F10" s="401"/>
      <c r="G10" s="401"/>
      <c r="H10" s="401"/>
      <c r="I10" s="401"/>
      <c r="J10" s="401"/>
      <c r="K10" s="401"/>
      <c r="L10" s="401"/>
      <c r="M10" s="401"/>
      <c r="N10" s="401"/>
      <c r="O10" s="402"/>
    </row>
    <row r="11" spans="1:15" x14ac:dyDescent="0.35">
      <c r="A11" s="407" t="s">
        <v>370</v>
      </c>
      <c r="B11" s="401"/>
      <c r="C11" s="401"/>
      <c r="D11" s="401"/>
      <c r="E11" s="401"/>
      <c r="F11" s="401"/>
      <c r="G11" s="401"/>
      <c r="H11" s="401"/>
      <c r="I11" s="401"/>
      <c r="J11" s="401"/>
      <c r="K11" s="401"/>
      <c r="L11" s="401"/>
      <c r="M11" s="401"/>
      <c r="N11" s="401"/>
      <c r="O11" s="402"/>
    </row>
    <row r="12" spans="1:15" x14ac:dyDescent="0.35">
      <c r="A12" s="428">
        <v>1</v>
      </c>
      <c r="B12" s="388" t="s">
        <v>373</v>
      </c>
      <c r="C12" s="389"/>
      <c r="D12" s="389"/>
      <c r="E12" s="389"/>
      <c r="F12" s="389"/>
      <c r="G12" s="389"/>
      <c r="H12" s="389"/>
      <c r="I12" s="389"/>
      <c r="J12" s="389"/>
      <c r="K12" s="389"/>
      <c r="L12" s="389"/>
      <c r="M12" s="389"/>
      <c r="N12" s="389"/>
      <c r="O12" s="390"/>
    </row>
    <row r="13" spans="1:15" x14ac:dyDescent="0.35">
      <c r="A13" s="428">
        <v>2</v>
      </c>
      <c r="B13" s="388" t="s">
        <v>351</v>
      </c>
      <c r="C13" s="389"/>
      <c r="D13" s="389"/>
      <c r="E13" s="389"/>
      <c r="F13" s="389"/>
      <c r="G13" s="389"/>
      <c r="H13" s="389"/>
      <c r="I13" s="389"/>
      <c r="J13" s="389"/>
      <c r="K13" s="389"/>
      <c r="L13" s="389"/>
      <c r="M13" s="389"/>
      <c r="N13" s="389"/>
      <c r="O13" s="390"/>
    </row>
    <row r="14" spans="1:15" x14ac:dyDescent="0.35">
      <c r="A14" s="407" t="s">
        <v>374</v>
      </c>
      <c r="B14" s="401"/>
      <c r="C14" s="401"/>
      <c r="D14" s="401"/>
      <c r="E14" s="401"/>
      <c r="F14" s="401"/>
      <c r="G14" s="401"/>
      <c r="H14" s="401"/>
      <c r="I14" s="401"/>
      <c r="J14" s="401"/>
      <c r="K14" s="401"/>
      <c r="L14" s="401"/>
      <c r="M14" s="401"/>
      <c r="N14" s="401"/>
      <c r="O14" s="402"/>
    </row>
    <row r="15" spans="1:15" x14ac:dyDescent="0.35">
      <c r="A15" s="391"/>
      <c r="B15" s="395" t="s">
        <v>375</v>
      </c>
      <c r="C15" s="392"/>
      <c r="D15" s="398"/>
      <c r="E15" s="398"/>
      <c r="F15" s="398"/>
      <c r="G15" s="398"/>
      <c r="H15" s="398"/>
      <c r="I15" s="398"/>
      <c r="J15" s="398"/>
      <c r="K15" s="398"/>
      <c r="L15" s="398"/>
      <c r="M15" s="398"/>
      <c r="N15" s="398"/>
      <c r="O15" s="399"/>
    </row>
    <row r="16" spans="1:15" x14ac:dyDescent="0.35">
      <c r="A16" s="391"/>
      <c r="B16" s="428" t="s">
        <v>371</v>
      </c>
      <c r="C16" s="403" t="s">
        <v>376</v>
      </c>
      <c r="D16" s="398"/>
      <c r="E16" s="398"/>
      <c r="F16" s="398"/>
      <c r="G16" s="398"/>
      <c r="H16" s="398"/>
      <c r="I16" s="398"/>
      <c r="J16" s="398"/>
      <c r="K16" s="398"/>
      <c r="L16" s="398"/>
      <c r="M16" s="398"/>
      <c r="N16" s="398"/>
      <c r="O16" s="399"/>
    </row>
    <row r="17" spans="1:17" x14ac:dyDescent="0.35">
      <c r="A17" s="391"/>
      <c r="B17" s="429" t="s">
        <v>372</v>
      </c>
      <c r="C17" s="397" t="s">
        <v>377</v>
      </c>
      <c r="D17" s="393"/>
      <c r="E17" s="393"/>
      <c r="F17" s="393"/>
      <c r="G17" s="393"/>
      <c r="H17" s="393"/>
      <c r="I17" s="393"/>
      <c r="J17" s="393"/>
      <c r="K17" s="393"/>
      <c r="L17" s="393"/>
      <c r="M17" s="393"/>
      <c r="N17" s="393"/>
      <c r="O17" s="394"/>
    </row>
    <row r="18" spans="1:17" x14ac:dyDescent="0.35">
      <c r="A18" s="391"/>
      <c r="B18" s="400" t="s">
        <v>378</v>
      </c>
      <c r="C18" s="401"/>
      <c r="D18" s="401"/>
      <c r="E18" s="401"/>
      <c r="F18" s="401"/>
      <c r="G18" s="401"/>
      <c r="H18" s="401"/>
      <c r="I18" s="401"/>
      <c r="J18" s="401"/>
      <c r="K18" s="401"/>
      <c r="L18" s="401"/>
      <c r="M18" s="401"/>
      <c r="N18" s="401"/>
      <c r="O18" s="402"/>
    </row>
    <row r="19" spans="1:17" x14ac:dyDescent="0.35">
      <c r="A19" s="391"/>
      <c r="B19" s="400" t="s">
        <v>380</v>
      </c>
      <c r="C19" s="393"/>
      <c r="D19" s="393"/>
      <c r="E19" s="393"/>
      <c r="F19" s="393"/>
      <c r="G19" s="393"/>
      <c r="H19" s="393"/>
      <c r="I19" s="393"/>
      <c r="J19" s="393"/>
      <c r="K19" s="393"/>
      <c r="L19" s="393"/>
      <c r="M19" s="393"/>
      <c r="N19" s="393"/>
      <c r="O19" s="394"/>
    </row>
    <row r="20" spans="1:17" x14ac:dyDescent="0.35">
      <c r="A20" s="407" t="s">
        <v>379</v>
      </c>
      <c r="B20" s="401"/>
      <c r="C20" s="401"/>
      <c r="D20" s="401"/>
      <c r="E20" s="401"/>
      <c r="F20" s="401"/>
      <c r="G20" s="401"/>
      <c r="H20" s="401"/>
      <c r="I20" s="401"/>
      <c r="J20" s="401"/>
      <c r="K20" s="401"/>
      <c r="L20" s="401"/>
      <c r="M20" s="401"/>
      <c r="N20" s="401"/>
      <c r="O20" s="402"/>
    </row>
    <row r="21" spans="1:17" ht="13.9" x14ac:dyDescent="0.35">
      <c r="A21" s="408"/>
      <c r="B21" s="400" t="s">
        <v>381</v>
      </c>
      <c r="C21" s="397"/>
      <c r="D21" s="398"/>
      <c r="E21" s="398"/>
      <c r="F21" s="398"/>
      <c r="G21" s="398"/>
      <c r="H21" s="398"/>
      <c r="I21" s="398"/>
      <c r="J21" s="398"/>
      <c r="K21" s="398"/>
      <c r="L21" s="398"/>
      <c r="M21" s="398"/>
      <c r="N21" s="398"/>
      <c r="O21" s="399"/>
      <c r="Q21"/>
    </row>
    <row r="22" spans="1:17" x14ac:dyDescent="0.35">
      <c r="A22" s="407" t="s">
        <v>357</v>
      </c>
      <c r="B22" s="403"/>
      <c r="C22" s="403"/>
      <c r="D22" s="401"/>
      <c r="E22" s="401"/>
      <c r="F22" s="401"/>
      <c r="G22" s="401"/>
      <c r="H22" s="401"/>
      <c r="I22" s="401"/>
      <c r="J22" s="401"/>
      <c r="K22" s="401"/>
      <c r="L22" s="401"/>
      <c r="M22" s="401"/>
      <c r="N22" s="401"/>
      <c r="O22" s="402"/>
    </row>
    <row r="23" spans="1:17" x14ac:dyDescent="0.35">
      <c r="A23" s="395"/>
      <c r="B23" s="400" t="s">
        <v>354</v>
      </c>
      <c r="C23" s="403"/>
      <c r="D23" s="401"/>
      <c r="E23" s="401"/>
      <c r="F23" s="401"/>
      <c r="G23" s="401"/>
      <c r="H23" s="401"/>
      <c r="I23" s="401"/>
      <c r="J23" s="401"/>
      <c r="K23" s="401"/>
      <c r="L23" s="401"/>
      <c r="M23" s="401"/>
      <c r="N23" s="401"/>
      <c r="O23" s="402"/>
    </row>
    <row r="24" spans="1:17" x14ac:dyDescent="0.35">
      <c r="A24" s="395"/>
      <c r="B24" s="428">
        <v>1</v>
      </c>
      <c r="C24" s="406" t="s">
        <v>355</v>
      </c>
      <c r="D24" s="401"/>
      <c r="E24" s="401"/>
      <c r="F24" s="401"/>
      <c r="G24" s="401"/>
      <c r="H24" s="401"/>
      <c r="I24" s="401"/>
      <c r="J24" s="401"/>
      <c r="K24" s="401"/>
      <c r="L24" s="401"/>
      <c r="M24" s="401"/>
      <c r="N24" s="401"/>
      <c r="O24" s="402"/>
    </row>
    <row r="25" spans="1:17" x14ac:dyDescent="0.35">
      <c r="A25" s="395"/>
      <c r="B25" s="428">
        <v>2</v>
      </c>
      <c r="C25" s="406" t="s">
        <v>356</v>
      </c>
      <c r="D25" s="401"/>
      <c r="E25" s="401"/>
      <c r="F25" s="401"/>
      <c r="G25" s="401"/>
      <c r="H25" s="401"/>
      <c r="I25" s="401"/>
      <c r="J25" s="401"/>
      <c r="K25" s="401"/>
      <c r="L25" s="401"/>
      <c r="M25" s="401"/>
      <c r="N25" s="401"/>
      <c r="O25" s="402"/>
    </row>
    <row r="26" spans="1:17" x14ac:dyDescent="0.35">
      <c r="A26" s="395"/>
      <c r="B26" s="388" t="s">
        <v>353</v>
      </c>
      <c r="C26" s="404"/>
      <c r="D26" s="389"/>
      <c r="E26" s="389"/>
      <c r="F26" s="389"/>
      <c r="G26" s="389"/>
      <c r="H26" s="389"/>
      <c r="I26" s="389"/>
      <c r="J26" s="389"/>
      <c r="K26" s="389"/>
      <c r="L26" s="389"/>
      <c r="M26" s="389"/>
      <c r="N26" s="389"/>
      <c r="O26" s="390"/>
    </row>
    <row r="27" spans="1:17" x14ac:dyDescent="0.35">
      <c r="A27" s="391"/>
      <c r="B27" s="395" t="s">
        <v>358</v>
      </c>
      <c r="C27" s="393"/>
      <c r="D27" s="393"/>
      <c r="E27" s="393"/>
      <c r="F27" s="393"/>
      <c r="G27" s="393"/>
      <c r="H27" s="393"/>
      <c r="I27" s="393"/>
      <c r="J27" s="393"/>
      <c r="K27" s="393"/>
      <c r="L27" s="393"/>
      <c r="M27" s="393"/>
      <c r="N27" s="393"/>
      <c r="O27" s="394"/>
    </row>
    <row r="28" spans="1:17" x14ac:dyDescent="0.35">
      <c r="A28" s="396"/>
      <c r="B28" s="405" t="s">
        <v>359</v>
      </c>
      <c r="C28" s="398"/>
      <c r="D28" s="398"/>
      <c r="E28" s="398"/>
      <c r="F28" s="398"/>
      <c r="G28" s="398"/>
      <c r="H28" s="398"/>
      <c r="I28" s="398"/>
      <c r="J28" s="398"/>
      <c r="K28" s="398"/>
      <c r="L28" s="398"/>
      <c r="M28" s="398"/>
      <c r="N28" s="398"/>
      <c r="O28" s="399"/>
    </row>
  </sheetData>
  <phoneticPr fontId="16" type="noConversion"/>
  <dataValidations count="1">
    <dataValidation type="list" allowBlank="1" showInputMessage="1" showErrorMessage="1" sqref="A7" xr:uid="{00000000-0002-0000-0600-000000000000}">
      <formula1>"Yes, No"</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S694"/>
  <sheetViews>
    <sheetView showGridLines="0" zoomScaleNormal="100" zoomScalePageLayoutView="90" workbookViewId="0">
      <pane xSplit="2" ySplit="5" topLeftCell="AA54" activePane="bottomRight" state="frozen"/>
      <selection pane="topRight" activeCell="B1" sqref="B1"/>
      <selection pane="bottomLeft" activeCell="A6" sqref="A6"/>
      <selection pane="bottomRight" activeCell="AE363" sqref="AE363"/>
    </sheetView>
  </sheetViews>
  <sheetFormatPr defaultColWidth="9.86328125" defaultRowHeight="11.65" outlineLevelRow="1" outlineLevelCol="1" x14ac:dyDescent="0.3"/>
  <cols>
    <col min="1" max="1" width="39.3984375" style="740" hidden="1" customWidth="1" outlineLevel="1"/>
    <col min="2" max="2" width="34.265625" style="756" customWidth="1" collapsed="1"/>
    <col min="3" max="10" width="9.86328125" style="742" hidden="1" customWidth="1" outlineLevel="1"/>
    <col min="11" max="11" width="9.86328125" style="742" hidden="1" customWidth="1" outlineLevel="1" collapsed="1"/>
    <col min="12" max="12" width="9.86328125" style="742" hidden="1" customWidth="1" outlineLevel="1"/>
    <col min="13" max="14" width="9.1328125" style="742" hidden="1" customWidth="1" outlineLevel="1"/>
    <col min="15" max="15" width="9.86328125" style="742" hidden="1" customWidth="1" outlineLevel="1" collapsed="1"/>
    <col min="16" max="16" width="9.86328125" style="742" hidden="1" customWidth="1" outlineLevel="1"/>
    <col min="17" max="18" width="9.1328125" style="742" hidden="1" customWidth="1" outlineLevel="1"/>
    <col min="19" max="22" width="9.86328125" style="742" hidden="1" customWidth="1" outlineLevel="1"/>
    <col min="23" max="23" width="9.86328125" style="742" hidden="1" customWidth="1" outlineLevel="1" collapsed="1"/>
    <col min="24" max="26" width="9.86328125" style="742" hidden="1" customWidth="1" outlineLevel="1"/>
    <col min="27" max="27" width="9.86328125" style="742" customWidth="1" collapsed="1"/>
    <col min="28" max="42" width="9.86328125" style="742" customWidth="1"/>
    <col min="43" max="46" width="9.1328125" style="742" customWidth="1" outlineLevel="1"/>
    <col min="47" max="47" width="9.1328125" style="742" customWidth="1" outlineLevel="1" collapsed="1"/>
    <col min="48" max="48" width="9.1328125" style="742" customWidth="1" outlineLevel="1"/>
    <col min="49" max="49" width="9.86328125" style="742" customWidth="1" outlineLevel="1"/>
    <col min="50" max="50" width="9.1328125" style="742" customWidth="1"/>
    <col min="51" max="51" width="10.59765625" style="742" customWidth="1"/>
    <col min="52" max="52" width="9.3984375" style="742" customWidth="1"/>
    <col min="53" max="53" width="10.265625" style="742" customWidth="1"/>
    <col min="54" max="54" width="10.59765625" style="756" customWidth="1"/>
    <col min="55" max="55" width="10.59765625" style="755" customWidth="1"/>
    <col min="56" max="16384" width="9.86328125" style="756"/>
  </cols>
  <sheetData>
    <row r="1" spans="1:71" ht="23.25" x14ac:dyDescent="0.3">
      <c r="B1" s="741" t="s">
        <v>621</v>
      </c>
      <c r="I1" s="743"/>
      <c r="J1" s="744"/>
      <c r="K1" s="745"/>
      <c r="L1" s="746"/>
      <c r="M1" s="743"/>
      <c r="N1" s="747"/>
      <c r="O1" s="747"/>
      <c r="P1" s="748"/>
      <c r="Q1" s="743"/>
      <c r="T1" s="747"/>
      <c r="U1" s="749"/>
      <c r="V1" s="750"/>
      <c r="W1" s="751"/>
      <c r="X1" s="751"/>
      <c r="Y1" s="752"/>
      <c r="Z1" s="751"/>
      <c r="AA1" s="750"/>
      <c r="AB1" s="750"/>
      <c r="AC1" s="750"/>
      <c r="AD1" s="751"/>
      <c r="AE1" s="750"/>
      <c r="AF1" s="750"/>
      <c r="AG1" s="750"/>
      <c r="AH1" s="751"/>
      <c r="AI1" s="751"/>
      <c r="AJ1" s="751"/>
      <c r="AK1" s="751"/>
      <c r="AL1" s="751"/>
      <c r="AM1" s="751"/>
      <c r="AN1" s="751"/>
      <c r="AO1" s="751"/>
      <c r="AP1" s="751"/>
      <c r="AS1" s="753"/>
      <c r="AY1" s="750"/>
      <c r="AZ1" s="750"/>
      <c r="BA1" s="750"/>
      <c r="BB1" s="754"/>
    </row>
    <row r="2" spans="1:71" ht="10.15" outlineLevel="1" x14ac:dyDescent="0.3">
      <c r="A2" s="756"/>
      <c r="B2" s="747" t="s">
        <v>622</v>
      </c>
      <c r="C2" s="757"/>
      <c r="D2" s="758"/>
      <c r="E2" s="757"/>
      <c r="F2" s="757"/>
      <c r="G2" s="759"/>
      <c r="H2" s="746" t="s">
        <v>623</v>
      </c>
      <c r="I2" s="760">
        <f>SUM(F15:I15)</f>
        <v>1541.6859999999999</v>
      </c>
      <c r="J2" s="761"/>
      <c r="K2" s="761"/>
      <c r="L2" s="746" t="s">
        <v>624</v>
      </c>
      <c r="M2" s="760">
        <f>SUM(J15:M15)</f>
        <v>2273.9189999999999</v>
      </c>
      <c r="N2" s="750"/>
      <c r="O2" s="750"/>
      <c r="P2" s="746" t="s">
        <v>625</v>
      </c>
      <c r="Q2" s="760">
        <f>SUM(N15:Q15)</f>
        <v>2950</v>
      </c>
      <c r="R2" s="762"/>
      <c r="S2" s="763"/>
      <c r="T2" s="746" t="s">
        <v>626</v>
      </c>
      <c r="U2" s="760">
        <f>SUM(R15:U15)</f>
        <v>3621.4199999999996</v>
      </c>
      <c r="V2" s="759"/>
      <c r="W2" s="759"/>
      <c r="X2" s="759"/>
      <c r="Y2" s="759"/>
      <c r="Z2" s="759"/>
      <c r="AA2" s="759"/>
      <c r="AB2" s="759"/>
      <c r="AC2" s="759"/>
      <c r="AD2" s="759"/>
      <c r="AE2" s="759"/>
      <c r="AF2" s="759"/>
      <c r="AG2" s="759"/>
      <c r="AH2" s="759"/>
      <c r="AI2" s="759"/>
      <c r="AJ2" s="759"/>
      <c r="AK2" s="759"/>
      <c r="AL2" s="759"/>
      <c r="AM2" s="759"/>
      <c r="AN2" s="759"/>
      <c r="AO2" s="759"/>
      <c r="AP2" s="759"/>
      <c r="AU2" s="764"/>
      <c r="AV2" s="759"/>
      <c r="BC2" s="765"/>
    </row>
    <row r="3" spans="1:71" s="766" customFormat="1" outlineLevel="1" x14ac:dyDescent="0.3">
      <c r="A3" s="756"/>
      <c r="C3" s="760"/>
      <c r="D3" s="760"/>
      <c r="E3" s="760"/>
      <c r="F3" s="760"/>
      <c r="G3" s="760"/>
      <c r="H3" s="767" t="s">
        <v>627</v>
      </c>
      <c r="I3" s="760">
        <f>SUM(F30:I30)</f>
        <v>441</v>
      </c>
      <c r="J3" s="760"/>
      <c r="K3" s="760"/>
      <c r="L3" s="767" t="s">
        <v>628</v>
      </c>
      <c r="M3" s="760">
        <f>SUM(J30:M30)</f>
        <v>762.83400000000006</v>
      </c>
      <c r="N3" s="768"/>
      <c r="O3" s="760"/>
      <c r="P3" s="767" t="s">
        <v>627</v>
      </c>
      <c r="Q3" s="760">
        <f>SUM(N30:Q30)</f>
        <v>1141</v>
      </c>
      <c r="R3" s="760"/>
      <c r="S3" s="769"/>
      <c r="T3" s="767" t="s">
        <v>627</v>
      </c>
      <c r="U3" s="760">
        <f>SUM(R30:U30)</f>
        <v>1488.827</v>
      </c>
      <c r="V3" s="760"/>
      <c r="W3" s="760"/>
      <c r="X3" s="760"/>
      <c r="Y3" s="760"/>
      <c r="Z3" s="760"/>
      <c r="AA3" s="760"/>
      <c r="AB3" s="760"/>
      <c r="AC3" s="760"/>
      <c r="AD3" s="760"/>
      <c r="AE3" s="770"/>
      <c r="AF3" s="770"/>
      <c r="AG3" s="770"/>
      <c r="AH3" s="770"/>
      <c r="AI3" s="770"/>
      <c r="AJ3" s="770"/>
      <c r="AK3" s="770"/>
      <c r="AL3" s="770"/>
      <c r="AM3" s="770"/>
      <c r="AN3" s="770"/>
      <c r="AO3" s="770"/>
      <c r="AP3" s="770"/>
      <c r="AQ3" s="768"/>
      <c r="AR3" s="768"/>
      <c r="AS3" s="768"/>
      <c r="AT3" s="768"/>
      <c r="AU3" s="771"/>
      <c r="AV3" s="768"/>
      <c r="AW3" s="768"/>
      <c r="AX3" s="768"/>
      <c r="AY3" s="768"/>
      <c r="AZ3" s="768"/>
      <c r="BA3" s="768"/>
      <c r="BC3" s="772"/>
      <c r="BD3" s="756"/>
      <c r="BE3" s="756"/>
      <c r="BF3" s="756"/>
      <c r="BG3" s="756"/>
      <c r="BH3" s="756"/>
      <c r="BI3" s="756"/>
      <c r="BJ3" s="756"/>
      <c r="BK3" s="756"/>
      <c r="BL3" s="756"/>
      <c r="BM3" s="756"/>
      <c r="BN3" s="756"/>
      <c r="BO3" s="756"/>
      <c r="BP3" s="756"/>
      <c r="BQ3" s="756"/>
      <c r="BR3" s="756"/>
      <c r="BS3" s="756"/>
    </row>
    <row r="4" spans="1:71" s="779" customFormat="1" ht="12" thickBot="1" x14ac:dyDescent="0.35">
      <c r="A4" s="773"/>
      <c r="B4" s="774" t="s">
        <v>629</v>
      </c>
      <c r="C4" s="775" t="s">
        <v>630</v>
      </c>
      <c r="D4" s="775" t="s">
        <v>631</v>
      </c>
      <c r="E4" s="775" t="s">
        <v>632</v>
      </c>
      <c r="F4" s="775" t="s">
        <v>633</v>
      </c>
      <c r="G4" s="776" t="s">
        <v>634</v>
      </c>
      <c r="H4" s="776" t="s">
        <v>635</v>
      </c>
      <c r="I4" s="776" t="s">
        <v>636</v>
      </c>
      <c r="J4" s="776" t="s">
        <v>637</v>
      </c>
      <c r="K4" s="776" t="s">
        <v>638</v>
      </c>
      <c r="L4" s="776" t="s">
        <v>639</v>
      </c>
      <c r="M4" s="776" t="s">
        <v>640</v>
      </c>
      <c r="N4" s="776" t="s">
        <v>641</v>
      </c>
      <c r="O4" s="776" t="s">
        <v>642</v>
      </c>
      <c r="P4" s="776" t="s">
        <v>643</v>
      </c>
      <c r="Q4" s="776" t="s">
        <v>644</v>
      </c>
      <c r="R4" s="776" t="s">
        <v>645</v>
      </c>
      <c r="S4" s="776" t="s">
        <v>646</v>
      </c>
      <c r="T4" s="776" t="s">
        <v>647</v>
      </c>
      <c r="U4" s="776" t="s">
        <v>648</v>
      </c>
      <c r="V4" s="776" t="s">
        <v>649</v>
      </c>
      <c r="W4" s="776" t="s">
        <v>650</v>
      </c>
      <c r="X4" s="776" t="s">
        <v>651</v>
      </c>
      <c r="Y4" s="776" t="s">
        <v>652</v>
      </c>
      <c r="Z4" s="776" t="s">
        <v>653</v>
      </c>
      <c r="AA4" s="776" t="s">
        <v>654</v>
      </c>
      <c r="AB4" s="776" t="s">
        <v>655</v>
      </c>
      <c r="AC4" s="776" t="s">
        <v>656</v>
      </c>
      <c r="AD4" s="776" t="s">
        <v>657</v>
      </c>
      <c r="AE4" s="776" t="s">
        <v>658</v>
      </c>
      <c r="AF4" s="776" t="s">
        <v>659</v>
      </c>
      <c r="AG4" s="776" t="s">
        <v>660</v>
      </c>
      <c r="AH4" s="776" t="s">
        <v>661</v>
      </c>
      <c r="AI4" s="776" t="s">
        <v>662</v>
      </c>
      <c r="AJ4" s="776" t="s">
        <v>663</v>
      </c>
      <c r="AK4" s="776" t="s">
        <v>664</v>
      </c>
      <c r="AL4" s="776" t="s">
        <v>665</v>
      </c>
      <c r="AM4" s="776" t="s">
        <v>666</v>
      </c>
      <c r="AN4" s="776" t="s">
        <v>667</v>
      </c>
      <c r="AO4" s="776" t="s">
        <v>668</v>
      </c>
      <c r="AP4" s="776" t="s">
        <v>669</v>
      </c>
      <c r="AQ4" s="777" t="s">
        <v>670</v>
      </c>
      <c r="AR4" s="777" t="s">
        <v>671</v>
      </c>
      <c r="AS4" s="777" t="s">
        <v>672</v>
      </c>
      <c r="AT4" s="777" t="s">
        <v>673</v>
      </c>
      <c r="AU4" s="777" t="s">
        <v>674</v>
      </c>
      <c r="AV4" s="777" t="s">
        <v>675</v>
      </c>
      <c r="AW4" s="777" t="s">
        <v>676</v>
      </c>
      <c r="AX4" s="777" t="s">
        <v>677</v>
      </c>
      <c r="AY4" s="777" t="s">
        <v>678</v>
      </c>
      <c r="AZ4" s="777" t="s">
        <v>679</v>
      </c>
      <c r="BA4" s="777" t="s">
        <v>680</v>
      </c>
      <c r="BB4" s="777" t="s">
        <v>681</v>
      </c>
      <c r="BC4" s="778" t="s">
        <v>682</v>
      </c>
    </row>
    <row r="5" spans="1:71" s="786" customFormat="1" ht="12.75" x14ac:dyDescent="0.35">
      <c r="A5" s="780" t="s">
        <v>683</v>
      </c>
      <c r="B5" s="781" t="s">
        <v>684</v>
      </c>
      <c r="C5" s="782" t="s">
        <v>685</v>
      </c>
      <c r="D5" s="782" t="s">
        <v>686</v>
      </c>
      <c r="E5" s="782" t="s">
        <v>687</v>
      </c>
      <c r="F5" s="782" t="s">
        <v>688</v>
      </c>
      <c r="G5" s="782" t="s">
        <v>689</v>
      </c>
      <c r="H5" s="782" t="s">
        <v>690</v>
      </c>
      <c r="I5" s="782" t="s">
        <v>691</v>
      </c>
      <c r="J5" s="782" t="s">
        <v>692</v>
      </c>
      <c r="K5" s="782" t="s">
        <v>693</v>
      </c>
      <c r="L5" s="782" t="s">
        <v>694</v>
      </c>
      <c r="M5" s="782" t="s">
        <v>695</v>
      </c>
      <c r="N5" s="782" t="s">
        <v>696</v>
      </c>
      <c r="O5" s="782" t="s">
        <v>697</v>
      </c>
      <c r="P5" s="782" t="s">
        <v>698</v>
      </c>
      <c r="Q5" s="782" t="s">
        <v>699</v>
      </c>
      <c r="R5" s="782" t="s">
        <v>700</v>
      </c>
      <c r="S5" s="782" t="s">
        <v>701</v>
      </c>
      <c r="T5" s="782" t="s">
        <v>702</v>
      </c>
      <c r="U5" s="782" t="s">
        <v>703</v>
      </c>
      <c r="V5" s="782" t="s">
        <v>704</v>
      </c>
      <c r="W5" s="782" t="s">
        <v>705</v>
      </c>
      <c r="X5" s="782" t="s">
        <v>706</v>
      </c>
      <c r="Y5" s="782" t="s">
        <v>707</v>
      </c>
      <c r="Z5" s="782" t="s">
        <v>708</v>
      </c>
      <c r="AA5" s="782" t="s">
        <v>709</v>
      </c>
      <c r="AB5" s="782" t="s">
        <v>710</v>
      </c>
      <c r="AC5" s="782" t="s">
        <v>711</v>
      </c>
      <c r="AD5" s="782" t="s">
        <v>712</v>
      </c>
      <c r="AE5" s="782" t="s">
        <v>713</v>
      </c>
      <c r="AF5" s="782" t="s">
        <v>714</v>
      </c>
      <c r="AG5" s="782" t="s">
        <v>715</v>
      </c>
      <c r="AH5" s="782" t="s">
        <v>716</v>
      </c>
      <c r="AI5" s="782" t="s">
        <v>717</v>
      </c>
      <c r="AJ5" s="782" t="s">
        <v>718</v>
      </c>
      <c r="AK5" s="782" t="s">
        <v>719</v>
      </c>
      <c r="AL5" s="782" t="s">
        <v>720</v>
      </c>
      <c r="AM5" s="782" t="s">
        <v>721</v>
      </c>
      <c r="AN5" s="782" t="s">
        <v>722</v>
      </c>
      <c r="AO5" s="782" t="s">
        <v>723</v>
      </c>
      <c r="AP5" s="782" t="s">
        <v>724</v>
      </c>
      <c r="AQ5" s="783" t="s">
        <v>725</v>
      </c>
      <c r="AR5" s="784" t="s">
        <v>726</v>
      </c>
      <c r="AS5" s="784" t="s">
        <v>727</v>
      </c>
      <c r="AT5" s="785" t="s">
        <v>728</v>
      </c>
      <c r="AU5" s="783" t="s">
        <v>729</v>
      </c>
      <c r="AV5" s="784" t="s">
        <v>730</v>
      </c>
      <c r="AW5" s="784" t="s">
        <v>731</v>
      </c>
      <c r="AX5" s="783" t="s">
        <v>732</v>
      </c>
      <c r="AY5" s="784" t="s">
        <v>733</v>
      </c>
      <c r="AZ5" s="784" t="s">
        <v>734</v>
      </c>
      <c r="BA5" s="785" t="s">
        <v>735</v>
      </c>
      <c r="BB5" s="783" t="s">
        <v>736</v>
      </c>
      <c r="BC5" s="785" t="s">
        <v>737</v>
      </c>
    </row>
    <row r="6" spans="1:71" ht="10.15" x14ac:dyDescent="0.3">
      <c r="A6" s="787"/>
      <c r="B6" s="788" t="s">
        <v>738</v>
      </c>
      <c r="C6" s="789">
        <v>6.3529999999999998</v>
      </c>
      <c r="D6" s="789">
        <v>6.2847999999999997</v>
      </c>
      <c r="E6" s="789">
        <v>6.2301000000000002</v>
      </c>
      <c r="F6" s="789">
        <v>6.2107999999999999</v>
      </c>
      <c r="G6" s="790">
        <v>6.1374000000000004</v>
      </c>
      <c r="H6" s="790">
        <v>6.12</v>
      </c>
      <c r="I6" s="790">
        <v>6.0537000000000001</v>
      </c>
      <c r="J6" s="791">
        <v>6.2164000000000001</v>
      </c>
      <c r="K6" s="792">
        <v>6.2035999999999998</v>
      </c>
      <c r="L6" s="792">
        <v>6.1379999999999999</v>
      </c>
      <c r="M6" s="792">
        <v>6.2046000000000001</v>
      </c>
      <c r="N6" s="792">
        <v>6.1989999999999998</v>
      </c>
      <c r="O6" s="793">
        <v>6.2</v>
      </c>
      <c r="P6" s="791">
        <v>6.3555999999999999</v>
      </c>
      <c r="Q6" s="791">
        <v>6.4778000000000002</v>
      </c>
      <c r="R6" s="791">
        <v>6.4480000000000004</v>
      </c>
      <c r="S6" s="794">
        <v>6.6459000000000001</v>
      </c>
      <c r="T6" s="794">
        <v>6.6684999999999999</v>
      </c>
      <c r="U6" s="792">
        <v>6.9429999999999996</v>
      </c>
      <c r="V6" s="792">
        <v>6.8832000000000004</v>
      </c>
      <c r="W6" s="793">
        <v>6.7793000000000001</v>
      </c>
      <c r="X6" s="793">
        <v>6.6532999999999998</v>
      </c>
      <c r="Y6" s="793">
        <v>6.5063000000000004</v>
      </c>
      <c r="Z6" s="793">
        <v>6.2725999999999997</v>
      </c>
      <c r="AA6" s="792">
        <v>6.6170999999999998</v>
      </c>
      <c r="AB6" s="795">
        <v>6.8680000000000003</v>
      </c>
      <c r="AC6" s="792">
        <v>6.8754999999999997</v>
      </c>
      <c r="AD6" s="795">
        <v>6.7111999999999998</v>
      </c>
      <c r="AE6" s="793">
        <v>6.8650000000000002</v>
      </c>
      <c r="AF6" s="793">
        <v>7.1477000000000004</v>
      </c>
      <c r="AG6" s="796">
        <v>6.9618000000000002</v>
      </c>
      <c r="AH6" s="796">
        <v>7.0808</v>
      </c>
      <c r="AI6" s="792">
        <v>7.0651000000000002</v>
      </c>
      <c r="AJ6" s="797">
        <v>7</v>
      </c>
      <c r="AK6" s="797">
        <v>7.1</v>
      </c>
      <c r="AL6" s="797">
        <v>7.2</v>
      </c>
      <c r="AM6" s="798">
        <v>7.2</v>
      </c>
      <c r="AN6" s="798">
        <v>7.2</v>
      </c>
      <c r="AO6" s="798">
        <v>7.2</v>
      </c>
      <c r="AP6" s="798">
        <v>7.2</v>
      </c>
      <c r="AQ6" s="799">
        <v>6.29</v>
      </c>
      <c r="AR6" s="796">
        <f>F6</f>
        <v>6.2107999999999999</v>
      </c>
      <c r="AS6" s="796">
        <f>J6</f>
        <v>6.2164000000000001</v>
      </c>
      <c r="AT6" s="800">
        <f>N6</f>
        <v>6.1989999999999998</v>
      </c>
      <c r="AU6" s="801">
        <f>R6</f>
        <v>6.4480000000000004</v>
      </c>
      <c r="AV6" s="793">
        <f>V6</f>
        <v>6.8832000000000004</v>
      </c>
      <c r="AW6" s="793">
        <f>Z6</f>
        <v>6.2725999999999997</v>
      </c>
      <c r="AX6" s="801">
        <f>AD6</f>
        <v>6.7111999999999998</v>
      </c>
      <c r="AY6" s="796">
        <f>AH6</f>
        <v>7.0808</v>
      </c>
      <c r="AZ6" s="796">
        <f>AL6</f>
        <v>7.2</v>
      </c>
      <c r="BA6" s="800">
        <f>AP6</f>
        <v>7.2</v>
      </c>
      <c r="BB6" s="802">
        <v>7.2</v>
      </c>
      <c r="BC6" s="803">
        <v>7.2</v>
      </c>
    </row>
    <row r="7" spans="1:71" s="814" customFormat="1" ht="10.15" x14ac:dyDescent="0.3">
      <c r="A7" s="804"/>
      <c r="B7" s="788"/>
      <c r="C7" s="805"/>
      <c r="D7" s="805"/>
      <c r="E7" s="805"/>
      <c r="F7" s="805"/>
      <c r="G7" s="806"/>
      <c r="H7" s="806"/>
      <c r="I7" s="806"/>
      <c r="J7" s="807"/>
      <c r="K7" s="805"/>
      <c r="L7" s="805"/>
      <c r="M7" s="805"/>
      <c r="N7" s="805"/>
      <c r="O7" s="806"/>
      <c r="P7" s="806"/>
      <c r="Q7" s="806"/>
      <c r="R7" s="806"/>
      <c r="S7" s="805"/>
      <c r="T7" s="805"/>
      <c r="U7" s="805"/>
      <c r="V7" s="805"/>
      <c r="W7" s="806"/>
      <c r="X7" s="806"/>
      <c r="Y7" s="806"/>
      <c r="Z7" s="806"/>
      <c r="AA7" s="805"/>
      <c r="AB7" s="805"/>
      <c r="AC7" s="805"/>
      <c r="AD7" s="805"/>
      <c r="AE7" s="806"/>
      <c r="AF7" s="806"/>
      <c r="AG7" s="806"/>
      <c r="AH7" s="806"/>
      <c r="AI7" s="805"/>
      <c r="AJ7" s="805"/>
      <c r="AK7" s="805"/>
      <c r="AL7" s="805"/>
      <c r="AM7" s="806"/>
      <c r="AN7" s="806"/>
      <c r="AO7" s="806"/>
      <c r="AP7" s="806"/>
      <c r="AQ7" s="808"/>
      <c r="AR7" s="809"/>
      <c r="AS7" s="809"/>
      <c r="AT7" s="810"/>
      <c r="AU7" s="808"/>
      <c r="AV7" s="809"/>
      <c r="AW7" s="809"/>
      <c r="AX7" s="811"/>
      <c r="AY7" s="812"/>
      <c r="AZ7" s="812"/>
      <c r="BA7" s="813"/>
      <c r="BB7" s="811"/>
      <c r="BC7" s="813"/>
    </row>
    <row r="8" spans="1:71" s="814" customFormat="1" ht="10.15" x14ac:dyDescent="0.3">
      <c r="A8" s="804"/>
      <c r="B8" s="788" t="s">
        <v>739</v>
      </c>
      <c r="C8" s="805"/>
      <c r="D8" s="805"/>
      <c r="E8" s="805"/>
      <c r="F8" s="805"/>
      <c r="G8" s="806"/>
      <c r="H8" s="806"/>
      <c r="I8" s="806"/>
      <c r="J8" s="807"/>
      <c r="K8" s="805"/>
      <c r="L8" s="805"/>
      <c r="M8" s="805"/>
      <c r="N8" s="805"/>
      <c r="O8" s="806"/>
      <c r="P8" s="806"/>
      <c r="Q8" s="806"/>
      <c r="R8" s="806"/>
      <c r="S8" s="805"/>
      <c r="T8" s="805"/>
      <c r="U8" s="805"/>
      <c r="V8" s="805"/>
      <c r="W8" s="806"/>
      <c r="X8" s="806"/>
      <c r="Y8" s="806"/>
      <c r="Z8" s="806"/>
      <c r="AA8" s="815"/>
      <c r="AB8" s="815"/>
      <c r="AC8" s="815"/>
      <c r="AD8" s="815"/>
      <c r="AE8" s="816"/>
      <c r="AF8" s="816"/>
      <c r="AG8" s="817"/>
      <c r="AH8" s="806"/>
      <c r="AI8" s="805"/>
      <c r="AJ8" s="805"/>
      <c r="AK8" s="805"/>
      <c r="AL8" s="805"/>
      <c r="AM8" s="806"/>
      <c r="AN8" s="806"/>
      <c r="AO8" s="806"/>
      <c r="AP8" s="806"/>
      <c r="AQ8" s="808"/>
      <c r="AR8" s="809"/>
      <c r="AS8" s="809"/>
      <c r="AT8" s="810"/>
      <c r="AU8" s="808"/>
      <c r="AV8" s="809"/>
      <c r="AW8" s="809"/>
      <c r="AX8" s="811"/>
      <c r="AY8" s="812"/>
      <c r="AZ8" s="812"/>
      <c r="BA8" s="813"/>
      <c r="BB8" s="811"/>
      <c r="BC8" s="813"/>
    </row>
    <row r="9" spans="1:71" s="829" customFormat="1" ht="10.15" x14ac:dyDescent="0.3">
      <c r="A9" s="818" t="s">
        <v>740</v>
      </c>
      <c r="B9" s="819" t="s">
        <v>741</v>
      </c>
      <c r="C9" s="820"/>
      <c r="D9" s="820"/>
      <c r="E9" s="820"/>
      <c r="F9" s="820"/>
      <c r="G9" s="821"/>
      <c r="H9" s="821"/>
      <c r="I9" s="821"/>
      <c r="J9" s="822"/>
      <c r="K9" s="820"/>
      <c r="L9" s="820"/>
      <c r="M9" s="820"/>
      <c r="N9" s="820"/>
      <c r="O9" s="821"/>
      <c r="P9" s="821"/>
      <c r="Q9" s="821"/>
      <c r="R9" s="821"/>
      <c r="S9" s="820"/>
      <c r="T9" s="820"/>
      <c r="U9" s="820"/>
      <c r="V9" s="820"/>
      <c r="W9" s="821"/>
      <c r="X9" s="821"/>
      <c r="Y9" s="821"/>
      <c r="Z9" s="821"/>
      <c r="AA9" s="820"/>
      <c r="AB9" s="820"/>
      <c r="AC9" s="820"/>
      <c r="AD9" s="820"/>
      <c r="AE9" s="821"/>
      <c r="AF9" s="821"/>
      <c r="AG9" s="821"/>
      <c r="AH9" s="821"/>
      <c r="AI9" s="820"/>
      <c r="AJ9" s="820"/>
      <c r="AK9" s="820"/>
      <c r="AL9" s="820"/>
      <c r="AM9" s="821"/>
      <c r="AN9" s="821"/>
      <c r="AO9" s="821"/>
      <c r="AP9" s="821"/>
      <c r="AQ9" s="823"/>
      <c r="AR9" s="824"/>
      <c r="AS9" s="824"/>
      <c r="AT9" s="825"/>
      <c r="AU9" s="823"/>
      <c r="AV9" s="824">
        <f>AV16+AV11</f>
        <v>585.81586921881524</v>
      </c>
      <c r="AW9" s="824">
        <f>AW11+AW16</f>
        <v>840.63554923707238</v>
      </c>
      <c r="AX9" s="826">
        <f>AX11+AX16</f>
        <v>1026.3414216314027</v>
      </c>
      <c r="AY9" s="827">
        <f>AY10/AY6</f>
        <v>996.07388995593715</v>
      </c>
      <c r="AZ9" s="827">
        <f>AZ11+AZ16</f>
        <v>1593.2194932825146</v>
      </c>
      <c r="BA9" s="828">
        <f>BA11+BA16</f>
        <v>1940.0887461806042</v>
      </c>
      <c r="BB9" s="826">
        <f>BB11+BB16</f>
        <v>2333.3359628693711</v>
      </c>
      <c r="BC9" s="828">
        <f>BC11+BC16</f>
        <v>2759.171874986524</v>
      </c>
    </row>
    <row r="10" spans="1:71" s="814" customFormat="1" ht="10.15" x14ac:dyDescent="0.3">
      <c r="A10" s="830"/>
      <c r="B10" s="831" t="s">
        <v>742</v>
      </c>
      <c r="C10" s="832"/>
      <c r="D10" s="832"/>
      <c r="E10" s="832"/>
      <c r="F10" s="832"/>
      <c r="G10" s="833"/>
      <c r="H10" s="833"/>
      <c r="I10" s="833"/>
      <c r="J10" s="834"/>
      <c r="K10" s="832"/>
      <c r="L10" s="832"/>
      <c r="M10" s="832"/>
      <c r="N10" s="832"/>
      <c r="O10" s="833"/>
      <c r="P10" s="833"/>
      <c r="Q10" s="833"/>
      <c r="R10" s="833"/>
      <c r="S10" s="832"/>
      <c r="T10" s="832"/>
      <c r="U10" s="832"/>
      <c r="V10" s="832"/>
      <c r="W10" s="833"/>
      <c r="X10" s="833"/>
      <c r="Y10" s="833"/>
      <c r="Z10" s="833"/>
      <c r="AA10" s="832"/>
      <c r="AB10" s="832"/>
      <c r="AC10" s="832"/>
      <c r="AD10" s="832"/>
      <c r="AE10" s="833"/>
      <c r="AF10" s="833"/>
      <c r="AG10" s="833"/>
      <c r="AH10" s="833"/>
      <c r="AI10" s="832"/>
      <c r="AJ10" s="832"/>
      <c r="AK10" s="832"/>
      <c r="AL10" s="832"/>
      <c r="AM10" s="833"/>
      <c r="AN10" s="833"/>
      <c r="AO10" s="833"/>
      <c r="AP10" s="833"/>
      <c r="AQ10" s="808"/>
      <c r="AR10" s="809"/>
      <c r="AS10" s="809"/>
      <c r="AT10" s="810"/>
      <c r="AU10" s="808"/>
      <c r="AV10" s="835"/>
      <c r="AW10" s="835"/>
      <c r="AX10" s="836"/>
      <c r="AY10" s="837">
        <v>7053</v>
      </c>
      <c r="AZ10" s="837">
        <f>AZ11+AZ15</f>
        <v>8298.2423153956061</v>
      </c>
      <c r="BA10" s="838"/>
      <c r="BB10" s="836"/>
      <c r="BC10" s="838"/>
    </row>
    <row r="11" spans="1:71" s="814" customFormat="1" ht="10.15" x14ac:dyDescent="0.3">
      <c r="A11" s="830" t="s">
        <v>740</v>
      </c>
      <c r="B11" s="839" t="s">
        <v>743</v>
      </c>
      <c r="C11" s="840"/>
      <c r="D11" s="840"/>
      <c r="E11" s="840"/>
      <c r="F11" s="840"/>
      <c r="G11" s="841"/>
      <c r="H11" s="841"/>
      <c r="I11" s="841"/>
      <c r="J11" s="842"/>
      <c r="K11" s="840"/>
      <c r="L11" s="840"/>
      <c r="M11" s="840"/>
      <c r="N11" s="840"/>
      <c r="O11" s="841"/>
      <c r="P11" s="841"/>
      <c r="Q11" s="841"/>
      <c r="R11" s="841"/>
      <c r="S11" s="840"/>
      <c r="T11" s="840"/>
      <c r="U11" s="840"/>
      <c r="V11" s="840"/>
      <c r="W11" s="841"/>
      <c r="X11" s="841"/>
      <c r="Y11" s="841"/>
      <c r="Z11" s="841"/>
      <c r="AA11" s="840"/>
      <c r="AB11" s="840"/>
      <c r="AC11" s="840"/>
      <c r="AD11" s="840"/>
      <c r="AE11" s="841"/>
      <c r="AF11" s="841"/>
      <c r="AG11" s="841"/>
      <c r="AH11" s="841"/>
      <c r="AI11" s="840"/>
      <c r="AJ11" s="840"/>
      <c r="AK11" s="840"/>
      <c r="AL11" s="840"/>
      <c r="AM11" s="841"/>
      <c r="AN11" s="841"/>
      <c r="AO11" s="841"/>
      <c r="AP11" s="841"/>
      <c r="AQ11" s="843"/>
      <c r="AR11" s="844"/>
      <c r="AS11" s="844"/>
      <c r="AT11" s="845"/>
      <c r="AU11" s="843"/>
      <c r="AV11" s="846">
        <f>AV12+AV13</f>
        <v>38.513015894780004</v>
      </c>
      <c r="AW11" s="846">
        <f>AW12+AW13</f>
        <v>72.205708341749997</v>
      </c>
      <c r="AX11" s="847">
        <f>AX12+AX13</f>
        <v>172.99179712311798</v>
      </c>
      <c r="AY11" s="848">
        <f>AY10-AY15</f>
        <v>464</v>
      </c>
      <c r="AZ11" s="848">
        <f>AZ12+AZ13</f>
        <v>511.76419939330617</v>
      </c>
      <c r="BA11" s="849">
        <f>BA12+BA13</f>
        <v>706.43721920732639</v>
      </c>
      <c r="BB11" s="847">
        <f>BB12+BB13</f>
        <v>939.56150154574414</v>
      </c>
      <c r="BC11" s="849">
        <f>BC12+BC13</f>
        <v>1202.6387219785524</v>
      </c>
    </row>
    <row r="12" spans="1:71" s="814" customFormat="1" ht="10.15" x14ac:dyDescent="0.3">
      <c r="A12" s="830" t="s">
        <v>740</v>
      </c>
      <c r="B12" s="850" t="s">
        <v>744</v>
      </c>
      <c r="C12" s="851"/>
      <c r="D12" s="851"/>
      <c r="E12" s="851"/>
      <c r="F12" s="851"/>
      <c r="G12" s="852"/>
      <c r="H12" s="852"/>
      <c r="I12" s="852"/>
      <c r="J12" s="853"/>
      <c r="K12" s="851"/>
      <c r="L12" s="851"/>
      <c r="M12" s="851"/>
      <c r="N12" s="851"/>
      <c r="O12" s="852"/>
      <c r="P12" s="852"/>
      <c r="Q12" s="852"/>
      <c r="R12" s="852"/>
      <c r="S12" s="851"/>
      <c r="T12" s="851"/>
      <c r="U12" s="851"/>
      <c r="V12" s="851"/>
      <c r="W12" s="852"/>
      <c r="X12" s="852"/>
      <c r="Y12" s="852"/>
      <c r="Z12" s="852"/>
      <c r="AA12" s="851"/>
      <c r="AB12" s="851"/>
      <c r="AC12" s="851"/>
      <c r="AD12" s="851"/>
      <c r="AE12" s="852"/>
      <c r="AF12" s="852"/>
      <c r="AG12" s="852"/>
      <c r="AH12" s="852"/>
      <c r="AI12" s="851"/>
      <c r="AJ12" s="851"/>
      <c r="AK12" s="851"/>
      <c r="AL12" s="851"/>
      <c r="AM12" s="852"/>
      <c r="AN12" s="852"/>
      <c r="AO12" s="852"/>
      <c r="AP12" s="852"/>
      <c r="AQ12" s="854"/>
      <c r="AR12" s="855"/>
      <c r="AS12" s="855"/>
      <c r="AT12" s="856"/>
      <c r="AU12" s="854"/>
      <c r="AV12" s="857">
        <f t="shared" ref="AV12:BC12" si="0">AV104/1000*AV6</f>
        <v>17.757004032000001</v>
      </c>
      <c r="AW12" s="857">
        <f t="shared" si="0"/>
        <v>38.397093639999994</v>
      </c>
      <c r="AX12" s="858">
        <f t="shared" si="0"/>
        <v>87.254924373499989</v>
      </c>
      <c r="AY12" s="859">
        <f t="shared" si="0"/>
        <v>198.73805530678996</v>
      </c>
      <c r="AZ12" s="859">
        <f t="shared" si="0"/>
        <v>375.4260985004999</v>
      </c>
      <c r="BA12" s="860">
        <f t="shared" si="0"/>
        <v>536.29908979679988</v>
      </c>
      <c r="BB12" s="858">
        <f t="shared" si="0"/>
        <v>713.27778942974385</v>
      </c>
      <c r="BC12" s="860">
        <f t="shared" si="0"/>
        <v>912.99557047007215</v>
      </c>
    </row>
    <row r="13" spans="1:71" s="814" customFormat="1" ht="10.15" x14ac:dyDescent="0.3">
      <c r="A13" s="830" t="s">
        <v>745</v>
      </c>
      <c r="B13" s="850" t="s">
        <v>746</v>
      </c>
      <c r="C13" s="851"/>
      <c r="D13" s="851"/>
      <c r="E13" s="851"/>
      <c r="F13" s="851"/>
      <c r="G13" s="852"/>
      <c r="H13" s="852"/>
      <c r="I13" s="852"/>
      <c r="J13" s="853"/>
      <c r="K13" s="851"/>
      <c r="L13" s="851"/>
      <c r="M13" s="851"/>
      <c r="N13" s="851"/>
      <c r="O13" s="852"/>
      <c r="P13" s="852"/>
      <c r="Q13" s="852"/>
      <c r="R13" s="852"/>
      <c r="S13" s="851"/>
      <c r="T13" s="851"/>
      <c r="U13" s="851"/>
      <c r="V13" s="851"/>
      <c r="W13" s="852"/>
      <c r="X13" s="852"/>
      <c r="Y13" s="852"/>
      <c r="Z13" s="852"/>
      <c r="AA13" s="851"/>
      <c r="AB13" s="851"/>
      <c r="AC13" s="851"/>
      <c r="AD13" s="851"/>
      <c r="AE13" s="852"/>
      <c r="AF13" s="852"/>
      <c r="AG13" s="852"/>
      <c r="AH13" s="852"/>
      <c r="AI13" s="851"/>
      <c r="AJ13" s="851"/>
      <c r="AK13" s="851"/>
      <c r="AL13" s="851"/>
      <c r="AM13" s="852"/>
      <c r="AN13" s="852"/>
      <c r="AO13" s="852"/>
      <c r="AP13" s="852"/>
      <c r="AQ13" s="854"/>
      <c r="AR13" s="855"/>
      <c r="AS13" s="855"/>
      <c r="AT13" s="856"/>
      <c r="AU13" s="854"/>
      <c r="AV13" s="857">
        <f>AV189/0.15/1000</f>
        <v>20.756011862780003</v>
      </c>
      <c r="AW13" s="857">
        <f>AW189/0.15/1000</f>
        <v>33.808614701750002</v>
      </c>
      <c r="AX13" s="858">
        <f t="shared" ref="AX13:BC13" si="1">AX110*AX6/1000</f>
        <v>85.736872749618001</v>
      </c>
      <c r="AY13" s="859">
        <f t="shared" si="1"/>
        <v>101.40667493330625</v>
      </c>
      <c r="AZ13" s="859">
        <f t="shared" si="1"/>
        <v>136.33810089280627</v>
      </c>
      <c r="BA13" s="860">
        <f t="shared" si="1"/>
        <v>170.13812941052655</v>
      </c>
      <c r="BB13" s="858">
        <f t="shared" si="1"/>
        <v>226.28371211600029</v>
      </c>
      <c r="BC13" s="860">
        <f t="shared" si="1"/>
        <v>289.6431515084804</v>
      </c>
    </row>
    <row r="14" spans="1:71" s="814" customFormat="1" ht="10.15" x14ac:dyDescent="0.3">
      <c r="A14" s="830"/>
      <c r="B14" s="850"/>
      <c r="C14" s="851"/>
      <c r="D14" s="851"/>
      <c r="E14" s="851"/>
      <c r="F14" s="851"/>
      <c r="G14" s="852"/>
      <c r="H14" s="852"/>
      <c r="I14" s="852"/>
      <c r="J14" s="853"/>
      <c r="K14" s="851"/>
      <c r="L14" s="851"/>
      <c r="M14" s="851"/>
      <c r="N14" s="851"/>
      <c r="O14" s="852"/>
      <c r="P14" s="852"/>
      <c r="Q14" s="852"/>
      <c r="R14" s="852"/>
      <c r="S14" s="851"/>
      <c r="T14" s="851"/>
      <c r="U14" s="851"/>
      <c r="V14" s="851"/>
      <c r="W14" s="852"/>
      <c r="X14" s="852"/>
      <c r="Y14" s="852"/>
      <c r="Z14" s="852"/>
      <c r="AA14" s="851"/>
      <c r="AB14" s="851"/>
      <c r="AC14" s="851"/>
      <c r="AD14" s="851"/>
      <c r="AE14" s="852"/>
      <c r="AF14" s="852"/>
      <c r="AG14" s="852"/>
      <c r="AH14" s="852"/>
      <c r="AI14" s="851"/>
      <c r="AJ14" s="851"/>
      <c r="AK14" s="851"/>
      <c r="AL14" s="851"/>
      <c r="AM14" s="852"/>
      <c r="AN14" s="852"/>
      <c r="AO14" s="852"/>
      <c r="AP14" s="852"/>
      <c r="AQ14" s="854"/>
      <c r="AR14" s="855"/>
      <c r="AS14" s="855"/>
      <c r="AT14" s="856"/>
      <c r="AU14" s="854"/>
      <c r="AV14" s="857"/>
      <c r="AW14" s="857"/>
      <c r="AX14" s="858"/>
      <c r="AY14" s="859"/>
      <c r="AZ14" s="859"/>
      <c r="BA14" s="860"/>
      <c r="BB14" s="858"/>
      <c r="BC14" s="860"/>
    </row>
    <row r="15" spans="1:71" s="873" customFormat="1" ht="12.75" x14ac:dyDescent="0.35">
      <c r="A15" s="830" t="s">
        <v>747</v>
      </c>
      <c r="B15" s="861" t="s">
        <v>748</v>
      </c>
      <c r="C15" s="862">
        <v>209.221</v>
      </c>
      <c r="D15" s="862">
        <v>228.06800000000001</v>
      </c>
      <c r="E15" s="862">
        <v>345.69600000000003</v>
      </c>
      <c r="F15" s="862">
        <v>294.18400000000003</v>
      </c>
      <c r="G15" s="863">
        <v>345.13400000000001</v>
      </c>
      <c r="H15" s="863">
        <v>373.65899999999999</v>
      </c>
      <c r="I15" s="863">
        <v>528.70899999999995</v>
      </c>
      <c r="J15" s="864">
        <v>430.08499999999998</v>
      </c>
      <c r="K15" s="862">
        <f>K23+K30</f>
        <v>501</v>
      </c>
      <c r="L15" s="862">
        <f>L23+L30</f>
        <v>555.83400000000006</v>
      </c>
      <c r="M15" s="862">
        <v>787</v>
      </c>
      <c r="N15" s="862">
        <v>600</v>
      </c>
      <c r="O15" s="863">
        <f>O23+O30</f>
        <v>673</v>
      </c>
      <c r="P15" s="863">
        <f>P23+P30</f>
        <v>713</v>
      </c>
      <c r="Q15" s="863">
        <v>964</v>
      </c>
      <c r="R15" s="863">
        <v>742</v>
      </c>
      <c r="S15" s="862">
        <v>837.04300000000001</v>
      </c>
      <c r="T15" s="865">
        <f t="shared" ref="T15:AC15" si="2">T23+T30</f>
        <v>871.58999999999992</v>
      </c>
      <c r="U15" s="865">
        <f t="shared" si="2"/>
        <v>1170.7869999999998</v>
      </c>
      <c r="V15" s="865">
        <f t="shared" si="2"/>
        <v>887.77500000000009</v>
      </c>
      <c r="W15" s="866">
        <f t="shared" si="2"/>
        <v>1070.2</v>
      </c>
      <c r="X15" s="866">
        <f t="shared" si="2"/>
        <v>1116.8579999999997</v>
      </c>
      <c r="Y15" s="866">
        <f t="shared" si="2"/>
        <v>1496.3964799999999</v>
      </c>
      <c r="Z15" s="866">
        <f t="shared" si="2"/>
        <v>1136.59854</v>
      </c>
      <c r="AA15" s="865">
        <f t="shared" si="2"/>
        <v>1277.7112</v>
      </c>
      <c r="AB15" s="865">
        <f t="shared" si="2"/>
        <v>1307.98362</v>
      </c>
      <c r="AC15" s="865">
        <f t="shared" si="2"/>
        <v>1778.2312087999999</v>
      </c>
      <c r="AD15" s="865">
        <f>AX15-AA15-AB15-AC15</f>
        <v>1363.0739712000004</v>
      </c>
      <c r="AE15" s="866">
        <f t="shared" ref="AE15:AP15" si="3">AE23+AE30</f>
        <v>1552.1374960000001</v>
      </c>
      <c r="AF15" s="866">
        <f t="shared" si="3"/>
        <v>1535.9943281999999</v>
      </c>
      <c r="AG15" s="866">
        <f t="shared" si="3"/>
        <v>2056.4073474059996</v>
      </c>
      <c r="AH15" s="866">
        <f t="shared" si="3"/>
        <v>1443.8482627200005</v>
      </c>
      <c r="AI15" s="865">
        <f t="shared" si="3"/>
        <v>1837.91852496</v>
      </c>
      <c r="AJ15" s="865">
        <f t="shared" si="3"/>
        <v>1764.0395119559998</v>
      </c>
      <c r="AK15" s="865">
        <f t="shared" si="3"/>
        <v>2404.8834369595797</v>
      </c>
      <c r="AL15" s="865">
        <f t="shared" si="3"/>
        <v>1779.6366421267207</v>
      </c>
      <c r="AM15" s="866">
        <f t="shared" si="3"/>
        <v>2137.6766490912</v>
      </c>
      <c r="AN15" s="866">
        <f t="shared" si="3"/>
        <v>2023.6118434070399</v>
      </c>
      <c r="AO15" s="866">
        <f t="shared" si="3"/>
        <v>2737.6954956005211</v>
      </c>
      <c r="AP15" s="866">
        <f t="shared" si="3"/>
        <v>1983.3070061088392</v>
      </c>
      <c r="AQ15" s="867">
        <f>AR15/(1+AR18)</f>
        <v>634.37514723203776</v>
      </c>
      <c r="AR15" s="868">
        <f>SUM(C15:F15)</f>
        <v>1077.1690000000001</v>
      </c>
      <c r="AS15" s="868">
        <f>SUM(G15:J15)</f>
        <v>1677.587</v>
      </c>
      <c r="AT15" s="869">
        <f>SUM(K15:N15)</f>
        <v>2443.8339999999998</v>
      </c>
      <c r="AU15" s="867">
        <f>SUM(O15:R15)</f>
        <v>3092</v>
      </c>
      <c r="AV15" s="868">
        <f>SUM(S15:V15)</f>
        <v>3767.1949999999997</v>
      </c>
      <c r="AW15" s="870">
        <f>SUM(W15:Z15)</f>
        <v>4820.0530199999994</v>
      </c>
      <c r="AX15" s="871">
        <v>5727</v>
      </c>
      <c r="AY15" s="870">
        <v>6589</v>
      </c>
      <c r="AZ15" s="870">
        <f>AZ23+AZ30</f>
        <v>7786.4781160023003</v>
      </c>
      <c r="BA15" s="872">
        <f>BA23+BA30</f>
        <v>8882.2909942076003</v>
      </c>
      <c r="BB15" s="871">
        <f>BB23+BB30</f>
        <v>10035.176121530116</v>
      </c>
      <c r="BC15" s="872">
        <f>BC23+BC30</f>
        <v>11207.038701657395</v>
      </c>
    </row>
    <row r="16" spans="1:71" s="829" customFormat="1" x14ac:dyDescent="0.35">
      <c r="A16" s="818"/>
      <c r="B16" s="874" t="s">
        <v>749</v>
      </c>
      <c r="C16" s="875"/>
      <c r="D16" s="875"/>
      <c r="E16" s="875"/>
      <c r="F16" s="875"/>
      <c r="G16" s="876">
        <f t="shared" ref="G16:R16" si="4">G15/G6</f>
        <v>56.234561866588457</v>
      </c>
      <c r="H16" s="876">
        <f t="shared" si="4"/>
        <v>61.055392156862744</v>
      </c>
      <c r="I16" s="876">
        <f t="shared" si="4"/>
        <v>87.336504947387539</v>
      </c>
      <c r="J16" s="877">
        <f t="shared" si="4"/>
        <v>69.185541470947811</v>
      </c>
      <c r="K16" s="875">
        <f t="shared" si="4"/>
        <v>80.759558965761812</v>
      </c>
      <c r="L16" s="875">
        <f t="shared" si="4"/>
        <v>90.556207233626594</v>
      </c>
      <c r="M16" s="875">
        <f t="shared" si="4"/>
        <v>126.84137575347323</v>
      </c>
      <c r="N16" s="875">
        <f t="shared" si="4"/>
        <v>96.789804807226972</v>
      </c>
      <c r="O16" s="878">
        <f t="shared" si="4"/>
        <v>108.54838709677419</v>
      </c>
      <c r="P16" s="878">
        <f t="shared" si="4"/>
        <v>112.18453017811065</v>
      </c>
      <c r="Q16" s="878">
        <f t="shared" si="4"/>
        <v>148.81595603445615</v>
      </c>
      <c r="R16" s="878">
        <f t="shared" si="4"/>
        <v>115.0744416873449</v>
      </c>
      <c r="S16" s="879">
        <v>126</v>
      </c>
      <c r="T16" s="879">
        <f t="shared" ref="T16:AR16" si="5">T15/T6</f>
        <v>130.70255679688086</v>
      </c>
      <c r="U16" s="879">
        <f t="shared" si="5"/>
        <v>168.6284027077632</v>
      </c>
      <c r="V16" s="879">
        <f t="shared" si="5"/>
        <v>128.97707461645746</v>
      </c>
      <c r="W16" s="878">
        <f t="shared" si="5"/>
        <v>157.86290619975514</v>
      </c>
      <c r="X16" s="878">
        <f t="shared" si="5"/>
        <v>167.86526986608146</v>
      </c>
      <c r="Y16" s="878">
        <f t="shared" si="5"/>
        <v>229.99192782380152</v>
      </c>
      <c r="Z16" s="878">
        <f t="shared" si="5"/>
        <v>181.2005452284539</v>
      </c>
      <c r="AA16" s="879">
        <f t="shared" si="5"/>
        <v>193.09232140968098</v>
      </c>
      <c r="AB16" s="879">
        <f t="shared" si="5"/>
        <v>190.4460716365754</v>
      </c>
      <c r="AC16" s="879">
        <f t="shared" si="5"/>
        <v>258.63300251618062</v>
      </c>
      <c r="AD16" s="879">
        <f t="shared" si="5"/>
        <v>203.10435856478728</v>
      </c>
      <c r="AE16" s="878">
        <f t="shared" si="5"/>
        <v>226.09431842680263</v>
      </c>
      <c r="AF16" s="878">
        <f t="shared" si="5"/>
        <v>214.89350814947463</v>
      </c>
      <c r="AG16" s="878">
        <f t="shared" si="5"/>
        <v>295.38443325088332</v>
      </c>
      <c r="AH16" s="878">
        <f t="shared" si="5"/>
        <v>203.91032972545483</v>
      </c>
      <c r="AI16" s="879">
        <f t="shared" si="5"/>
        <v>260.14048279005249</v>
      </c>
      <c r="AJ16" s="879">
        <f t="shared" si="5"/>
        <v>252.00564456514283</v>
      </c>
      <c r="AK16" s="879">
        <f t="shared" si="5"/>
        <v>338.71597703656056</v>
      </c>
      <c r="AL16" s="879">
        <f t="shared" si="5"/>
        <v>247.17175585093344</v>
      </c>
      <c r="AM16" s="878">
        <f t="shared" si="5"/>
        <v>296.89953459600002</v>
      </c>
      <c r="AN16" s="878">
        <f t="shared" si="5"/>
        <v>281.0572004732</v>
      </c>
      <c r="AO16" s="878">
        <f t="shared" si="5"/>
        <v>380.23548550007234</v>
      </c>
      <c r="AP16" s="878">
        <f t="shared" si="5"/>
        <v>275.45930640400542</v>
      </c>
      <c r="AQ16" s="880">
        <f t="shared" si="5"/>
        <v>100.85455440890902</v>
      </c>
      <c r="AR16" s="881">
        <f t="shared" si="5"/>
        <v>173.43482321118054</v>
      </c>
      <c r="AS16" s="881">
        <v>269.86500000000001</v>
      </c>
      <c r="AT16" s="882">
        <v>394</v>
      </c>
      <c r="AU16" s="880">
        <f t="shared" ref="AU16:BC16" si="6">AU15/AU6</f>
        <v>479.52853598014883</v>
      </c>
      <c r="AV16" s="881">
        <f t="shared" si="6"/>
        <v>547.30285332403525</v>
      </c>
      <c r="AW16" s="883">
        <f t="shared" si="6"/>
        <v>768.4298408953224</v>
      </c>
      <c r="AX16" s="884">
        <f t="shared" si="6"/>
        <v>853.34962450828471</v>
      </c>
      <c r="AY16" s="883">
        <f t="shared" si="6"/>
        <v>930.54457123488874</v>
      </c>
      <c r="AZ16" s="883">
        <f t="shared" si="6"/>
        <v>1081.4552938892084</v>
      </c>
      <c r="BA16" s="885">
        <f t="shared" si="6"/>
        <v>1233.6515269732779</v>
      </c>
      <c r="BB16" s="884">
        <f t="shared" si="6"/>
        <v>1393.7744613236271</v>
      </c>
      <c r="BC16" s="885">
        <f t="shared" si="6"/>
        <v>1556.5331530079716</v>
      </c>
    </row>
    <row r="17" spans="1:55" x14ac:dyDescent="0.35">
      <c r="A17" s="787"/>
      <c r="B17" s="886" t="s">
        <v>750</v>
      </c>
      <c r="C17" s="887"/>
      <c r="D17" s="888">
        <f t="shared" ref="D17:AP17" si="7">D15/C15-1</f>
        <v>9.0081779553677688E-2</v>
      </c>
      <c r="E17" s="888">
        <f t="shared" si="7"/>
        <v>0.51575845800375331</v>
      </c>
      <c r="F17" s="888">
        <f t="shared" si="7"/>
        <v>-0.14900953438859577</v>
      </c>
      <c r="G17" s="889">
        <f t="shared" si="7"/>
        <v>0.17319092812661463</v>
      </c>
      <c r="H17" s="889">
        <f t="shared" si="7"/>
        <v>8.2649058047019386E-2</v>
      </c>
      <c r="I17" s="890">
        <f t="shared" si="7"/>
        <v>0.41495052976109226</v>
      </c>
      <c r="J17" s="889">
        <f t="shared" si="7"/>
        <v>-0.1865373958075236</v>
      </c>
      <c r="K17" s="891">
        <f t="shared" si="7"/>
        <v>0.16488601090482113</v>
      </c>
      <c r="L17" s="891">
        <f t="shared" si="7"/>
        <v>0.10944910179640721</v>
      </c>
      <c r="M17" s="891">
        <f t="shared" si="7"/>
        <v>0.41589035575369615</v>
      </c>
      <c r="N17" s="891">
        <f t="shared" si="7"/>
        <v>-0.23761118170266837</v>
      </c>
      <c r="O17" s="892">
        <f t="shared" si="7"/>
        <v>0.12166666666666659</v>
      </c>
      <c r="P17" s="892">
        <f t="shared" si="7"/>
        <v>5.9435364041604766E-2</v>
      </c>
      <c r="Q17" s="892">
        <f t="shared" si="7"/>
        <v>0.35203366058906038</v>
      </c>
      <c r="R17" s="892">
        <f t="shared" si="7"/>
        <v>-0.23029045643153523</v>
      </c>
      <c r="S17" s="893">
        <f t="shared" si="7"/>
        <v>0.12809029649595693</v>
      </c>
      <c r="T17" s="894">
        <f t="shared" si="7"/>
        <v>4.1272670579647563E-2</v>
      </c>
      <c r="U17" s="894">
        <f t="shared" si="7"/>
        <v>0.34327722897233781</v>
      </c>
      <c r="V17" s="894">
        <f t="shared" si="7"/>
        <v>-0.24172800005466388</v>
      </c>
      <c r="W17" s="895">
        <f t="shared" si="7"/>
        <v>0.20548562417279137</v>
      </c>
      <c r="X17" s="895">
        <f t="shared" si="7"/>
        <v>4.3597458418986879E-2</v>
      </c>
      <c r="Y17" s="895">
        <f t="shared" si="7"/>
        <v>0.33982697889973501</v>
      </c>
      <c r="Z17" s="895">
        <f t="shared" si="7"/>
        <v>-0.24044292058211736</v>
      </c>
      <c r="AA17" s="894">
        <f t="shared" si="7"/>
        <v>0.12415347638929752</v>
      </c>
      <c r="AB17" s="894">
        <f t="shared" si="7"/>
        <v>2.3692693622784144E-2</v>
      </c>
      <c r="AC17" s="894">
        <f t="shared" si="7"/>
        <v>0.35952100745726456</v>
      </c>
      <c r="AD17" s="894">
        <f t="shared" si="7"/>
        <v>-0.23346639938917679</v>
      </c>
      <c r="AE17" s="895">
        <f t="shared" si="7"/>
        <v>0.13870378922543369</v>
      </c>
      <c r="AF17" s="895">
        <f t="shared" si="7"/>
        <v>-1.0400604225851429E-2</v>
      </c>
      <c r="AG17" s="895">
        <f t="shared" si="7"/>
        <v>0.33881181046798581</v>
      </c>
      <c r="AH17" s="895">
        <f t="shared" si="7"/>
        <v>-0.29787828051611243</v>
      </c>
      <c r="AI17" s="894">
        <f t="shared" si="7"/>
        <v>0.27293052352857927</v>
      </c>
      <c r="AJ17" s="894">
        <f t="shared" si="7"/>
        <v>-4.0197109937508246E-2</v>
      </c>
      <c r="AK17" s="894">
        <f t="shared" si="7"/>
        <v>0.3632820697383361</v>
      </c>
      <c r="AL17" s="894">
        <f t="shared" si="7"/>
        <v>-0.2599904782176633</v>
      </c>
      <c r="AM17" s="895">
        <f t="shared" si="7"/>
        <v>0.20118714039097907</v>
      </c>
      <c r="AN17" s="895">
        <f t="shared" si="7"/>
        <v>-5.3359242022245512E-2</v>
      </c>
      <c r="AO17" s="895">
        <f t="shared" si="7"/>
        <v>0.35287580200717694</v>
      </c>
      <c r="AP17" s="895">
        <f t="shared" si="7"/>
        <v>-0.27555602538850099</v>
      </c>
      <c r="AQ17" s="896"/>
      <c r="AR17" s="897"/>
      <c r="AS17" s="897"/>
      <c r="AT17" s="898"/>
      <c r="AU17" s="899"/>
      <c r="AV17" s="897"/>
      <c r="AW17" s="900"/>
      <c r="AX17" s="901"/>
      <c r="AY17" s="900"/>
      <c r="AZ17" s="900"/>
      <c r="BA17" s="902"/>
      <c r="BB17" s="901"/>
      <c r="BC17" s="902"/>
    </row>
    <row r="18" spans="1:55" s="921" customFormat="1" x14ac:dyDescent="0.35">
      <c r="A18" s="903"/>
      <c r="B18" s="904" t="s">
        <v>751</v>
      </c>
      <c r="C18" s="905"/>
      <c r="D18" s="905"/>
      <c r="E18" s="905"/>
      <c r="F18" s="905"/>
      <c r="G18" s="906">
        <f t="shared" ref="G18:P18" si="8">G15/C15-1</f>
        <v>0.64961452244277584</v>
      </c>
      <c r="H18" s="906">
        <f t="shared" si="8"/>
        <v>0.63836662749706208</v>
      </c>
      <c r="I18" s="907">
        <f t="shared" si="8"/>
        <v>0.52940444783856311</v>
      </c>
      <c r="J18" s="907">
        <f t="shared" si="8"/>
        <v>0.46195918200853869</v>
      </c>
      <c r="K18" s="908">
        <f t="shared" si="8"/>
        <v>0.45161009926579232</v>
      </c>
      <c r="L18" s="908">
        <f t="shared" si="8"/>
        <v>0.48754345539649813</v>
      </c>
      <c r="M18" s="908">
        <f t="shared" si="8"/>
        <v>0.48853149842351851</v>
      </c>
      <c r="N18" s="908">
        <f t="shared" si="8"/>
        <v>0.3950730669518816</v>
      </c>
      <c r="O18" s="909">
        <f t="shared" si="8"/>
        <v>0.34331337325349298</v>
      </c>
      <c r="P18" s="910">
        <f t="shared" si="8"/>
        <v>0.28275708215042616</v>
      </c>
      <c r="Q18" s="910">
        <v>0.23</v>
      </c>
      <c r="R18" s="911">
        <f t="shared" ref="R18:AP18" si="9">R15/N15-1</f>
        <v>0.23666666666666658</v>
      </c>
      <c r="S18" s="908">
        <f t="shared" si="9"/>
        <v>0.24374888558692431</v>
      </c>
      <c r="T18" s="912">
        <f t="shared" si="9"/>
        <v>0.22242636746143041</v>
      </c>
      <c r="U18" s="912">
        <f t="shared" si="9"/>
        <v>0.21450933609958489</v>
      </c>
      <c r="V18" s="912">
        <f t="shared" si="9"/>
        <v>0.19646226415094348</v>
      </c>
      <c r="W18" s="913">
        <f t="shared" si="9"/>
        <v>0.27854841388076834</v>
      </c>
      <c r="X18" s="913">
        <f t="shared" si="9"/>
        <v>0.28140295322341902</v>
      </c>
      <c r="Y18" s="913">
        <f t="shared" si="9"/>
        <v>0.27811162918618004</v>
      </c>
      <c r="Z18" s="913">
        <f t="shared" si="9"/>
        <v>0.2802777054997041</v>
      </c>
      <c r="AA18" s="912">
        <f t="shared" si="9"/>
        <v>0.19389945804522513</v>
      </c>
      <c r="AB18" s="912">
        <f t="shared" si="9"/>
        <v>0.17112795001692271</v>
      </c>
      <c r="AC18" s="912">
        <f t="shared" si="9"/>
        <v>0.18834228265492836</v>
      </c>
      <c r="AD18" s="912">
        <f t="shared" si="9"/>
        <v>0.19925718996612507</v>
      </c>
      <c r="AE18" s="913">
        <f t="shared" si="9"/>
        <v>0.21477959651602019</v>
      </c>
      <c r="AF18" s="913">
        <f t="shared" si="9"/>
        <v>0.17432229632967422</v>
      </c>
      <c r="AG18" s="913">
        <f t="shared" si="9"/>
        <v>0.15643417865426001</v>
      </c>
      <c r="AH18" s="913">
        <f t="shared" si="9"/>
        <v>5.9258920078188781E-2</v>
      </c>
      <c r="AI18" s="912">
        <f t="shared" si="9"/>
        <v>0.18412094914044896</v>
      </c>
      <c r="AJ18" s="912">
        <f t="shared" si="9"/>
        <v>0.14846746473552508</v>
      </c>
      <c r="AK18" s="912">
        <f t="shared" si="9"/>
        <v>0.16945868725530278</v>
      </c>
      <c r="AL18" s="912">
        <f t="shared" si="9"/>
        <v>0.23256486715172109</v>
      </c>
      <c r="AM18" s="913">
        <f t="shared" si="9"/>
        <v>0.16309652471549252</v>
      </c>
      <c r="AN18" s="913">
        <f t="shared" si="9"/>
        <v>0.14714655181573644</v>
      </c>
      <c r="AO18" s="913">
        <f t="shared" si="9"/>
        <v>0.13839009971381633</v>
      </c>
      <c r="AP18" s="913">
        <f t="shared" si="9"/>
        <v>0.11444491485561126</v>
      </c>
      <c r="AQ18" s="914">
        <v>0.77900000000000003</v>
      </c>
      <c r="AR18" s="915">
        <v>0.69799999999999995</v>
      </c>
      <c r="AS18" s="915">
        <f t="shared" ref="AS18:BC18" si="10">AS15/AR15-1</f>
        <v>0.55740371288070856</v>
      </c>
      <c r="AT18" s="916">
        <f t="shared" si="10"/>
        <v>0.4567554469604258</v>
      </c>
      <c r="AU18" s="917">
        <f t="shared" si="10"/>
        <v>0.26522505211074088</v>
      </c>
      <c r="AV18" s="915">
        <f t="shared" si="10"/>
        <v>0.21836836998706333</v>
      </c>
      <c r="AW18" s="918">
        <f t="shared" si="10"/>
        <v>0.27948062683243102</v>
      </c>
      <c r="AX18" s="919">
        <f t="shared" si="10"/>
        <v>0.18816120408567638</v>
      </c>
      <c r="AY18" s="918">
        <f t="shared" si="10"/>
        <v>0.15051510389383616</v>
      </c>
      <c r="AZ18" s="918">
        <f t="shared" si="10"/>
        <v>0.18173897647629378</v>
      </c>
      <c r="BA18" s="920">
        <f t="shared" si="10"/>
        <v>0.14073280138722177</v>
      </c>
      <c r="BB18" s="919">
        <f t="shared" si="10"/>
        <v>0.12979591955210035</v>
      </c>
      <c r="BC18" s="920">
        <f t="shared" si="10"/>
        <v>0.11677548713999042</v>
      </c>
    </row>
    <row r="19" spans="1:55" ht="12.75" x14ac:dyDescent="0.35">
      <c r="A19" s="903" t="s">
        <v>752</v>
      </c>
      <c r="B19" s="886" t="s">
        <v>753</v>
      </c>
      <c r="C19" s="887"/>
      <c r="D19" s="887"/>
      <c r="E19" s="887"/>
      <c r="F19" s="887"/>
      <c r="G19" s="922"/>
      <c r="H19" s="922"/>
      <c r="I19" s="889"/>
      <c r="J19" s="889"/>
      <c r="K19" s="891"/>
      <c r="L19" s="891"/>
      <c r="M19" s="891"/>
      <c r="N19" s="891"/>
      <c r="O19" s="892"/>
      <c r="P19" s="923"/>
      <c r="Q19" s="923"/>
      <c r="R19" s="924">
        <v>1085.1502805513758</v>
      </c>
      <c r="S19" s="925">
        <v>1270.5339750411399</v>
      </c>
      <c r="T19" s="925">
        <v>1323.3299645105217</v>
      </c>
      <c r="U19" s="925">
        <v>1892.8768815920091</v>
      </c>
      <c r="V19" s="925">
        <v>1433.4835206083674</v>
      </c>
      <c r="W19" s="926">
        <v>1708.9992763520484</v>
      </c>
      <c r="X19" s="926">
        <v>1794.7542864178606</v>
      </c>
      <c r="Y19" s="926">
        <v>2428.8029530625754</v>
      </c>
      <c r="Z19" s="926">
        <v>1940.9366869037294</v>
      </c>
      <c r="AA19" s="925">
        <v>2147.4334319417712</v>
      </c>
      <c r="AB19" s="925">
        <v>2181.9209770449102</v>
      </c>
      <c r="AC19" s="925">
        <v>2856.232509259803</v>
      </c>
      <c r="AD19" s="925">
        <v>2237.9</v>
      </c>
      <c r="AE19" s="926">
        <v>2578.1999999999998</v>
      </c>
      <c r="AF19" s="926">
        <v>2507.6</v>
      </c>
      <c r="AG19" s="926">
        <v>3308.7</v>
      </c>
      <c r="AH19" s="926">
        <v>2216.9</v>
      </c>
      <c r="AI19" s="925">
        <v>2933.2</v>
      </c>
      <c r="AJ19" s="894"/>
      <c r="AK19" s="894"/>
      <c r="AL19" s="894"/>
      <c r="AM19" s="895"/>
      <c r="AN19" s="895"/>
      <c r="AO19" s="895"/>
      <c r="AP19" s="895"/>
      <c r="AQ19" s="896"/>
      <c r="AR19" s="897"/>
      <c r="AS19" s="897"/>
      <c r="AT19" s="898"/>
      <c r="AU19" s="899"/>
      <c r="AV19" s="927">
        <f>SUM(S19:V19)</f>
        <v>5920.2243417520376</v>
      </c>
      <c r="AW19" s="928">
        <f>SUM(W19:Z19)</f>
        <v>7873.4932027362138</v>
      </c>
      <c r="AX19" s="929">
        <f>SUM(AA19:AD19)</f>
        <v>9423.4869182464845</v>
      </c>
      <c r="AY19" s="930">
        <f>SUM(AE19:AH19)</f>
        <v>10611.4</v>
      </c>
      <c r="AZ19" s="900"/>
      <c r="BA19" s="902"/>
      <c r="BB19" s="901"/>
      <c r="BC19" s="902"/>
    </row>
    <row r="20" spans="1:55" x14ac:dyDescent="0.35">
      <c r="A20" s="903"/>
      <c r="B20" s="886" t="s">
        <v>754</v>
      </c>
      <c r="C20" s="887"/>
      <c r="D20" s="887"/>
      <c r="E20" s="887"/>
      <c r="F20" s="887"/>
      <c r="G20" s="922"/>
      <c r="H20" s="922"/>
      <c r="I20" s="889"/>
      <c r="J20" s="889"/>
      <c r="K20" s="891"/>
      <c r="L20" s="891"/>
      <c r="M20" s="891"/>
      <c r="N20" s="891"/>
      <c r="O20" s="892"/>
      <c r="P20" s="923"/>
      <c r="Q20" s="923"/>
      <c r="R20" s="924"/>
      <c r="S20" s="925"/>
      <c r="T20" s="925"/>
      <c r="U20" s="925"/>
      <c r="V20" s="891">
        <f t="shared" ref="V20:AI20" si="11">V19/R19-1</f>
        <v>0.32099999999999995</v>
      </c>
      <c r="W20" s="923">
        <f t="shared" si="11"/>
        <v>0.34510316915902295</v>
      </c>
      <c r="X20" s="923">
        <f t="shared" si="11"/>
        <v>0.35624094862970268</v>
      </c>
      <c r="Y20" s="923">
        <f t="shared" si="11"/>
        <v>0.28312780227936662</v>
      </c>
      <c r="Z20" s="923">
        <f t="shared" si="11"/>
        <v>0.35400000000000009</v>
      </c>
      <c r="AA20" s="891">
        <f t="shared" si="11"/>
        <v>0.25654437755268367</v>
      </c>
      <c r="AB20" s="891">
        <f t="shared" si="11"/>
        <v>0.21572127926201712</v>
      </c>
      <c r="AC20" s="891">
        <f t="shared" si="11"/>
        <v>0.17598362833768144</v>
      </c>
      <c r="AD20" s="891">
        <f t="shared" si="11"/>
        <v>0.15300000000000002</v>
      </c>
      <c r="AE20" s="923">
        <f t="shared" si="11"/>
        <v>0.20059600528278865</v>
      </c>
      <c r="AF20" s="923">
        <f t="shared" si="11"/>
        <v>0.14926251976190907</v>
      </c>
      <c r="AG20" s="923">
        <f t="shared" si="11"/>
        <v>0.15841409593697775</v>
      </c>
      <c r="AH20" s="923">
        <f t="shared" si="11"/>
        <v>-9.3837973099780703E-3</v>
      </c>
      <c r="AI20" s="891">
        <f t="shared" si="11"/>
        <v>0.1376929640834692</v>
      </c>
      <c r="AJ20" s="894"/>
      <c r="AK20" s="894"/>
      <c r="AL20" s="894"/>
      <c r="AM20" s="895"/>
      <c r="AN20" s="895"/>
      <c r="AO20" s="895"/>
      <c r="AP20" s="895"/>
      <c r="AQ20" s="896"/>
      <c r="AR20" s="897"/>
      <c r="AS20" s="897"/>
      <c r="AT20" s="898"/>
      <c r="AU20" s="899"/>
      <c r="AV20" s="897"/>
      <c r="AW20" s="931">
        <f>AW19/AV19-1</f>
        <v>0.32993156141210078</v>
      </c>
      <c r="AX20" s="932">
        <f>AX19/AW19-1</f>
        <v>0.19686226629009007</v>
      </c>
      <c r="AY20" s="931">
        <f>AY19/AX19-1</f>
        <v>0.12605876063279564</v>
      </c>
      <c r="AZ20" s="900"/>
      <c r="BA20" s="902"/>
      <c r="BB20" s="901"/>
      <c r="BC20" s="902"/>
    </row>
    <row r="21" spans="1:55" x14ac:dyDescent="0.35">
      <c r="A21" s="830" t="s">
        <v>755</v>
      </c>
      <c r="B21" s="886" t="s">
        <v>756</v>
      </c>
      <c r="C21" s="887"/>
      <c r="D21" s="887"/>
      <c r="E21" s="887"/>
      <c r="F21" s="887"/>
      <c r="G21" s="922"/>
      <c r="H21" s="922"/>
      <c r="I21" s="889"/>
      <c r="J21" s="889"/>
      <c r="K21" s="891"/>
      <c r="L21" s="891"/>
      <c r="M21" s="891"/>
      <c r="N21" s="891"/>
      <c r="O21" s="892"/>
      <c r="P21" s="923"/>
      <c r="Q21" s="923"/>
      <c r="R21" s="933">
        <f t="shared" ref="R21:AI21" si="12">R15/R19</f>
        <v>0.68377625965592737</v>
      </c>
      <c r="S21" s="891">
        <f t="shared" si="12"/>
        <v>0.65881197704523919</v>
      </c>
      <c r="T21" s="894">
        <f t="shared" si="12"/>
        <v>0.6586339185045107</v>
      </c>
      <c r="U21" s="894">
        <f t="shared" si="12"/>
        <v>0.61852253117239531</v>
      </c>
      <c r="V21" s="894">
        <f t="shared" si="12"/>
        <v>0.61931301423209262</v>
      </c>
      <c r="W21" s="895">
        <f t="shared" si="12"/>
        <v>0.62621442548787964</v>
      </c>
      <c r="X21" s="895">
        <f t="shared" si="12"/>
        <v>0.62229019785718409</v>
      </c>
      <c r="Y21" s="895">
        <f t="shared" si="12"/>
        <v>0.61610452099999846</v>
      </c>
      <c r="Z21" s="895">
        <f t="shared" si="12"/>
        <v>0.58559279530810127</v>
      </c>
      <c r="AA21" s="894">
        <f t="shared" si="12"/>
        <v>0.59499455535841994</v>
      </c>
      <c r="AB21" s="894">
        <f t="shared" si="12"/>
        <v>0.59946424905427631</v>
      </c>
      <c r="AC21" s="894">
        <f t="shared" si="12"/>
        <v>0.62257929038866344</v>
      </c>
      <c r="AD21" s="894">
        <f t="shared" si="12"/>
        <v>0.60908618401179693</v>
      </c>
      <c r="AE21" s="895">
        <f t="shared" si="12"/>
        <v>0.60202369715305259</v>
      </c>
      <c r="AF21" s="895">
        <f t="shared" si="12"/>
        <v>0.61253562298612219</v>
      </c>
      <c r="AG21" s="895">
        <f t="shared" si="12"/>
        <v>0.62151520156133822</v>
      </c>
      <c r="AH21" s="895">
        <f t="shared" si="12"/>
        <v>0.65129156151382583</v>
      </c>
      <c r="AI21" s="894">
        <f t="shared" si="12"/>
        <v>0.62659161494613391</v>
      </c>
      <c r="AJ21" s="894"/>
      <c r="AK21" s="894"/>
      <c r="AL21" s="894"/>
      <c r="AM21" s="895"/>
      <c r="AN21" s="895"/>
      <c r="AO21" s="895"/>
      <c r="AP21" s="895"/>
      <c r="AQ21" s="934"/>
      <c r="AR21" s="935"/>
      <c r="AS21" s="935"/>
      <c r="AT21" s="936"/>
      <c r="AU21" s="937"/>
      <c r="AV21" s="938">
        <f>AV15/AV19</f>
        <v>0.6363263928077989</v>
      </c>
      <c r="AW21" s="939">
        <f>AW15/AW19</f>
        <v>0.61218736028436826</v>
      </c>
      <c r="AX21" s="940">
        <f>AX15/AX19</f>
        <v>0.60773682286446851</v>
      </c>
      <c r="AY21" s="939">
        <f>AY15/AY19</f>
        <v>0.62093597451797122</v>
      </c>
      <c r="AZ21" s="941"/>
      <c r="BA21" s="942"/>
      <c r="BB21" s="943"/>
      <c r="BC21" s="942"/>
    </row>
    <row r="22" spans="1:55" s="921" customFormat="1" outlineLevel="1" x14ac:dyDescent="0.35">
      <c r="A22" s="944" t="s">
        <v>757</v>
      </c>
      <c r="B22" s="904" t="s">
        <v>758</v>
      </c>
      <c r="C22" s="905"/>
      <c r="D22" s="905"/>
      <c r="E22" s="905"/>
      <c r="F22" s="905"/>
      <c r="G22" s="906"/>
      <c r="H22" s="906"/>
      <c r="I22" s="907"/>
      <c r="J22" s="907"/>
      <c r="K22" s="908"/>
      <c r="L22" s="908"/>
      <c r="M22" s="908"/>
      <c r="N22" s="908"/>
      <c r="O22" s="909"/>
      <c r="P22" s="910"/>
      <c r="Q22" s="910"/>
      <c r="R22" s="911"/>
      <c r="S22" s="908"/>
      <c r="T22" s="908"/>
      <c r="U22" s="908"/>
      <c r="V22" s="908"/>
      <c r="W22" s="910"/>
      <c r="X22" s="910"/>
      <c r="Y22" s="910"/>
      <c r="Z22" s="910"/>
      <c r="AA22" s="908"/>
      <c r="AB22" s="908"/>
      <c r="AC22" s="908"/>
      <c r="AD22" s="908"/>
      <c r="AE22" s="910"/>
      <c r="AF22" s="910"/>
      <c r="AG22" s="910"/>
      <c r="AH22" s="910"/>
      <c r="AI22" s="908"/>
      <c r="AJ22" s="908"/>
      <c r="AK22" s="908"/>
      <c r="AL22" s="908"/>
      <c r="AM22" s="910"/>
      <c r="AN22" s="910"/>
      <c r="AO22" s="910"/>
      <c r="AP22" s="910"/>
      <c r="AQ22" s="945"/>
      <c r="AR22" s="946"/>
      <c r="AS22" s="946"/>
      <c r="AT22" s="947"/>
      <c r="AU22" s="948"/>
      <c r="AV22" s="949"/>
      <c r="AW22" s="950"/>
      <c r="AX22" s="951">
        <v>0.25</v>
      </c>
      <c r="AY22" s="950"/>
      <c r="AZ22" s="950"/>
      <c r="BA22" s="952"/>
      <c r="BB22" s="951"/>
      <c r="BC22" s="952"/>
    </row>
    <row r="23" spans="1:55" s="873" customFormat="1" ht="12.75" x14ac:dyDescent="0.35">
      <c r="A23" s="830" t="s">
        <v>747</v>
      </c>
      <c r="B23" s="953" t="s">
        <v>759</v>
      </c>
      <c r="C23" s="862">
        <v>167</v>
      </c>
      <c r="D23" s="862">
        <v>179</v>
      </c>
      <c r="E23" s="862">
        <v>255</v>
      </c>
      <c r="F23" s="862">
        <v>223</v>
      </c>
      <c r="G23" s="863">
        <v>257</v>
      </c>
      <c r="H23" s="863">
        <v>275</v>
      </c>
      <c r="I23" s="864">
        <v>346</v>
      </c>
      <c r="J23" s="863">
        <v>295</v>
      </c>
      <c r="K23" s="862">
        <v>342</v>
      </c>
      <c r="L23" s="862">
        <v>380</v>
      </c>
      <c r="M23" s="862">
        <f>M15-M30</f>
        <v>494</v>
      </c>
      <c r="N23" s="862">
        <v>381</v>
      </c>
      <c r="O23" s="864">
        <v>427</v>
      </c>
      <c r="P23" s="863">
        <v>438</v>
      </c>
      <c r="Q23" s="863">
        <v>563</v>
      </c>
      <c r="R23" s="864">
        <v>449</v>
      </c>
      <c r="S23" s="862">
        <v>508</v>
      </c>
      <c r="T23" s="865">
        <f t="shared" ref="T23:AC23" si="13">P23*(1+T25)</f>
        <v>516.83999999999992</v>
      </c>
      <c r="U23" s="865">
        <f t="shared" si="13"/>
        <v>658.70999999999992</v>
      </c>
      <c r="V23" s="865">
        <f t="shared" si="13"/>
        <v>518.59500000000003</v>
      </c>
      <c r="W23" s="866">
        <f t="shared" si="13"/>
        <v>609.6</v>
      </c>
      <c r="X23" s="866">
        <f t="shared" si="13"/>
        <v>620.20799999999986</v>
      </c>
      <c r="Y23" s="866">
        <f t="shared" si="13"/>
        <v>810.21329999999989</v>
      </c>
      <c r="Z23" s="866">
        <f t="shared" si="13"/>
        <v>649.28093999999999</v>
      </c>
      <c r="AA23" s="865">
        <f t="shared" si="13"/>
        <v>701.04</v>
      </c>
      <c r="AB23" s="865">
        <f t="shared" si="13"/>
        <v>707.03711999999996</v>
      </c>
      <c r="AC23" s="865">
        <f t="shared" si="13"/>
        <v>947.94956099999979</v>
      </c>
      <c r="AD23" s="865">
        <f>AD15-AD30</f>
        <v>758.80014720000042</v>
      </c>
      <c r="AE23" s="866">
        <f t="shared" ref="AE23:AP23" si="14">AA23*(1+AE25)</f>
        <v>785.16480000000001</v>
      </c>
      <c r="AF23" s="866">
        <f t="shared" si="14"/>
        <v>784.81120320000002</v>
      </c>
      <c r="AG23" s="866">
        <f t="shared" si="14"/>
        <v>1035.1609206119999</v>
      </c>
      <c r="AH23" s="866">
        <f t="shared" si="14"/>
        <v>781.56415161600046</v>
      </c>
      <c r="AI23" s="865">
        <f t="shared" si="14"/>
        <v>871.53292800000008</v>
      </c>
      <c r="AJ23" s="865">
        <f t="shared" si="14"/>
        <v>847.59609945600005</v>
      </c>
      <c r="AK23" s="865">
        <f t="shared" si="14"/>
        <v>1128.3254034670799</v>
      </c>
      <c r="AL23" s="865">
        <f t="shared" si="14"/>
        <v>898.79877435840046</v>
      </c>
      <c r="AM23" s="866">
        <f t="shared" si="14"/>
        <v>958.68622080000011</v>
      </c>
      <c r="AN23" s="866">
        <f t="shared" si="14"/>
        <v>923.8797484070401</v>
      </c>
      <c r="AO23" s="866">
        <f t="shared" si="14"/>
        <v>1218.5914357444465</v>
      </c>
      <c r="AP23" s="866">
        <f t="shared" si="14"/>
        <v>952.72670081990452</v>
      </c>
      <c r="AQ23" s="867">
        <v>549</v>
      </c>
      <c r="AR23" s="868">
        <f>SUM(C23:F23)</f>
        <v>824</v>
      </c>
      <c r="AS23" s="868">
        <f>SUM(G23:J23)</f>
        <v>1173</v>
      </c>
      <c r="AT23" s="869">
        <f>SUM(K23:N23)</f>
        <v>1597</v>
      </c>
      <c r="AU23" s="954">
        <f>SUM(O23:R23)</f>
        <v>1877</v>
      </c>
      <c r="AV23" s="927">
        <f>SUM(S23:V23)</f>
        <v>2202.1449999999995</v>
      </c>
      <c r="AW23" s="928">
        <f>SUM(W23:Z23)</f>
        <v>2689.30224</v>
      </c>
      <c r="AX23" s="955">
        <f>SUM(AA23:AD23)</f>
        <v>3114.8268282000004</v>
      </c>
      <c r="AY23" s="928">
        <v>3387</v>
      </c>
      <c r="AZ23" s="928">
        <f>SUM(AI23:AL23)</f>
        <v>3746.2532052814804</v>
      </c>
      <c r="BA23" s="956">
        <f>SUM(AM23:AP23)</f>
        <v>4053.8841057713912</v>
      </c>
      <c r="BB23" s="955">
        <f>BA23*(1+BB25)</f>
        <v>4337.6559931753891</v>
      </c>
      <c r="BC23" s="956">
        <f>BB23*(1+BC25)</f>
        <v>4597.9153527659128</v>
      </c>
    </row>
    <row r="24" spans="1:55" x14ac:dyDescent="0.35">
      <c r="A24" s="903"/>
      <c r="B24" s="886" t="s">
        <v>750</v>
      </c>
      <c r="C24" s="887"/>
      <c r="D24" s="888">
        <f t="shared" ref="D24:AP24" si="15">D23/C23-1</f>
        <v>7.1856287425149601E-2</v>
      </c>
      <c r="E24" s="888">
        <f t="shared" si="15"/>
        <v>0.42458100558659218</v>
      </c>
      <c r="F24" s="888">
        <f t="shared" si="15"/>
        <v>-0.12549019607843137</v>
      </c>
      <c r="G24" s="889">
        <f t="shared" si="15"/>
        <v>0.15246636771300448</v>
      </c>
      <c r="H24" s="889">
        <f t="shared" si="15"/>
        <v>7.0038910505836549E-2</v>
      </c>
      <c r="I24" s="890">
        <f t="shared" si="15"/>
        <v>0.25818181818181829</v>
      </c>
      <c r="J24" s="889">
        <f t="shared" si="15"/>
        <v>-0.14739884393063585</v>
      </c>
      <c r="K24" s="888">
        <f t="shared" si="15"/>
        <v>0.15932203389830502</v>
      </c>
      <c r="L24" s="888">
        <f t="shared" si="15"/>
        <v>0.11111111111111116</v>
      </c>
      <c r="M24" s="888">
        <f t="shared" si="15"/>
        <v>0.30000000000000004</v>
      </c>
      <c r="N24" s="888">
        <f t="shared" si="15"/>
        <v>-0.22874493927125505</v>
      </c>
      <c r="O24" s="892">
        <f t="shared" si="15"/>
        <v>0.12073490813648302</v>
      </c>
      <c r="P24" s="892">
        <f t="shared" si="15"/>
        <v>2.5761124121779888E-2</v>
      </c>
      <c r="Q24" s="892">
        <f t="shared" si="15"/>
        <v>0.28538812785388123</v>
      </c>
      <c r="R24" s="892">
        <f t="shared" si="15"/>
        <v>-0.20248667850799285</v>
      </c>
      <c r="S24" s="893">
        <f t="shared" si="15"/>
        <v>0.1314031180400892</v>
      </c>
      <c r="T24" s="894">
        <f t="shared" si="15"/>
        <v>1.7401574803149522E-2</v>
      </c>
      <c r="U24" s="894">
        <f t="shared" si="15"/>
        <v>0.27449500812630601</v>
      </c>
      <c r="V24" s="894">
        <f t="shared" si="15"/>
        <v>-0.21271120827071077</v>
      </c>
      <c r="W24" s="895">
        <f t="shared" si="15"/>
        <v>0.17548375900268987</v>
      </c>
      <c r="X24" s="895">
        <f t="shared" si="15"/>
        <v>1.74015748031493E-2</v>
      </c>
      <c r="Y24" s="895">
        <f t="shared" si="15"/>
        <v>0.30635738332946372</v>
      </c>
      <c r="Z24" s="895">
        <f t="shared" si="15"/>
        <v>-0.19862962012595931</v>
      </c>
      <c r="AA24" s="894">
        <f t="shared" si="15"/>
        <v>7.9717510266049008E-2</v>
      </c>
      <c r="AB24" s="894">
        <f t="shared" si="15"/>
        <v>8.5546045874700383E-3</v>
      </c>
      <c r="AC24" s="894">
        <f t="shared" si="15"/>
        <v>0.34073520920655453</v>
      </c>
      <c r="AD24" s="894">
        <f t="shared" si="15"/>
        <v>-0.19953531451659101</v>
      </c>
      <c r="AE24" s="895">
        <f t="shared" si="15"/>
        <v>3.4745186723126098E-2</v>
      </c>
      <c r="AF24" s="895">
        <f t="shared" si="15"/>
        <v>-4.503472392037855E-4</v>
      </c>
      <c r="AG24" s="895">
        <f t="shared" si="15"/>
        <v>0.31899355716536726</v>
      </c>
      <c r="AH24" s="895">
        <f t="shared" si="15"/>
        <v>-0.24498294317956859</v>
      </c>
      <c r="AI24" s="894">
        <f t="shared" si="15"/>
        <v>0.11511374491521353</v>
      </c>
      <c r="AJ24" s="894">
        <f t="shared" si="15"/>
        <v>-2.7465202719225368E-2</v>
      </c>
      <c r="AK24" s="894">
        <f t="shared" si="15"/>
        <v>0.33120646047245406</v>
      </c>
      <c r="AL24" s="894">
        <f t="shared" si="15"/>
        <v>-0.20342237124449902</v>
      </c>
      <c r="AM24" s="895">
        <f t="shared" si="15"/>
        <v>6.6630538614552259E-2</v>
      </c>
      <c r="AN24" s="895">
        <f t="shared" si="15"/>
        <v>-3.6306428149050607E-2</v>
      </c>
      <c r="AO24" s="895">
        <f t="shared" si="15"/>
        <v>0.31899355716536748</v>
      </c>
      <c r="AP24" s="895">
        <f t="shared" si="15"/>
        <v>-0.21817380881404536</v>
      </c>
      <c r="AQ24" s="957"/>
      <c r="AR24" s="958"/>
      <c r="AS24" s="958"/>
      <c r="AT24" s="959"/>
      <c r="AU24" s="957"/>
      <c r="AV24" s="958"/>
      <c r="AW24" s="900"/>
      <c r="AX24" s="901"/>
      <c r="AY24" s="900"/>
      <c r="AZ24" s="900"/>
      <c r="BA24" s="902"/>
      <c r="BB24" s="901"/>
      <c r="BC24" s="902"/>
    </row>
    <row r="25" spans="1:55" x14ac:dyDescent="0.35">
      <c r="A25" s="787" t="s">
        <v>760</v>
      </c>
      <c r="B25" s="960" t="s">
        <v>761</v>
      </c>
      <c r="C25" s="887"/>
      <c r="D25" s="887"/>
      <c r="E25" s="887"/>
      <c r="F25" s="887"/>
      <c r="G25" s="889">
        <f t="shared" ref="G25:S25" si="16">G23/C23-1</f>
        <v>0.53892215568862278</v>
      </c>
      <c r="H25" s="889">
        <f t="shared" si="16"/>
        <v>0.53631284916201127</v>
      </c>
      <c r="I25" s="892">
        <f t="shared" si="16"/>
        <v>0.35686274509803928</v>
      </c>
      <c r="J25" s="961">
        <f t="shared" si="16"/>
        <v>0.32286995515695072</v>
      </c>
      <c r="K25" s="962">
        <f t="shared" si="16"/>
        <v>0.33073929961089488</v>
      </c>
      <c r="L25" s="962">
        <f t="shared" si="16"/>
        <v>0.38181818181818183</v>
      </c>
      <c r="M25" s="893">
        <f t="shared" si="16"/>
        <v>0.42774566473988429</v>
      </c>
      <c r="N25" s="893">
        <f t="shared" si="16"/>
        <v>0.29152542372881363</v>
      </c>
      <c r="O25" s="963">
        <f t="shared" si="16"/>
        <v>0.24853801169590639</v>
      </c>
      <c r="P25" s="963">
        <f t="shared" si="16"/>
        <v>0.15263157894736845</v>
      </c>
      <c r="Q25" s="963">
        <f t="shared" si="16"/>
        <v>0.13967611336032393</v>
      </c>
      <c r="R25" s="964">
        <f t="shared" si="16"/>
        <v>0.17847769028871396</v>
      </c>
      <c r="S25" s="965">
        <f t="shared" si="16"/>
        <v>0.18969555035128804</v>
      </c>
      <c r="T25" s="966">
        <v>0.18</v>
      </c>
      <c r="U25" s="966">
        <v>0.17</v>
      </c>
      <c r="V25" s="966">
        <v>0.155</v>
      </c>
      <c r="W25" s="967">
        <v>0.2</v>
      </c>
      <c r="X25" s="967">
        <v>0.2</v>
      </c>
      <c r="Y25" s="967">
        <v>0.23</v>
      </c>
      <c r="Z25" s="967">
        <v>0.252</v>
      </c>
      <c r="AA25" s="966">
        <v>0.15</v>
      </c>
      <c r="AB25" s="966">
        <v>0.14000000000000001</v>
      </c>
      <c r="AC25" s="966">
        <v>0.17</v>
      </c>
      <c r="AD25" s="968">
        <f>AD23/Z23-1</f>
        <v>0.16867768704253105</v>
      </c>
      <c r="AE25" s="967">
        <v>0.12</v>
      </c>
      <c r="AF25" s="967">
        <v>0.11</v>
      </c>
      <c r="AG25" s="967">
        <v>9.1999999999999998E-2</v>
      </c>
      <c r="AH25" s="967">
        <v>0.03</v>
      </c>
      <c r="AI25" s="966">
        <v>0.11</v>
      </c>
      <c r="AJ25" s="966">
        <v>0.08</v>
      </c>
      <c r="AK25" s="966">
        <v>0.09</v>
      </c>
      <c r="AL25" s="966">
        <v>0.15</v>
      </c>
      <c r="AM25" s="967">
        <v>0.1</v>
      </c>
      <c r="AN25" s="967">
        <v>0.09</v>
      </c>
      <c r="AO25" s="967">
        <v>0.08</v>
      </c>
      <c r="AP25" s="967">
        <v>0.06</v>
      </c>
      <c r="AQ25" s="957"/>
      <c r="AR25" s="946">
        <f t="shared" ref="AR25:BA25" si="17">AR23/AQ23-1</f>
        <v>0.50091074681238612</v>
      </c>
      <c r="AS25" s="946">
        <f t="shared" si="17"/>
        <v>0.42354368932038833</v>
      </c>
      <c r="AT25" s="947">
        <f t="shared" si="17"/>
        <v>0.36146632566069914</v>
      </c>
      <c r="AU25" s="969">
        <f t="shared" si="17"/>
        <v>0.17532874139010635</v>
      </c>
      <c r="AV25" s="946">
        <f t="shared" si="17"/>
        <v>0.17322589238145958</v>
      </c>
      <c r="AW25" s="970">
        <f t="shared" si="17"/>
        <v>0.22121942015625695</v>
      </c>
      <c r="AX25" s="971">
        <f t="shared" si="17"/>
        <v>0.15822862223176526</v>
      </c>
      <c r="AY25" s="972">
        <f t="shared" si="17"/>
        <v>8.7379872722260998E-2</v>
      </c>
      <c r="AZ25" s="972">
        <f t="shared" si="17"/>
        <v>0.10606826255727198</v>
      </c>
      <c r="BA25" s="973">
        <f t="shared" si="17"/>
        <v>8.2116953562084927E-2</v>
      </c>
      <c r="BB25" s="974">
        <v>7.0000000000000007E-2</v>
      </c>
      <c r="BC25" s="975">
        <v>0.06</v>
      </c>
    </row>
    <row r="26" spans="1:55" outlineLevel="1" x14ac:dyDescent="0.35">
      <c r="A26" s="944" t="s">
        <v>757</v>
      </c>
      <c r="B26" s="960" t="s">
        <v>762</v>
      </c>
      <c r="C26" s="887"/>
      <c r="D26" s="887"/>
      <c r="E26" s="887"/>
      <c r="F26" s="887"/>
      <c r="G26" s="889"/>
      <c r="H26" s="889"/>
      <c r="I26" s="892"/>
      <c r="J26" s="961"/>
      <c r="K26" s="962"/>
      <c r="L26" s="962"/>
      <c r="M26" s="893"/>
      <c r="N26" s="893"/>
      <c r="O26" s="963"/>
      <c r="P26" s="963"/>
      <c r="Q26" s="963"/>
      <c r="R26" s="964"/>
      <c r="S26" s="965"/>
      <c r="T26" s="966"/>
      <c r="U26" s="966"/>
      <c r="V26" s="966"/>
      <c r="W26" s="967"/>
      <c r="X26" s="967"/>
      <c r="Y26" s="967"/>
      <c r="Z26" s="967"/>
      <c r="AA26" s="966"/>
      <c r="AB26" s="966"/>
      <c r="AC26" s="966"/>
      <c r="AD26" s="968"/>
      <c r="AE26" s="976"/>
      <c r="AF26" s="967"/>
      <c r="AG26" s="967"/>
      <c r="AH26" s="967"/>
      <c r="AI26" s="966"/>
      <c r="AJ26" s="966"/>
      <c r="AK26" s="966"/>
      <c r="AL26" s="966"/>
      <c r="AM26" s="967"/>
      <c r="AN26" s="967"/>
      <c r="AO26" s="967"/>
      <c r="AP26" s="967"/>
      <c r="AQ26" s="957"/>
      <c r="AR26" s="946"/>
      <c r="AS26" s="946"/>
      <c r="AT26" s="947"/>
      <c r="AU26" s="969"/>
      <c r="AV26" s="946"/>
      <c r="AW26" s="970"/>
      <c r="AX26" s="971">
        <v>0.19</v>
      </c>
      <c r="AY26" s="972"/>
      <c r="AZ26" s="977"/>
      <c r="BA26" s="975"/>
      <c r="BB26" s="974"/>
      <c r="BC26" s="975"/>
    </row>
    <row r="27" spans="1:55" s="994" customFormat="1" outlineLevel="1" x14ac:dyDescent="0.35">
      <c r="A27" s="978"/>
      <c r="B27" s="979" t="s">
        <v>763</v>
      </c>
      <c r="C27" s="980"/>
      <c r="D27" s="980"/>
      <c r="E27" s="980"/>
      <c r="F27" s="980"/>
      <c r="G27" s="981"/>
      <c r="H27" s="981"/>
      <c r="I27" s="982"/>
      <c r="J27" s="983"/>
      <c r="K27" s="984">
        <f>K23-7</f>
        <v>335</v>
      </c>
      <c r="L27" s="984">
        <f>L23-L28</f>
        <v>374.35897435897436</v>
      </c>
      <c r="M27" s="984">
        <f>M23-M28</f>
        <v>492</v>
      </c>
      <c r="N27" s="984">
        <f>N23-N28</f>
        <v>379.5</v>
      </c>
      <c r="O27" s="985">
        <f t="shared" ref="O27:V27" si="18">O23</f>
        <v>427</v>
      </c>
      <c r="P27" s="985">
        <f t="shared" si="18"/>
        <v>438</v>
      </c>
      <c r="Q27" s="985">
        <f t="shared" si="18"/>
        <v>563</v>
      </c>
      <c r="R27" s="985">
        <f t="shared" si="18"/>
        <v>449</v>
      </c>
      <c r="S27" s="984">
        <f t="shared" si="18"/>
        <v>508</v>
      </c>
      <c r="T27" s="984">
        <f t="shared" si="18"/>
        <v>516.83999999999992</v>
      </c>
      <c r="U27" s="984">
        <f t="shared" si="18"/>
        <v>658.70999999999992</v>
      </c>
      <c r="V27" s="984">
        <f t="shared" si="18"/>
        <v>518.59500000000003</v>
      </c>
      <c r="W27" s="986"/>
      <c r="X27" s="986"/>
      <c r="Y27" s="986"/>
      <c r="Z27" s="986"/>
      <c r="AA27" s="987"/>
      <c r="AB27" s="987"/>
      <c r="AC27" s="987"/>
      <c r="AD27" s="987"/>
      <c r="AE27" s="986"/>
      <c r="AF27" s="986"/>
      <c r="AG27" s="986"/>
      <c r="AH27" s="986"/>
      <c r="AI27" s="987"/>
      <c r="AJ27" s="987"/>
      <c r="AK27" s="987"/>
      <c r="AL27" s="987"/>
      <c r="AM27" s="986"/>
      <c r="AN27" s="986"/>
      <c r="AO27" s="986"/>
      <c r="AP27" s="986"/>
      <c r="AQ27" s="988"/>
      <c r="AR27" s="982"/>
      <c r="AS27" s="982"/>
      <c r="AT27" s="989"/>
      <c r="AU27" s="990"/>
      <c r="AV27" s="982"/>
      <c r="AW27" s="991"/>
      <c r="AX27" s="992"/>
      <c r="AY27" s="991"/>
      <c r="AZ27" s="991"/>
      <c r="BA27" s="993"/>
      <c r="BB27" s="992"/>
      <c r="BC27" s="993"/>
    </row>
    <row r="28" spans="1:55" s="1010" customFormat="1" outlineLevel="1" x14ac:dyDescent="0.35">
      <c r="A28" s="978"/>
      <c r="B28" s="979" t="s">
        <v>764</v>
      </c>
      <c r="C28" s="995"/>
      <c r="D28" s="995"/>
      <c r="E28" s="995"/>
      <c r="F28" s="995"/>
      <c r="G28" s="996"/>
      <c r="H28" s="996"/>
      <c r="I28" s="997"/>
      <c r="J28" s="998"/>
      <c r="K28" s="999">
        <f>K23-K27</f>
        <v>7</v>
      </c>
      <c r="L28" s="999">
        <f>L23-P23/(1+P29)</f>
        <v>5.6410256410256352</v>
      </c>
      <c r="M28" s="1000">
        <v>2</v>
      </c>
      <c r="N28" s="1000">
        <v>1.5</v>
      </c>
      <c r="O28" s="985">
        <v>0</v>
      </c>
      <c r="P28" s="985">
        <v>0</v>
      </c>
      <c r="Q28" s="1001"/>
      <c r="R28" s="1002"/>
      <c r="S28" s="1003"/>
      <c r="T28" s="1003"/>
      <c r="U28" s="1003"/>
      <c r="V28" s="1003"/>
      <c r="W28" s="1004"/>
      <c r="X28" s="1004"/>
      <c r="Y28" s="1004"/>
      <c r="Z28" s="1004"/>
      <c r="AA28" s="1003"/>
      <c r="AB28" s="1003"/>
      <c r="AC28" s="1003"/>
      <c r="AD28" s="1003"/>
      <c r="AE28" s="1004"/>
      <c r="AF28" s="1004"/>
      <c r="AG28" s="1004"/>
      <c r="AH28" s="1004"/>
      <c r="AI28" s="1003"/>
      <c r="AJ28" s="1003"/>
      <c r="AK28" s="1003"/>
      <c r="AL28" s="1003"/>
      <c r="AM28" s="1004"/>
      <c r="AN28" s="1004"/>
      <c r="AO28" s="1004"/>
      <c r="AP28" s="1004"/>
      <c r="AQ28" s="1005"/>
      <c r="AR28" s="935"/>
      <c r="AS28" s="935"/>
      <c r="AT28" s="936"/>
      <c r="AU28" s="1006"/>
      <c r="AV28" s="935"/>
      <c r="AW28" s="1007"/>
      <c r="AX28" s="1008"/>
      <c r="AY28" s="1007"/>
      <c r="AZ28" s="1007"/>
      <c r="BA28" s="1009"/>
      <c r="BB28" s="1008"/>
      <c r="BC28" s="1009"/>
    </row>
    <row r="29" spans="1:55" s="1028" customFormat="1" ht="10.15" outlineLevel="1" x14ac:dyDescent="0.3">
      <c r="A29" s="978"/>
      <c r="B29" s="1011" t="s">
        <v>765</v>
      </c>
      <c r="C29" s="1012"/>
      <c r="D29" s="1012"/>
      <c r="E29" s="1012"/>
      <c r="F29" s="1012"/>
      <c r="G29" s="1013"/>
      <c r="H29" s="1013"/>
      <c r="I29" s="1014"/>
      <c r="J29" s="1015"/>
      <c r="K29" s="1016"/>
      <c r="L29" s="1016"/>
      <c r="M29" s="1017"/>
      <c r="N29" s="1017"/>
      <c r="O29" s="1014">
        <f>O27/K27-1</f>
        <v>0.27462686567164174</v>
      </c>
      <c r="P29" s="1014">
        <v>0.17</v>
      </c>
      <c r="Q29" s="1014">
        <v>0.17</v>
      </c>
      <c r="R29" s="1014">
        <v>0.17</v>
      </c>
      <c r="S29" s="1018"/>
      <c r="T29" s="1018"/>
      <c r="U29" s="1018"/>
      <c r="V29" s="1018"/>
      <c r="W29" s="1019"/>
      <c r="X29" s="1019"/>
      <c r="Y29" s="1019"/>
      <c r="Z29" s="1019"/>
      <c r="AA29" s="1018"/>
      <c r="AB29" s="1018"/>
      <c r="AC29" s="1018"/>
      <c r="AD29" s="1018"/>
      <c r="AE29" s="1020"/>
      <c r="AF29" s="1019"/>
      <c r="AG29" s="1019"/>
      <c r="AH29" s="1019"/>
      <c r="AI29" s="1018"/>
      <c r="AJ29" s="1018"/>
      <c r="AK29" s="1018"/>
      <c r="AL29" s="1018"/>
      <c r="AM29" s="1019"/>
      <c r="AN29" s="1019"/>
      <c r="AO29" s="1019"/>
      <c r="AP29" s="1019"/>
      <c r="AQ29" s="1021"/>
      <c r="AR29" s="1022"/>
      <c r="AS29" s="1022"/>
      <c r="AT29" s="1023"/>
      <c r="AU29" s="1024"/>
      <c r="AV29" s="1022"/>
      <c r="AW29" s="1025"/>
      <c r="AX29" s="1026"/>
      <c r="AY29" s="1025"/>
      <c r="AZ29" s="1025"/>
      <c r="BA29" s="1027"/>
      <c r="BB29" s="1026"/>
      <c r="BC29" s="1027"/>
    </row>
    <row r="30" spans="1:55" s="779" customFormat="1" ht="12.75" x14ac:dyDescent="0.35">
      <c r="A30" s="830" t="s">
        <v>747</v>
      </c>
      <c r="B30" s="1029" t="s">
        <v>766</v>
      </c>
      <c r="C30" s="1030">
        <v>42</v>
      </c>
      <c r="D30" s="1030">
        <v>49</v>
      </c>
      <c r="E30" s="1030">
        <v>91</v>
      </c>
      <c r="F30" s="1030">
        <v>71</v>
      </c>
      <c r="G30" s="1031">
        <v>88</v>
      </c>
      <c r="H30" s="1031">
        <v>99</v>
      </c>
      <c r="I30" s="1032">
        <v>183</v>
      </c>
      <c r="J30" s="1031">
        <v>135</v>
      </c>
      <c r="K30" s="1030">
        <v>159</v>
      </c>
      <c r="L30" s="1030">
        <v>175.834</v>
      </c>
      <c r="M30" s="1030">
        <v>293</v>
      </c>
      <c r="N30" s="1030">
        <v>219</v>
      </c>
      <c r="O30" s="1032">
        <v>246</v>
      </c>
      <c r="P30" s="1031">
        <v>275</v>
      </c>
      <c r="Q30" s="1031">
        <v>401</v>
      </c>
      <c r="R30" s="1031">
        <v>293</v>
      </c>
      <c r="S30" s="1030">
        <v>329</v>
      </c>
      <c r="T30" s="1033">
        <f t="shared" ref="T30:AP30" si="19">P30*(1+T32)</f>
        <v>354.75</v>
      </c>
      <c r="U30" s="1033">
        <f t="shared" si="19"/>
        <v>512.077</v>
      </c>
      <c r="V30" s="1033">
        <f t="shared" si="19"/>
        <v>369.18</v>
      </c>
      <c r="W30" s="1034">
        <f t="shared" si="19"/>
        <v>460.59999999999997</v>
      </c>
      <c r="X30" s="1034">
        <f t="shared" si="19"/>
        <v>496.65</v>
      </c>
      <c r="Y30" s="1034">
        <f t="shared" si="19"/>
        <v>686.18317999999999</v>
      </c>
      <c r="Z30" s="1034">
        <f t="shared" si="19"/>
        <v>487.31760000000003</v>
      </c>
      <c r="AA30" s="1033">
        <f t="shared" si="19"/>
        <v>576.6712</v>
      </c>
      <c r="AB30" s="1033">
        <f t="shared" si="19"/>
        <v>600.9464999999999</v>
      </c>
      <c r="AC30" s="1033">
        <f t="shared" si="19"/>
        <v>830.28164779999997</v>
      </c>
      <c r="AD30" s="1033">
        <f t="shared" si="19"/>
        <v>604.27382399999999</v>
      </c>
      <c r="AE30" s="1034">
        <f t="shared" si="19"/>
        <v>766.97269600000004</v>
      </c>
      <c r="AF30" s="1034">
        <f t="shared" si="19"/>
        <v>751.1831249999999</v>
      </c>
      <c r="AG30" s="1034">
        <f t="shared" si="19"/>
        <v>1021.2464267939999</v>
      </c>
      <c r="AH30" s="1034">
        <f t="shared" si="19"/>
        <v>662.28411110400009</v>
      </c>
      <c r="AI30" s="1033">
        <f t="shared" si="19"/>
        <v>966.38559696000004</v>
      </c>
      <c r="AJ30" s="1033">
        <f t="shared" si="19"/>
        <v>916.44341249999991</v>
      </c>
      <c r="AK30" s="1033">
        <f t="shared" si="19"/>
        <v>1276.5580334924998</v>
      </c>
      <c r="AL30" s="1033">
        <f t="shared" si="19"/>
        <v>880.83786776832017</v>
      </c>
      <c r="AM30" s="1034">
        <f t="shared" si="19"/>
        <v>1178.9904282912</v>
      </c>
      <c r="AN30" s="1034">
        <f t="shared" si="19"/>
        <v>1099.7320949999998</v>
      </c>
      <c r="AO30" s="1034">
        <f t="shared" si="19"/>
        <v>1519.1040598560746</v>
      </c>
      <c r="AP30" s="1034">
        <f t="shared" si="19"/>
        <v>1030.5803052889346</v>
      </c>
      <c r="AQ30" s="1035">
        <v>114</v>
      </c>
      <c r="AR30" s="1036">
        <f>SUM(C30:F30)</f>
        <v>253</v>
      </c>
      <c r="AS30" s="1036">
        <f>SUM(G30:J30)</f>
        <v>505</v>
      </c>
      <c r="AT30" s="1037">
        <f>SUM(K30:N30)</f>
        <v>846.83400000000006</v>
      </c>
      <c r="AU30" s="1035">
        <f>SUM(O30:R30)</f>
        <v>1215</v>
      </c>
      <c r="AV30" s="1036">
        <f>SUM(S30:V30)</f>
        <v>1565.0070000000001</v>
      </c>
      <c r="AW30" s="1038">
        <f>SUM(W30:Z30)</f>
        <v>2130.7507799999998</v>
      </c>
      <c r="AX30" s="1039">
        <f>SUM(AA30:AD30)</f>
        <v>2612.1731717999996</v>
      </c>
      <c r="AY30" s="1038">
        <v>3202</v>
      </c>
      <c r="AZ30" s="1038">
        <f>SUM(AI30:AL30)</f>
        <v>4040.2249107208199</v>
      </c>
      <c r="BA30" s="1040">
        <f>SUM(AM30:AP30)</f>
        <v>4828.4068884362096</v>
      </c>
      <c r="BB30" s="1039">
        <f>BA30*(1+BB32)</f>
        <v>5697.5201283547267</v>
      </c>
      <c r="BC30" s="1040">
        <f>BB30*(1+BC32)</f>
        <v>6609.1233488914822</v>
      </c>
    </row>
    <row r="31" spans="1:55" x14ac:dyDescent="0.35">
      <c r="A31" s="903"/>
      <c r="B31" s="886" t="s">
        <v>750</v>
      </c>
      <c r="C31" s="887"/>
      <c r="D31" s="888">
        <f t="shared" ref="D31:AP31" si="20">D30/C30-1</f>
        <v>0.16666666666666674</v>
      </c>
      <c r="E31" s="888">
        <f t="shared" si="20"/>
        <v>0.85714285714285721</v>
      </c>
      <c r="F31" s="888">
        <f t="shared" si="20"/>
        <v>-0.21978021978021978</v>
      </c>
      <c r="G31" s="889">
        <f t="shared" si="20"/>
        <v>0.23943661971830976</v>
      </c>
      <c r="H31" s="889">
        <f t="shared" si="20"/>
        <v>0.125</v>
      </c>
      <c r="I31" s="1041">
        <f t="shared" si="20"/>
        <v>0.8484848484848484</v>
      </c>
      <c r="J31" s="889">
        <f t="shared" si="20"/>
        <v>-0.26229508196721307</v>
      </c>
      <c r="K31" s="888">
        <f t="shared" si="20"/>
        <v>0.17777777777777781</v>
      </c>
      <c r="L31" s="888">
        <f t="shared" si="20"/>
        <v>0.1058742138364781</v>
      </c>
      <c r="M31" s="1042">
        <f t="shared" si="20"/>
        <v>0.66634439300704074</v>
      </c>
      <c r="N31" s="888">
        <f t="shared" si="20"/>
        <v>-0.25255972696245732</v>
      </c>
      <c r="O31" s="892">
        <f t="shared" si="20"/>
        <v>0.12328767123287676</v>
      </c>
      <c r="P31" s="892">
        <f t="shared" si="20"/>
        <v>0.11788617886178865</v>
      </c>
      <c r="Q31" s="892">
        <f t="shared" si="20"/>
        <v>0.45818181818181825</v>
      </c>
      <c r="R31" s="892">
        <f t="shared" si="20"/>
        <v>-0.26932668329177056</v>
      </c>
      <c r="S31" s="893">
        <f t="shared" si="20"/>
        <v>0.12286689419795227</v>
      </c>
      <c r="T31" s="894">
        <f t="shared" si="20"/>
        <v>7.8267477203647351E-2</v>
      </c>
      <c r="U31" s="894">
        <f t="shared" si="20"/>
        <v>0.44348696264975329</v>
      </c>
      <c r="V31" s="894">
        <f t="shared" si="20"/>
        <v>-0.27905373605922545</v>
      </c>
      <c r="W31" s="895">
        <f t="shared" si="20"/>
        <v>0.24762988244216899</v>
      </c>
      <c r="X31" s="895">
        <f t="shared" si="20"/>
        <v>7.8267477203647351E-2</v>
      </c>
      <c r="Y31" s="895">
        <f t="shared" si="20"/>
        <v>0.38162323567904965</v>
      </c>
      <c r="Z31" s="895">
        <f t="shared" si="20"/>
        <v>-0.2898141280583415</v>
      </c>
      <c r="AA31" s="894">
        <f t="shared" si="20"/>
        <v>0.18335804001333011</v>
      </c>
      <c r="AB31" s="894">
        <f t="shared" si="20"/>
        <v>4.2095565029083959E-2</v>
      </c>
      <c r="AC31" s="894">
        <f t="shared" si="20"/>
        <v>0.38162323567904988</v>
      </c>
      <c r="AD31" s="894">
        <f t="shared" si="20"/>
        <v>-0.27220621387796984</v>
      </c>
      <c r="AE31" s="895">
        <f t="shared" si="20"/>
        <v>0.26924693001429767</v>
      </c>
      <c r="AF31" s="895">
        <f t="shared" si="20"/>
        <v>-2.0586874972665425E-2</v>
      </c>
      <c r="AG31" s="895">
        <f t="shared" si="20"/>
        <v>0.35951726390818495</v>
      </c>
      <c r="AH31" s="895">
        <f t="shared" si="20"/>
        <v>-0.35149431740671122</v>
      </c>
      <c r="AI31" s="894">
        <f t="shared" si="20"/>
        <v>0.45917074070986752</v>
      </c>
      <c r="AJ31" s="894">
        <f t="shared" si="20"/>
        <v>-5.1679355132263294E-2</v>
      </c>
      <c r="AK31" s="894">
        <f t="shared" si="20"/>
        <v>0.39294801629936971</v>
      </c>
      <c r="AL31" s="894">
        <f t="shared" si="20"/>
        <v>-0.30998995372074056</v>
      </c>
      <c r="AM31" s="895">
        <f t="shared" si="20"/>
        <v>0.33848744636544237</v>
      </c>
      <c r="AN31" s="895">
        <f t="shared" si="20"/>
        <v>-6.7225595212062284E-2</v>
      </c>
      <c r="AO31" s="895">
        <f t="shared" si="20"/>
        <v>0.38134011616354146</v>
      </c>
      <c r="AP31" s="895">
        <f t="shared" si="20"/>
        <v>-0.32158676122123231</v>
      </c>
      <c r="AQ31" s="957"/>
      <c r="AR31" s="958"/>
      <c r="AS31" s="958"/>
      <c r="AT31" s="959"/>
      <c r="AU31" s="957"/>
      <c r="AV31" s="958"/>
      <c r="AW31" s="931"/>
      <c r="AX31" s="901"/>
      <c r="AY31" s="900"/>
      <c r="AZ31" s="900"/>
      <c r="BA31" s="902"/>
      <c r="BB31" s="901"/>
      <c r="BC31" s="902"/>
    </row>
    <row r="32" spans="1:55" s="1047" customFormat="1" x14ac:dyDescent="0.35">
      <c r="A32" s="787" t="s">
        <v>767</v>
      </c>
      <c r="B32" s="886" t="s">
        <v>761</v>
      </c>
      <c r="C32" s="1043"/>
      <c r="D32" s="891"/>
      <c r="E32" s="891"/>
      <c r="F32" s="891"/>
      <c r="G32" s="923">
        <f t="shared" ref="G32:S32" si="21">G30/C30-1</f>
        <v>1.0952380952380953</v>
      </c>
      <c r="H32" s="923">
        <f t="shared" si="21"/>
        <v>1.0204081632653059</v>
      </c>
      <c r="I32" s="923">
        <f t="shared" si="21"/>
        <v>1.0109890109890109</v>
      </c>
      <c r="J32" s="961">
        <f t="shared" si="21"/>
        <v>0.90140845070422526</v>
      </c>
      <c r="K32" s="891">
        <f t="shared" si="21"/>
        <v>0.80681818181818188</v>
      </c>
      <c r="L32" s="891">
        <f t="shared" si="21"/>
        <v>0.77610101010101018</v>
      </c>
      <c r="M32" s="891">
        <f t="shared" si="21"/>
        <v>0.60109289617486339</v>
      </c>
      <c r="N32" s="891">
        <f t="shared" si="21"/>
        <v>0.62222222222222223</v>
      </c>
      <c r="O32" s="933">
        <f t="shared" si="21"/>
        <v>0.54716981132075482</v>
      </c>
      <c r="P32" s="964">
        <f t="shared" si="21"/>
        <v>0.56397511289056723</v>
      </c>
      <c r="Q32" s="892">
        <f t="shared" si="21"/>
        <v>0.36860068259385659</v>
      </c>
      <c r="R32" s="1044">
        <f t="shared" si="21"/>
        <v>0.33789954337899553</v>
      </c>
      <c r="S32" s="893">
        <f t="shared" si="21"/>
        <v>0.33739837398373984</v>
      </c>
      <c r="T32" s="1045">
        <v>0.28999999999999998</v>
      </c>
      <c r="U32" s="966">
        <v>0.27700000000000002</v>
      </c>
      <c r="V32" s="966">
        <v>0.26</v>
      </c>
      <c r="W32" s="967">
        <v>0.4</v>
      </c>
      <c r="X32" s="967">
        <v>0.4</v>
      </c>
      <c r="Y32" s="967">
        <v>0.34</v>
      </c>
      <c r="Z32" s="967">
        <v>0.32</v>
      </c>
      <c r="AA32" s="966">
        <v>0.252</v>
      </c>
      <c r="AB32" s="966">
        <v>0.21</v>
      </c>
      <c r="AC32" s="966">
        <v>0.21</v>
      </c>
      <c r="AD32" s="966">
        <v>0.24</v>
      </c>
      <c r="AE32" s="967">
        <v>0.33</v>
      </c>
      <c r="AF32" s="967">
        <v>0.25</v>
      </c>
      <c r="AG32" s="967">
        <v>0.23</v>
      </c>
      <c r="AH32" s="967">
        <v>9.6000000000000002E-2</v>
      </c>
      <c r="AI32" s="966">
        <v>0.26</v>
      </c>
      <c r="AJ32" s="966">
        <v>0.22</v>
      </c>
      <c r="AK32" s="966">
        <v>0.25</v>
      </c>
      <c r="AL32" s="966">
        <v>0.33</v>
      </c>
      <c r="AM32" s="967">
        <v>0.22</v>
      </c>
      <c r="AN32" s="967">
        <v>0.2</v>
      </c>
      <c r="AO32" s="967">
        <v>0.19</v>
      </c>
      <c r="AP32" s="967">
        <v>0.17</v>
      </c>
      <c r="AQ32" s="1046"/>
      <c r="AR32" s="946">
        <f t="shared" ref="AR32:BA32" si="22">AR30/AQ30-1</f>
        <v>1.2192982456140351</v>
      </c>
      <c r="AS32" s="946">
        <f t="shared" si="22"/>
        <v>0.99604743083003955</v>
      </c>
      <c r="AT32" s="947">
        <f t="shared" si="22"/>
        <v>0.67689900990099017</v>
      </c>
      <c r="AU32" s="969">
        <f t="shared" si="22"/>
        <v>0.43475580810406744</v>
      </c>
      <c r="AV32" s="946">
        <f t="shared" si="22"/>
        <v>0.28807160493827166</v>
      </c>
      <c r="AW32" s="970">
        <f t="shared" si="22"/>
        <v>0.36149600608815158</v>
      </c>
      <c r="AX32" s="971">
        <f t="shared" si="22"/>
        <v>0.22594026308416981</v>
      </c>
      <c r="AY32" s="972">
        <f t="shared" si="22"/>
        <v>0.22579928259257098</v>
      </c>
      <c r="AZ32" s="972">
        <f t="shared" si="22"/>
        <v>0.26178167105584627</v>
      </c>
      <c r="BA32" s="973">
        <f t="shared" si="22"/>
        <v>0.19508368844118862</v>
      </c>
      <c r="BB32" s="974">
        <v>0.18</v>
      </c>
      <c r="BC32" s="975">
        <v>0.16</v>
      </c>
    </row>
    <row r="33" spans="1:55" s="1047" customFormat="1" x14ac:dyDescent="0.35">
      <c r="A33" s="903" t="s">
        <v>768</v>
      </c>
      <c r="B33" s="886" t="s">
        <v>769</v>
      </c>
      <c r="C33" s="1043"/>
      <c r="D33" s="891"/>
      <c r="E33" s="891"/>
      <c r="F33" s="891"/>
      <c r="G33" s="923"/>
      <c r="H33" s="923"/>
      <c r="I33" s="923"/>
      <c r="J33" s="961"/>
      <c r="K33" s="891"/>
      <c r="L33" s="891"/>
      <c r="M33" s="891"/>
      <c r="N33" s="891"/>
      <c r="O33" s="933"/>
      <c r="P33" s="964"/>
      <c r="Q33" s="892"/>
      <c r="R33" s="1044"/>
      <c r="S33" s="893"/>
      <c r="T33" s="1045"/>
      <c r="U33" s="966"/>
      <c r="V33" s="966"/>
      <c r="W33" s="1048">
        <v>0.49</v>
      </c>
      <c r="X33" s="1048">
        <v>0.49</v>
      </c>
      <c r="Y33" s="1048">
        <v>0.43</v>
      </c>
      <c r="Z33" s="1048">
        <v>0.4</v>
      </c>
      <c r="AA33" s="965">
        <v>0.34</v>
      </c>
      <c r="AB33" s="893">
        <v>0.3</v>
      </c>
      <c r="AC33" s="965">
        <v>0.28999999999999998</v>
      </c>
      <c r="AD33" s="966">
        <v>0.33</v>
      </c>
      <c r="AE33" s="1048">
        <v>0.34</v>
      </c>
      <c r="AF33" s="1048">
        <v>0.26</v>
      </c>
      <c r="AG33" s="1049">
        <v>0.24</v>
      </c>
      <c r="AH33" s="1048">
        <v>0.1</v>
      </c>
      <c r="AI33" s="965">
        <v>0.27</v>
      </c>
      <c r="AJ33" s="966"/>
      <c r="AK33" s="966"/>
      <c r="AL33" s="966"/>
      <c r="AM33" s="967"/>
      <c r="AN33" s="967"/>
      <c r="AO33" s="967"/>
      <c r="AP33" s="967"/>
      <c r="AQ33" s="1046"/>
      <c r="AR33" s="946"/>
      <c r="AS33" s="946"/>
      <c r="AT33" s="947"/>
      <c r="AU33" s="969"/>
      <c r="AV33" s="946"/>
      <c r="AW33" s="970">
        <v>0.45</v>
      </c>
      <c r="AX33" s="971">
        <v>0.31</v>
      </c>
      <c r="AY33" s="972">
        <v>0.23</v>
      </c>
      <c r="AZ33" s="977"/>
      <c r="BA33" s="975"/>
      <c r="BB33" s="974"/>
      <c r="BC33" s="975"/>
    </row>
    <row r="34" spans="1:55" s="1010" customFormat="1" ht="10.15" x14ac:dyDescent="0.3">
      <c r="A34" s="903"/>
      <c r="B34" s="1050" t="s">
        <v>770</v>
      </c>
      <c r="C34" s="995"/>
      <c r="D34" s="1051"/>
      <c r="E34" s="1051"/>
      <c r="F34" s="1051"/>
      <c r="G34" s="996"/>
      <c r="H34" s="996"/>
      <c r="I34" s="996"/>
      <c r="J34" s="1052"/>
      <c r="K34" s="1053">
        <f t="shared" ref="K34:AP34" si="23">K457</f>
        <v>0.88166460098929189</v>
      </c>
      <c r="L34" s="1053">
        <f t="shared" si="23"/>
        <v>0.99519347375883904</v>
      </c>
      <c r="M34" s="1053">
        <f t="shared" si="23"/>
        <v>0.62481681012240187</v>
      </c>
      <c r="N34" s="1053">
        <f t="shared" si="23"/>
        <v>0.59726502915753854</v>
      </c>
      <c r="O34" s="1054">
        <f t="shared" si="23"/>
        <v>0.24996895832214383</v>
      </c>
      <c r="P34" s="1054">
        <f t="shared" si="23"/>
        <v>0.28370599037080213</v>
      </c>
      <c r="Q34" s="1054">
        <f t="shared" si="23"/>
        <v>0.16171079743347661</v>
      </c>
      <c r="R34" s="1055">
        <f t="shared" si="23"/>
        <v>0.19645281787974711</v>
      </c>
      <c r="S34" s="1056">
        <f t="shared" si="23"/>
        <v>0.37</v>
      </c>
      <c r="T34" s="1056">
        <f t="shared" si="23"/>
        <v>0.25</v>
      </c>
      <c r="U34" s="1056">
        <f t="shared" si="23"/>
        <v>0.32000000000000006</v>
      </c>
      <c r="V34" s="1056">
        <f t="shared" si="23"/>
        <v>0.34753846355980089</v>
      </c>
      <c r="W34" s="1055">
        <f t="shared" si="23"/>
        <v>0.2818365578977764</v>
      </c>
      <c r="X34" s="1055">
        <f t="shared" si="23"/>
        <v>0.46547202797202791</v>
      </c>
      <c r="Y34" s="1055">
        <f t="shared" si="23"/>
        <v>0.34379918813685695</v>
      </c>
      <c r="Z34" s="1055">
        <f t="shared" si="23"/>
        <v>0.38537477148080446</v>
      </c>
      <c r="AA34" s="1056">
        <f t="shared" si="23"/>
        <v>0.54944807389051586</v>
      </c>
      <c r="AB34" s="1056">
        <f t="shared" si="23"/>
        <v>0.30589521821254606</v>
      </c>
      <c r="AC34" s="1056">
        <f t="shared" si="23"/>
        <v>0.24314160655939832</v>
      </c>
      <c r="AD34" s="1056">
        <f t="shared" si="23"/>
        <v>0.30113486408023227</v>
      </c>
      <c r="AE34" s="1055">
        <f t="shared" si="23"/>
        <v>0.22870020354754295</v>
      </c>
      <c r="AF34" s="1055">
        <f t="shared" si="23"/>
        <v>0.23896163215590738</v>
      </c>
      <c r="AG34" s="1055">
        <f t="shared" si="23"/>
        <v>0.16087279940490951</v>
      </c>
      <c r="AH34" s="1055">
        <f t="shared" si="23"/>
        <v>-1.9607843137254943E-2</v>
      </c>
      <c r="AI34" s="1056">
        <f t="shared" si="23"/>
        <v>0.17033487161282679</v>
      </c>
      <c r="AJ34" s="1056">
        <f t="shared" si="23"/>
        <v>0.14000000000000001</v>
      </c>
      <c r="AK34" s="1056">
        <f t="shared" si="23"/>
        <v>0.15</v>
      </c>
      <c r="AL34" s="1056">
        <f t="shared" si="23"/>
        <v>0.3</v>
      </c>
      <c r="AM34" s="1055">
        <f t="shared" si="23"/>
        <v>0.16</v>
      </c>
      <c r="AN34" s="1055">
        <f t="shared" si="23"/>
        <v>0.15</v>
      </c>
      <c r="AO34" s="1055">
        <f t="shared" si="23"/>
        <v>0.15</v>
      </c>
      <c r="AP34" s="1055">
        <f t="shared" si="23"/>
        <v>0.13</v>
      </c>
      <c r="AQ34" s="1057"/>
      <c r="AR34" s="1055">
        <f t="shared" ref="AR34:BC34" si="24">AR457</f>
        <v>1.1135506003430531</v>
      </c>
      <c r="AS34" s="1055">
        <f t="shared" si="24"/>
        <v>0.95146891738354156</v>
      </c>
      <c r="AT34" s="1058">
        <f t="shared" si="24"/>
        <v>0.76337020710305259</v>
      </c>
      <c r="AU34" s="1059">
        <f t="shared" si="24"/>
        <v>0.21599223726483263</v>
      </c>
      <c r="AV34" s="1055">
        <f t="shared" si="24"/>
        <v>0.32139906015798592</v>
      </c>
      <c r="AW34" s="1055">
        <f t="shared" si="24"/>
        <v>0.36573122761697885</v>
      </c>
      <c r="AX34" s="1059">
        <f t="shared" si="24"/>
        <v>0.32932831810854379</v>
      </c>
      <c r="AY34" s="1055">
        <f t="shared" si="24"/>
        <v>0.14938477209888923</v>
      </c>
      <c r="AZ34" s="1055">
        <f t="shared" si="24"/>
        <v>0.18314225023211339</v>
      </c>
      <c r="BA34" s="1058">
        <f t="shared" si="24"/>
        <v>0.14786944510334421</v>
      </c>
      <c r="BB34" s="1059">
        <f t="shared" si="24"/>
        <v>0.14000000000000001</v>
      </c>
      <c r="BC34" s="1058">
        <f t="shared" si="24"/>
        <v>0.13</v>
      </c>
    </row>
    <row r="35" spans="1:55" s="1071" customFormat="1" ht="10.15" x14ac:dyDescent="0.3">
      <c r="A35" s="830" t="s">
        <v>771</v>
      </c>
      <c r="B35" s="1060" t="s">
        <v>772</v>
      </c>
      <c r="C35" s="1061">
        <f t="shared" ref="C35:BC35" si="25">C30/C15</f>
        <v>0.20074466712232519</v>
      </c>
      <c r="D35" s="1061">
        <f t="shared" si="25"/>
        <v>0.21484820316747635</v>
      </c>
      <c r="E35" s="1061">
        <f t="shared" si="25"/>
        <v>0.26323706377858003</v>
      </c>
      <c r="F35" s="1061">
        <f t="shared" si="25"/>
        <v>0.24134555244336875</v>
      </c>
      <c r="G35" s="1062">
        <f t="shared" si="25"/>
        <v>0.25497343060956035</v>
      </c>
      <c r="H35" s="1062">
        <f t="shared" si="25"/>
        <v>0.2649474520886691</v>
      </c>
      <c r="I35" s="1062">
        <f t="shared" si="25"/>
        <v>0.34612612987484614</v>
      </c>
      <c r="J35" s="1063">
        <f t="shared" si="25"/>
        <v>0.31389144006417335</v>
      </c>
      <c r="K35" s="1061">
        <f t="shared" si="25"/>
        <v>0.31736526946107785</v>
      </c>
      <c r="L35" s="1061">
        <f t="shared" si="25"/>
        <v>0.31634264906428894</v>
      </c>
      <c r="M35" s="1061">
        <f t="shared" si="25"/>
        <v>0.37229987293519695</v>
      </c>
      <c r="N35" s="1061">
        <f t="shared" si="25"/>
        <v>0.36499999999999999</v>
      </c>
      <c r="O35" s="1062">
        <f t="shared" si="25"/>
        <v>0.36552748885586922</v>
      </c>
      <c r="P35" s="1062">
        <f t="shared" si="25"/>
        <v>0.38569424964936888</v>
      </c>
      <c r="Q35" s="1062">
        <f t="shared" si="25"/>
        <v>0.41597510373443985</v>
      </c>
      <c r="R35" s="1062">
        <f t="shared" si="25"/>
        <v>0.39487870619946092</v>
      </c>
      <c r="S35" s="1064">
        <f t="shared" si="25"/>
        <v>0.39305029729655466</v>
      </c>
      <c r="T35" s="1065">
        <f t="shared" si="25"/>
        <v>0.40701476611709636</v>
      </c>
      <c r="U35" s="1065">
        <f t="shared" si="25"/>
        <v>0.43737844714709001</v>
      </c>
      <c r="V35" s="1065">
        <f t="shared" si="25"/>
        <v>0.41584861028976933</v>
      </c>
      <c r="W35" s="1066">
        <f t="shared" si="25"/>
        <v>0.43038684358063906</v>
      </c>
      <c r="X35" s="1066">
        <f t="shared" si="25"/>
        <v>0.44468500024174973</v>
      </c>
      <c r="Y35" s="1066">
        <f t="shared" si="25"/>
        <v>0.45855706637321147</v>
      </c>
      <c r="Z35" s="1066">
        <f t="shared" si="25"/>
        <v>0.42875085868049773</v>
      </c>
      <c r="AA35" s="1065">
        <f t="shared" si="25"/>
        <v>0.45133141198104865</v>
      </c>
      <c r="AB35" s="1065">
        <f t="shared" si="25"/>
        <v>0.45944497378338722</v>
      </c>
      <c r="AC35" s="1065">
        <f t="shared" si="25"/>
        <v>0.46691433807434818</v>
      </c>
      <c r="AD35" s="1065">
        <f t="shared" si="25"/>
        <v>0.4433169708816459</v>
      </c>
      <c r="AE35" s="1066">
        <f t="shared" si="25"/>
        <v>0.49413966093632727</v>
      </c>
      <c r="AF35" s="1066">
        <f t="shared" si="25"/>
        <v>0.48905331953946463</v>
      </c>
      <c r="AG35" s="1066">
        <f t="shared" si="25"/>
        <v>0.49661679534564207</v>
      </c>
      <c r="AH35" s="1066">
        <f t="shared" si="25"/>
        <v>0.45869370639845003</v>
      </c>
      <c r="AI35" s="1065">
        <f t="shared" si="25"/>
        <v>0.52580437262910351</v>
      </c>
      <c r="AJ35" s="1065">
        <f t="shared" si="25"/>
        <v>0.51951410741578596</v>
      </c>
      <c r="AK35" s="1065">
        <f t="shared" si="25"/>
        <v>0.53081908830742042</v>
      </c>
      <c r="AL35" s="1065">
        <f t="shared" si="25"/>
        <v>0.49495377141464769</v>
      </c>
      <c r="AM35" s="1066">
        <f t="shared" si="25"/>
        <v>0.55152888945689216</v>
      </c>
      <c r="AN35" s="1066">
        <f t="shared" si="25"/>
        <v>0.54345011795762355</v>
      </c>
      <c r="AO35" s="1066">
        <f t="shared" si="25"/>
        <v>0.55488423102469797</v>
      </c>
      <c r="AP35" s="1066">
        <f t="shared" si="25"/>
        <v>0.51962721964608372</v>
      </c>
      <c r="AQ35" s="1067">
        <f t="shared" si="25"/>
        <v>0.1797043917899605</v>
      </c>
      <c r="AR35" s="1062">
        <f t="shared" si="25"/>
        <v>0.23487493605924417</v>
      </c>
      <c r="AS35" s="1062">
        <f t="shared" si="25"/>
        <v>0.30102760691397823</v>
      </c>
      <c r="AT35" s="1068">
        <f t="shared" si="25"/>
        <v>0.34651862606052625</v>
      </c>
      <c r="AU35" s="1067">
        <f t="shared" si="25"/>
        <v>0.39294954721862874</v>
      </c>
      <c r="AV35" s="1062">
        <f t="shared" si="25"/>
        <v>0.41543031353566784</v>
      </c>
      <c r="AW35" s="1062">
        <f t="shared" si="25"/>
        <v>0.44205961452266351</v>
      </c>
      <c r="AX35" s="1069">
        <f t="shared" si="25"/>
        <v>0.456115448192771</v>
      </c>
      <c r="AY35" s="1063">
        <f t="shared" si="25"/>
        <v>0.48596145090302018</v>
      </c>
      <c r="AZ35" s="1063">
        <f t="shared" si="25"/>
        <v>0.51887706489761953</v>
      </c>
      <c r="BA35" s="1070">
        <f t="shared" si="25"/>
        <v>0.54359926865545771</v>
      </c>
      <c r="BB35" s="1069">
        <f t="shared" si="25"/>
        <v>0.56775487139990488</v>
      </c>
      <c r="BC35" s="1070">
        <f t="shared" si="25"/>
        <v>0.58972968014414617</v>
      </c>
    </row>
    <row r="36" spans="1:55" s="921" customFormat="1" x14ac:dyDescent="0.35">
      <c r="A36" s="903" t="s">
        <v>768</v>
      </c>
      <c r="B36" s="1072" t="s">
        <v>773</v>
      </c>
      <c r="C36" s="1073">
        <f t="shared" ref="C36:BC36" si="26">C168-C171</f>
        <v>5028</v>
      </c>
      <c r="D36" s="1073">
        <f t="shared" si="26"/>
        <v>5600</v>
      </c>
      <c r="E36" s="1073">
        <f t="shared" si="26"/>
        <v>9588</v>
      </c>
      <c r="F36" s="1073">
        <f t="shared" si="26"/>
        <v>6544</v>
      </c>
      <c r="G36" s="1074">
        <f t="shared" si="26"/>
        <v>8450.3249999999989</v>
      </c>
      <c r="H36" s="1074">
        <f t="shared" si="26"/>
        <v>8428.875</v>
      </c>
      <c r="I36" s="1074">
        <f t="shared" si="26"/>
        <v>15745.275000000001</v>
      </c>
      <c r="J36" s="1074">
        <f t="shared" si="26"/>
        <v>9136.7250000000004</v>
      </c>
      <c r="K36" s="1073">
        <f t="shared" si="26"/>
        <v>12386.22</v>
      </c>
      <c r="L36" s="1073">
        <f t="shared" si="26"/>
        <v>12513.619999999999</v>
      </c>
      <c r="M36" s="1073">
        <f t="shared" si="26"/>
        <v>20849.5</v>
      </c>
      <c r="N36" s="1073">
        <f t="shared" si="26"/>
        <v>12788.02</v>
      </c>
      <c r="O36" s="1075">
        <f t="shared" si="26"/>
        <v>15375.474452554743</v>
      </c>
      <c r="P36" s="1074">
        <f t="shared" si="26"/>
        <v>16823.2</v>
      </c>
      <c r="Q36" s="1074">
        <f t="shared" si="26"/>
        <v>28171.696969696968</v>
      </c>
      <c r="R36" s="1076">
        <f t="shared" si="26"/>
        <v>17814.88</v>
      </c>
      <c r="S36" s="1077">
        <f t="shared" si="26"/>
        <v>22808</v>
      </c>
      <c r="T36" s="1077">
        <f t="shared" si="26"/>
        <v>23509</v>
      </c>
      <c r="U36" s="1077">
        <f t="shared" si="26"/>
        <v>39989</v>
      </c>
      <c r="V36" s="1077">
        <f t="shared" si="26"/>
        <v>25291</v>
      </c>
      <c r="W36" s="1076">
        <f t="shared" si="26"/>
        <v>35098</v>
      </c>
      <c r="X36" s="1076">
        <f t="shared" si="26"/>
        <v>36331</v>
      </c>
      <c r="Y36" s="1076">
        <f t="shared" si="26"/>
        <v>55021</v>
      </c>
      <c r="Z36" s="1076">
        <f t="shared" si="26"/>
        <v>34360</v>
      </c>
      <c r="AA36" s="1077">
        <f t="shared" si="26"/>
        <v>46809</v>
      </c>
      <c r="AB36" s="1077">
        <f t="shared" si="26"/>
        <v>46056</v>
      </c>
      <c r="AC36" s="1077">
        <f t="shared" si="26"/>
        <v>69757</v>
      </c>
      <c r="AD36" s="1077">
        <f t="shared" si="26"/>
        <v>44909</v>
      </c>
      <c r="AE36" s="1076">
        <f t="shared" si="26"/>
        <v>58856</v>
      </c>
      <c r="AF36" s="1076">
        <f t="shared" si="26"/>
        <v>57576</v>
      </c>
      <c r="AG36" s="1076">
        <f t="shared" si="26"/>
        <v>84644</v>
      </c>
      <c r="AH36" s="1076">
        <f t="shared" si="26"/>
        <v>45406</v>
      </c>
      <c r="AI36" s="1077">
        <f t="shared" si="26"/>
        <v>71215</v>
      </c>
      <c r="AJ36" s="1077">
        <f t="shared" si="26"/>
        <v>68527.710000000021</v>
      </c>
      <c r="AK36" s="1077">
        <f t="shared" si="26"/>
        <v>103464.1</v>
      </c>
      <c r="AL36" s="1077">
        <f t="shared" si="26"/>
        <v>60264.04</v>
      </c>
      <c r="AM36" s="1076">
        <f t="shared" si="26"/>
        <v>86209.78</v>
      </c>
      <c r="AN36" s="1076">
        <f t="shared" si="26"/>
        <v>81805.319099999993</v>
      </c>
      <c r="AO36" s="1076">
        <f t="shared" si="26"/>
        <v>125107.215</v>
      </c>
      <c r="AP36" s="1076">
        <f t="shared" si="26"/>
        <v>70997.347999999998</v>
      </c>
      <c r="AQ36" s="1078">
        <f t="shared" si="26"/>
        <v>12719</v>
      </c>
      <c r="AR36" s="1076">
        <f t="shared" si="26"/>
        <v>25858</v>
      </c>
      <c r="AS36" s="1076">
        <f t="shared" si="26"/>
        <v>41752</v>
      </c>
      <c r="AT36" s="1079">
        <f t="shared" si="26"/>
        <v>58710</v>
      </c>
      <c r="AU36" s="1080">
        <f t="shared" si="26"/>
        <v>78225</v>
      </c>
      <c r="AV36" s="1076">
        <f t="shared" si="26"/>
        <v>111597</v>
      </c>
      <c r="AW36" s="1076">
        <f t="shared" si="26"/>
        <v>160810</v>
      </c>
      <c r="AX36" s="1080">
        <f t="shared" si="26"/>
        <v>207531</v>
      </c>
      <c r="AY36" s="1076">
        <f t="shared" si="26"/>
        <v>246482</v>
      </c>
      <c r="AZ36" s="1076">
        <f t="shared" si="26"/>
        <v>303470.84999999998</v>
      </c>
      <c r="BA36" s="1079">
        <f t="shared" si="26"/>
        <v>364119.66209999996</v>
      </c>
      <c r="BB36" s="1080">
        <f t="shared" si="26"/>
        <v>431151.11126999999</v>
      </c>
      <c r="BC36" s="1079">
        <f t="shared" si="26"/>
        <v>506466.39150629996</v>
      </c>
    </row>
    <row r="37" spans="1:55" x14ac:dyDescent="0.35">
      <c r="A37" s="787"/>
      <c r="B37" s="1081" t="s">
        <v>750</v>
      </c>
      <c r="C37" s="887"/>
      <c r="D37" s="1082">
        <f t="shared" ref="D37:AP37" si="27">D36/C36-1</f>
        <v>0.11376292760540974</v>
      </c>
      <c r="E37" s="1082">
        <f t="shared" si="27"/>
        <v>0.71214285714285719</v>
      </c>
      <c r="F37" s="1082">
        <f t="shared" si="27"/>
        <v>-0.31748018356278684</v>
      </c>
      <c r="G37" s="1083">
        <f t="shared" si="27"/>
        <v>0.29130883251833728</v>
      </c>
      <c r="H37" s="1083">
        <f t="shared" si="27"/>
        <v>-2.5383639090802435E-3</v>
      </c>
      <c r="I37" s="1084">
        <f t="shared" si="27"/>
        <v>0.86801619433198396</v>
      </c>
      <c r="J37" s="1083">
        <f t="shared" si="27"/>
        <v>-0.41971639110780856</v>
      </c>
      <c r="K37" s="1085">
        <f t="shared" si="27"/>
        <v>0.35565205256806998</v>
      </c>
      <c r="L37" s="1085">
        <f t="shared" si="27"/>
        <v>1.0285623862647419E-2</v>
      </c>
      <c r="M37" s="1085">
        <f t="shared" si="27"/>
        <v>0.66614456887775098</v>
      </c>
      <c r="N37" s="891">
        <f t="shared" si="27"/>
        <v>-0.38665099882491183</v>
      </c>
      <c r="O37" s="1086">
        <f t="shared" si="27"/>
        <v>0.20233425131918326</v>
      </c>
      <c r="P37" s="1086">
        <f t="shared" si="27"/>
        <v>9.4158105618959098E-2</v>
      </c>
      <c r="Q37" s="1086">
        <f t="shared" si="27"/>
        <v>0.67457421713449084</v>
      </c>
      <c r="R37" s="1086">
        <f t="shared" si="27"/>
        <v>-0.36763198826245114</v>
      </c>
      <c r="S37" s="1087">
        <f t="shared" si="27"/>
        <v>0.28027805968942809</v>
      </c>
      <c r="T37" s="1087">
        <f t="shared" si="27"/>
        <v>3.0734829884251136E-2</v>
      </c>
      <c r="U37" s="1087">
        <f t="shared" si="27"/>
        <v>0.70100812454804551</v>
      </c>
      <c r="V37" s="893">
        <f t="shared" si="27"/>
        <v>-0.36755107654605013</v>
      </c>
      <c r="W37" s="961">
        <f t="shared" si="27"/>
        <v>0.38776639911430943</v>
      </c>
      <c r="X37" s="961">
        <f t="shared" si="27"/>
        <v>3.5130206849393053E-2</v>
      </c>
      <c r="Y37" s="961">
        <f t="shared" si="27"/>
        <v>0.51443670694448262</v>
      </c>
      <c r="Z37" s="961">
        <f t="shared" si="27"/>
        <v>-0.37551116846295052</v>
      </c>
      <c r="AA37" s="893">
        <f t="shared" si="27"/>
        <v>0.36231082654249125</v>
      </c>
      <c r="AB37" s="893">
        <f t="shared" si="27"/>
        <v>-1.6086650003204528E-2</v>
      </c>
      <c r="AC37" s="893">
        <f t="shared" si="27"/>
        <v>0.5146126454750739</v>
      </c>
      <c r="AD37" s="893">
        <f t="shared" si="27"/>
        <v>-0.35620797912754276</v>
      </c>
      <c r="AE37" s="961">
        <f t="shared" si="27"/>
        <v>0.31056135741165458</v>
      </c>
      <c r="AF37" s="961">
        <f t="shared" si="27"/>
        <v>-2.1747995106701112E-2</v>
      </c>
      <c r="AG37" s="961">
        <f t="shared" si="27"/>
        <v>0.47012644157287764</v>
      </c>
      <c r="AH37" s="961">
        <f t="shared" si="27"/>
        <v>-0.46356504891073202</v>
      </c>
      <c r="AI37" s="893">
        <f t="shared" si="27"/>
        <v>0.56840505660044927</v>
      </c>
      <c r="AJ37" s="893">
        <f t="shared" si="27"/>
        <v>-3.7734887313065735E-2</v>
      </c>
      <c r="AK37" s="893">
        <f t="shared" si="27"/>
        <v>0.50981405915942579</v>
      </c>
      <c r="AL37" s="893">
        <f t="shared" si="27"/>
        <v>-0.41753671080113786</v>
      </c>
      <c r="AM37" s="961">
        <f t="shared" si="27"/>
        <v>0.43053436178523707</v>
      </c>
      <c r="AN37" s="961">
        <f t="shared" si="27"/>
        <v>-5.1090037580423076E-2</v>
      </c>
      <c r="AO37" s="961">
        <f t="shared" si="27"/>
        <v>0.52932861061353664</v>
      </c>
      <c r="AP37" s="961">
        <f t="shared" si="27"/>
        <v>-0.43250796526803026</v>
      </c>
      <c r="AQ37" s="1088"/>
      <c r="AR37" s="1089"/>
      <c r="AS37" s="1089"/>
      <c r="AT37" s="1090"/>
      <c r="AU37" s="1091"/>
      <c r="AV37" s="1092"/>
      <c r="AW37" s="1093"/>
      <c r="AX37" s="1088"/>
      <c r="BA37" s="1094"/>
      <c r="BB37" s="1088"/>
      <c r="BC37" s="1094"/>
    </row>
    <row r="38" spans="1:55" x14ac:dyDescent="0.35">
      <c r="A38" s="787"/>
      <c r="B38" s="1081" t="s">
        <v>774</v>
      </c>
      <c r="C38" s="1095"/>
      <c r="D38" s="1095"/>
      <c r="E38" s="1095"/>
      <c r="F38" s="1095"/>
      <c r="G38" s="1096">
        <f t="shared" ref="G38:AP38" si="28">G36/C36-1</f>
        <v>0.68065334128878252</v>
      </c>
      <c r="H38" s="1096">
        <f t="shared" si="28"/>
        <v>0.50515624999999997</v>
      </c>
      <c r="I38" s="1096">
        <f t="shared" si="28"/>
        <v>0.64218554443053844</v>
      </c>
      <c r="J38" s="1097">
        <f t="shared" si="28"/>
        <v>0.39619880806845975</v>
      </c>
      <c r="K38" s="1098">
        <f t="shared" si="28"/>
        <v>0.46576847636037688</v>
      </c>
      <c r="L38" s="1098">
        <f t="shared" si="28"/>
        <v>0.48461330841897632</v>
      </c>
      <c r="M38" s="1098">
        <f t="shared" si="28"/>
        <v>0.32417503028686379</v>
      </c>
      <c r="N38" s="1098">
        <f t="shared" si="28"/>
        <v>0.39962842265691489</v>
      </c>
      <c r="O38" s="1096">
        <f t="shared" si="28"/>
        <v>0.2413371030511926</v>
      </c>
      <c r="P38" s="1096">
        <f t="shared" si="28"/>
        <v>0.34439115140143306</v>
      </c>
      <c r="Q38" s="1096">
        <f t="shared" si="28"/>
        <v>0.35119292883268027</v>
      </c>
      <c r="R38" s="1096">
        <f t="shared" si="28"/>
        <v>0.39309134643205135</v>
      </c>
      <c r="S38" s="1099">
        <f t="shared" si="28"/>
        <v>0.48340137862934629</v>
      </c>
      <c r="T38" s="1099">
        <f t="shared" si="28"/>
        <v>0.39741547386941845</v>
      </c>
      <c r="U38" s="1099">
        <f t="shared" si="28"/>
        <v>0.41947430582596335</v>
      </c>
      <c r="V38" s="1099">
        <f t="shared" si="28"/>
        <v>0.41965592807810093</v>
      </c>
      <c r="W38" s="1097">
        <f t="shared" si="28"/>
        <v>0.53884601894072248</v>
      </c>
      <c r="X38" s="1097">
        <f t="shared" si="28"/>
        <v>0.54540814156280581</v>
      </c>
      <c r="Y38" s="1097">
        <f t="shared" si="28"/>
        <v>0.37590337342769264</v>
      </c>
      <c r="Z38" s="1097">
        <f t="shared" si="28"/>
        <v>0.35858605828160206</v>
      </c>
      <c r="AA38" s="1099">
        <f t="shared" si="28"/>
        <v>0.33366573593936977</v>
      </c>
      <c r="AB38" s="1099">
        <f t="shared" si="28"/>
        <v>0.26767774077234319</v>
      </c>
      <c r="AC38" s="1099">
        <f t="shared" si="28"/>
        <v>0.26782501226804301</v>
      </c>
      <c r="AD38" s="1099">
        <f t="shared" si="28"/>
        <v>0.30701396973224671</v>
      </c>
      <c r="AE38" s="1097">
        <f t="shared" si="28"/>
        <v>0.25736503663825339</v>
      </c>
      <c r="AF38" s="1097">
        <f t="shared" si="28"/>
        <v>0.25013027618551331</v>
      </c>
      <c r="AG38" s="1097">
        <f t="shared" si="28"/>
        <v>0.21341227403701413</v>
      </c>
      <c r="AH38" s="1097">
        <f t="shared" si="28"/>
        <v>1.1066824021910948E-2</v>
      </c>
      <c r="AI38" s="1099">
        <f t="shared" si="28"/>
        <v>0.20998708712790548</v>
      </c>
      <c r="AJ38" s="1099">
        <f t="shared" si="28"/>
        <v>0.1902131096290125</v>
      </c>
      <c r="AK38" s="1099">
        <f t="shared" si="28"/>
        <v>0.22234417088039327</v>
      </c>
      <c r="AL38" s="1099">
        <f t="shared" si="28"/>
        <v>0.32722635775007713</v>
      </c>
      <c r="AM38" s="1097">
        <f t="shared" si="28"/>
        <v>0.21055648388682169</v>
      </c>
      <c r="AN38" s="1097">
        <f t="shared" si="28"/>
        <v>0.1937553305079065</v>
      </c>
      <c r="AO38" s="1097">
        <f t="shared" si="28"/>
        <v>0.20918478003481389</v>
      </c>
      <c r="AP38" s="1097">
        <f t="shared" si="28"/>
        <v>0.17810468730606166</v>
      </c>
      <c r="AQ38" s="1100"/>
      <c r="AR38" s="1101"/>
      <c r="AS38" s="1102">
        <f t="shared" ref="AS38:BC38" si="29">AS36/AR36-1</f>
        <v>0.61466470724727351</v>
      </c>
      <c r="AT38" s="1103">
        <f t="shared" si="29"/>
        <v>0.40616018394328424</v>
      </c>
      <c r="AU38" s="1104">
        <f t="shared" si="29"/>
        <v>0.33239652529381702</v>
      </c>
      <c r="AV38" s="1096">
        <f t="shared" si="29"/>
        <v>0.42661553211888781</v>
      </c>
      <c r="AW38" s="1096">
        <f t="shared" si="29"/>
        <v>0.44098855704006379</v>
      </c>
      <c r="AX38" s="1105">
        <f t="shared" si="29"/>
        <v>0.29053541446427467</v>
      </c>
      <c r="AY38" s="1096">
        <f t="shared" si="29"/>
        <v>0.18768762257204941</v>
      </c>
      <c r="AZ38" s="1096">
        <f t="shared" si="29"/>
        <v>0.23120897266331819</v>
      </c>
      <c r="BA38" s="1106">
        <f t="shared" si="29"/>
        <v>0.19985053622118887</v>
      </c>
      <c r="BB38" s="1105">
        <f t="shared" si="29"/>
        <v>0.18409181416737352</v>
      </c>
      <c r="BC38" s="1106">
        <f t="shared" si="29"/>
        <v>0.1746841844253888</v>
      </c>
    </row>
    <row r="39" spans="1:55" s="1121" customFormat="1" ht="12.75" outlineLevel="1" x14ac:dyDescent="0.35">
      <c r="A39" s="830" t="s">
        <v>771</v>
      </c>
      <c r="B39" s="1107" t="s">
        <v>775</v>
      </c>
      <c r="C39" s="1108">
        <v>9.5830000000000002</v>
      </c>
      <c r="D39" s="1108">
        <v>12.702999999999999</v>
      </c>
      <c r="E39" s="1108">
        <v>25.661000000000001</v>
      </c>
      <c r="F39" s="1108">
        <v>31.507000000000001</v>
      </c>
      <c r="G39" s="1109">
        <v>41.298999999999999</v>
      </c>
      <c r="H39" s="1109">
        <v>54.823</v>
      </c>
      <c r="I39" s="1109">
        <v>104.39100000000001</v>
      </c>
      <c r="J39" s="1110">
        <v>118.001</v>
      </c>
      <c r="K39" s="1111">
        <f>K42*K15</f>
        <v>164.328</v>
      </c>
      <c r="L39" s="1111">
        <v>199.054</v>
      </c>
      <c r="M39" s="1111">
        <v>327</v>
      </c>
      <c r="N39" s="1111">
        <v>304</v>
      </c>
      <c r="O39" s="1109">
        <v>371</v>
      </c>
      <c r="P39" s="1109">
        <v>440</v>
      </c>
      <c r="Q39" s="1109">
        <v>651</v>
      </c>
      <c r="R39" s="1109">
        <v>541</v>
      </c>
      <c r="S39" s="862">
        <v>625.71500000000003</v>
      </c>
      <c r="T39" s="865">
        <f t="shared" ref="T39:AP39" si="30">T42*T15</f>
        <v>679.84019999999998</v>
      </c>
      <c r="U39" s="865">
        <f t="shared" si="30"/>
        <v>947.16668299999992</v>
      </c>
      <c r="V39" s="865">
        <f t="shared" si="30"/>
        <v>727.97550000000001</v>
      </c>
      <c r="W39" s="866">
        <f t="shared" si="30"/>
        <v>888.26599999999996</v>
      </c>
      <c r="X39" s="866">
        <f t="shared" si="30"/>
        <v>938.16071999999974</v>
      </c>
      <c r="Y39" s="866">
        <f t="shared" si="30"/>
        <v>1271.9370079999999</v>
      </c>
      <c r="Z39" s="866">
        <f t="shared" si="30"/>
        <v>966.10875899999996</v>
      </c>
      <c r="AA39" s="865">
        <f t="shared" si="30"/>
        <v>1111.6087439999999</v>
      </c>
      <c r="AB39" s="865">
        <f t="shared" si="30"/>
        <v>1137.9457494000001</v>
      </c>
      <c r="AC39" s="865">
        <f t="shared" si="30"/>
        <v>1547.061151656</v>
      </c>
      <c r="AD39" s="865">
        <f t="shared" si="30"/>
        <v>1185.8743549440003</v>
      </c>
      <c r="AE39" s="866">
        <f t="shared" si="30"/>
        <v>1350.35962152</v>
      </c>
      <c r="AF39" s="866">
        <f t="shared" si="30"/>
        <v>1336.315065534</v>
      </c>
      <c r="AG39" s="866">
        <f t="shared" si="30"/>
        <v>1809.6384657172796</v>
      </c>
      <c r="AH39" s="866">
        <f t="shared" si="30"/>
        <v>1270.5864711936006</v>
      </c>
      <c r="AI39" s="865">
        <f t="shared" si="30"/>
        <v>1654.126672464</v>
      </c>
      <c r="AJ39" s="865">
        <f t="shared" si="30"/>
        <v>1587.6355607603998</v>
      </c>
      <c r="AK39" s="865">
        <f t="shared" si="30"/>
        <v>2164.3950932636217</v>
      </c>
      <c r="AL39" s="865">
        <f t="shared" si="30"/>
        <v>1601.6729779140487</v>
      </c>
      <c r="AM39" s="866">
        <f t="shared" si="30"/>
        <v>1966.6625171639041</v>
      </c>
      <c r="AN39" s="866">
        <f t="shared" si="30"/>
        <v>1861.7228959344768</v>
      </c>
      <c r="AO39" s="866">
        <f t="shared" si="30"/>
        <v>2518.6798559524796</v>
      </c>
      <c r="AP39" s="866">
        <f t="shared" si="30"/>
        <v>1824.6424456201321</v>
      </c>
      <c r="AQ39" s="1112"/>
      <c r="AR39" s="864">
        <f>SUM(C39:F39)</f>
        <v>79.454000000000008</v>
      </c>
      <c r="AS39" s="864">
        <f>SUM(G39:J39)</f>
        <v>318.51400000000001</v>
      </c>
      <c r="AT39" s="1113">
        <f>SUM(K39:N39)</f>
        <v>994.38200000000006</v>
      </c>
      <c r="AU39" s="1114">
        <f>SUM(O39:R39)</f>
        <v>2003</v>
      </c>
      <c r="AV39" s="1115">
        <f>SUM(S39:V39)</f>
        <v>2980.6973830000002</v>
      </c>
      <c r="AW39" s="1115">
        <f>SUM(W39:Z39)</f>
        <v>4064.4724869999991</v>
      </c>
      <c r="AX39" s="1116">
        <f>SUM(AA39:AD39)</f>
        <v>4982.4900000000007</v>
      </c>
      <c r="AY39" s="1117">
        <f>SUM(AE39:AH39)</f>
        <v>5766.8996239648804</v>
      </c>
      <c r="AZ39" s="1118">
        <f>SUM(AI39:AL39)</f>
        <v>7007.8303044020704</v>
      </c>
      <c r="BA39" s="1119">
        <f>SUM(AM39:AP39)</f>
        <v>8171.7077146709926</v>
      </c>
      <c r="BB39" s="1120">
        <f>BA39*(1+BB41)</f>
        <v>9479.1809490183514</v>
      </c>
      <c r="BC39" s="1119">
        <f>BB39*(1+BC41)</f>
        <v>10806.266281880922</v>
      </c>
    </row>
    <row r="40" spans="1:55" s="1047" customFormat="1" outlineLevel="1" x14ac:dyDescent="0.35">
      <c r="A40" s="903"/>
      <c r="B40" s="886" t="s">
        <v>750</v>
      </c>
      <c r="C40" s="1043"/>
      <c r="D40" s="891">
        <f t="shared" ref="D40:AP40" si="31">D39/C39-1</f>
        <v>0.32557654179275786</v>
      </c>
      <c r="E40" s="891">
        <f t="shared" si="31"/>
        <v>1.0200739982681259</v>
      </c>
      <c r="F40" s="891">
        <f t="shared" si="31"/>
        <v>0.22781653092241139</v>
      </c>
      <c r="G40" s="923">
        <f t="shared" si="31"/>
        <v>0.31078807883962289</v>
      </c>
      <c r="H40" s="923">
        <f t="shared" si="31"/>
        <v>0.32746555606673278</v>
      </c>
      <c r="I40" s="933">
        <f t="shared" si="31"/>
        <v>0.90414607008007586</v>
      </c>
      <c r="J40" s="923">
        <f t="shared" si="31"/>
        <v>0.13037522391777068</v>
      </c>
      <c r="K40" s="891">
        <f t="shared" si="31"/>
        <v>0.39259836781044233</v>
      </c>
      <c r="L40" s="891">
        <f t="shared" si="31"/>
        <v>0.21132125991918604</v>
      </c>
      <c r="M40" s="891">
        <f t="shared" si="31"/>
        <v>0.64277030353572395</v>
      </c>
      <c r="N40" s="891">
        <f t="shared" si="31"/>
        <v>-7.0336391437308854E-2</v>
      </c>
      <c r="O40" s="892">
        <f t="shared" si="31"/>
        <v>0.22039473684210531</v>
      </c>
      <c r="P40" s="892">
        <f t="shared" si="31"/>
        <v>0.18598382749326148</v>
      </c>
      <c r="Q40" s="892">
        <f t="shared" si="31"/>
        <v>0.4795454545454545</v>
      </c>
      <c r="R40" s="892">
        <f t="shared" si="31"/>
        <v>-0.16897081413210446</v>
      </c>
      <c r="S40" s="893">
        <f t="shared" si="31"/>
        <v>0.15658964879852122</v>
      </c>
      <c r="T40" s="894">
        <f t="shared" si="31"/>
        <v>8.650136244136708E-2</v>
      </c>
      <c r="U40" s="894">
        <f t="shared" si="31"/>
        <v>0.39321958748541186</v>
      </c>
      <c r="V40" s="894">
        <f t="shared" si="31"/>
        <v>-0.2314177503644308</v>
      </c>
      <c r="W40" s="895">
        <f t="shared" si="31"/>
        <v>0.22018666837002066</v>
      </c>
      <c r="X40" s="895">
        <f t="shared" si="31"/>
        <v>5.6170921773432525E-2</v>
      </c>
      <c r="Y40" s="895">
        <f t="shared" si="31"/>
        <v>0.35577730007711272</v>
      </c>
      <c r="Z40" s="895">
        <f t="shared" si="31"/>
        <v>-0.24044292058211736</v>
      </c>
      <c r="AA40" s="894">
        <f t="shared" si="31"/>
        <v>0.15060414642198672</v>
      </c>
      <c r="AB40" s="894">
        <f t="shared" si="31"/>
        <v>2.3692693622784367E-2</v>
      </c>
      <c r="AC40" s="894">
        <f t="shared" si="31"/>
        <v>0.35952100745726456</v>
      </c>
      <c r="AD40" s="894">
        <f t="shared" si="31"/>
        <v>-0.2334663993891769</v>
      </c>
      <c r="AE40" s="895">
        <f t="shared" si="31"/>
        <v>0.13870378922543369</v>
      </c>
      <c r="AF40" s="895">
        <f t="shared" si="31"/>
        <v>-1.0400604225851429E-2</v>
      </c>
      <c r="AG40" s="895">
        <f t="shared" si="31"/>
        <v>0.35420045196761785</v>
      </c>
      <c r="AH40" s="895">
        <f t="shared" si="31"/>
        <v>-0.29787828051611243</v>
      </c>
      <c r="AI40" s="894">
        <f t="shared" si="31"/>
        <v>0.3018607626996832</v>
      </c>
      <c r="AJ40" s="894">
        <f t="shared" si="31"/>
        <v>-4.0197109937508246E-2</v>
      </c>
      <c r="AK40" s="894">
        <f t="shared" si="31"/>
        <v>0.3632820697383361</v>
      </c>
      <c r="AL40" s="894">
        <f t="shared" si="31"/>
        <v>-0.2599904782176633</v>
      </c>
      <c r="AM40" s="895">
        <f t="shared" si="31"/>
        <v>0.22788018795522325</v>
      </c>
      <c r="AN40" s="895">
        <f t="shared" si="31"/>
        <v>-5.3359242022245512E-2</v>
      </c>
      <c r="AO40" s="895">
        <f t="shared" si="31"/>
        <v>0.35287580200717716</v>
      </c>
      <c r="AP40" s="895">
        <f t="shared" si="31"/>
        <v>-0.27555602538850099</v>
      </c>
      <c r="AQ40" s="957"/>
      <c r="AR40" s="958"/>
      <c r="AS40" s="958"/>
      <c r="AT40" s="959"/>
      <c r="AU40" s="957"/>
      <c r="AV40" s="958"/>
      <c r="AW40" s="958"/>
      <c r="AX40" s="957"/>
      <c r="AY40" s="958"/>
      <c r="AZ40" s="958"/>
      <c r="BA40" s="959"/>
      <c r="BB40" s="957"/>
      <c r="BC40" s="959"/>
    </row>
    <row r="41" spans="1:55" s="1047" customFormat="1" outlineLevel="1" x14ac:dyDescent="0.35">
      <c r="A41" s="903"/>
      <c r="B41" s="886" t="s">
        <v>761</v>
      </c>
      <c r="C41" s="1043"/>
      <c r="D41" s="1043"/>
      <c r="E41" s="1043"/>
      <c r="F41" s="1043"/>
      <c r="G41" s="923">
        <f t="shared" ref="G41:AP41" si="32">G39/C39-1</f>
        <v>3.3096107690702281</v>
      </c>
      <c r="H41" s="923">
        <f t="shared" si="32"/>
        <v>3.3157521845233413</v>
      </c>
      <c r="I41" s="923">
        <f t="shared" si="32"/>
        <v>3.0680799657067146</v>
      </c>
      <c r="J41" s="923">
        <f t="shared" si="32"/>
        <v>2.7452312184593901</v>
      </c>
      <c r="K41" s="891">
        <f t="shared" si="32"/>
        <v>2.9789825419501685</v>
      </c>
      <c r="L41" s="891">
        <f t="shared" si="32"/>
        <v>2.6308483665614797</v>
      </c>
      <c r="M41" s="891">
        <f t="shared" si="32"/>
        <v>2.1324539471793544</v>
      </c>
      <c r="N41" s="891">
        <f t="shared" si="32"/>
        <v>1.5762493538190352</v>
      </c>
      <c r="O41" s="964">
        <f t="shared" si="32"/>
        <v>1.2576797624263669</v>
      </c>
      <c r="P41" s="964">
        <f t="shared" si="32"/>
        <v>1.2104554542988333</v>
      </c>
      <c r="Q41" s="964">
        <f t="shared" si="32"/>
        <v>0.99082568807339455</v>
      </c>
      <c r="R41" s="892">
        <f t="shared" si="32"/>
        <v>0.77960526315789469</v>
      </c>
      <c r="S41" s="893">
        <f t="shared" si="32"/>
        <v>0.68656334231805949</v>
      </c>
      <c r="T41" s="894">
        <f t="shared" si="32"/>
        <v>0.54509136363636368</v>
      </c>
      <c r="U41" s="894">
        <f t="shared" si="32"/>
        <v>0.45494114132104446</v>
      </c>
      <c r="V41" s="894">
        <f t="shared" si="32"/>
        <v>0.34561090573012931</v>
      </c>
      <c r="W41" s="895">
        <f t="shared" si="32"/>
        <v>0.41960157579728774</v>
      </c>
      <c r="X41" s="895">
        <f t="shared" si="32"/>
        <v>0.37997241116368197</v>
      </c>
      <c r="Y41" s="895">
        <f t="shared" si="32"/>
        <v>0.34288613696941028</v>
      </c>
      <c r="Z41" s="895">
        <f t="shared" si="32"/>
        <v>0.32711713374969342</v>
      </c>
      <c r="AA41" s="894">
        <f t="shared" si="32"/>
        <v>0.25143678132451308</v>
      </c>
      <c r="AB41" s="894">
        <f t="shared" si="32"/>
        <v>0.21295394823181302</v>
      </c>
      <c r="AC41" s="894">
        <f t="shared" si="32"/>
        <v>0.21630327754092682</v>
      </c>
      <c r="AD41" s="894">
        <f t="shared" si="32"/>
        <v>0.22747500620062211</v>
      </c>
      <c r="AE41" s="895">
        <f t="shared" si="32"/>
        <v>0.21477959651602041</v>
      </c>
      <c r="AF41" s="895">
        <f t="shared" si="32"/>
        <v>0.17432229632967422</v>
      </c>
      <c r="AG41" s="895">
        <f t="shared" si="32"/>
        <v>0.16972652553534329</v>
      </c>
      <c r="AH41" s="895">
        <f t="shared" si="32"/>
        <v>7.1434309964145015E-2</v>
      </c>
      <c r="AI41" s="894">
        <f t="shared" si="32"/>
        <v>0.22495270600736106</v>
      </c>
      <c r="AJ41" s="894">
        <f t="shared" si="32"/>
        <v>0.18806979110571542</v>
      </c>
      <c r="AK41" s="894">
        <f t="shared" si="32"/>
        <v>0.19603729378383239</v>
      </c>
      <c r="AL41" s="894">
        <f t="shared" si="32"/>
        <v>0.26057770504153277</v>
      </c>
      <c r="AM41" s="895">
        <f t="shared" si="32"/>
        <v>0.18894311415361464</v>
      </c>
      <c r="AN41" s="895">
        <f t="shared" si="32"/>
        <v>0.17263869741164184</v>
      </c>
      <c r="AO41" s="895">
        <f t="shared" si="32"/>
        <v>0.16368765748523439</v>
      </c>
      <c r="AP41" s="895">
        <f t="shared" si="32"/>
        <v>0.13921035740795817</v>
      </c>
      <c r="AQ41" s="957"/>
      <c r="AR41" s="958"/>
      <c r="AS41" s="933">
        <f t="shared" ref="AS41:BA41" si="33">AS39/AR39-1</f>
        <v>3.0087849573338028</v>
      </c>
      <c r="AT41" s="1122">
        <f t="shared" si="33"/>
        <v>2.1219412647481746</v>
      </c>
      <c r="AU41" s="1123">
        <f t="shared" si="33"/>
        <v>1.0143164297020659</v>
      </c>
      <c r="AV41" s="1124">
        <f t="shared" si="33"/>
        <v>0.48811651672491263</v>
      </c>
      <c r="AW41" s="1124">
        <f t="shared" si="33"/>
        <v>0.36359783122606215</v>
      </c>
      <c r="AX41" s="1125">
        <f t="shared" si="33"/>
        <v>0.22586387678505204</v>
      </c>
      <c r="AY41" s="1126">
        <f t="shared" si="33"/>
        <v>0.15743325605568304</v>
      </c>
      <c r="AZ41" s="1126">
        <f t="shared" si="33"/>
        <v>0.21518159866705311</v>
      </c>
      <c r="BA41" s="1127">
        <f t="shared" si="33"/>
        <v>0.16608241919582656</v>
      </c>
      <c r="BB41" s="1128">
        <v>0.16</v>
      </c>
      <c r="BC41" s="1129">
        <v>0.14000000000000001</v>
      </c>
    </row>
    <row r="42" spans="1:55" ht="10.15" outlineLevel="1" x14ac:dyDescent="0.3">
      <c r="A42" s="787" t="s">
        <v>776</v>
      </c>
      <c r="B42" s="886" t="s">
        <v>777</v>
      </c>
      <c r="C42" s="1130">
        <f t="shared" ref="C42:J42" si="34">C39/C15</f>
        <v>4.5803241548410534E-2</v>
      </c>
      <c r="D42" s="1130">
        <f t="shared" si="34"/>
        <v>5.5698300506866368E-2</v>
      </c>
      <c r="E42" s="1130">
        <f t="shared" si="34"/>
        <v>7.4229959270572993E-2</v>
      </c>
      <c r="F42" s="1130">
        <f t="shared" si="34"/>
        <v>0.10709963832159464</v>
      </c>
      <c r="G42" s="1131">
        <f t="shared" si="34"/>
        <v>0.11966076944027536</v>
      </c>
      <c r="H42" s="1131">
        <f t="shared" si="34"/>
        <v>0.14671933500865764</v>
      </c>
      <c r="I42" s="1131">
        <f t="shared" si="34"/>
        <v>0.19744509739762331</v>
      </c>
      <c r="J42" s="907">
        <f t="shared" si="34"/>
        <v>0.2743666949556483</v>
      </c>
      <c r="K42" s="888">
        <v>0.32800000000000001</v>
      </c>
      <c r="L42" s="888">
        <v>0.32800000000000001</v>
      </c>
      <c r="M42" s="1132">
        <f t="shared" ref="M42:S42" si="35">M39/M15</f>
        <v>0.41550190597204573</v>
      </c>
      <c r="N42" s="1132">
        <f t="shared" si="35"/>
        <v>0.50666666666666671</v>
      </c>
      <c r="O42" s="1133">
        <f t="shared" si="35"/>
        <v>0.55126300148588414</v>
      </c>
      <c r="P42" s="1134">
        <f t="shared" si="35"/>
        <v>0.61711079943899017</v>
      </c>
      <c r="Q42" s="1134">
        <f t="shared" si="35"/>
        <v>0.67531120331950212</v>
      </c>
      <c r="R42" s="1134">
        <f t="shared" si="35"/>
        <v>0.72911051212938005</v>
      </c>
      <c r="S42" s="1132">
        <f t="shared" si="35"/>
        <v>0.74753029414259486</v>
      </c>
      <c r="T42" s="1135">
        <v>0.78</v>
      </c>
      <c r="U42" s="1135">
        <v>0.80900000000000005</v>
      </c>
      <c r="V42" s="1135">
        <v>0.82</v>
      </c>
      <c r="W42" s="1136">
        <v>0.83</v>
      </c>
      <c r="X42" s="1136">
        <v>0.84</v>
      </c>
      <c r="Y42" s="1136">
        <v>0.85</v>
      </c>
      <c r="Z42" s="1136">
        <v>0.85</v>
      </c>
      <c r="AA42" s="1135">
        <v>0.87</v>
      </c>
      <c r="AB42" s="1135">
        <v>0.87</v>
      </c>
      <c r="AC42" s="1135">
        <v>0.87</v>
      </c>
      <c r="AD42" s="1135">
        <v>0.87</v>
      </c>
      <c r="AE42" s="1136">
        <v>0.87</v>
      </c>
      <c r="AF42" s="1136">
        <v>0.87</v>
      </c>
      <c r="AG42" s="1136">
        <v>0.88</v>
      </c>
      <c r="AH42" s="1136">
        <v>0.88</v>
      </c>
      <c r="AI42" s="1135">
        <v>0.9</v>
      </c>
      <c r="AJ42" s="1135">
        <v>0.9</v>
      </c>
      <c r="AK42" s="1135">
        <v>0.9</v>
      </c>
      <c r="AL42" s="1135">
        <v>0.9</v>
      </c>
      <c r="AM42" s="1136">
        <v>0.92</v>
      </c>
      <c r="AN42" s="1136">
        <v>0.92</v>
      </c>
      <c r="AO42" s="1136">
        <v>0.92</v>
      </c>
      <c r="AP42" s="1136">
        <v>0.92</v>
      </c>
      <c r="AQ42" s="1137"/>
      <c r="AR42" s="1133">
        <f t="shared" ref="AR42:BC42" si="36">AR39/AR15</f>
        <v>7.3761870235775448E-2</v>
      </c>
      <c r="AS42" s="1133">
        <f t="shared" si="36"/>
        <v>0.1898643706704928</v>
      </c>
      <c r="AT42" s="1138">
        <f t="shared" si="36"/>
        <v>0.40689424895471626</v>
      </c>
      <c r="AU42" s="1139">
        <f t="shared" si="36"/>
        <v>0.64780077619663645</v>
      </c>
      <c r="AV42" s="1140">
        <f t="shared" si="36"/>
        <v>0.79122460690248331</v>
      </c>
      <c r="AW42" s="1140">
        <f t="shared" si="36"/>
        <v>0.84324227765444781</v>
      </c>
      <c r="AX42" s="1141">
        <f t="shared" si="36"/>
        <v>0.87000000000000011</v>
      </c>
      <c r="AY42" s="1140">
        <f t="shared" si="36"/>
        <v>0.87523138927984223</v>
      </c>
      <c r="AZ42" s="1140">
        <f t="shared" si="36"/>
        <v>0.9</v>
      </c>
      <c r="BA42" s="1142">
        <f t="shared" si="36"/>
        <v>0.92</v>
      </c>
      <c r="BB42" s="1141">
        <f t="shared" si="36"/>
        <v>0.94459537473199928</v>
      </c>
      <c r="BC42" s="1142">
        <f t="shared" si="36"/>
        <v>0.96423922229186176</v>
      </c>
    </row>
    <row r="43" spans="1:55" s="1010" customFormat="1" ht="10.15" outlineLevel="1" x14ac:dyDescent="0.3">
      <c r="A43" s="903"/>
      <c r="B43" s="1050" t="s">
        <v>778</v>
      </c>
      <c r="C43" s="1143"/>
      <c r="D43" s="1143"/>
      <c r="E43" s="1143"/>
      <c r="F43" s="1143"/>
      <c r="G43" s="1144"/>
      <c r="H43" s="1145"/>
      <c r="I43" s="1146">
        <v>0.76200000000000001</v>
      </c>
      <c r="J43" s="1145">
        <v>0.76400000000000001</v>
      </c>
      <c r="K43" s="1143"/>
      <c r="L43" s="1143"/>
      <c r="M43" s="1143"/>
      <c r="N43" s="1143"/>
      <c r="O43" s="1147"/>
      <c r="P43" s="1148"/>
      <c r="Q43" s="1145"/>
      <c r="R43" s="1148"/>
      <c r="S43" s="1143"/>
      <c r="T43" s="1143"/>
      <c r="U43" s="1143"/>
      <c r="V43" s="1143"/>
      <c r="W43" s="1145"/>
      <c r="X43" s="1145"/>
      <c r="Y43" s="1145"/>
      <c r="Z43" s="1145"/>
      <c r="AA43" s="1143"/>
      <c r="AB43" s="1143"/>
      <c r="AC43" s="1143"/>
      <c r="AD43" s="1143"/>
      <c r="AE43" s="1145"/>
      <c r="AF43" s="1145"/>
      <c r="AG43" s="1145"/>
      <c r="AH43" s="1145"/>
      <c r="AI43" s="1143"/>
      <c r="AJ43" s="1143"/>
      <c r="AK43" s="1143"/>
      <c r="AL43" s="1143"/>
      <c r="AM43" s="1145"/>
      <c r="AN43" s="1145"/>
      <c r="AO43" s="1145"/>
      <c r="AP43" s="1145"/>
      <c r="AQ43" s="1149"/>
      <c r="AR43" s="1150"/>
      <c r="AS43" s="1151"/>
      <c r="AT43" s="1152"/>
      <c r="AU43" s="1149"/>
      <c r="AV43" s="1150"/>
      <c r="AW43" s="1150"/>
      <c r="AX43" s="1149"/>
      <c r="AY43" s="1150"/>
      <c r="AZ43" s="1150"/>
      <c r="BA43" s="1152"/>
      <c r="BB43" s="1149"/>
      <c r="BC43" s="1152"/>
    </row>
    <row r="44" spans="1:55" s="1166" customFormat="1" ht="12.75" outlineLevel="1" x14ac:dyDescent="0.35">
      <c r="A44" s="830" t="s">
        <v>779</v>
      </c>
      <c r="B44" s="1153" t="s">
        <v>780</v>
      </c>
      <c r="C44" s="1154">
        <v>42</v>
      </c>
      <c r="D44" s="1154">
        <v>60</v>
      </c>
      <c r="E44" s="1154">
        <v>140</v>
      </c>
      <c r="F44" s="1154">
        <v>147</v>
      </c>
      <c r="G44" s="1155">
        <v>240</v>
      </c>
      <c r="H44" s="1155">
        <v>332</v>
      </c>
      <c r="I44" s="1155">
        <v>1171</v>
      </c>
      <c r="J44" s="1155">
        <v>1162</v>
      </c>
      <c r="K44" s="1154">
        <v>2454</v>
      </c>
      <c r="L44" s="1154">
        <v>3719</v>
      </c>
      <c r="M44" s="1154">
        <v>6420</v>
      </c>
      <c r="N44" s="1154">
        <v>5247</v>
      </c>
      <c r="O44" s="1156">
        <v>7987</v>
      </c>
      <c r="P44" s="1155">
        <v>10520</v>
      </c>
      <c r="Q44" s="1155">
        <v>18746</v>
      </c>
      <c r="R44" s="1156">
        <v>13084</v>
      </c>
      <c r="S44" s="1154">
        <v>17514</v>
      </c>
      <c r="T44" s="1154">
        <v>18710</v>
      </c>
      <c r="U44" s="1154">
        <v>32451</v>
      </c>
      <c r="V44" s="1154">
        <v>22056</v>
      </c>
      <c r="W44" s="1157">
        <f t="shared" ref="W44:AP44" si="37">W64*W73-SUM(T44:V44)</f>
        <v>30096.700000000012</v>
      </c>
      <c r="X44" s="1157">
        <f t="shared" si="37"/>
        <v>31784.299999999988</v>
      </c>
      <c r="Y44" s="1157">
        <f t="shared" si="37"/>
        <v>48303</v>
      </c>
      <c r="Z44" s="1157">
        <f t="shared" si="37"/>
        <v>31726</v>
      </c>
      <c r="AA44" s="1158">
        <f t="shared" si="37"/>
        <v>42248.700000000012</v>
      </c>
      <c r="AB44" s="1158">
        <f t="shared" si="37"/>
        <v>42224.299999999988</v>
      </c>
      <c r="AC44" s="1158">
        <f t="shared" si="37"/>
        <v>63444</v>
      </c>
      <c r="AD44" s="1158">
        <f t="shared" si="37"/>
        <v>42427</v>
      </c>
      <c r="AE44" s="1159">
        <f t="shared" si="37"/>
        <v>54999.700000000012</v>
      </c>
      <c r="AF44" s="1157">
        <f t="shared" si="37"/>
        <v>54219.299999999988</v>
      </c>
      <c r="AG44" s="1157">
        <f t="shared" si="37"/>
        <v>79074</v>
      </c>
      <c r="AH44" s="1160">
        <f t="shared" si="37"/>
        <v>45203</v>
      </c>
      <c r="AI44" s="1158">
        <f t="shared" si="37"/>
        <v>66223.700000000012</v>
      </c>
      <c r="AJ44" s="1158">
        <f t="shared" si="37"/>
        <v>64545.800000000017</v>
      </c>
      <c r="AK44" s="1158">
        <f t="shared" si="37"/>
        <v>95061.699999999983</v>
      </c>
      <c r="AL44" s="1158">
        <f t="shared" si="37"/>
        <v>59863</v>
      </c>
      <c r="AM44" s="1157">
        <f t="shared" si="37"/>
        <v>83475.38</v>
      </c>
      <c r="AN44" s="1157">
        <f t="shared" si="37"/>
        <v>76193.066000000021</v>
      </c>
      <c r="AO44" s="1157">
        <f t="shared" si="37"/>
        <v>115852.70439999996</v>
      </c>
      <c r="AP44" s="1157">
        <f t="shared" si="37"/>
        <v>70215.361600000062</v>
      </c>
      <c r="AQ44" s="1161"/>
      <c r="AR44" s="1032">
        <f>SUM(C44:F44)</f>
        <v>389</v>
      </c>
      <c r="AS44" s="1032">
        <f>SUM(G44:J44)</f>
        <v>2905</v>
      </c>
      <c r="AT44" s="1162">
        <f>SUM(K44:N44)</f>
        <v>17840</v>
      </c>
      <c r="AU44" s="954">
        <f>SUM(O44:R44)</f>
        <v>50337</v>
      </c>
      <c r="AV44" s="927">
        <f>SUM(S44:V44)</f>
        <v>90731</v>
      </c>
      <c r="AW44" s="1163">
        <f>SUM(W44:Z44)</f>
        <v>141910</v>
      </c>
      <c r="AX44" s="1164">
        <f>SUM(AA44:AD44)</f>
        <v>190344</v>
      </c>
      <c r="AY44" s="1117">
        <f>SUM(AE44:AH44)</f>
        <v>233496</v>
      </c>
      <c r="AZ44" s="1163">
        <f>SUM(AI44:AL44)</f>
        <v>285694.2</v>
      </c>
      <c r="BA44" s="1165">
        <f>SUM(AM44:AP44)</f>
        <v>345736.51200000005</v>
      </c>
      <c r="BB44" s="1164">
        <f>BB64*BB73</f>
        <v>416843.65800000005</v>
      </c>
      <c r="BC44" s="1165">
        <f>BC64*BC73</f>
        <v>494566.53246000007</v>
      </c>
    </row>
    <row r="45" spans="1:55" outlineLevel="1" x14ac:dyDescent="0.35">
      <c r="A45" s="1167"/>
      <c r="B45" s="886" t="s">
        <v>750</v>
      </c>
      <c r="C45" s="887"/>
      <c r="D45" s="1082">
        <f t="shared" ref="D45:AP45" si="38">D44/C44-1</f>
        <v>0.4285714285714286</v>
      </c>
      <c r="E45" s="1082">
        <f t="shared" si="38"/>
        <v>1.3333333333333335</v>
      </c>
      <c r="F45" s="1082">
        <f t="shared" si="38"/>
        <v>5.0000000000000044E-2</v>
      </c>
      <c r="G45" s="1083">
        <f t="shared" si="38"/>
        <v>0.63265306122448983</v>
      </c>
      <c r="H45" s="1083">
        <f t="shared" si="38"/>
        <v>0.3833333333333333</v>
      </c>
      <c r="I45" s="1084">
        <f t="shared" si="38"/>
        <v>2.5271084337349397</v>
      </c>
      <c r="J45" s="1083">
        <f t="shared" si="38"/>
        <v>-7.6857386848847575E-3</v>
      </c>
      <c r="K45" s="1085">
        <f t="shared" si="38"/>
        <v>1.1118760757314976</v>
      </c>
      <c r="L45" s="1085">
        <f t="shared" si="38"/>
        <v>0.51548492257538703</v>
      </c>
      <c r="M45" s="1085">
        <f t="shared" si="38"/>
        <v>0.7262705028233396</v>
      </c>
      <c r="N45" s="891">
        <f t="shared" si="38"/>
        <v>-0.18271028037383175</v>
      </c>
      <c r="O45" s="1086">
        <f t="shared" si="38"/>
        <v>0.52220316371259767</v>
      </c>
      <c r="P45" s="1086">
        <f t="shared" si="38"/>
        <v>0.31714035307374489</v>
      </c>
      <c r="Q45" s="1086">
        <f t="shared" si="38"/>
        <v>0.78193916349809878</v>
      </c>
      <c r="R45" s="1086">
        <f t="shared" si="38"/>
        <v>-0.30203776805718552</v>
      </c>
      <c r="S45" s="1087">
        <f t="shared" si="38"/>
        <v>0.33858147355548751</v>
      </c>
      <c r="T45" s="1087">
        <f t="shared" si="38"/>
        <v>6.8288226561607823E-2</v>
      </c>
      <c r="U45" s="1087">
        <f t="shared" si="38"/>
        <v>0.73442009620523785</v>
      </c>
      <c r="V45" s="1087">
        <f t="shared" si="38"/>
        <v>-0.32032911158361843</v>
      </c>
      <c r="W45" s="1168">
        <f t="shared" si="38"/>
        <v>0.36455839680812541</v>
      </c>
      <c r="X45" s="1168">
        <f t="shared" si="38"/>
        <v>5.6072592676272626E-2</v>
      </c>
      <c r="Y45" s="1168">
        <f t="shared" si="38"/>
        <v>0.51971256249154507</v>
      </c>
      <c r="Z45" s="1168">
        <f t="shared" si="38"/>
        <v>-0.34318779371881669</v>
      </c>
      <c r="AA45" s="1169">
        <f t="shared" si="38"/>
        <v>0.33167433650633593</v>
      </c>
      <c r="AB45" s="1169">
        <f t="shared" si="38"/>
        <v>-5.7753256313264334E-4</v>
      </c>
      <c r="AC45" s="1169">
        <f t="shared" si="38"/>
        <v>0.50254711149740827</v>
      </c>
      <c r="AD45" s="1169">
        <f t="shared" si="38"/>
        <v>-0.33126852026984432</v>
      </c>
      <c r="AE45" s="1168">
        <f t="shared" si="38"/>
        <v>0.29633723807952506</v>
      </c>
      <c r="AF45" s="1168">
        <f t="shared" si="38"/>
        <v>-1.4189168304554856E-2</v>
      </c>
      <c r="AG45" s="1168">
        <f t="shared" si="38"/>
        <v>0.45841056597927343</v>
      </c>
      <c r="AH45" s="1168">
        <f t="shared" si="38"/>
        <v>-0.42834560032374736</v>
      </c>
      <c r="AI45" s="1169">
        <f t="shared" si="38"/>
        <v>0.46502886976528135</v>
      </c>
      <c r="AJ45" s="1169">
        <f t="shared" si="38"/>
        <v>-2.5336850704505975E-2</v>
      </c>
      <c r="AK45" s="1169">
        <f t="shared" si="38"/>
        <v>0.47277901892919383</v>
      </c>
      <c r="AL45" s="1169">
        <f t="shared" si="38"/>
        <v>-0.37027214956181076</v>
      </c>
      <c r="AM45" s="1168">
        <f t="shared" si="38"/>
        <v>0.39444030536391428</v>
      </c>
      <c r="AN45" s="1168">
        <f t="shared" si="38"/>
        <v>-8.7239063781440529E-2</v>
      </c>
      <c r="AO45" s="1168">
        <f t="shared" si="38"/>
        <v>0.52051506104243028</v>
      </c>
      <c r="AP45" s="1168">
        <f t="shared" si="38"/>
        <v>-0.39392557158121821</v>
      </c>
      <c r="AQ45" s="1137"/>
      <c r="AR45" s="1092"/>
      <c r="AS45" s="1092"/>
      <c r="AT45" s="1170"/>
      <c r="AU45" s="1091"/>
      <c r="AV45" s="1092"/>
      <c r="AW45" s="1171"/>
      <c r="AX45" s="1137"/>
      <c r="AY45" s="757"/>
      <c r="AZ45" s="757"/>
      <c r="BA45" s="1172"/>
      <c r="BB45" s="1137"/>
      <c r="BC45" s="1172"/>
    </row>
    <row r="46" spans="1:55" s="1047" customFormat="1" outlineLevel="1" x14ac:dyDescent="0.35">
      <c r="A46" s="1167"/>
      <c r="B46" s="886" t="s">
        <v>761</v>
      </c>
      <c r="C46" s="1043"/>
      <c r="D46" s="1043"/>
      <c r="E46" s="1043"/>
      <c r="F46" s="1043"/>
      <c r="G46" s="1086">
        <f t="shared" ref="G46:AP46" si="39">G44/C44-1</f>
        <v>4.7142857142857144</v>
      </c>
      <c r="H46" s="1086">
        <f t="shared" si="39"/>
        <v>4.5333333333333332</v>
      </c>
      <c r="I46" s="1086">
        <f t="shared" si="39"/>
        <v>7.3642857142857139</v>
      </c>
      <c r="J46" s="1173">
        <f t="shared" si="39"/>
        <v>6.9047619047619051</v>
      </c>
      <c r="K46" s="1085">
        <f t="shared" si="39"/>
        <v>9.2249999999999996</v>
      </c>
      <c r="L46" s="1085">
        <f t="shared" si="39"/>
        <v>10.201807228915662</v>
      </c>
      <c r="M46" s="1085">
        <f t="shared" si="39"/>
        <v>4.4824935952177629</v>
      </c>
      <c r="N46" s="1085">
        <f t="shared" si="39"/>
        <v>3.515490533562823</v>
      </c>
      <c r="O46" s="1086">
        <f t="shared" si="39"/>
        <v>2.2546862265688672</v>
      </c>
      <c r="P46" s="1086">
        <f t="shared" si="39"/>
        <v>1.8287173971497714</v>
      </c>
      <c r="Q46" s="1086">
        <f t="shared" si="39"/>
        <v>1.9199376947040498</v>
      </c>
      <c r="R46" s="1086">
        <f t="shared" si="39"/>
        <v>1.4936153992757766</v>
      </c>
      <c r="S46" s="1087">
        <f t="shared" si="39"/>
        <v>1.1928133216476775</v>
      </c>
      <c r="T46" s="1087">
        <f t="shared" si="39"/>
        <v>0.77851711026615966</v>
      </c>
      <c r="U46" s="1087">
        <f t="shared" si="39"/>
        <v>0.73108929905046405</v>
      </c>
      <c r="V46" s="1087">
        <f t="shared" si="39"/>
        <v>0.68572302048303269</v>
      </c>
      <c r="W46" s="1168">
        <f t="shared" si="39"/>
        <v>0.71843667922804677</v>
      </c>
      <c r="X46" s="1168">
        <f t="shared" si="39"/>
        <v>0.69878674505611915</v>
      </c>
      <c r="Y46" s="1168">
        <f t="shared" si="39"/>
        <v>0.4884903392807618</v>
      </c>
      <c r="Z46" s="1168">
        <f t="shared" si="39"/>
        <v>0.43842945230322816</v>
      </c>
      <c r="AA46" s="1169">
        <f t="shared" si="39"/>
        <v>0.40376519684882384</v>
      </c>
      <c r="AB46" s="1169">
        <f t="shared" si="39"/>
        <v>0.32846405300730241</v>
      </c>
      <c r="AC46" s="1169">
        <f t="shared" si="39"/>
        <v>0.31345879137941735</v>
      </c>
      <c r="AD46" s="1169">
        <f t="shared" si="39"/>
        <v>0.33729433272394882</v>
      </c>
      <c r="AE46" s="1168">
        <f t="shared" si="39"/>
        <v>0.30180810297121563</v>
      </c>
      <c r="AF46" s="1168">
        <f t="shared" si="39"/>
        <v>0.28407812562908097</v>
      </c>
      <c r="AG46" s="1168">
        <f t="shared" si="39"/>
        <v>0.24635899375827508</v>
      </c>
      <c r="AH46" s="1168">
        <f t="shared" si="39"/>
        <v>6.5430032762156198E-2</v>
      </c>
      <c r="AI46" s="1169">
        <f t="shared" si="39"/>
        <v>0.20407384040276577</v>
      </c>
      <c r="AJ46" s="1169">
        <f t="shared" si="39"/>
        <v>0.19045801033949217</v>
      </c>
      <c r="AK46" s="1169">
        <f t="shared" si="39"/>
        <v>0.20218655942534824</v>
      </c>
      <c r="AL46" s="1169">
        <f t="shared" si="39"/>
        <v>0.32431475787005293</v>
      </c>
      <c r="AM46" s="1168">
        <f t="shared" si="39"/>
        <v>0.26050613300072323</v>
      </c>
      <c r="AN46" s="1168">
        <f t="shared" si="39"/>
        <v>0.18044963421322535</v>
      </c>
      <c r="AO46" s="1168">
        <f t="shared" si="39"/>
        <v>0.21871063109538302</v>
      </c>
      <c r="AP46" s="1168">
        <f t="shared" si="39"/>
        <v>0.17293422648380563</v>
      </c>
      <c r="AQ46" s="957"/>
      <c r="AR46" s="1174"/>
      <c r="AS46" s="892">
        <f t="shared" ref="AS46:BC46" si="40">AS44/AR44-1</f>
        <v>6.4678663239074554</v>
      </c>
      <c r="AT46" s="1175">
        <f t="shared" si="40"/>
        <v>5.1411359724612735</v>
      </c>
      <c r="AU46" s="1176">
        <f t="shared" si="40"/>
        <v>1.8215807174887892</v>
      </c>
      <c r="AV46" s="892">
        <f t="shared" si="40"/>
        <v>0.80247134314718793</v>
      </c>
      <c r="AW46" s="1124">
        <f t="shared" si="40"/>
        <v>0.56407402100715309</v>
      </c>
      <c r="AX46" s="1125">
        <f t="shared" si="40"/>
        <v>0.34130082446621102</v>
      </c>
      <c r="AY46" s="1124">
        <f t="shared" si="40"/>
        <v>0.22670533350144995</v>
      </c>
      <c r="AZ46" s="1124">
        <f t="shared" si="40"/>
        <v>0.22355072463768111</v>
      </c>
      <c r="BA46" s="1177">
        <f t="shared" si="40"/>
        <v>0.21016286644951143</v>
      </c>
      <c r="BB46" s="1125">
        <f t="shared" si="40"/>
        <v>0.20566860465116288</v>
      </c>
      <c r="BC46" s="1177">
        <f t="shared" si="40"/>
        <v>0.18645569620253166</v>
      </c>
    </row>
    <row r="47" spans="1:55" s="1010" customFormat="1" ht="10.15" outlineLevel="1" x14ac:dyDescent="0.3">
      <c r="A47" s="1167"/>
      <c r="B47" s="1050" t="s">
        <v>781</v>
      </c>
      <c r="C47" s="1178">
        <f t="shared" ref="C47:R47" si="41">C44/C168</f>
        <v>8.3532219570405727E-3</v>
      </c>
      <c r="D47" s="1178">
        <f t="shared" si="41"/>
        <v>1.0714285714285714E-2</v>
      </c>
      <c r="E47" s="1178">
        <f t="shared" si="41"/>
        <v>1.4601585314977055E-2</v>
      </c>
      <c r="F47" s="1178">
        <f t="shared" si="41"/>
        <v>2.1764880071068995E-2</v>
      </c>
      <c r="G47" s="1179">
        <f t="shared" si="41"/>
        <v>2.7691242644513673E-2</v>
      </c>
      <c r="H47" s="1179">
        <f t="shared" si="41"/>
        <v>3.8403701561596296E-2</v>
      </c>
      <c r="I47" s="1179">
        <f t="shared" si="41"/>
        <v>7.2512229859434021E-2</v>
      </c>
      <c r="J47" s="1179">
        <f t="shared" si="41"/>
        <v>0.12399957315121118</v>
      </c>
      <c r="K47" s="1180">
        <f t="shared" si="41"/>
        <v>0.19416093045335867</v>
      </c>
      <c r="L47" s="1180">
        <f t="shared" si="41"/>
        <v>0.29125225154671469</v>
      </c>
      <c r="M47" s="1180">
        <f t="shared" si="41"/>
        <v>0.30176263219741478</v>
      </c>
      <c r="N47" s="1180">
        <f t="shared" si="41"/>
        <v>0.40209977776074796</v>
      </c>
      <c r="O47" s="1179">
        <f t="shared" si="41"/>
        <v>0.50833757637474541</v>
      </c>
      <c r="P47" s="1181">
        <f t="shared" si="41"/>
        <v>0.60925464759367576</v>
      </c>
      <c r="Q47" s="1181">
        <f t="shared" si="41"/>
        <v>0.65285226718673817</v>
      </c>
      <c r="R47" s="1179">
        <f t="shared" si="41"/>
        <v>0.71341330425299887</v>
      </c>
      <c r="S47" s="1182">
        <v>0.75</v>
      </c>
      <c r="T47" s="1182">
        <f t="shared" ref="T47:AP47" si="42">T44/T168</f>
        <v>0.77605873325314201</v>
      </c>
      <c r="U47" s="1182">
        <f t="shared" si="42"/>
        <v>0.79532866035978633</v>
      </c>
      <c r="V47" s="1182">
        <f t="shared" si="42"/>
        <v>0.85438698431144688</v>
      </c>
      <c r="W47" s="1183">
        <f t="shared" si="42"/>
        <v>0.81980551318370043</v>
      </c>
      <c r="X47" s="1183">
        <f t="shared" si="42"/>
        <v>0.80350633263392035</v>
      </c>
      <c r="Y47" s="1183">
        <f t="shared" si="42"/>
        <v>0.80364362365859743</v>
      </c>
      <c r="Z47" s="1183">
        <f t="shared" si="42"/>
        <v>0.78949856911783001</v>
      </c>
      <c r="AA47" s="1184">
        <f t="shared" si="42"/>
        <v>0.78284724281055462</v>
      </c>
      <c r="AB47" s="1184">
        <f t="shared" si="42"/>
        <v>0.77975106646229964</v>
      </c>
      <c r="AC47" s="1184">
        <f t="shared" si="42"/>
        <v>0.78272777743507493</v>
      </c>
      <c r="AD47" s="1184">
        <f t="shared" si="42"/>
        <v>0.72598004825379447</v>
      </c>
      <c r="AE47" s="1183">
        <f t="shared" si="42"/>
        <v>0.72749963624819791</v>
      </c>
      <c r="AF47" s="1183">
        <f t="shared" si="42"/>
        <v>0.71542633204021833</v>
      </c>
      <c r="AG47" s="1183">
        <f t="shared" si="42"/>
        <v>0.71587390682431329</v>
      </c>
      <c r="AH47" s="1183">
        <f t="shared" si="42"/>
        <v>0.63751498483886893</v>
      </c>
      <c r="AI47" s="1184">
        <f t="shared" si="42"/>
        <v>0.65360290561680212</v>
      </c>
      <c r="AJ47" s="1184">
        <f t="shared" si="42"/>
        <v>0.65282935740621661</v>
      </c>
      <c r="AK47" s="1184">
        <f t="shared" si="42"/>
        <v>0.67755739325595254</v>
      </c>
      <c r="AL47" s="1184">
        <f t="shared" si="42"/>
        <v>0.61397108816009205</v>
      </c>
      <c r="AM47" s="1183">
        <f t="shared" si="42"/>
        <v>0.64471153691794791</v>
      </c>
      <c r="AN47" s="1183">
        <f t="shared" si="42"/>
        <v>0.62051712901921652</v>
      </c>
      <c r="AO47" s="1183">
        <f t="shared" si="42"/>
        <v>0.66534880850019962</v>
      </c>
      <c r="AP47" s="1183">
        <f t="shared" si="42"/>
        <v>0.59092798018930548</v>
      </c>
      <c r="AQ47" s="1149"/>
      <c r="AR47" s="1054">
        <f t="shared" ref="AR47:BC47" si="43">AR44/AR168</f>
        <v>1.4423433444568038E-2</v>
      </c>
      <c r="AS47" s="1054">
        <f t="shared" si="43"/>
        <v>6.7823122898767282E-2</v>
      </c>
      <c r="AT47" s="1185">
        <f t="shared" si="43"/>
        <v>0.29866738096832518</v>
      </c>
      <c r="AU47" s="1186">
        <f t="shared" si="43"/>
        <v>0.62895305686404357</v>
      </c>
      <c r="AV47" s="1054">
        <f t="shared" si="43"/>
        <v>0.79512571313393332</v>
      </c>
      <c r="AW47" s="1187">
        <f t="shared" si="43"/>
        <v>0.80375398591972091</v>
      </c>
      <c r="AX47" s="1188">
        <f t="shared" si="43"/>
        <v>0.76870948852048548</v>
      </c>
      <c r="AY47" s="1187">
        <f t="shared" si="43"/>
        <v>0.70171600300525916</v>
      </c>
      <c r="AZ47" s="1187">
        <f t="shared" si="43"/>
        <v>0.65227912480643535</v>
      </c>
      <c r="BA47" s="1189">
        <f t="shared" si="43"/>
        <v>0.63413203437435994</v>
      </c>
      <c r="BB47" s="1188">
        <f t="shared" si="43"/>
        <v>0.63294639128540442</v>
      </c>
      <c r="BC47" s="1189">
        <f t="shared" si="43"/>
        <v>0.63152000468327218</v>
      </c>
    </row>
    <row r="48" spans="1:55" s="1010" customFormat="1" ht="10.15" outlineLevel="1" x14ac:dyDescent="0.3">
      <c r="A48" s="1190"/>
      <c r="B48" s="1191" t="s">
        <v>782</v>
      </c>
      <c r="C48" s="1192">
        <f t="shared" ref="C48:AP48" si="44">C44/C323</f>
        <v>6.1828352716031204E-3</v>
      </c>
      <c r="D48" s="1192">
        <f t="shared" si="44"/>
        <v>8.0461311519377764E-3</v>
      </c>
      <c r="E48" s="1192">
        <f t="shared" si="44"/>
        <v>1.2076252911239541E-2</v>
      </c>
      <c r="F48" s="1192">
        <f t="shared" si="44"/>
        <v>1.6947198524325569E-2</v>
      </c>
      <c r="G48" s="1062">
        <f t="shared" si="44"/>
        <v>2.2267582111709035E-2</v>
      </c>
      <c r="H48" s="1062">
        <f t="shared" si="44"/>
        <v>3.0319634703196346E-2</v>
      </c>
      <c r="I48" s="1062">
        <f t="shared" si="44"/>
        <v>6.2469991997866098E-2</v>
      </c>
      <c r="J48" s="1062">
        <f t="shared" si="44"/>
        <v>9.6583825118444017E-2</v>
      </c>
      <c r="K48" s="1193">
        <f t="shared" si="44"/>
        <v>0.15560205440365227</v>
      </c>
      <c r="L48" s="1193">
        <f t="shared" si="44"/>
        <v>0.22098758096143561</v>
      </c>
      <c r="M48" s="1193">
        <f t="shared" si="44"/>
        <v>0.24523473012720118</v>
      </c>
      <c r="N48" s="1193">
        <f t="shared" si="44"/>
        <v>0.30111908177905311</v>
      </c>
      <c r="O48" s="1062">
        <f t="shared" si="44"/>
        <v>0.39451716473203258</v>
      </c>
      <c r="P48" s="1062">
        <f t="shared" si="44"/>
        <v>0.47449370799693291</v>
      </c>
      <c r="Q48" s="1062">
        <f t="shared" si="44"/>
        <v>0.54268592768433543</v>
      </c>
      <c r="R48" s="1062">
        <f t="shared" si="44"/>
        <v>0.54101885544161432</v>
      </c>
      <c r="S48" s="1064">
        <f t="shared" si="44"/>
        <v>0.54469117372644149</v>
      </c>
      <c r="T48" s="1064">
        <f t="shared" si="44"/>
        <v>0.54560830514405689</v>
      </c>
      <c r="U48" s="1064">
        <f t="shared" si="44"/>
        <v>0.60943134014423073</v>
      </c>
      <c r="V48" s="1064">
        <f t="shared" si="44"/>
        <v>0.5717099976671246</v>
      </c>
      <c r="W48" s="1066">
        <f t="shared" si="44"/>
        <v>0.59972700462298767</v>
      </c>
      <c r="X48" s="1066">
        <f t="shared" si="44"/>
        <v>0.57661732157759127</v>
      </c>
      <c r="Y48" s="1066">
        <f t="shared" si="44"/>
        <v>0.58176759647347887</v>
      </c>
      <c r="Z48" s="1066">
        <f t="shared" si="44"/>
        <v>0.51227152360653616</v>
      </c>
      <c r="AA48" s="1065">
        <f t="shared" si="44"/>
        <v>0.52210454770143366</v>
      </c>
      <c r="AB48" s="1065">
        <f t="shared" si="44"/>
        <v>0.49589303330671286</v>
      </c>
      <c r="AC48" s="1065">
        <f t="shared" si="44"/>
        <v>0.54097102610890369</v>
      </c>
      <c r="AD48" s="1065">
        <f t="shared" si="44"/>
        <v>0.45377441228689386</v>
      </c>
      <c r="AE48" s="1066">
        <f t="shared" si="44"/>
        <v>0.47857453621523799</v>
      </c>
      <c r="AF48" s="1066">
        <f t="shared" si="44"/>
        <v>0.45555928984934918</v>
      </c>
      <c r="AG48" s="1066">
        <f t="shared" si="44"/>
        <v>0.48975572292141512</v>
      </c>
      <c r="AH48" s="1066">
        <f t="shared" si="44"/>
        <v>0.39542838147558479</v>
      </c>
      <c r="AI48" s="1065">
        <f t="shared" si="44"/>
        <v>0.43072045059869535</v>
      </c>
      <c r="AJ48" s="1065">
        <f t="shared" si="44"/>
        <v>0.41168287776771195</v>
      </c>
      <c r="AK48" s="1065">
        <f t="shared" si="44"/>
        <v>0.45496953834442411</v>
      </c>
      <c r="AL48" s="1065">
        <f t="shared" si="44"/>
        <v>0.37662531764909968</v>
      </c>
      <c r="AM48" s="1066">
        <f t="shared" si="44"/>
        <v>0.41853806577385144</v>
      </c>
      <c r="AN48" s="1066">
        <f t="shared" si="44"/>
        <v>0.38716573485864791</v>
      </c>
      <c r="AO48" s="1066">
        <f t="shared" si="44"/>
        <v>0.44051339726865579</v>
      </c>
      <c r="AP48" s="1066">
        <f t="shared" si="44"/>
        <v>0.35483816125722806</v>
      </c>
      <c r="AQ48" s="1194"/>
      <c r="AR48" s="1062">
        <f t="shared" ref="AR48:BC48" si="45">AR44/AR323</f>
        <v>1.1269809079583974E-2</v>
      </c>
      <c r="AS48" s="1062">
        <f t="shared" si="45"/>
        <v>5.532911778150236E-2</v>
      </c>
      <c r="AT48" s="1068">
        <f t="shared" si="45"/>
        <v>0.23410844575087922</v>
      </c>
      <c r="AU48" s="1067">
        <f t="shared" si="45"/>
        <v>0.49768150044985809</v>
      </c>
      <c r="AV48" s="1062">
        <f t="shared" si="45"/>
        <v>0.57325633557208111</v>
      </c>
      <c r="AW48" s="1195">
        <f t="shared" si="45"/>
        <v>0.56703667297994931</v>
      </c>
      <c r="AX48" s="1196">
        <f t="shared" si="45"/>
        <v>0.5051002536858753</v>
      </c>
      <c r="AY48" s="1195">
        <f t="shared" si="45"/>
        <v>0.45809488121700337</v>
      </c>
      <c r="AZ48" s="1195">
        <f t="shared" si="45"/>
        <v>0.4211152620033069</v>
      </c>
      <c r="BA48" s="1197">
        <f t="shared" si="45"/>
        <v>0.4033714994884175</v>
      </c>
      <c r="BB48" s="1196">
        <f t="shared" si="45"/>
        <v>0.39652634055500569</v>
      </c>
      <c r="BC48" s="1197">
        <f t="shared" si="45"/>
        <v>0.39015233961589052</v>
      </c>
    </row>
    <row r="49" spans="1:55" s="1212" customFormat="1" outlineLevel="1" x14ac:dyDescent="0.35">
      <c r="A49" s="830" t="s">
        <v>771</v>
      </c>
      <c r="B49" s="1198" t="s">
        <v>783</v>
      </c>
      <c r="C49" s="1199">
        <f t="shared" ref="C49:AP49" si="46">C15-C39</f>
        <v>199.63800000000001</v>
      </c>
      <c r="D49" s="1199">
        <f t="shared" si="46"/>
        <v>215.36500000000001</v>
      </c>
      <c r="E49" s="1199">
        <f t="shared" si="46"/>
        <v>320.03500000000003</v>
      </c>
      <c r="F49" s="1199">
        <f t="shared" si="46"/>
        <v>262.67700000000002</v>
      </c>
      <c r="G49" s="1075">
        <f t="shared" si="46"/>
        <v>303.83500000000004</v>
      </c>
      <c r="H49" s="1075">
        <f t="shared" si="46"/>
        <v>318.83600000000001</v>
      </c>
      <c r="I49" s="1075">
        <f t="shared" si="46"/>
        <v>424.31799999999993</v>
      </c>
      <c r="J49" s="1075">
        <f t="shared" si="46"/>
        <v>312.08399999999995</v>
      </c>
      <c r="K49" s="1073">
        <f t="shared" si="46"/>
        <v>336.67200000000003</v>
      </c>
      <c r="L49" s="1073">
        <f t="shared" si="46"/>
        <v>356.78000000000009</v>
      </c>
      <c r="M49" s="1073">
        <f t="shared" si="46"/>
        <v>460</v>
      </c>
      <c r="N49" s="1073">
        <f t="shared" si="46"/>
        <v>296</v>
      </c>
      <c r="O49" s="1200">
        <f t="shared" si="46"/>
        <v>302</v>
      </c>
      <c r="P49" s="1201">
        <f t="shared" si="46"/>
        <v>273</v>
      </c>
      <c r="Q49" s="1201">
        <f t="shared" si="46"/>
        <v>313</v>
      </c>
      <c r="R49" s="1200">
        <f t="shared" si="46"/>
        <v>201</v>
      </c>
      <c r="S49" s="1202">
        <f t="shared" si="46"/>
        <v>211.32799999999997</v>
      </c>
      <c r="T49" s="1203">
        <f t="shared" si="46"/>
        <v>191.74979999999994</v>
      </c>
      <c r="U49" s="1203">
        <f t="shared" si="46"/>
        <v>223.62031699999989</v>
      </c>
      <c r="V49" s="1203">
        <f t="shared" si="46"/>
        <v>159.79950000000008</v>
      </c>
      <c r="W49" s="1204">
        <f t="shared" si="46"/>
        <v>181.93400000000008</v>
      </c>
      <c r="X49" s="1204">
        <f t="shared" si="46"/>
        <v>178.69727999999998</v>
      </c>
      <c r="Y49" s="1204">
        <f t="shared" si="46"/>
        <v>224.45947200000001</v>
      </c>
      <c r="Z49" s="1204">
        <f t="shared" si="46"/>
        <v>170.48978099999999</v>
      </c>
      <c r="AA49" s="1203">
        <f t="shared" si="46"/>
        <v>166.10245600000007</v>
      </c>
      <c r="AB49" s="1203">
        <f t="shared" si="46"/>
        <v>170.03787059999991</v>
      </c>
      <c r="AC49" s="1203">
        <f t="shared" si="46"/>
        <v>231.17005714399988</v>
      </c>
      <c r="AD49" s="1203">
        <f t="shared" si="46"/>
        <v>177.19961625600013</v>
      </c>
      <c r="AE49" s="1204">
        <f t="shared" si="46"/>
        <v>201.77787448000004</v>
      </c>
      <c r="AF49" s="1204">
        <f t="shared" si="46"/>
        <v>199.67926266599989</v>
      </c>
      <c r="AG49" s="1204">
        <f t="shared" si="46"/>
        <v>246.76888168872006</v>
      </c>
      <c r="AH49" s="1204">
        <f t="shared" si="46"/>
        <v>173.26179152639997</v>
      </c>
      <c r="AI49" s="1203">
        <f t="shared" si="46"/>
        <v>183.79185249600005</v>
      </c>
      <c r="AJ49" s="1203">
        <f t="shared" si="46"/>
        <v>176.40395119560003</v>
      </c>
      <c r="AK49" s="1203">
        <f t="shared" si="46"/>
        <v>240.48834369595806</v>
      </c>
      <c r="AL49" s="1203">
        <f t="shared" si="46"/>
        <v>177.96366421267203</v>
      </c>
      <c r="AM49" s="1204">
        <f t="shared" si="46"/>
        <v>171.01413192729592</v>
      </c>
      <c r="AN49" s="1204">
        <f t="shared" si="46"/>
        <v>161.88894747256313</v>
      </c>
      <c r="AO49" s="1204">
        <f t="shared" si="46"/>
        <v>219.01563964804154</v>
      </c>
      <c r="AP49" s="1204">
        <f t="shared" si="46"/>
        <v>158.66456048870714</v>
      </c>
      <c r="AQ49" s="1205"/>
      <c r="AR49" s="1206">
        <f>SUM(C49:F49)</f>
        <v>997.71500000000003</v>
      </c>
      <c r="AS49" s="1206">
        <f>SUM(G49:J49)</f>
        <v>1359.0729999999999</v>
      </c>
      <c r="AT49" s="1207">
        <f>SUM(K49:N49)</f>
        <v>1449.4520000000002</v>
      </c>
      <c r="AU49" s="1208">
        <f>SUM(O49:R49)</f>
        <v>1089</v>
      </c>
      <c r="AV49" s="1209">
        <f t="shared" ref="AV49:BC49" si="47">AV15-AV39</f>
        <v>786.49761699999954</v>
      </c>
      <c r="AW49" s="1209">
        <f t="shared" si="47"/>
        <v>755.58053300000029</v>
      </c>
      <c r="AX49" s="1210">
        <f t="shared" si="47"/>
        <v>744.50999999999931</v>
      </c>
      <c r="AY49" s="1209">
        <f t="shared" si="47"/>
        <v>822.10037603511955</v>
      </c>
      <c r="AZ49" s="1209">
        <f t="shared" si="47"/>
        <v>778.64781160022994</v>
      </c>
      <c r="BA49" s="1211">
        <f t="shared" si="47"/>
        <v>710.58327953660773</v>
      </c>
      <c r="BB49" s="1210">
        <f t="shared" si="47"/>
        <v>555.99517251176439</v>
      </c>
      <c r="BC49" s="1211">
        <f t="shared" si="47"/>
        <v>400.77241977647282</v>
      </c>
    </row>
    <row r="50" spans="1:55" outlineLevel="1" x14ac:dyDescent="0.35">
      <c r="A50" s="903"/>
      <c r="B50" s="886" t="s">
        <v>750</v>
      </c>
      <c r="C50" s="887"/>
      <c r="D50" s="1082">
        <f t="shared" ref="D50:AP50" si="48">D49/C49-1</f>
        <v>7.8777587433254137E-2</v>
      </c>
      <c r="E50" s="1082">
        <f t="shared" si="48"/>
        <v>0.48601211896083396</v>
      </c>
      <c r="F50" s="1082">
        <f t="shared" si="48"/>
        <v>-0.17922414735888259</v>
      </c>
      <c r="G50" s="1083">
        <f t="shared" si="48"/>
        <v>0.15668672932917627</v>
      </c>
      <c r="H50" s="1083">
        <f t="shared" si="48"/>
        <v>4.9372192143762206E-2</v>
      </c>
      <c r="I50" s="1084">
        <f t="shared" si="48"/>
        <v>0.33083466107967707</v>
      </c>
      <c r="J50" s="1083">
        <f t="shared" si="48"/>
        <v>-0.26450445184979188</v>
      </c>
      <c r="K50" s="1085">
        <f t="shared" si="48"/>
        <v>7.8786480562925698E-2</v>
      </c>
      <c r="L50" s="1085">
        <f t="shared" si="48"/>
        <v>5.9725786522193847E-2</v>
      </c>
      <c r="M50" s="1085">
        <f t="shared" si="48"/>
        <v>0.28930993889791989</v>
      </c>
      <c r="N50" s="891">
        <f t="shared" si="48"/>
        <v>-0.35652173913043483</v>
      </c>
      <c r="O50" s="1086">
        <f t="shared" si="48"/>
        <v>2.0270270270270174E-2</v>
      </c>
      <c r="P50" s="1086">
        <f t="shared" si="48"/>
        <v>-9.6026490066225212E-2</v>
      </c>
      <c r="Q50" s="1086">
        <f t="shared" si="48"/>
        <v>0.14652014652014644</v>
      </c>
      <c r="R50" s="1086">
        <f t="shared" si="48"/>
        <v>-0.35782747603833864</v>
      </c>
      <c r="S50" s="1087">
        <f t="shared" si="48"/>
        <v>5.138308457711438E-2</v>
      </c>
      <c r="T50" s="1169">
        <f t="shared" si="48"/>
        <v>-9.2643662931556792E-2</v>
      </c>
      <c r="U50" s="1169">
        <f t="shared" si="48"/>
        <v>0.16620886697143855</v>
      </c>
      <c r="V50" s="1169">
        <f t="shared" si="48"/>
        <v>-0.28539811523476122</v>
      </c>
      <c r="W50" s="1168">
        <f t="shared" si="48"/>
        <v>0.13851420060763631</v>
      </c>
      <c r="X50" s="1168">
        <f t="shared" si="48"/>
        <v>-1.779062737036563E-2</v>
      </c>
      <c r="Y50" s="1168">
        <f t="shared" si="48"/>
        <v>0.25608779271850146</v>
      </c>
      <c r="Z50" s="1168">
        <f t="shared" si="48"/>
        <v>-0.24044292058211747</v>
      </c>
      <c r="AA50" s="1169">
        <f t="shared" si="48"/>
        <v>-2.5733653795941724E-2</v>
      </c>
      <c r="AB50" s="1169">
        <f t="shared" si="48"/>
        <v>2.3692693622783256E-2</v>
      </c>
      <c r="AC50" s="1169">
        <f t="shared" si="48"/>
        <v>0.35952100745726479</v>
      </c>
      <c r="AD50" s="1169">
        <f t="shared" si="48"/>
        <v>-0.23346639938917613</v>
      </c>
      <c r="AE50" s="1168">
        <f t="shared" si="48"/>
        <v>0.13870378922543325</v>
      </c>
      <c r="AF50" s="1168">
        <f t="shared" si="48"/>
        <v>-1.0400604225852095E-2</v>
      </c>
      <c r="AG50" s="1168">
        <f t="shared" si="48"/>
        <v>0.23582628658583427</v>
      </c>
      <c r="AH50" s="1168">
        <f t="shared" si="48"/>
        <v>-0.29787828051611309</v>
      </c>
      <c r="AI50" s="1169">
        <f t="shared" si="48"/>
        <v>6.0775436273816874E-2</v>
      </c>
      <c r="AJ50" s="1169">
        <f t="shared" si="48"/>
        <v>-4.0197109937508246E-2</v>
      </c>
      <c r="AK50" s="1169">
        <f t="shared" si="48"/>
        <v>0.36328206973833632</v>
      </c>
      <c r="AL50" s="1169">
        <f t="shared" si="48"/>
        <v>-0.25999047821766386</v>
      </c>
      <c r="AM50" s="1168">
        <f t="shared" si="48"/>
        <v>-3.9050287687216856E-2</v>
      </c>
      <c r="AN50" s="1168">
        <f t="shared" si="48"/>
        <v>-5.3359242022245401E-2</v>
      </c>
      <c r="AO50" s="1168">
        <f t="shared" si="48"/>
        <v>0.35287580200717672</v>
      </c>
      <c r="AP50" s="1168">
        <f t="shared" si="48"/>
        <v>-0.27555602538850044</v>
      </c>
      <c r="AQ50" s="1137"/>
      <c r="AR50" s="1092"/>
      <c r="AS50" s="1092"/>
      <c r="AT50" s="1170"/>
      <c r="AU50" s="1091"/>
      <c r="AV50" s="1092"/>
      <c r="AW50" s="1171"/>
      <c r="AX50" s="1137"/>
      <c r="AY50" s="757"/>
      <c r="AZ50" s="757"/>
      <c r="BA50" s="1172"/>
      <c r="BB50" s="1137"/>
      <c r="BC50" s="1172"/>
    </row>
    <row r="51" spans="1:55" outlineLevel="1" x14ac:dyDescent="0.35">
      <c r="A51" s="787"/>
      <c r="B51" s="886" t="s">
        <v>761</v>
      </c>
      <c r="C51" s="887"/>
      <c r="D51" s="887"/>
      <c r="E51" s="887"/>
      <c r="F51" s="887"/>
      <c r="G51" s="889">
        <f t="shared" ref="G51:AP51" si="49">G49/C49-1</f>
        <v>0.52192969274386658</v>
      </c>
      <c r="H51" s="889">
        <f t="shared" si="49"/>
        <v>0.48044482622524542</v>
      </c>
      <c r="I51" s="889">
        <f t="shared" si="49"/>
        <v>0.32584873529457692</v>
      </c>
      <c r="J51" s="889">
        <f t="shared" si="49"/>
        <v>0.18809031624390382</v>
      </c>
      <c r="K51" s="891">
        <f t="shared" si="49"/>
        <v>0.10807510655454444</v>
      </c>
      <c r="L51" s="891">
        <f t="shared" si="49"/>
        <v>0.11900789120425581</v>
      </c>
      <c r="M51" s="891">
        <f t="shared" si="49"/>
        <v>8.4092590934158107E-2</v>
      </c>
      <c r="N51" s="891">
        <f t="shared" si="49"/>
        <v>-5.1537406595659974E-2</v>
      </c>
      <c r="O51" s="933">
        <f t="shared" si="49"/>
        <v>-0.10298450717612406</v>
      </c>
      <c r="P51" s="933">
        <f t="shared" si="49"/>
        <v>-0.23482257974101706</v>
      </c>
      <c r="Q51" s="933">
        <f t="shared" si="49"/>
        <v>-0.31956521739130439</v>
      </c>
      <c r="R51" s="933">
        <f t="shared" si="49"/>
        <v>-0.32094594594594594</v>
      </c>
      <c r="S51" s="891">
        <f t="shared" si="49"/>
        <v>-0.30023841059602663</v>
      </c>
      <c r="T51" s="894">
        <f t="shared" si="49"/>
        <v>-0.29761978021978042</v>
      </c>
      <c r="U51" s="894">
        <f t="shared" si="49"/>
        <v>-0.28555809265175758</v>
      </c>
      <c r="V51" s="894">
        <f t="shared" si="49"/>
        <v>-0.20497761194029807</v>
      </c>
      <c r="W51" s="895">
        <f t="shared" si="49"/>
        <v>-0.13909183827982996</v>
      </c>
      <c r="X51" s="895">
        <f t="shared" si="49"/>
        <v>-6.8070579473876736E-2</v>
      </c>
      <c r="Y51" s="895">
        <f t="shared" si="49"/>
        <v>3.7525883661104764E-3</v>
      </c>
      <c r="Z51" s="895">
        <f t="shared" si="49"/>
        <v>6.6898087916419602E-2</v>
      </c>
      <c r="AA51" s="894">
        <f t="shared" si="49"/>
        <v>-8.7018061494827825E-2</v>
      </c>
      <c r="AB51" s="894">
        <f t="shared" si="49"/>
        <v>-4.8458540611250878E-2</v>
      </c>
      <c r="AC51" s="894">
        <f t="shared" si="49"/>
        <v>2.9896644967604136E-2</v>
      </c>
      <c r="AD51" s="894">
        <f t="shared" si="49"/>
        <v>3.9356231303975475E-2</v>
      </c>
      <c r="AE51" s="895">
        <f t="shared" si="49"/>
        <v>0.21477959651601997</v>
      </c>
      <c r="AF51" s="895">
        <f t="shared" si="49"/>
        <v>0.17432229632967422</v>
      </c>
      <c r="AG51" s="895">
        <f t="shared" si="49"/>
        <v>6.7477703373163944E-2</v>
      </c>
      <c r="AH51" s="895">
        <f t="shared" si="49"/>
        <v>-2.2222535312442115E-2</v>
      </c>
      <c r="AI51" s="894">
        <f t="shared" si="49"/>
        <v>-8.9137731430423695E-2</v>
      </c>
      <c r="AJ51" s="894">
        <f t="shared" si="49"/>
        <v>-0.11656348866498012</v>
      </c>
      <c r="AK51" s="894">
        <f t="shared" si="49"/>
        <v>-2.5451093953914317E-2</v>
      </c>
      <c r="AL51" s="894">
        <f t="shared" si="49"/>
        <v>2.7137389293101277E-2</v>
      </c>
      <c r="AM51" s="895">
        <f t="shared" si="49"/>
        <v>-6.9522780227606717E-2</v>
      </c>
      <c r="AN51" s="895">
        <f t="shared" si="49"/>
        <v>-8.2282758547411405E-2</v>
      </c>
      <c r="AO51" s="895">
        <f t="shared" si="49"/>
        <v>-8.9287920228947937E-2</v>
      </c>
      <c r="AP51" s="895">
        <f t="shared" si="49"/>
        <v>-0.10844406811551077</v>
      </c>
      <c r="AQ51" s="1137"/>
      <c r="AR51" s="757"/>
      <c r="AS51" s="933">
        <f t="shared" ref="AS51:BC51" si="50">AS49/AR49-1</f>
        <v>0.3621855940824783</v>
      </c>
      <c r="AT51" s="1122">
        <f t="shared" si="50"/>
        <v>6.6500474956091571E-2</v>
      </c>
      <c r="AU51" s="1123">
        <f t="shared" si="50"/>
        <v>-0.24868157069016439</v>
      </c>
      <c r="AV51" s="1124">
        <f t="shared" si="50"/>
        <v>-0.27777996602387556</v>
      </c>
      <c r="AW51" s="1124">
        <f t="shared" si="50"/>
        <v>-3.9309825397728204E-2</v>
      </c>
      <c r="AX51" s="1125">
        <f t="shared" si="50"/>
        <v>-1.4651691668187805E-2</v>
      </c>
      <c r="AY51" s="1124">
        <f t="shared" si="50"/>
        <v>0.10421670096455427</v>
      </c>
      <c r="AZ51" s="1124">
        <f t="shared" si="50"/>
        <v>-5.2855546234458095E-2</v>
      </c>
      <c r="BA51" s="1177">
        <f t="shared" si="50"/>
        <v>-8.7413758890222959E-2</v>
      </c>
      <c r="BB51" s="1125">
        <f t="shared" si="50"/>
        <v>-0.2175510055987453</v>
      </c>
      <c r="BC51" s="1177">
        <f t="shared" si="50"/>
        <v>-0.27918003682308445</v>
      </c>
    </row>
    <row r="52" spans="1:55" ht="10.15" outlineLevel="1" x14ac:dyDescent="0.3">
      <c r="A52" s="1213"/>
      <c r="B52" s="886" t="s">
        <v>784</v>
      </c>
      <c r="C52" s="1130">
        <f t="shared" ref="C52:AP52" si="51">C49/C15</f>
        <v>0.95419675845158947</v>
      </c>
      <c r="D52" s="1130">
        <f t="shared" si="51"/>
        <v>0.94430169949313358</v>
      </c>
      <c r="E52" s="1130">
        <f t="shared" si="51"/>
        <v>0.92577004072942704</v>
      </c>
      <c r="F52" s="1130">
        <f t="shared" si="51"/>
        <v>0.89290036167840536</v>
      </c>
      <c r="G52" s="1214">
        <f t="shared" si="51"/>
        <v>0.88033923055972474</v>
      </c>
      <c r="H52" s="1083">
        <f t="shared" si="51"/>
        <v>0.85328066499134247</v>
      </c>
      <c r="I52" s="1083">
        <f t="shared" si="51"/>
        <v>0.80255490260237672</v>
      </c>
      <c r="J52" s="1083">
        <f t="shared" si="51"/>
        <v>0.72563330504435164</v>
      </c>
      <c r="K52" s="1215">
        <f t="shared" si="51"/>
        <v>0.67200000000000004</v>
      </c>
      <c r="L52" s="1215">
        <f t="shared" si="51"/>
        <v>0.64188228859695529</v>
      </c>
      <c r="M52" s="1215">
        <f t="shared" si="51"/>
        <v>0.58449809402795427</v>
      </c>
      <c r="N52" s="1215">
        <f t="shared" si="51"/>
        <v>0.49333333333333335</v>
      </c>
      <c r="O52" s="1133">
        <f t="shared" si="51"/>
        <v>0.44873699851411591</v>
      </c>
      <c r="P52" s="1133">
        <f t="shared" si="51"/>
        <v>0.38288920056100983</v>
      </c>
      <c r="Q52" s="1133">
        <f t="shared" si="51"/>
        <v>0.32468879668049794</v>
      </c>
      <c r="R52" s="1133">
        <f t="shared" si="51"/>
        <v>0.27088948787061995</v>
      </c>
      <c r="S52" s="1215">
        <f t="shared" si="51"/>
        <v>0.25246970585740514</v>
      </c>
      <c r="T52" s="1216">
        <f t="shared" si="51"/>
        <v>0.21999999999999995</v>
      </c>
      <c r="U52" s="1216">
        <f t="shared" si="51"/>
        <v>0.19099999999999995</v>
      </c>
      <c r="V52" s="1216">
        <f t="shared" si="51"/>
        <v>0.18000000000000008</v>
      </c>
      <c r="W52" s="1217">
        <f t="shared" si="51"/>
        <v>0.17000000000000007</v>
      </c>
      <c r="X52" s="1218">
        <f t="shared" si="51"/>
        <v>0.16000000000000003</v>
      </c>
      <c r="Y52" s="1218">
        <f t="shared" si="51"/>
        <v>0.15000000000000002</v>
      </c>
      <c r="Z52" s="1218">
        <f t="shared" si="51"/>
        <v>0.15</v>
      </c>
      <c r="AA52" s="1219">
        <f t="shared" si="51"/>
        <v>0.13000000000000006</v>
      </c>
      <c r="AB52" s="1219">
        <f t="shared" si="51"/>
        <v>0.12999999999999992</v>
      </c>
      <c r="AC52" s="1219">
        <f t="shared" si="51"/>
        <v>0.12999999999999995</v>
      </c>
      <c r="AD52" s="1219">
        <f t="shared" si="51"/>
        <v>0.13000000000000006</v>
      </c>
      <c r="AE52" s="1218">
        <f t="shared" si="51"/>
        <v>0.13000000000000003</v>
      </c>
      <c r="AF52" s="1218">
        <f t="shared" si="51"/>
        <v>0.12999999999999992</v>
      </c>
      <c r="AG52" s="1218">
        <f t="shared" si="51"/>
        <v>0.12000000000000005</v>
      </c>
      <c r="AH52" s="1218">
        <f t="shared" si="51"/>
        <v>0.11999999999999994</v>
      </c>
      <c r="AI52" s="1219">
        <f t="shared" si="51"/>
        <v>0.10000000000000002</v>
      </c>
      <c r="AJ52" s="1219">
        <f t="shared" si="51"/>
        <v>0.10000000000000002</v>
      </c>
      <c r="AK52" s="1219">
        <f t="shared" si="51"/>
        <v>0.10000000000000003</v>
      </c>
      <c r="AL52" s="1219">
        <f t="shared" si="51"/>
        <v>9.9999999999999978E-2</v>
      </c>
      <c r="AM52" s="1218">
        <f t="shared" si="51"/>
        <v>7.999999999999996E-2</v>
      </c>
      <c r="AN52" s="1218">
        <f t="shared" si="51"/>
        <v>7.9999999999999974E-2</v>
      </c>
      <c r="AO52" s="1218">
        <f t="shared" si="51"/>
        <v>7.9999999999999946E-2</v>
      </c>
      <c r="AP52" s="1218">
        <f t="shared" si="51"/>
        <v>0.08</v>
      </c>
      <c r="AQ52" s="1137"/>
      <c r="AR52" s="890">
        <f t="shared" ref="AR52:BC52" si="52">AR49/AR15</f>
        <v>0.92623812976422448</v>
      </c>
      <c r="AS52" s="890">
        <f t="shared" si="52"/>
        <v>0.81013562932950711</v>
      </c>
      <c r="AT52" s="1220">
        <f t="shared" si="52"/>
        <v>0.59310575104528385</v>
      </c>
      <c r="AU52" s="1221">
        <f t="shared" si="52"/>
        <v>0.35219922380336349</v>
      </c>
      <c r="AV52" s="1140">
        <f t="shared" si="52"/>
        <v>0.20877539309751675</v>
      </c>
      <c r="AW52" s="1140">
        <f t="shared" si="52"/>
        <v>0.15675772234555221</v>
      </c>
      <c r="AX52" s="1141">
        <f t="shared" si="52"/>
        <v>0.12999999999999987</v>
      </c>
      <c r="AY52" s="1140">
        <f t="shared" si="52"/>
        <v>0.12476861072015777</v>
      </c>
      <c r="AZ52" s="1140">
        <f t="shared" si="52"/>
        <v>9.9999999999999992E-2</v>
      </c>
      <c r="BA52" s="1142">
        <f t="shared" si="52"/>
        <v>7.9999999999999974E-2</v>
      </c>
      <c r="BB52" s="1141">
        <f t="shared" si="52"/>
        <v>5.5404625268000669E-2</v>
      </c>
      <c r="BC52" s="1142">
        <f t="shared" si="52"/>
        <v>3.5760777708138285E-2</v>
      </c>
    </row>
    <row r="53" spans="1:55" s="921" customFormat="1" outlineLevel="1" x14ac:dyDescent="0.35">
      <c r="A53" s="830" t="s">
        <v>779</v>
      </c>
      <c r="B53" s="1198" t="s">
        <v>785</v>
      </c>
      <c r="C53" s="1073">
        <f t="shared" ref="C53:AP53" si="53">C168-C171-C44</f>
        <v>4986</v>
      </c>
      <c r="D53" s="1073">
        <f t="shared" si="53"/>
        <v>5540</v>
      </c>
      <c r="E53" s="1073">
        <f t="shared" si="53"/>
        <v>9448</v>
      </c>
      <c r="F53" s="1073">
        <f t="shared" si="53"/>
        <v>6397</v>
      </c>
      <c r="G53" s="1074">
        <f t="shared" si="53"/>
        <v>8210.3249999999989</v>
      </c>
      <c r="H53" s="1074">
        <f t="shared" si="53"/>
        <v>8096.875</v>
      </c>
      <c r="I53" s="1074">
        <f t="shared" si="53"/>
        <v>14574.275000000001</v>
      </c>
      <c r="J53" s="1074">
        <f t="shared" si="53"/>
        <v>7974.7250000000004</v>
      </c>
      <c r="K53" s="1073">
        <f t="shared" si="53"/>
        <v>9932.2199999999993</v>
      </c>
      <c r="L53" s="1073">
        <f t="shared" si="53"/>
        <v>8794.619999999999</v>
      </c>
      <c r="M53" s="1073">
        <f t="shared" si="53"/>
        <v>14429.5</v>
      </c>
      <c r="N53" s="1073">
        <f t="shared" si="53"/>
        <v>7541.02</v>
      </c>
      <c r="O53" s="1075">
        <f t="shared" si="53"/>
        <v>7388.474452554743</v>
      </c>
      <c r="P53" s="1075">
        <f t="shared" si="53"/>
        <v>6303.2000000000007</v>
      </c>
      <c r="Q53" s="1075">
        <f t="shared" si="53"/>
        <v>9425.6969696969682</v>
      </c>
      <c r="R53" s="1075">
        <f t="shared" si="53"/>
        <v>4730.880000000001</v>
      </c>
      <c r="S53" s="1077">
        <f t="shared" si="53"/>
        <v>5294</v>
      </c>
      <c r="T53" s="1077">
        <f t="shared" si="53"/>
        <v>4799</v>
      </c>
      <c r="U53" s="1077">
        <f t="shared" si="53"/>
        <v>7538</v>
      </c>
      <c r="V53" s="1077">
        <f t="shared" si="53"/>
        <v>3235</v>
      </c>
      <c r="W53" s="1222">
        <f t="shared" si="53"/>
        <v>5001.2999999999884</v>
      </c>
      <c r="X53" s="1222">
        <f t="shared" si="53"/>
        <v>4546.7000000000116</v>
      </c>
      <c r="Y53" s="1222">
        <f t="shared" si="53"/>
        <v>6718</v>
      </c>
      <c r="Z53" s="1222">
        <f t="shared" si="53"/>
        <v>2634</v>
      </c>
      <c r="AA53" s="1223">
        <f t="shared" si="53"/>
        <v>4560.2999999999884</v>
      </c>
      <c r="AB53" s="1223">
        <f t="shared" si="53"/>
        <v>3831.7000000000116</v>
      </c>
      <c r="AC53" s="1223">
        <f t="shared" si="53"/>
        <v>6313</v>
      </c>
      <c r="AD53" s="1223">
        <f t="shared" si="53"/>
        <v>2482</v>
      </c>
      <c r="AE53" s="1222">
        <f t="shared" si="53"/>
        <v>3856.2999999999884</v>
      </c>
      <c r="AF53" s="1222">
        <f t="shared" si="53"/>
        <v>3356.7000000000116</v>
      </c>
      <c r="AG53" s="1222">
        <f t="shared" si="53"/>
        <v>5570</v>
      </c>
      <c r="AH53" s="1222">
        <f t="shared" si="53"/>
        <v>203</v>
      </c>
      <c r="AI53" s="1224">
        <f t="shared" si="53"/>
        <v>4991.2999999999884</v>
      </c>
      <c r="AJ53" s="1223">
        <f t="shared" si="53"/>
        <v>3981.9100000000035</v>
      </c>
      <c r="AK53" s="1223">
        <f t="shared" si="53"/>
        <v>8402.4000000000233</v>
      </c>
      <c r="AL53" s="1223">
        <f t="shared" si="53"/>
        <v>401.04000000000087</v>
      </c>
      <c r="AM53" s="1222">
        <f t="shared" si="53"/>
        <v>2734.3999999999942</v>
      </c>
      <c r="AN53" s="1222">
        <f t="shared" si="53"/>
        <v>5612.2530999999726</v>
      </c>
      <c r="AO53" s="1222">
        <f t="shared" si="53"/>
        <v>9254.5106000000378</v>
      </c>
      <c r="AP53" s="1222">
        <f t="shared" si="53"/>
        <v>781.98639999993611</v>
      </c>
      <c r="AQ53" s="1225"/>
      <c r="AR53" s="1206">
        <f>SUM(C53:F53)</f>
        <v>26371</v>
      </c>
      <c r="AS53" s="1206">
        <f>SUM(G53:J53)</f>
        <v>38856.199999999997</v>
      </c>
      <c r="AT53" s="1207">
        <f>SUM(K53:N53)</f>
        <v>40697.360000000001</v>
      </c>
      <c r="AU53" s="1208">
        <f>SUM(O53:R53)</f>
        <v>27848.251422251713</v>
      </c>
      <c r="AV53" s="1226">
        <f>SUM(S53:V53)</f>
        <v>20866</v>
      </c>
      <c r="AW53" s="1209">
        <f>SUM(W53:Z53)</f>
        <v>18900</v>
      </c>
      <c r="AX53" s="1210">
        <f>SUM(AA53:AD53)</f>
        <v>17187</v>
      </c>
      <c r="AY53" s="1222">
        <f>SUM(AI53:AL53)</f>
        <v>17776.650000000016</v>
      </c>
      <c r="AZ53" s="1222">
        <f>AZ36-AZ44</f>
        <v>17776.649999999965</v>
      </c>
      <c r="BA53" s="1227">
        <f>BA36-BA44</f>
        <v>18383.150099999912</v>
      </c>
      <c r="BB53" s="1228">
        <f>BB36-BB44</f>
        <v>14307.45326999994</v>
      </c>
      <c r="BC53" s="1227">
        <f>BC36-BC44</f>
        <v>11899.859046299884</v>
      </c>
    </row>
    <row r="54" spans="1:55" outlineLevel="1" x14ac:dyDescent="0.35">
      <c r="A54" s="903"/>
      <c r="B54" s="886" t="s">
        <v>750</v>
      </c>
      <c r="C54" s="887"/>
      <c r="D54" s="1082">
        <f t="shared" ref="D54:AP54" si="54">D53/C53-1</f>
        <v>0.11111111111111116</v>
      </c>
      <c r="E54" s="1082">
        <f t="shared" si="54"/>
        <v>0.70541516245487368</v>
      </c>
      <c r="F54" s="1082">
        <f t="shared" si="54"/>
        <v>-0.32292548687552924</v>
      </c>
      <c r="G54" s="1083">
        <f t="shared" si="54"/>
        <v>0.2834649054244176</v>
      </c>
      <c r="H54" s="1083">
        <f t="shared" si="54"/>
        <v>-1.3817967011049981E-2</v>
      </c>
      <c r="I54" s="1084">
        <f t="shared" si="54"/>
        <v>0.7999876495561562</v>
      </c>
      <c r="J54" s="1083">
        <f t="shared" si="54"/>
        <v>-0.45282183847910107</v>
      </c>
      <c r="K54" s="1085">
        <f t="shared" si="54"/>
        <v>0.24546238271539123</v>
      </c>
      <c r="L54" s="1085">
        <f t="shared" si="54"/>
        <v>-0.11453632722593743</v>
      </c>
      <c r="M54" s="1085">
        <f t="shared" si="54"/>
        <v>0.64071898501583946</v>
      </c>
      <c r="N54" s="891">
        <f t="shared" si="54"/>
        <v>-0.47738868290654557</v>
      </c>
      <c r="O54" s="1086">
        <f t="shared" si="54"/>
        <v>-2.0228768448466883E-2</v>
      </c>
      <c r="P54" s="1086">
        <f t="shared" si="54"/>
        <v>-0.14688748800904128</v>
      </c>
      <c r="Q54" s="1086">
        <f t="shared" si="54"/>
        <v>0.49538281661647532</v>
      </c>
      <c r="R54" s="892">
        <f t="shared" si="54"/>
        <v>-0.49808698335948132</v>
      </c>
      <c r="S54" s="893">
        <f t="shared" si="54"/>
        <v>0.11903070887445866</v>
      </c>
      <c r="T54" s="893">
        <f t="shared" si="54"/>
        <v>-9.350207782395159E-2</v>
      </c>
      <c r="U54" s="893">
        <f t="shared" si="54"/>
        <v>0.57074390498020411</v>
      </c>
      <c r="V54" s="893">
        <f t="shared" si="54"/>
        <v>-0.57084107190236133</v>
      </c>
      <c r="W54" s="895">
        <f t="shared" si="54"/>
        <v>0.54599690880988816</v>
      </c>
      <c r="X54" s="895">
        <f t="shared" si="54"/>
        <v>-9.0896366944589913E-2</v>
      </c>
      <c r="Y54" s="895">
        <f t="shared" si="54"/>
        <v>0.47755514988892656</v>
      </c>
      <c r="Z54" s="895">
        <f t="shared" si="54"/>
        <v>-0.60791902351890448</v>
      </c>
      <c r="AA54" s="894">
        <f t="shared" si="54"/>
        <v>0.73132118451024608</v>
      </c>
      <c r="AB54" s="894">
        <f t="shared" si="54"/>
        <v>-0.15977019055763408</v>
      </c>
      <c r="AC54" s="894">
        <f t="shared" si="54"/>
        <v>0.64757157397499299</v>
      </c>
      <c r="AD54" s="894">
        <f t="shared" si="54"/>
        <v>-0.60684302233486465</v>
      </c>
      <c r="AE54" s="895">
        <f t="shared" si="54"/>
        <v>0.55370668815470925</v>
      </c>
      <c r="AF54" s="895">
        <f t="shared" si="54"/>
        <v>-0.12955423592562254</v>
      </c>
      <c r="AG54" s="895">
        <f t="shared" si="54"/>
        <v>0.65936783150117106</v>
      </c>
      <c r="AH54" s="895">
        <f t="shared" si="54"/>
        <v>-0.96355475763016163</v>
      </c>
      <c r="AI54" s="894">
        <f t="shared" si="54"/>
        <v>23.587684729063984</v>
      </c>
      <c r="AJ54" s="894">
        <f t="shared" si="54"/>
        <v>-0.20222987999118214</v>
      </c>
      <c r="AK54" s="894">
        <f t="shared" si="54"/>
        <v>1.1101431222704723</v>
      </c>
      <c r="AL54" s="894">
        <f t="shared" si="54"/>
        <v>-0.95227077977720653</v>
      </c>
      <c r="AM54" s="895">
        <f t="shared" si="54"/>
        <v>5.8182724915220136</v>
      </c>
      <c r="AN54" s="895">
        <f t="shared" si="54"/>
        <v>1.052462368344055</v>
      </c>
      <c r="AO54" s="895">
        <f t="shared" si="54"/>
        <v>0.64898311517705487</v>
      </c>
      <c r="AP54" s="895">
        <f t="shared" si="54"/>
        <v>-0.91550213362985045</v>
      </c>
      <c r="AQ54" s="1137"/>
      <c r="AR54" s="1092"/>
      <c r="AS54" s="1092"/>
      <c r="AT54" s="1170"/>
      <c r="AU54" s="1091"/>
      <c r="AV54" s="1092"/>
      <c r="AW54" s="1229"/>
      <c r="AX54" s="1230"/>
      <c r="AY54" s="1231"/>
      <c r="AZ54" s="1231"/>
      <c r="BA54" s="1232"/>
      <c r="BB54" s="1230"/>
      <c r="BC54" s="1232"/>
    </row>
    <row r="55" spans="1:55" outlineLevel="1" x14ac:dyDescent="0.35">
      <c r="A55" s="830"/>
      <c r="B55" s="886" t="s">
        <v>761</v>
      </c>
      <c r="C55" s="887"/>
      <c r="D55" s="887"/>
      <c r="E55" s="887"/>
      <c r="F55" s="887"/>
      <c r="G55" s="1086">
        <f t="shared" ref="G55:AP55" si="55">G53/C53-1</f>
        <v>0.64667569193742458</v>
      </c>
      <c r="H55" s="1086">
        <f t="shared" si="55"/>
        <v>0.4615297833935017</v>
      </c>
      <c r="I55" s="1086">
        <f t="shared" si="55"/>
        <v>0.5425777942421679</v>
      </c>
      <c r="J55" s="1173">
        <f t="shared" si="55"/>
        <v>0.24663514147256538</v>
      </c>
      <c r="K55" s="1085">
        <f t="shared" si="55"/>
        <v>0.20972312301888185</v>
      </c>
      <c r="L55" s="1085">
        <f t="shared" si="55"/>
        <v>8.6174604399845478E-2</v>
      </c>
      <c r="M55" s="1085">
        <f t="shared" si="55"/>
        <v>-9.9335987553412775E-3</v>
      </c>
      <c r="N55" s="891">
        <f t="shared" si="55"/>
        <v>-5.4384947443328779E-2</v>
      </c>
      <c r="O55" s="1086">
        <f t="shared" si="55"/>
        <v>-0.25611047152049149</v>
      </c>
      <c r="P55" s="1086">
        <f t="shared" si="55"/>
        <v>-0.28328910174629474</v>
      </c>
      <c r="Q55" s="1086">
        <f t="shared" si="55"/>
        <v>-0.34677591256128293</v>
      </c>
      <c r="R55" s="892">
        <f t="shared" si="55"/>
        <v>-0.37264720157220099</v>
      </c>
      <c r="S55" s="893">
        <f t="shared" si="55"/>
        <v>-0.28347860793245727</v>
      </c>
      <c r="T55" s="893">
        <f t="shared" si="55"/>
        <v>-0.23864069044294967</v>
      </c>
      <c r="U55" s="893">
        <f t="shared" si="55"/>
        <v>-0.20027134075769648</v>
      </c>
      <c r="V55" s="893">
        <f t="shared" si="55"/>
        <v>-0.31619487283549796</v>
      </c>
      <c r="W55" s="895">
        <f t="shared" si="55"/>
        <v>-5.5289006422367115E-2</v>
      </c>
      <c r="X55" s="895">
        <f t="shared" si="55"/>
        <v>-5.2573452802664788E-2</v>
      </c>
      <c r="Y55" s="895">
        <f t="shared" si="55"/>
        <v>-0.10878217033695936</v>
      </c>
      <c r="Z55" s="895">
        <f t="shared" si="55"/>
        <v>-0.18578052550231838</v>
      </c>
      <c r="AA55" s="894">
        <f t="shared" si="55"/>
        <v>-8.8177073960770458E-2</v>
      </c>
      <c r="AB55" s="894">
        <f t="shared" si="55"/>
        <v>-0.15725691160621946</v>
      </c>
      <c r="AC55" s="894">
        <f t="shared" si="55"/>
        <v>-6.0285799345043189E-2</v>
      </c>
      <c r="AD55" s="894">
        <f t="shared" si="55"/>
        <v>-5.7706909643128301E-2</v>
      </c>
      <c r="AE55" s="895">
        <f t="shared" si="55"/>
        <v>-0.15437580860908318</v>
      </c>
      <c r="AF55" s="895">
        <f t="shared" si="55"/>
        <v>-0.12396586371584373</v>
      </c>
      <c r="AG55" s="895">
        <f t="shared" si="55"/>
        <v>-0.11769364802787896</v>
      </c>
      <c r="AH55" s="895">
        <f t="shared" si="55"/>
        <v>-0.91821112006446415</v>
      </c>
      <c r="AI55" s="894">
        <f t="shared" si="55"/>
        <v>0.29432357441070556</v>
      </c>
      <c r="AJ55" s="894">
        <f t="shared" si="55"/>
        <v>0.18625733607411732</v>
      </c>
      <c r="AK55" s="894">
        <f t="shared" si="55"/>
        <v>0.50850987432675465</v>
      </c>
      <c r="AL55" s="894">
        <f t="shared" si="55"/>
        <v>0.97556650246305843</v>
      </c>
      <c r="AM55" s="895">
        <f t="shared" si="55"/>
        <v>-0.45216677018011331</v>
      </c>
      <c r="AN55" s="895">
        <f t="shared" si="55"/>
        <v>0.40943745589427372</v>
      </c>
      <c r="AO55" s="895">
        <f t="shared" si="55"/>
        <v>0.10141276302009095</v>
      </c>
      <c r="AP55" s="895">
        <f t="shared" si="55"/>
        <v>0.94989626969861951</v>
      </c>
      <c r="AQ55" s="1137"/>
      <c r="AR55" s="1233"/>
      <c r="AS55" s="890">
        <f t="shared" ref="AS55:BC55" si="56">AS53/AR53-1</f>
        <v>0.47344431382958541</v>
      </c>
      <c r="AT55" s="1220">
        <f t="shared" si="56"/>
        <v>4.7383943875108914E-2</v>
      </c>
      <c r="AU55" s="1221">
        <f t="shared" si="56"/>
        <v>-0.31572339281339845</v>
      </c>
      <c r="AV55" s="892">
        <f t="shared" si="56"/>
        <v>-0.25072494916763977</v>
      </c>
      <c r="AW55" s="1124">
        <f t="shared" si="56"/>
        <v>-9.4220262628198936E-2</v>
      </c>
      <c r="AX55" s="1125">
        <f t="shared" si="56"/>
        <v>-9.0634920634920624E-2</v>
      </c>
      <c r="AY55" s="1124">
        <f t="shared" si="56"/>
        <v>3.4307907139117688E-2</v>
      </c>
      <c r="AZ55" s="1124">
        <f t="shared" si="56"/>
        <v>-2.886579864025407E-15</v>
      </c>
      <c r="BA55" s="1177">
        <f t="shared" si="56"/>
        <v>3.4117794972615689E-2</v>
      </c>
      <c r="BB55" s="1125">
        <f t="shared" si="56"/>
        <v>-0.22170829307431872</v>
      </c>
      <c r="BC55" s="1177">
        <f t="shared" si="56"/>
        <v>-0.1682755259280373</v>
      </c>
    </row>
    <row r="56" spans="1:55" outlineLevel="1" x14ac:dyDescent="0.35">
      <c r="A56" s="903"/>
      <c r="B56" s="1191" t="s">
        <v>781</v>
      </c>
      <c r="C56" s="1234">
        <f t="shared" ref="C56:AP56" si="57">C53/C168</f>
        <v>0.99164677804295942</v>
      </c>
      <c r="D56" s="1234">
        <f t="shared" si="57"/>
        <v>0.98928571428571432</v>
      </c>
      <c r="E56" s="1234">
        <f t="shared" si="57"/>
        <v>0.98539841468502298</v>
      </c>
      <c r="F56" s="1234">
        <f t="shared" si="57"/>
        <v>0.94714243411311816</v>
      </c>
      <c r="G56" s="1101">
        <f t="shared" si="57"/>
        <v>0.94730875735548625</v>
      </c>
      <c r="H56" s="1102">
        <f t="shared" si="57"/>
        <v>0.93659629843840375</v>
      </c>
      <c r="I56" s="1102">
        <f t="shared" si="57"/>
        <v>0.90248777014056603</v>
      </c>
      <c r="J56" s="1102">
        <f t="shared" si="57"/>
        <v>0.85100042684878885</v>
      </c>
      <c r="K56" s="1235">
        <f t="shared" si="57"/>
        <v>0.78583906954664129</v>
      </c>
      <c r="L56" s="1235">
        <f t="shared" si="57"/>
        <v>0.68874774845328524</v>
      </c>
      <c r="M56" s="1235">
        <f t="shared" si="57"/>
        <v>0.67823736780258514</v>
      </c>
      <c r="N56" s="1235">
        <f t="shared" si="57"/>
        <v>0.57790022223925208</v>
      </c>
      <c r="O56" s="1236">
        <f t="shared" si="57"/>
        <v>0.47024404611473669</v>
      </c>
      <c r="P56" s="1236">
        <f t="shared" si="57"/>
        <v>0.36504314588521464</v>
      </c>
      <c r="Q56" s="1236">
        <f t="shared" si="57"/>
        <v>0.3282613697045681</v>
      </c>
      <c r="R56" s="1096">
        <f t="shared" si="57"/>
        <v>0.25795419847328249</v>
      </c>
      <c r="S56" s="1099">
        <f t="shared" si="57"/>
        <v>0.22640379763075738</v>
      </c>
      <c r="T56" s="1099">
        <f t="shared" si="57"/>
        <v>0.19905429507652744</v>
      </c>
      <c r="U56" s="1099">
        <f t="shared" si="57"/>
        <v>0.18474584579187295</v>
      </c>
      <c r="V56" s="1099">
        <f t="shared" si="57"/>
        <v>0.1253147394925431</v>
      </c>
      <c r="W56" s="1237">
        <f t="shared" si="57"/>
        <v>0.13623066027456932</v>
      </c>
      <c r="X56" s="1237">
        <f t="shared" si="57"/>
        <v>0.11494046565715327</v>
      </c>
      <c r="Y56" s="1237">
        <f t="shared" si="57"/>
        <v>0.11177106729889361</v>
      </c>
      <c r="Z56" s="1237">
        <f t="shared" si="57"/>
        <v>6.554684583799926E-2</v>
      </c>
      <c r="AA56" s="1238">
        <f t="shared" si="57"/>
        <v>8.4500074117995636E-2</v>
      </c>
      <c r="AB56" s="1238">
        <f t="shared" si="57"/>
        <v>7.0759542760060051E-2</v>
      </c>
      <c r="AC56" s="1238">
        <f t="shared" si="57"/>
        <v>7.7885386465979894E-2</v>
      </c>
      <c r="AD56" s="1238">
        <f t="shared" si="57"/>
        <v>4.2470183603976662E-2</v>
      </c>
      <c r="AE56" s="1237">
        <f t="shared" si="57"/>
        <v>5.1008584542532355E-2</v>
      </c>
      <c r="AF56" s="1237">
        <f t="shared" si="57"/>
        <v>4.4291821708495126E-2</v>
      </c>
      <c r="AG56" s="1237">
        <f t="shared" si="57"/>
        <v>5.0426406416918645E-2</v>
      </c>
      <c r="AH56" s="1237">
        <f t="shared" si="57"/>
        <v>2.8629856850715747E-3</v>
      </c>
      <c r="AI56" s="1238">
        <f t="shared" si="57"/>
        <v>4.9262245733855653E-2</v>
      </c>
      <c r="AJ56" s="1238">
        <f t="shared" si="57"/>
        <v>4.0273848128761121E-2</v>
      </c>
      <c r="AK56" s="1238">
        <f t="shared" si="57"/>
        <v>5.9888559126270967E-2</v>
      </c>
      <c r="AL56" s="1238">
        <f t="shared" si="57"/>
        <v>4.1131745017076301E-3</v>
      </c>
      <c r="AM56" s="1237">
        <f t="shared" si="57"/>
        <v>2.1118792469689063E-2</v>
      </c>
      <c r="AN56" s="1237">
        <f t="shared" si="57"/>
        <v>4.5706248137345987E-2</v>
      </c>
      <c r="AO56" s="1237">
        <f t="shared" si="57"/>
        <v>5.314919175043871E-2</v>
      </c>
      <c r="AP56" s="1237">
        <f t="shared" si="57"/>
        <v>6.5811473922177764E-3</v>
      </c>
      <c r="AQ56" s="1239"/>
      <c r="AR56" s="1240"/>
      <c r="AS56" s="1240"/>
      <c r="AT56" s="1241"/>
      <c r="AU56" s="1239"/>
      <c r="AV56" s="1240"/>
      <c r="AW56" s="1242"/>
      <c r="AX56" s="1243"/>
      <c r="AY56" s="1242"/>
      <c r="AZ56" s="1242"/>
      <c r="BA56" s="1244"/>
      <c r="BB56" s="1243"/>
      <c r="BC56" s="1244"/>
    </row>
    <row r="57" spans="1:55" s="1259" customFormat="1" ht="12.75" x14ac:dyDescent="0.3">
      <c r="A57" s="903" t="s">
        <v>768</v>
      </c>
      <c r="B57" s="1245" t="s">
        <v>786</v>
      </c>
      <c r="C57" s="1246">
        <v>133</v>
      </c>
      <c r="D57" s="1246">
        <v>145</v>
      </c>
      <c r="E57" s="1246">
        <v>160</v>
      </c>
      <c r="F57" s="1246">
        <v>172</v>
      </c>
      <c r="G57" s="1247">
        <v>185</v>
      </c>
      <c r="H57" s="1247">
        <v>202</v>
      </c>
      <c r="I57" s="1247">
        <v>231</v>
      </c>
      <c r="J57" s="1247">
        <v>255</v>
      </c>
      <c r="K57" s="1246">
        <v>279</v>
      </c>
      <c r="L57" s="1246">
        <v>307</v>
      </c>
      <c r="M57" s="1246">
        <v>334</v>
      </c>
      <c r="N57" s="1248">
        <v>350</v>
      </c>
      <c r="O57" s="1249">
        <v>367</v>
      </c>
      <c r="P57" s="1249">
        <v>386</v>
      </c>
      <c r="Q57" s="1249">
        <v>407</v>
      </c>
      <c r="R57" s="1250">
        <v>423</v>
      </c>
      <c r="S57" s="1248">
        <v>434</v>
      </c>
      <c r="T57" s="1248">
        <v>439</v>
      </c>
      <c r="U57" s="1248">
        <v>443</v>
      </c>
      <c r="V57" s="1248">
        <v>454</v>
      </c>
      <c r="W57" s="1251">
        <v>466</v>
      </c>
      <c r="X57" s="1251">
        <v>488</v>
      </c>
      <c r="Y57" s="1251">
        <v>515</v>
      </c>
      <c r="Z57" s="1251">
        <v>552</v>
      </c>
      <c r="AA57" s="1248">
        <v>576</v>
      </c>
      <c r="AB57" s="1248">
        <v>601</v>
      </c>
      <c r="AC57" s="1248">
        <v>636</v>
      </c>
      <c r="AD57" s="1248">
        <v>654</v>
      </c>
      <c r="AE57" s="1251">
        <v>674</v>
      </c>
      <c r="AF57" s="1251">
        <v>693</v>
      </c>
      <c r="AG57" s="1251">
        <v>711</v>
      </c>
      <c r="AH57" s="1251">
        <v>726</v>
      </c>
      <c r="AI57" s="1248">
        <v>742</v>
      </c>
      <c r="AJ57" s="1248">
        <f t="shared" ref="AJ57:AP57" si="58">AI57*(1+AJ59)</f>
        <v>756.84</v>
      </c>
      <c r="AK57" s="1248">
        <f t="shared" si="58"/>
        <v>771.97680000000003</v>
      </c>
      <c r="AL57" s="1248">
        <f t="shared" si="58"/>
        <v>787.416336</v>
      </c>
      <c r="AM57" s="1251">
        <f t="shared" si="58"/>
        <v>799.2275810399999</v>
      </c>
      <c r="AN57" s="1251">
        <f t="shared" si="58"/>
        <v>811.21599475559981</v>
      </c>
      <c r="AO57" s="1251">
        <f t="shared" si="58"/>
        <v>823.38423467693372</v>
      </c>
      <c r="AP57" s="1251">
        <f t="shared" si="58"/>
        <v>835.73499819708763</v>
      </c>
      <c r="AQ57" s="1252"/>
      <c r="AR57" s="1247">
        <v>172</v>
      </c>
      <c r="AS57" s="1247">
        <v>255</v>
      </c>
      <c r="AT57" s="1253">
        <f>N57</f>
        <v>350</v>
      </c>
      <c r="AU57" s="1254">
        <f>R57</f>
        <v>423</v>
      </c>
      <c r="AV57" s="1251">
        <f>V57</f>
        <v>454</v>
      </c>
      <c r="AW57" s="1251">
        <f>Z57</f>
        <v>552</v>
      </c>
      <c r="AX57" s="1255">
        <f>AD57</f>
        <v>654</v>
      </c>
      <c r="AY57" s="1256">
        <f>AH57</f>
        <v>726</v>
      </c>
      <c r="AZ57" s="1256">
        <f>AL57</f>
        <v>787.416336</v>
      </c>
      <c r="BA57" s="1257">
        <f>AP57</f>
        <v>835.73499819708763</v>
      </c>
      <c r="BB57" s="1258">
        <f>BA57*(1+BB60)</f>
        <v>877.52174810694203</v>
      </c>
      <c r="BC57" s="1257">
        <f>BB57*(1+BC60)</f>
        <v>912.62261803121976</v>
      </c>
    </row>
    <row r="58" spans="1:55" s="1269" customFormat="1" x14ac:dyDescent="0.35">
      <c r="A58" s="903"/>
      <c r="B58" s="1260" t="s">
        <v>787</v>
      </c>
      <c r="C58" s="1261"/>
      <c r="D58" s="1261">
        <f t="shared" ref="D58:AP58" si="59">D57-C57</f>
        <v>12</v>
      </c>
      <c r="E58" s="1261">
        <f t="shared" si="59"/>
        <v>15</v>
      </c>
      <c r="F58" s="1261">
        <f t="shared" si="59"/>
        <v>12</v>
      </c>
      <c r="G58" s="1262">
        <f t="shared" si="59"/>
        <v>13</v>
      </c>
      <c r="H58" s="1262">
        <f t="shared" si="59"/>
        <v>17</v>
      </c>
      <c r="I58" s="1262">
        <f t="shared" si="59"/>
        <v>29</v>
      </c>
      <c r="J58" s="1262">
        <f t="shared" si="59"/>
        <v>24</v>
      </c>
      <c r="K58" s="1261">
        <f t="shared" si="59"/>
        <v>24</v>
      </c>
      <c r="L58" s="1261">
        <f t="shared" si="59"/>
        <v>28</v>
      </c>
      <c r="M58" s="1261">
        <f t="shared" si="59"/>
        <v>27</v>
      </c>
      <c r="N58" s="1261">
        <f t="shared" si="59"/>
        <v>16</v>
      </c>
      <c r="O58" s="1263">
        <f t="shared" si="59"/>
        <v>17</v>
      </c>
      <c r="P58" s="1262">
        <f t="shared" si="59"/>
        <v>19</v>
      </c>
      <c r="Q58" s="1262">
        <f t="shared" si="59"/>
        <v>21</v>
      </c>
      <c r="R58" s="1264">
        <f t="shared" si="59"/>
        <v>16</v>
      </c>
      <c r="S58" s="1265">
        <f t="shared" si="59"/>
        <v>11</v>
      </c>
      <c r="T58" s="1265">
        <f t="shared" si="59"/>
        <v>5</v>
      </c>
      <c r="U58" s="1265">
        <f t="shared" si="59"/>
        <v>4</v>
      </c>
      <c r="V58" s="1265">
        <f t="shared" si="59"/>
        <v>11</v>
      </c>
      <c r="W58" s="1264">
        <f t="shared" si="59"/>
        <v>12</v>
      </c>
      <c r="X58" s="1264">
        <f t="shared" si="59"/>
        <v>22</v>
      </c>
      <c r="Y58" s="1264">
        <f t="shared" si="59"/>
        <v>27</v>
      </c>
      <c r="Z58" s="1264">
        <f t="shared" si="59"/>
        <v>37</v>
      </c>
      <c r="AA58" s="1265">
        <f t="shared" si="59"/>
        <v>24</v>
      </c>
      <c r="AB58" s="1265">
        <f t="shared" si="59"/>
        <v>25</v>
      </c>
      <c r="AC58" s="1265">
        <f t="shared" si="59"/>
        <v>35</v>
      </c>
      <c r="AD58" s="1265">
        <f t="shared" si="59"/>
        <v>18</v>
      </c>
      <c r="AE58" s="1266">
        <f t="shared" si="59"/>
        <v>20</v>
      </c>
      <c r="AF58" s="1264">
        <f t="shared" si="59"/>
        <v>19</v>
      </c>
      <c r="AG58" s="1264">
        <f t="shared" si="59"/>
        <v>18</v>
      </c>
      <c r="AH58" s="1264">
        <f t="shared" si="59"/>
        <v>15</v>
      </c>
      <c r="AI58" s="1265">
        <f t="shared" si="59"/>
        <v>16</v>
      </c>
      <c r="AJ58" s="1265">
        <f t="shared" si="59"/>
        <v>14.840000000000032</v>
      </c>
      <c r="AK58" s="1265">
        <f t="shared" si="59"/>
        <v>15.136799999999994</v>
      </c>
      <c r="AL58" s="1265">
        <f t="shared" si="59"/>
        <v>15.439535999999976</v>
      </c>
      <c r="AM58" s="1264">
        <f t="shared" si="59"/>
        <v>11.811245039999903</v>
      </c>
      <c r="AN58" s="1264">
        <f t="shared" si="59"/>
        <v>11.988413715599904</v>
      </c>
      <c r="AO58" s="1264">
        <f t="shared" si="59"/>
        <v>12.168239921333907</v>
      </c>
      <c r="AP58" s="1264">
        <f t="shared" si="59"/>
        <v>12.350763520153919</v>
      </c>
      <c r="AQ58" s="1267"/>
      <c r="AR58" s="1264"/>
      <c r="AS58" s="1264">
        <f t="shared" ref="AS58:BC58" si="60">AS57-AR57</f>
        <v>83</v>
      </c>
      <c r="AT58" s="1268">
        <f t="shared" si="60"/>
        <v>95</v>
      </c>
      <c r="AU58" s="1267">
        <f t="shared" si="60"/>
        <v>73</v>
      </c>
      <c r="AV58" s="1264">
        <f t="shared" si="60"/>
        <v>31</v>
      </c>
      <c r="AW58" s="1264">
        <f t="shared" si="60"/>
        <v>98</v>
      </c>
      <c r="AX58" s="1267">
        <f t="shared" si="60"/>
        <v>102</v>
      </c>
      <c r="AY58" s="1264">
        <f t="shared" si="60"/>
        <v>72</v>
      </c>
      <c r="AZ58" s="1264">
        <f t="shared" si="60"/>
        <v>61.416336000000001</v>
      </c>
      <c r="BA58" s="1268">
        <f t="shared" si="60"/>
        <v>48.318662197087633</v>
      </c>
      <c r="BB58" s="1267">
        <f t="shared" si="60"/>
        <v>41.786749909854393</v>
      </c>
      <c r="BC58" s="1268">
        <f t="shared" si="60"/>
        <v>35.100869924277731</v>
      </c>
    </row>
    <row r="59" spans="1:55" ht="10.15" x14ac:dyDescent="0.3">
      <c r="A59" s="787" t="s">
        <v>788</v>
      </c>
      <c r="B59" s="886" t="s">
        <v>750</v>
      </c>
      <c r="C59" s="887"/>
      <c r="D59" s="1082">
        <f t="shared" ref="D59:AI59" si="61">D57/C57-1</f>
        <v>9.0225563909774431E-2</v>
      </c>
      <c r="E59" s="1082">
        <f t="shared" si="61"/>
        <v>0.10344827586206895</v>
      </c>
      <c r="F59" s="1082">
        <f t="shared" si="61"/>
        <v>7.4999999999999956E-2</v>
      </c>
      <c r="G59" s="1083">
        <f t="shared" si="61"/>
        <v>7.5581395348837122E-2</v>
      </c>
      <c r="H59" s="1083">
        <f t="shared" si="61"/>
        <v>9.1891891891891841E-2</v>
      </c>
      <c r="I59" s="1084">
        <f t="shared" si="61"/>
        <v>0.14356435643564347</v>
      </c>
      <c r="J59" s="1084">
        <f t="shared" si="61"/>
        <v>0.10389610389610393</v>
      </c>
      <c r="K59" s="1082">
        <f t="shared" si="61"/>
        <v>9.4117647058823639E-2</v>
      </c>
      <c r="L59" s="1082">
        <f t="shared" si="61"/>
        <v>0.10035842293906816</v>
      </c>
      <c r="M59" s="1082">
        <f t="shared" si="61"/>
        <v>8.7947882736156391E-2</v>
      </c>
      <c r="N59" s="1082">
        <f t="shared" si="61"/>
        <v>4.7904191616766401E-2</v>
      </c>
      <c r="O59" s="1084">
        <f t="shared" si="61"/>
        <v>4.8571428571428488E-2</v>
      </c>
      <c r="P59" s="1084">
        <f t="shared" si="61"/>
        <v>5.1771117166212521E-2</v>
      </c>
      <c r="Q59" s="1084">
        <f t="shared" si="61"/>
        <v>5.4404145077720178E-2</v>
      </c>
      <c r="R59" s="1084">
        <f t="shared" si="61"/>
        <v>3.9312039312039415E-2</v>
      </c>
      <c r="S59" s="1082">
        <f t="shared" si="61"/>
        <v>2.6004728132387633E-2</v>
      </c>
      <c r="T59" s="1082">
        <f t="shared" si="61"/>
        <v>1.1520737327188835E-2</v>
      </c>
      <c r="U59" s="1082">
        <f t="shared" si="61"/>
        <v>9.1116173120728838E-3</v>
      </c>
      <c r="V59" s="1082">
        <f t="shared" si="61"/>
        <v>2.483069977426644E-2</v>
      </c>
      <c r="W59" s="1083">
        <f t="shared" si="61"/>
        <v>2.6431718061673992E-2</v>
      </c>
      <c r="X59" s="1084">
        <f t="shared" si="61"/>
        <v>4.7210300429184615E-2</v>
      </c>
      <c r="Y59" s="1084">
        <f t="shared" si="61"/>
        <v>5.5327868852458995E-2</v>
      </c>
      <c r="Z59" s="1083">
        <f t="shared" si="61"/>
        <v>7.1844660194174681E-2</v>
      </c>
      <c r="AA59" s="1082">
        <f t="shared" si="61"/>
        <v>4.3478260869565188E-2</v>
      </c>
      <c r="AB59" s="1082">
        <f t="shared" si="61"/>
        <v>4.3402777777777679E-2</v>
      </c>
      <c r="AC59" s="1082">
        <f t="shared" si="61"/>
        <v>5.8236272878535722E-2</v>
      </c>
      <c r="AD59" s="1082">
        <f t="shared" si="61"/>
        <v>2.8301886792452935E-2</v>
      </c>
      <c r="AE59" s="1270">
        <f t="shared" si="61"/>
        <v>3.0581039755351647E-2</v>
      </c>
      <c r="AF59" s="1270">
        <f t="shared" si="61"/>
        <v>2.8189910979228516E-2</v>
      </c>
      <c r="AG59" s="1270">
        <f t="shared" si="61"/>
        <v>2.5974025974025983E-2</v>
      </c>
      <c r="AH59" s="1270">
        <f t="shared" si="61"/>
        <v>2.1097046413502074E-2</v>
      </c>
      <c r="AI59" s="1082">
        <f t="shared" si="61"/>
        <v>2.2038567493112948E-2</v>
      </c>
      <c r="AJ59" s="1271">
        <v>0.02</v>
      </c>
      <c r="AK59" s="1271">
        <v>0.02</v>
      </c>
      <c r="AL59" s="1271">
        <v>0.02</v>
      </c>
      <c r="AM59" s="1272">
        <v>1.4999999999999999E-2</v>
      </c>
      <c r="AN59" s="1272">
        <v>1.4999999999999999E-2</v>
      </c>
      <c r="AO59" s="1272">
        <v>1.4999999999999999E-2</v>
      </c>
      <c r="AP59" s="1272">
        <v>1.4999999999999999E-2</v>
      </c>
      <c r="AQ59" s="1088"/>
      <c r="AS59" s="1273"/>
      <c r="AT59" s="1274"/>
      <c r="AU59" s="1275"/>
      <c r="AV59" s="1273"/>
      <c r="AW59" s="1273"/>
      <c r="AX59" s="1275"/>
      <c r="AY59" s="1276"/>
      <c r="AZ59" s="1276"/>
      <c r="BA59" s="1277"/>
      <c r="BB59" s="1278"/>
      <c r="BC59" s="1277"/>
    </row>
    <row r="60" spans="1:55" ht="10.15" x14ac:dyDescent="0.3">
      <c r="A60" s="830"/>
      <c r="B60" s="886" t="s">
        <v>761</v>
      </c>
      <c r="C60" s="887"/>
      <c r="D60" s="1082"/>
      <c r="E60" s="1082"/>
      <c r="F60" s="1082"/>
      <c r="G60" s="1084">
        <f t="shared" ref="G60:AP60" si="62">G57/C57-1</f>
        <v>0.39097744360902253</v>
      </c>
      <c r="H60" s="1084">
        <f t="shared" si="62"/>
        <v>0.39310344827586197</v>
      </c>
      <c r="I60" s="1084">
        <f t="shared" si="62"/>
        <v>0.44375000000000009</v>
      </c>
      <c r="J60" s="1084">
        <f t="shared" si="62"/>
        <v>0.48255813953488369</v>
      </c>
      <c r="K60" s="1082">
        <f t="shared" si="62"/>
        <v>0.50810810810810803</v>
      </c>
      <c r="L60" s="1082">
        <f t="shared" si="62"/>
        <v>0.51980198019801982</v>
      </c>
      <c r="M60" s="1082">
        <f t="shared" si="62"/>
        <v>0.44588744588744578</v>
      </c>
      <c r="N60" s="1082">
        <f t="shared" si="62"/>
        <v>0.37254901960784315</v>
      </c>
      <c r="O60" s="1134">
        <f t="shared" si="62"/>
        <v>0.31541218637992841</v>
      </c>
      <c r="P60" s="1134">
        <f t="shared" si="62"/>
        <v>0.25732899022801292</v>
      </c>
      <c r="Q60" s="1134">
        <f t="shared" si="62"/>
        <v>0.2185628742514969</v>
      </c>
      <c r="R60" s="1134">
        <f t="shared" si="62"/>
        <v>0.20857142857142863</v>
      </c>
      <c r="S60" s="1082">
        <f t="shared" si="62"/>
        <v>0.18256130790190728</v>
      </c>
      <c r="T60" s="1082">
        <f t="shared" si="62"/>
        <v>0.13730569948186533</v>
      </c>
      <c r="U60" s="1082">
        <f t="shared" si="62"/>
        <v>8.8452088452088518E-2</v>
      </c>
      <c r="V60" s="1082">
        <f t="shared" si="62"/>
        <v>7.328605200945626E-2</v>
      </c>
      <c r="W60" s="1083">
        <f t="shared" si="62"/>
        <v>7.3732718894009119E-2</v>
      </c>
      <c r="X60" s="1083">
        <f t="shared" si="62"/>
        <v>0.11161731207289294</v>
      </c>
      <c r="Y60" s="1083">
        <f t="shared" si="62"/>
        <v>0.16252821670428896</v>
      </c>
      <c r="Z60" s="1083">
        <f t="shared" si="62"/>
        <v>0.21585903083700431</v>
      </c>
      <c r="AA60" s="1082">
        <f t="shared" si="62"/>
        <v>0.23605150214592285</v>
      </c>
      <c r="AB60" s="1082">
        <f t="shared" si="62"/>
        <v>0.23155737704918034</v>
      </c>
      <c r="AC60" s="1082">
        <f t="shared" si="62"/>
        <v>0.2349514563106796</v>
      </c>
      <c r="AD60" s="1082">
        <f t="shared" si="62"/>
        <v>0.18478260869565211</v>
      </c>
      <c r="AE60" s="1083">
        <f t="shared" si="62"/>
        <v>0.17013888888888884</v>
      </c>
      <c r="AF60" s="1083">
        <f t="shared" si="62"/>
        <v>0.15307820299500841</v>
      </c>
      <c r="AG60" s="1083">
        <f t="shared" si="62"/>
        <v>0.11792452830188682</v>
      </c>
      <c r="AH60" s="1083">
        <f t="shared" si="62"/>
        <v>0.11009174311926606</v>
      </c>
      <c r="AI60" s="1082">
        <f t="shared" si="62"/>
        <v>0.10089020771513346</v>
      </c>
      <c r="AJ60" s="1082">
        <f t="shared" si="62"/>
        <v>9.212121212121227E-2</v>
      </c>
      <c r="AK60" s="1082">
        <f t="shared" si="62"/>
        <v>8.5762025316455714E-2</v>
      </c>
      <c r="AL60" s="1082">
        <f t="shared" si="62"/>
        <v>8.4595504132231492E-2</v>
      </c>
      <c r="AM60" s="1083">
        <f t="shared" si="62"/>
        <v>7.7126119999999965E-2</v>
      </c>
      <c r="AN60" s="1083">
        <f t="shared" si="62"/>
        <v>7.1846089999999752E-2</v>
      </c>
      <c r="AO60" s="1083">
        <f t="shared" si="62"/>
        <v>6.6591942499999668E-2</v>
      </c>
      <c r="AP60" s="1083">
        <f t="shared" si="62"/>
        <v>6.136355062499943E-2</v>
      </c>
      <c r="AQ60" s="1088"/>
      <c r="AS60" s="1273">
        <f t="shared" ref="AS60:BA60" si="63">AS57/AR57-1</f>
        <v>0.48255813953488369</v>
      </c>
      <c r="AT60" s="1274">
        <f t="shared" si="63"/>
        <v>0.37254901960784315</v>
      </c>
      <c r="AU60" s="1275">
        <f t="shared" si="63"/>
        <v>0.20857142857142863</v>
      </c>
      <c r="AV60" s="1273">
        <f t="shared" si="63"/>
        <v>7.328605200945626E-2</v>
      </c>
      <c r="AW60" s="1273">
        <f t="shared" si="63"/>
        <v>0.21585903083700431</v>
      </c>
      <c r="AX60" s="1275">
        <f t="shared" si="63"/>
        <v>0.18478260869565211</v>
      </c>
      <c r="AY60" s="1279">
        <f t="shared" si="63"/>
        <v>0.11009174311926606</v>
      </c>
      <c r="AZ60" s="1280">
        <f t="shared" si="63"/>
        <v>8.4595504132231492E-2</v>
      </c>
      <c r="BA60" s="1281">
        <f t="shared" si="63"/>
        <v>6.136355062499943E-2</v>
      </c>
      <c r="BB60" s="1278">
        <v>0.05</v>
      </c>
      <c r="BC60" s="1277">
        <v>0.04</v>
      </c>
    </row>
    <row r="61" spans="1:55" x14ac:dyDescent="0.35">
      <c r="A61" s="1282" t="s">
        <v>789</v>
      </c>
      <c r="B61" s="1283" t="s">
        <v>790</v>
      </c>
      <c r="C61" s="887"/>
      <c r="D61" s="1284">
        <f t="shared" ref="D61:AP61" si="64">(-D339-D385)/D58</f>
        <v>81.166666666666671</v>
      </c>
      <c r="E61" s="1285">
        <f t="shared" si="64"/>
        <v>83.266666666666666</v>
      </c>
      <c r="F61" s="1285">
        <f t="shared" si="64"/>
        <v>43.416666666666664</v>
      </c>
      <c r="G61" s="1286">
        <f t="shared" si="64"/>
        <v>52.230769230769234</v>
      </c>
      <c r="H61" s="1286">
        <f t="shared" si="64"/>
        <v>35.294117647058826</v>
      </c>
      <c r="I61" s="1286">
        <f t="shared" si="64"/>
        <v>63.517241379310342</v>
      </c>
      <c r="J61" s="1286">
        <f t="shared" si="64"/>
        <v>51.458333333333336</v>
      </c>
      <c r="K61" s="1285">
        <f t="shared" si="64"/>
        <v>47.916666666666664</v>
      </c>
      <c r="L61" s="1285">
        <f t="shared" si="64"/>
        <v>56.285714285714285</v>
      </c>
      <c r="M61" s="1285">
        <f t="shared" si="64"/>
        <v>97</v>
      </c>
      <c r="N61" s="1285">
        <f t="shared" si="64"/>
        <v>120.8125</v>
      </c>
      <c r="O61" s="1287">
        <f t="shared" si="64"/>
        <v>102.58823529411765</v>
      </c>
      <c r="P61" s="1287">
        <f t="shared" si="64"/>
        <v>113.73684210526316</v>
      </c>
      <c r="Q61" s="1287">
        <f t="shared" si="64"/>
        <v>149.95238095238096</v>
      </c>
      <c r="R61" s="1287">
        <f t="shared" si="64"/>
        <v>143.125</v>
      </c>
      <c r="S61" s="1285">
        <f t="shared" si="64"/>
        <v>287.90909090909093</v>
      </c>
      <c r="T61" s="1285">
        <f t="shared" si="64"/>
        <v>680</v>
      </c>
      <c r="U61" s="1285">
        <f t="shared" si="64"/>
        <v>1026</v>
      </c>
      <c r="V61" s="1285">
        <f t="shared" si="64"/>
        <v>351.90909090909093</v>
      </c>
      <c r="W61" s="1288">
        <f t="shared" si="64"/>
        <v>371.16666666666669</v>
      </c>
      <c r="X61" s="1288">
        <f t="shared" si="64"/>
        <v>262.04545454545456</v>
      </c>
      <c r="Y61" s="1288">
        <f t="shared" si="64"/>
        <v>299</v>
      </c>
      <c r="Z61" s="1288">
        <f t="shared" si="64"/>
        <v>188.37837837837839</v>
      </c>
      <c r="AA61" s="1285">
        <f t="shared" si="64"/>
        <v>285.75</v>
      </c>
      <c r="AB61" s="1285">
        <f t="shared" si="64"/>
        <v>334.4</v>
      </c>
      <c r="AC61" s="1285">
        <f t="shared" si="64"/>
        <v>321.8857142857143</v>
      </c>
      <c r="AD61" s="1285">
        <f t="shared" si="64"/>
        <v>493.61111111111109</v>
      </c>
      <c r="AE61" s="1288">
        <f t="shared" si="64"/>
        <v>491.8</v>
      </c>
      <c r="AF61" s="1288">
        <f t="shared" si="64"/>
        <v>579.26315789473688</v>
      </c>
      <c r="AG61" s="1288">
        <f t="shared" si="64"/>
        <v>824.38888888888891</v>
      </c>
      <c r="AH61" s="1288">
        <f t="shared" si="64"/>
        <v>744.13333333333333</v>
      </c>
      <c r="AI61" s="1285">
        <f t="shared" si="64"/>
        <v>807.125</v>
      </c>
      <c r="AJ61" s="1285">
        <f t="shared" si="64"/>
        <v>944.56770598509479</v>
      </c>
      <c r="AK61" s="1285">
        <f t="shared" si="64"/>
        <v>1217.6820622455889</v>
      </c>
      <c r="AL61" s="1285">
        <f t="shared" si="64"/>
        <v>861.92256053812616</v>
      </c>
      <c r="AM61" s="1288">
        <f t="shared" si="64"/>
        <v>1380.8563387616396</v>
      </c>
      <c r="AN61" s="1288">
        <f t="shared" si="64"/>
        <v>1389.9997018952163</v>
      </c>
      <c r="AO61" s="1288">
        <f t="shared" si="64"/>
        <v>1884.2173998330225</v>
      </c>
      <c r="AP61" s="1288">
        <f t="shared" si="64"/>
        <v>1284.8280681151987</v>
      </c>
      <c r="AQ61" s="1289"/>
      <c r="AR61" s="1290"/>
      <c r="AS61" s="1291">
        <f t="shared" ref="AS61:BC61" si="65">(-AS339-AS385)/AS58</f>
        <v>52.481927710843372</v>
      </c>
      <c r="AT61" s="1292">
        <f t="shared" si="65"/>
        <v>76.610526315789471</v>
      </c>
      <c r="AU61" s="1293">
        <f t="shared" si="65"/>
        <v>128</v>
      </c>
      <c r="AV61" s="1291">
        <f t="shared" si="65"/>
        <v>469.09677419354841</v>
      </c>
      <c r="AW61" s="1291">
        <f t="shared" si="65"/>
        <v>257.77551020408163</v>
      </c>
      <c r="AX61" s="1293">
        <f t="shared" si="65"/>
        <v>346.75490196078431</v>
      </c>
      <c r="AY61" s="1294">
        <f t="shared" si="65"/>
        <v>650.59722222222217</v>
      </c>
      <c r="AZ61" s="1294">
        <f t="shared" si="65"/>
        <v>955.29761005701175</v>
      </c>
      <c r="BA61" s="1295">
        <f t="shared" si="65"/>
        <v>1434.8567106383371</v>
      </c>
      <c r="BB61" s="1296">
        <f t="shared" si="65"/>
        <v>1994.535387918369</v>
      </c>
      <c r="BC61" s="1295">
        <f t="shared" si="65"/>
        <v>2805.9623564050639</v>
      </c>
    </row>
    <row r="62" spans="1:55" outlineLevel="1" x14ac:dyDescent="0.35">
      <c r="A62" s="903" t="s">
        <v>757</v>
      </c>
      <c r="B62" s="1283" t="s">
        <v>791</v>
      </c>
      <c r="C62" s="1297">
        <v>35</v>
      </c>
      <c r="D62" s="1284"/>
      <c r="E62" s="1285"/>
      <c r="F62" s="1285"/>
      <c r="G62" s="1286">
        <v>45</v>
      </c>
      <c r="H62" s="1286"/>
      <c r="I62" s="1286"/>
      <c r="J62" s="1286"/>
      <c r="K62" s="1285">
        <v>52</v>
      </c>
      <c r="L62" s="1285"/>
      <c r="M62" s="1285"/>
      <c r="N62" s="1285"/>
      <c r="O62" s="1287"/>
      <c r="P62" s="1287"/>
      <c r="Q62" s="1287"/>
      <c r="R62" s="1287"/>
      <c r="S62" s="1285"/>
      <c r="T62" s="1285"/>
      <c r="U62" s="1285"/>
      <c r="V62" s="1285"/>
      <c r="W62" s="1288"/>
      <c r="X62" s="1288"/>
      <c r="Y62" s="1288"/>
      <c r="Z62" s="1288"/>
      <c r="AA62" s="1285"/>
      <c r="AB62" s="1285"/>
      <c r="AC62" s="1285"/>
      <c r="AD62" s="1285"/>
      <c r="AE62" s="1288"/>
      <c r="AF62" s="1288"/>
      <c r="AG62" s="1288"/>
      <c r="AH62" s="1288"/>
      <c r="AI62" s="1285"/>
      <c r="AJ62" s="1285"/>
      <c r="AK62" s="1285"/>
      <c r="AL62" s="1285"/>
      <c r="AM62" s="1288"/>
      <c r="AN62" s="1288"/>
      <c r="AO62" s="1288"/>
      <c r="AP62" s="1288"/>
      <c r="AQ62" s="1289">
        <v>34</v>
      </c>
      <c r="AR62" s="1290">
        <v>44</v>
      </c>
      <c r="AS62" s="1291">
        <v>51</v>
      </c>
      <c r="AT62" s="1298">
        <v>65</v>
      </c>
      <c r="AU62" s="1299">
        <v>76</v>
      </c>
      <c r="AV62" s="1291">
        <v>85</v>
      </c>
      <c r="AW62" s="1291">
        <v>90</v>
      </c>
      <c r="AX62" s="1299">
        <v>93</v>
      </c>
      <c r="AY62" s="1300">
        <v>98</v>
      </c>
      <c r="AZ62" s="1300">
        <v>102</v>
      </c>
      <c r="BA62" s="1301">
        <v>105</v>
      </c>
      <c r="BB62" s="1302">
        <v>106</v>
      </c>
      <c r="BC62" s="1301">
        <v>107</v>
      </c>
    </row>
    <row r="63" spans="1:55" outlineLevel="1" x14ac:dyDescent="0.35">
      <c r="A63" s="1213"/>
      <c r="B63" s="1283" t="s">
        <v>792</v>
      </c>
      <c r="C63" s="887"/>
      <c r="D63" s="1284"/>
      <c r="E63" s="1285"/>
      <c r="F63" s="1285"/>
      <c r="G63" s="1286"/>
      <c r="H63" s="1286"/>
      <c r="I63" s="1286"/>
      <c r="J63" s="1286"/>
      <c r="K63" s="1285"/>
      <c r="L63" s="1285"/>
      <c r="M63" s="1285"/>
      <c r="N63" s="1285"/>
      <c r="O63" s="1287"/>
      <c r="P63" s="1287"/>
      <c r="Q63" s="1287"/>
      <c r="R63" s="1287"/>
      <c r="S63" s="1285"/>
      <c r="T63" s="1285"/>
      <c r="U63" s="1285"/>
      <c r="V63" s="1285"/>
      <c r="W63" s="1288"/>
      <c r="X63" s="1288"/>
      <c r="Y63" s="1288"/>
      <c r="Z63" s="1288"/>
      <c r="AA63" s="1285"/>
      <c r="AB63" s="1285"/>
      <c r="AC63" s="1285"/>
      <c r="AD63" s="1285"/>
      <c r="AE63" s="1288"/>
      <c r="AF63" s="1288"/>
      <c r="AG63" s="1288"/>
      <c r="AH63" s="1288"/>
      <c r="AI63" s="1285"/>
      <c r="AJ63" s="1285"/>
      <c r="AK63" s="1285"/>
      <c r="AL63" s="1285"/>
      <c r="AM63" s="1288"/>
      <c r="AN63" s="1288"/>
      <c r="AO63" s="1288"/>
      <c r="AP63" s="1288"/>
      <c r="AQ63" s="1289"/>
      <c r="AR63" s="1290">
        <f t="shared" ref="AR63:BC63" si="66">AR15/AR57*1000</f>
        <v>6262.6104651162796</v>
      </c>
      <c r="AS63" s="1291">
        <f t="shared" si="66"/>
        <v>6578.7725490196071</v>
      </c>
      <c r="AT63" s="1292">
        <f t="shared" si="66"/>
        <v>6982.3828571428567</v>
      </c>
      <c r="AU63" s="1293">
        <f t="shared" si="66"/>
        <v>7309.6926713947996</v>
      </c>
      <c r="AV63" s="1291">
        <f t="shared" si="66"/>
        <v>8297.7863436123334</v>
      </c>
      <c r="AW63" s="1291">
        <f t="shared" si="66"/>
        <v>8731.9801086956522</v>
      </c>
      <c r="AX63" s="1293">
        <f t="shared" si="66"/>
        <v>8756.880733944954</v>
      </c>
      <c r="AY63" s="1303">
        <f t="shared" si="66"/>
        <v>9075.757575757576</v>
      </c>
      <c r="AZ63" s="1303">
        <f t="shared" si="66"/>
        <v>9888.641827723397</v>
      </c>
      <c r="BA63" s="1304">
        <f t="shared" si="66"/>
        <v>10628.118977150851</v>
      </c>
      <c r="BB63" s="1305">
        <f t="shared" si="66"/>
        <v>11435.814717046929</v>
      </c>
      <c r="BC63" s="1304">
        <f t="shared" si="66"/>
        <v>12280.036107185342</v>
      </c>
    </row>
    <row r="64" spans="1:55" s="1322" customFormat="1" ht="12.75" x14ac:dyDescent="0.35">
      <c r="A64" s="903" t="s">
        <v>768</v>
      </c>
      <c r="B64" s="1306" t="s">
        <v>793</v>
      </c>
      <c r="C64" s="1307"/>
      <c r="D64" s="1307"/>
      <c r="E64" s="1307"/>
      <c r="F64" s="1307"/>
      <c r="G64" s="1308"/>
      <c r="H64" s="1309">
        <v>91</v>
      </c>
      <c r="I64" s="1309">
        <v>136</v>
      </c>
      <c r="J64" s="1309">
        <v>163</v>
      </c>
      <c r="K64" s="1310">
        <v>188</v>
      </c>
      <c r="L64" s="1310">
        <v>217</v>
      </c>
      <c r="M64" s="1310">
        <v>265</v>
      </c>
      <c r="N64" s="1310">
        <v>289</v>
      </c>
      <c r="O64" s="1311">
        <v>307</v>
      </c>
      <c r="P64" s="1311">
        <v>346</v>
      </c>
      <c r="Q64" s="1311">
        <v>393</v>
      </c>
      <c r="R64" s="1311">
        <v>410</v>
      </c>
      <c r="S64" s="1310">
        <v>427</v>
      </c>
      <c r="T64" s="1310">
        <v>450</v>
      </c>
      <c r="U64" s="1310">
        <v>493</v>
      </c>
      <c r="V64" s="1310">
        <v>507</v>
      </c>
      <c r="W64" s="1309">
        <v>529</v>
      </c>
      <c r="X64" s="1309">
        <v>549</v>
      </c>
      <c r="Y64" s="1309">
        <v>580</v>
      </c>
      <c r="Z64" s="1309">
        <v>617</v>
      </c>
      <c r="AA64" s="1310">
        <v>634</v>
      </c>
      <c r="AB64" s="1310">
        <v>666</v>
      </c>
      <c r="AC64" s="1310">
        <v>699</v>
      </c>
      <c r="AD64" s="1310">
        <v>721</v>
      </c>
      <c r="AE64" s="1309">
        <v>755</v>
      </c>
      <c r="AF64" s="1309">
        <v>785</v>
      </c>
      <c r="AG64" s="1309">
        <v>824</v>
      </c>
      <c r="AH64" s="1309">
        <v>846</v>
      </c>
      <c r="AI64" s="1310">
        <v>874</v>
      </c>
      <c r="AJ64" s="1310">
        <f t="shared" ref="AJ64:AP64" si="67">AF64*(1+AJ67)</f>
        <v>894.90000000000009</v>
      </c>
      <c r="AK64" s="1310">
        <f t="shared" si="67"/>
        <v>918.76</v>
      </c>
      <c r="AL64" s="1310">
        <f t="shared" si="67"/>
        <v>930.6</v>
      </c>
      <c r="AM64" s="1309">
        <f t="shared" si="67"/>
        <v>952.66000000000008</v>
      </c>
      <c r="AN64" s="1309">
        <f t="shared" si="67"/>
        <v>970.96650000000011</v>
      </c>
      <c r="AO64" s="1309">
        <f t="shared" si="67"/>
        <v>992.26080000000002</v>
      </c>
      <c r="AP64" s="1309">
        <f t="shared" si="67"/>
        <v>1005.0480000000001</v>
      </c>
      <c r="AQ64" s="1312"/>
      <c r="AR64" s="1313"/>
      <c r="AS64" s="1314">
        <f>J64</f>
        <v>163</v>
      </c>
      <c r="AT64" s="1315">
        <f>N64</f>
        <v>289</v>
      </c>
      <c r="AU64" s="1316">
        <f>R64</f>
        <v>410</v>
      </c>
      <c r="AV64" s="1314">
        <f>V64</f>
        <v>507</v>
      </c>
      <c r="AW64" s="1317">
        <f>Z64</f>
        <v>617</v>
      </c>
      <c r="AX64" s="1318">
        <f>AD64</f>
        <v>721</v>
      </c>
      <c r="AY64" s="1319">
        <f>AH64</f>
        <v>846</v>
      </c>
      <c r="AZ64" s="1319">
        <f>AL64</f>
        <v>930.6</v>
      </c>
      <c r="BA64" s="1320">
        <f>AP64</f>
        <v>1005.0480000000001</v>
      </c>
      <c r="BB64" s="1321">
        <f>BA64*(1+BB67)</f>
        <v>1055.3004000000001</v>
      </c>
      <c r="BC64" s="1320">
        <f>BB64*(1+BC67)</f>
        <v>1086.9594120000002</v>
      </c>
    </row>
    <row r="65" spans="1:55" s="1269" customFormat="1" x14ac:dyDescent="0.35">
      <c r="A65" s="787"/>
      <c r="B65" s="1260" t="s">
        <v>794</v>
      </c>
      <c r="C65" s="1261"/>
      <c r="D65" s="1261">
        <f t="shared" ref="D65:AP65" si="68">D64-C64</f>
        <v>0</v>
      </c>
      <c r="E65" s="1261">
        <f t="shared" si="68"/>
        <v>0</v>
      </c>
      <c r="F65" s="1261">
        <f t="shared" si="68"/>
        <v>0</v>
      </c>
      <c r="G65" s="1262">
        <f t="shared" si="68"/>
        <v>0</v>
      </c>
      <c r="H65" s="1262">
        <f t="shared" si="68"/>
        <v>91</v>
      </c>
      <c r="I65" s="1262">
        <f t="shared" si="68"/>
        <v>45</v>
      </c>
      <c r="J65" s="1262">
        <f t="shared" si="68"/>
        <v>27</v>
      </c>
      <c r="K65" s="1261">
        <f t="shared" si="68"/>
        <v>25</v>
      </c>
      <c r="L65" s="1261">
        <f t="shared" si="68"/>
        <v>29</v>
      </c>
      <c r="M65" s="1261">
        <f t="shared" si="68"/>
        <v>48</v>
      </c>
      <c r="N65" s="1261">
        <f t="shared" si="68"/>
        <v>24</v>
      </c>
      <c r="O65" s="1263">
        <f t="shared" si="68"/>
        <v>18</v>
      </c>
      <c r="P65" s="1262">
        <f t="shared" si="68"/>
        <v>39</v>
      </c>
      <c r="Q65" s="1262">
        <f t="shared" si="68"/>
        <v>47</v>
      </c>
      <c r="R65" s="1264">
        <f t="shared" si="68"/>
        <v>17</v>
      </c>
      <c r="S65" s="1265">
        <f t="shared" si="68"/>
        <v>17</v>
      </c>
      <c r="T65" s="1265">
        <f t="shared" si="68"/>
        <v>23</v>
      </c>
      <c r="U65" s="1265">
        <f t="shared" si="68"/>
        <v>43</v>
      </c>
      <c r="V65" s="1265">
        <f t="shared" si="68"/>
        <v>14</v>
      </c>
      <c r="W65" s="1264">
        <f t="shared" si="68"/>
        <v>22</v>
      </c>
      <c r="X65" s="1264">
        <f t="shared" si="68"/>
        <v>20</v>
      </c>
      <c r="Y65" s="1264">
        <f t="shared" si="68"/>
        <v>31</v>
      </c>
      <c r="Z65" s="1264">
        <f t="shared" si="68"/>
        <v>37</v>
      </c>
      <c r="AA65" s="1265">
        <f t="shared" si="68"/>
        <v>17</v>
      </c>
      <c r="AB65" s="1265">
        <f t="shared" si="68"/>
        <v>32</v>
      </c>
      <c r="AC65" s="1265">
        <f t="shared" si="68"/>
        <v>33</v>
      </c>
      <c r="AD65" s="1265">
        <f t="shared" si="68"/>
        <v>22</v>
      </c>
      <c r="AE65" s="1266">
        <f t="shared" si="68"/>
        <v>34</v>
      </c>
      <c r="AF65" s="1264">
        <f t="shared" si="68"/>
        <v>30</v>
      </c>
      <c r="AG65" s="1264">
        <f t="shared" si="68"/>
        <v>39</v>
      </c>
      <c r="AH65" s="1264">
        <f t="shared" si="68"/>
        <v>22</v>
      </c>
      <c r="AI65" s="1265">
        <f t="shared" si="68"/>
        <v>28</v>
      </c>
      <c r="AJ65" s="1265">
        <f t="shared" si="68"/>
        <v>20.900000000000091</v>
      </c>
      <c r="AK65" s="1265">
        <f t="shared" si="68"/>
        <v>23.8599999999999</v>
      </c>
      <c r="AL65" s="1265">
        <f t="shared" si="68"/>
        <v>11.840000000000032</v>
      </c>
      <c r="AM65" s="1264">
        <f t="shared" si="68"/>
        <v>22.060000000000059</v>
      </c>
      <c r="AN65" s="1264">
        <f t="shared" si="68"/>
        <v>18.306500000000028</v>
      </c>
      <c r="AO65" s="1264">
        <f t="shared" si="68"/>
        <v>21.294299999999907</v>
      </c>
      <c r="AP65" s="1264">
        <f t="shared" si="68"/>
        <v>12.787200000000098</v>
      </c>
      <c r="AQ65" s="1267"/>
      <c r="AR65" s="1264"/>
      <c r="AS65" s="1264">
        <f t="shared" ref="AS65:BC65" si="69">AS64-AR64</f>
        <v>163</v>
      </c>
      <c r="AT65" s="1268">
        <f t="shared" si="69"/>
        <v>126</v>
      </c>
      <c r="AU65" s="1267">
        <f t="shared" si="69"/>
        <v>121</v>
      </c>
      <c r="AV65" s="1264">
        <f t="shared" si="69"/>
        <v>97</v>
      </c>
      <c r="AW65" s="1264">
        <f t="shared" si="69"/>
        <v>110</v>
      </c>
      <c r="AX65" s="1267">
        <f t="shared" si="69"/>
        <v>104</v>
      </c>
      <c r="AY65" s="1264">
        <f t="shared" si="69"/>
        <v>125</v>
      </c>
      <c r="AZ65" s="1264">
        <f t="shared" si="69"/>
        <v>84.600000000000023</v>
      </c>
      <c r="BA65" s="1268">
        <f t="shared" si="69"/>
        <v>74.448000000000093</v>
      </c>
      <c r="BB65" s="1267">
        <f t="shared" si="69"/>
        <v>50.252399999999966</v>
      </c>
      <c r="BC65" s="1268">
        <f t="shared" si="69"/>
        <v>31.659012000000075</v>
      </c>
    </row>
    <row r="66" spans="1:55" ht="10.15" x14ac:dyDescent="0.3">
      <c r="A66" s="1323"/>
      <c r="B66" s="886" t="s">
        <v>750</v>
      </c>
      <c r="C66" s="887"/>
      <c r="D66" s="1082"/>
      <c r="E66" s="1082"/>
      <c r="F66" s="1082"/>
      <c r="G66" s="1084"/>
      <c r="H66" s="1084"/>
      <c r="I66" s="1084"/>
      <c r="J66" s="1084"/>
      <c r="K66" s="1082">
        <f t="shared" ref="K66:AP66" si="70">K64/J64-1</f>
        <v>0.15337423312883436</v>
      </c>
      <c r="L66" s="1082">
        <f t="shared" si="70"/>
        <v>0.1542553191489362</v>
      </c>
      <c r="M66" s="1082">
        <f t="shared" si="70"/>
        <v>0.22119815668202758</v>
      </c>
      <c r="N66" s="1082">
        <f t="shared" si="70"/>
        <v>9.0566037735849036E-2</v>
      </c>
      <c r="O66" s="1084">
        <f t="shared" si="70"/>
        <v>6.2283737024221519E-2</v>
      </c>
      <c r="P66" s="1084">
        <f t="shared" si="70"/>
        <v>0.12703583061889256</v>
      </c>
      <c r="Q66" s="1084">
        <f t="shared" si="70"/>
        <v>0.13583815028901736</v>
      </c>
      <c r="R66" s="1084">
        <f t="shared" si="70"/>
        <v>4.3256997455470847E-2</v>
      </c>
      <c r="S66" s="1082">
        <f t="shared" si="70"/>
        <v>4.1463414634146378E-2</v>
      </c>
      <c r="T66" s="1082">
        <f t="shared" si="70"/>
        <v>5.3864168618267039E-2</v>
      </c>
      <c r="U66" s="1082">
        <f t="shared" si="70"/>
        <v>9.5555555555555616E-2</v>
      </c>
      <c r="V66" s="1082">
        <f t="shared" si="70"/>
        <v>2.8397565922920975E-2</v>
      </c>
      <c r="W66" s="1083">
        <f t="shared" si="70"/>
        <v>4.3392504930966469E-2</v>
      </c>
      <c r="X66" s="1083">
        <f t="shared" si="70"/>
        <v>3.7807183364839236E-2</v>
      </c>
      <c r="Y66" s="1083">
        <f t="shared" si="70"/>
        <v>5.6466302367941701E-2</v>
      </c>
      <c r="Z66" s="1083">
        <f t="shared" si="70"/>
        <v>6.3793103448275934E-2</v>
      </c>
      <c r="AA66" s="1082">
        <f t="shared" si="70"/>
        <v>2.7552674230145957E-2</v>
      </c>
      <c r="AB66" s="1082">
        <f t="shared" si="70"/>
        <v>5.0473186119873725E-2</v>
      </c>
      <c r="AC66" s="1082">
        <f t="shared" si="70"/>
        <v>4.9549549549549488E-2</v>
      </c>
      <c r="AD66" s="1082">
        <f t="shared" si="70"/>
        <v>3.1473533619456262E-2</v>
      </c>
      <c r="AE66" s="1270">
        <f t="shared" si="70"/>
        <v>4.7156726768377233E-2</v>
      </c>
      <c r="AF66" s="1083">
        <f t="shared" si="70"/>
        <v>3.9735099337748325E-2</v>
      </c>
      <c r="AG66" s="1083">
        <f t="shared" si="70"/>
        <v>4.9681528662420371E-2</v>
      </c>
      <c r="AH66" s="1083">
        <f t="shared" si="70"/>
        <v>2.6699029126213691E-2</v>
      </c>
      <c r="AI66" s="1082">
        <f t="shared" si="70"/>
        <v>3.3096926713948038E-2</v>
      </c>
      <c r="AJ66" s="1082">
        <f t="shared" si="70"/>
        <v>2.3913043478261065E-2</v>
      </c>
      <c r="AK66" s="1082">
        <f t="shared" si="70"/>
        <v>2.6662196893507462E-2</v>
      </c>
      <c r="AL66" s="1082">
        <f t="shared" si="70"/>
        <v>1.2886934563977492E-2</v>
      </c>
      <c r="AM66" s="1083">
        <f t="shared" si="70"/>
        <v>2.3705136471094068E-2</v>
      </c>
      <c r="AN66" s="1083">
        <f t="shared" si="70"/>
        <v>1.9216194654966046E-2</v>
      </c>
      <c r="AO66" s="1083">
        <f t="shared" si="70"/>
        <v>2.1931034695841678E-2</v>
      </c>
      <c r="AP66" s="1083">
        <f t="shared" si="70"/>
        <v>1.2886934563977714E-2</v>
      </c>
      <c r="AQ66" s="1088"/>
      <c r="AT66" s="1094"/>
      <c r="AU66" s="1088"/>
      <c r="AX66" s="1088"/>
      <c r="BA66" s="1094"/>
      <c r="BB66" s="1088"/>
      <c r="BC66" s="1094"/>
    </row>
    <row r="67" spans="1:55" ht="10.15" x14ac:dyDescent="0.3">
      <c r="A67" s="787" t="s">
        <v>795</v>
      </c>
      <c r="B67" s="886" t="s">
        <v>761</v>
      </c>
      <c r="C67" s="887"/>
      <c r="D67" s="1082"/>
      <c r="E67" s="1082"/>
      <c r="F67" s="1082"/>
      <c r="G67" s="1084"/>
      <c r="H67" s="1084"/>
      <c r="I67" s="1084"/>
      <c r="J67" s="1084"/>
      <c r="K67" s="1082"/>
      <c r="L67" s="1082">
        <f t="shared" ref="L67:AI67" si="71">L64/H64-1</f>
        <v>1.3846153846153846</v>
      </c>
      <c r="M67" s="1082">
        <f t="shared" si="71"/>
        <v>0.94852941176470584</v>
      </c>
      <c r="N67" s="1082">
        <f t="shared" si="71"/>
        <v>0.77300613496932513</v>
      </c>
      <c r="O67" s="1324">
        <f t="shared" si="71"/>
        <v>0.63297872340425543</v>
      </c>
      <c r="P67" s="1324">
        <f t="shared" si="71"/>
        <v>0.59447004608294929</v>
      </c>
      <c r="Q67" s="1084">
        <f t="shared" si="71"/>
        <v>0.48301886792452819</v>
      </c>
      <c r="R67" s="1084">
        <f t="shared" si="71"/>
        <v>0.41868512110726641</v>
      </c>
      <c r="S67" s="1082">
        <f t="shared" si="71"/>
        <v>0.39087947882736152</v>
      </c>
      <c r="T67" s="1082">
        <f t="shared" si="71"/>
        <v>0.300578034682081</v>
      </c>
      <c r="U67" s="1082">
        <f t="shared" si="71"/>
        <v>0.25445292620865145</v>
      </c>
      <c r="V67" s="1082">
        <f t="shared" si="71"/>
        <v>0.23658536585365852</v>
      </c>
      <c r="W67" s="1083">
        <f t="shared" si="71"/>
        <v>0.23887587822014056</v>
      </c>
      <c r="X67" s="1083">
        <f t="shared" si="71"/>
        <v>0.21999999999999997</v>
      </c>
      <c r="Y67" s="1083">
        <f t="shared" si="71"/>
        <v>0.17647058823529416</v>
      </c>
      <c r="Z67" s="1083">
        <f t="shared" si="71"/>
        <v>0.21696252465483234</v>
      </c>
      <c r="AA67" s="1082">
        <f t="shared" si="71"/>
        <v>0.19848771266540632</v>
      </c>
      <c r="AB67" s="1082">
        <f t="shared" si="71"/>
        <v>0.21311475409836067</v>
      </c>
      <c r="AC67" s="1082">
        <f t="shared" si="71"/>
        <v>0.20517241379310347</v>
      </c>
      <c r="AD67" s="1082">
        <f t="shared" si="71"/>
        <v>0.16855753646677463</v>
      </c>
      <c r="AE67" s="1325">
        <f t="shared" si="71"/>
        <v>0.19085173501577279</v>
      </c>
      <c r="AF67" s="1325">
        <f t="shared" si="71"/>
        <v>0.1786786786786787</v>
      </c>
      <c r="AG67" s="1325">
        <f t="shared" si="71"/>
        <v>0.1788268955650929</v>
      </c>
      <c r="AH67" s="1325">
        <f t="shared" si="71"/>
        <v>0.17337031900138689</v>
      </c>
      <c r="AI67" s="1082">
        <f t="shared" si="71"/>
        <v>0.15761589403973519</v>
      </c>
      <c r="AJ67" s="1135">
        <v>0.14000000000000001</v>
      </c>
      <c r="AK67" s="1135">
        <v>0.115</v>
      </c>
      <c r="AL67" s="1135">
        <v>0.1</v>
      </c>
      <c r="AM67" s="1136">
        <v>0.09</v>
      </c>
      <c r="AN67" s="1136">
        <v>8.5000000000000006E-2</v>
      </c>
      <c r="AO67" s="1136">
        <v>0.08</v>
      </c>
      <c r="AP67" s="1136">
        <v>0.08</v>
      </c>
      <c r="AQ67" s="1088"/>
      <c r="AT67" s="1274">
        <f t="shared" ref="AT67:BA67" si="72">AT64/AS64-1</f>
        <v>0.77300613496932513</v>
      </c>
      <c r="AU67" s="1275">
        <f t="shared" si="72"/>
        <v>0.41868512110726641</v>
      </c>
      <c r="AV67" s="1273">
        <f t="shared" si="72"/>
        <v>0.23658536585365852</v>
      </c>
      <c r="AW67" s="1273">
        <f t="shared" si="72"/>
        <v>0.21696252465483234</v>
      </c>
      <c r="AX67" s="1275">
        <f t="shared" si="72"/>
        <v>0.16855753646677463</v>
      </c>
      <c r="AY67" s="1279">
        <f t="shared" si="72"/>
        <v>0.17337031900138689</v>
      </c>
      <c r="AZ67" s="1280">
        <f t="shared" si="72"/>
        <v>0.10000000000000009</v>
      </c>
      <c r="BA67" s="1281">
        <f t="shared" si="72"/>
        <v>8.0000000000000071E-2</v>
      </c>
      <c r="BB67" s="1278">
        <v>0.05</v>
      </c>
      <c r="BC67" s="1277">
        <v>0.03</v>
      </c>
    </row>
    <row r="68" spans="1:55" ht="10.15" x14ac:dyDescent="0.3">
      <c r="A68" s="1213"/>
      <c r="B68" s="1081" t="s">
        <v>796</v>
      </c>
      <c r="C68" s="887"/>
      <c r="D68" s="888"/>
      <c r="E68" s="888"/>
      <c r="F68" s="888"/>
      <c r="G68" s="890"/>
      <c r="H68" s="890">
        <f t="shared" ref="H68:AP68" si="73">H64/H57</f>
        <v>0.45049504950495051</v>
      </c>
      <c r="I68" s="890">
        <f t="shared" si="73"/>
        <v>0.58874458874458879</v>
      </c>
      <c r="J68" s="890">
        <f t="shared" si="73"/>
        <v>0.63921568627450975</v>
      </c>
      <c r="K68" s="888">
        <f t="shared" si="73"/>
        <v>0.6738351254480287</v>
      </c>
      <c r="L68" s="888">
        <f t="shared" si="73"/>
        <v>0.70684039087947881</v>
      </c>
      <c r="M68" s="888">
        <f t="shared" si="73"/>
        <v>0.79341317365269459</v>
      </c>
      <c r="N68" s="888">
        <f t="shared" si="73"/>
        <v>0.82571428571428573</v>
      </c>
      <c r="O68" s="1134">
        <f t="shared" si="73"/>
        <v>0.8365122615803815</v>
      </c>
      <c r="P68" s="1134">
        <f t="shared" si="73"/>
        <v>0.89637305699481862</v>
      </c>
      <c r="Q68" s="1134">
        <f t="shared" si="73"/>
        <v>0.96560196560196565</v>
      </c>
      <c r="R68" s="1134">
        <f t="shared" si="73"/>
        <v>0.96926713947990539</v>
      </c>
      <c r="S68" s="1326">
        <f t="shared" si="73"/>
        <v>0.9838709677419355</v>
      </c>
      <c r="T68" s="1326">
        <f t="shared" si="73"/>
        <v>1.0250569476082005</v>
      </c>
      <c r="U68" s="1326">
        <f t="shared" si="73"/>
        <v>1.1128668171557563</v>
      </c>
      <c r="V68" s="1327">
        <f t="shared" si="73"/>
        <v>1.1167400881057268</v>
      </c>
      <c r="W68" s="1328">
        <f t="shared" si="73"/>
        <v>1.1351931330472103</v>
      </c>
      <c r="X68" s="1328">
        <f t="shared" si="73"/>
        <v>1.125</v>
      </c>
      <c r="Y68" s="1328">
        <f t="shared" si="73"/>
        <v>1.1262135922330097</v>
      </c>
      <c r="Z68" s="1328">
        <f t="shared" si="73"/>
        <v>1.1177536231884058</v>
      </c>
      <c r="AA68" s="1327">
        <f t="shared" si="73"/>
        <v>1.1006944444444444</v>
      </c>
      <c r="AB68" s="1327">
        <f t="shared" si="73"/>
        <v>1.1081530782029949</v>
      </c>
      <c r="AC68" s="1327">
        <f t="shared" si="73"/>
        <v>1.0990566037735849</v>
      </c>
      <c r="AD68" s="1327">
        <f t="shared" si="73"/>
        <v>1.1024464831804281</v>
      </c>
      <c r="AE68" s="1328">
        <f t="shared" si="73"/>
        <v>1.1201780415430267</v>
      </c>
      <c r="AF68" s="1328">
        <f t="shared" si="73"/>
        <v>1.1327561327561328</v>
      </c>
      <c r="AG68" s="1328">
        <f t="shared" si="73"/>
        <v>1.1589310829817159</v>
      </c>
      <c r="AH68" s="1328">
        <f t="shared" si="73"/>
        <v>1.165289256198347</v>
      </c>
      <c r="AI68" s="1327">
        <f t="shared" si="73"/>
        <v>1.1778975741239892</v>
      </c>
      <c r="AJ68" s="1327">
        <f t="shared" si="73"/>
        <v>1.1824163627715238</v>
      </c>
      <c r="AK68" s="1327">
        <f t="shared" si="73"/>
        <v>1.1901393927900423</v>
      </c>
      <c r="AL68" s="1327">
        <f t="shared" si="73"/>
        <v>1.1818398443793525</v>
      </c>
      <c r="AM68" s="1328">
        <f t="shared" si="73"/>
        <v>1.1919758809628982</v>
      </c>
      <c r="AN68" s="1328">
        <f t="shared" si="73"/>
        <v>1.1969272133157698</v>
      </c>
      <c r="AO68" s="1328">
        <f t="shared" si="73"/>
        <v>1.2051005572013744</v>
      </c>
      <c r="AP68" s="1328">
        <f t="shared" si="73"/>
        <v>1.202591733226642</v>
      </c>
      <c r="AQ68" s="1088"/>
      <c r="AS68" s="1273">
        <f t="shared" ref="AS68:BC68" si="74">AS64/AS57</f>
        <v>0.63921568627450975</v>
      </c>
      <c r="AT68" s="1274">
        <f t="shared" si="74"/>
        <v>0.82571428571428573</v>
      </c>
      <c r="AU68" s="1275">
        <f t="shared" si="74"/>
        <v>0.96926713947990539</v>
      </c>
      <c r="AV68" s="1273">
        <f t="shared" si="74"/>
        <v>1.1167400881057268</v>
      </c>
      <c r="AW68" s="1273">
        <f t="shared" si="74"/>
        <v>1.1177536231884058</v>
      </c>
      <c r="AX68" s="1275">
        <f t="shared" si="74"/>
        <v>1.1024464831804281</v>
      </c>
      <c r="AY68" s="1273">
        <f t="shared" si="74"/>
        <v>1.165289256198347</v>
      </c>
      <c r="AZ68" s="1273">
        <f t="shared" si="74"/>
        <v>1.1818398443793525</v>
      </c>
      <c r="BA68" s="1274">
        <f t="shared" si="74"/>
        <v>1.202591733226642</v>
      </c>
      <c r="BB68" s="1275">
        <f t="shared" si="74"/>
        <v>1.2025917332266418</v>
      </c>
      <c r="BC68" s="1274">
        <f t="shared" si="74"/>
        <v>1.1910283511763857</v>
      </c>
    </row>
    <row r="69" spans="1:55" ht="12.75" outlineLevel="1" x14ac:dyDescent="0.3">
      <c r="A69" s="830" t="s">
        <v>740</v>
      </c>
      <c r="B69" s="1029" t="s">
        <v>797</v>
      </c>
      <c r="C69" s="887"/>
      <c r="D69" s="888"/>
      <c r="E69" s="888"/>
      <c r="F69" s="888"/>
      <c r="G69" s="890"/>
      <c r="H69" s="890"/>
      <c r="I69" s="890"/>
      <c r="J69" s="890"/>
      <c r="K69" s="1042"/>
      <c r="L69" s="1042"/>
      <c r="M69" s="1042"/>
      <c r="N69" s="1042"/>
      <c r="O69" s="1329"/>
      <c r="P69" s="1329"/>
      <c r="Q69" s="1329"/>
      <c r="R69" s="1329"/>
      <c r="S69" s="1330">
        <f t="shared" ref="S69:AP69" si="75">S70*S64</f>
        <v>170.8</v>
      </c>
      <c r="T69" s="1330">
        <f t="shared" si="75"/>
        <v>180</v>
      </c>
      <c r="U69" s="1330">
        <f t="shared" si="75"/>
        <v>197.20000000000002</v>
      </c>
      <c r="V69" s="1330">
        <f t="shared" si="75"/>
        <v>207.86999999999998</v>
      </c>
      <c r="W69" s="1331">
        <f t="shared" si="75"/>
        <v>216.89</v>
      </c>
      <c r="X69" s="1331">
        <f t="shared" si="75"/>
        <v>219.60000000000002</v>
      </c>
      <c r="Y69" s="1331">
        <f t="shared" si="75"/>
        <v>232</v>
      </c>
      <c r="Z69" s="1331">
        <f t="shared" si="75"/>
        <v>246.8</v>
      </c>
      <c r="AA69" s="1330">
        <f t="shared" si="75"/>
        <v>253.60000000000002</v>
      </c>
      <c r="AB69" s="1330">
        <f t="shared" si="75"/>
        <v>266.40000000000003</v>
      </c>
      <c r="AC69" s="1330">
        <f t="shared" si="75"/>
        <v>279.60000000000002</v>
      </c>
      <c r="AD69" s="1330">
        <f t="shared" si="75"/>
        <v>288.40000000000003</v>
      </c>
      <c r="AE69" s="1331">
        <f t="shared" si="75"/>
        <v>302</v>
      </c>
      <c r="AF69" s="1331">
        <f t="shared" si="75"/>
        <v>314</v>
      </c>
      <c r="AG69" s="1331">
        <f t="shared" si="75"/>
        <v>329.6</v>
      </c>
      <c r="AH69" s="1331">
        <f t="shared" si="75"/>
        <v>380.7</v>
      </c>
      <c r="AI69" s="1330">
        <f t="shared" si="75"/>
        <v>393.3</v>
      </c>
      <c r="AJ69" s="1330">
        <f t="shared" si="75"/>
        <v>402.70500000000004</v>
      </c>
      <c r="AK69" s="1330">
        <f t="shared" si="75"/>
        <v>413.44200000000001</v>
      </c>
      <c r="AL69" s="1330">
        <f t="shared" si="75"/>
        <v>418.77000000000004</v>
      </c>
      <c r="AM69" s="1331">
        <f t="shared" si="75"/>
        <v>428.69700000000006</v>
      </c>
      <c r="AN69" s="1331">
        <f t="shared" si="75"/>
        <v>436.93492500000008</v>
      </c>
      <c r="AO69" s="1331">
        <f t="shared" si="75"/>
        <v>446.51736</v>
      </c>
      <c r="AP69" s="1331">
        <f t="shared" si="75"/>
        <v>452.27160000000003</v>
      </c>
      <c r="AQ69" s="1088"/>
      <c r="AS69" s="1273"/>
      <c r="AT69" s="1274"/>
      <c r="AU69" s="1275"/>
      <c r="AV69" s="1331">
        <f t="shared" ref="AV69:BC69" si="76">AV64*AV70</f>
        <v>202.8</v>
      </c>
      <c r="AW69" s="1331">
        <f t="shared" si="76"/>
        <v>246.8</v>
      </c>
      <c r="AX69" s="1332">
        <f t="shared" si="76"/>
        <v>288.40000000000003</v>
      </c>
      <c r="AY69" s="1331">
        <f t="shared" si="76"/>
        <v>338.40000000000003</v>
      </c>
      <c r="AZ69" s="1331">
        <f t="shared" si="76"/>
        <v>418.77000000000004</v>
      </c>
      <c r="BA69" s="1333">
        <f t="shared" si="76"/>
        <v>452.27160000000003</v>
      </c>
      <c r="BB69" s="1332">
        <f t="shared" si="76"/>
        <v>474.88518000000005</v>
      </c>
      <c r="BC69" s="1333">
        <f t="shared" si="76"/>
        <v>489.13173540000008</v>
      </c>
    </row>
    <row r="70" spans="1:55" ht="10.15" outlineLevel="1" x14ac:dyDescent="0.3">
      <c r="A70" s="787" t="s">
        <v>798</v>
      </c>
      <c r="B70" s="1081" t="s">
        <v>799</v>
      </c>
      <c r="C70" s="1095"/>
      <c r="D70" s="1235"/>
      <c r="E70" s="1235"/>
      <c r="F70" s="1235"/>
      <c r="G70" s="1102"/>
      <c r="H70" s="1102"/>
      <c r="I70" s="1102"/>
      <c r="J70" s="1102"/>
      <c r="K70" s="1334"/>
      <c r="L70" s="1334"/>
      <c r="M70" s="1334"/>
      <c r="N70" s="1334"/>
      <c r="O70" s="1335"/>
      <c r="P70" s="1335"/>
      <c r="Q70" s="1335"/>
      <c r="R70" s="1335"/>
      <c r="S70" s="1336">
        <v>0.4</v>
      </c>
      <c r="T70" s="1336">
        <v>0.4</v>
      </c>
      <c r="U70" s="1336">
        <v>0.4</v>
      </c>
      <c r="V70" s="1336">
        <v>0.41</v>
      </c>
      <c r="W70" s="1337">
        <v>0.41</v>
      </c>
      <c r="X70" s="1337">
        <v>0.4</v>
      </c>
      <c r="Y70" s="1337">
        <v>0.4</v>
      </c>
      <c r="Z70" s="1337">
        <v>0.4</v>
      </c>
      <c r="AA70" s="1336">
        <v>0.4</v>
      </c>
      <c r="AB70" s="1336">
        <v>0.4</v>
      </c>
      <c r="AC70" s="1336">
        <v>0.4</v>
      </c>
      <c r="AD70" s="1336">
        <v>0.4</v>
      </c>
      <c r="AE70" s="1337">
        <v>0.4</v>
      </c>
      <c r="AF70" s="1337">
        <v>0.4</v>
      </c>
      <c r="AG70" s="1337">
        <v>0.4</v>
      </c>
      <c r="AH70" s="1337">
        <v>0.45</v>
      </c>
      <c r="AI70" s="1336">
        <v>0.45</v>
      </c>
      <c r="AJ70" s="1336">
        <v>0.45</v>
      </c>
      <c r="AK70" s="1336">
        <v>0.45</v>
      </c>
      <c r="AL70" s="1336">
        <v>0.45</v>
      </c>
      <c r="AM70" s="1337">
        <v>0.45</v>
      </c>
      <c r="AN70" s="1337">
        <v>0.45</v>
      </c>
      <c r="AO70" s="1337">
        <v>0.45</v>
      </c>
      <c r="AP70" s="1337">
        <v>0.45</v>
      </c>
      <c r="AQ70" s="1100"/>
      <c r="AR70" s="768"/>
      <c r="AS70" s="1338"/>
      <c r="AT70" s="1339"/>
      <c r="AU70" s="1340"/>
      <c r="AV70" s="1337">
        <v>0.4</v>
      </c>
      <c r="AW70" s="1337">
        <v>0.4</v>
      </c>
      <c r="AX70" s="1341">
        <v>0.4</v>
      </c>
      <c r="AY70" s="1337">
        <v>0.4</v>
      </c>
      <c r="AZ70" s="1337">
        <v>0.45</v>
      </c>
      <c r="BA70" s="1342">
        <v>0.45</v>
      </c>
      <c r="BB70" s="1341">
        <v>0.45</v>
      </c>
      <c r="BC70" s="1342">
        <v>0.45</v>
      </c>
    </row>
    <row r="71" spans="1:55" s="1355" customFormat="1" x14ac:dyDescent="0.3">
      <c r="A71" s="1213"/>
      <c r="B71" s="1343" t="s">
        <v>800</v>
      </c>
      <c r="C71" s="1344"/>
      <c r="D71" s="1344"/>
      <c r="E71" s="1344"/>
      <c r="F71" s="1344"/>
      <c r="G71" s="1345"/>
      <c r="H71" s="1345"/>
      <c r="I71" s="1346"/>
      <c r="J71" s="1347">
        <v>168</v>
      </c>
      <c r="K71" s="1348">
        <v>168</v>
      </c>
      <c r="L71" s="1348">
        <v>166</v>
      </c>
      <c r="M71" s="1348">
        <v>168</v>
      </c>
      <c r="N71" s="1348">
        <v>171</v>
      </c>
      <c r="O71" s="1347">
        <v>171</v>
      </c>
      <c r="P71" s="1347">
        <v>174</v>
      </c>
      <c r="Q71" s="1347">
        <v>184</v>
      </c>
      <c r="R71" s="1347">
        <v>189</v>
      </c>
      <c r="S71" s="1348">
        <f t="shared" ref="S71:AP71" si="77">SUM(P36:S36)/S57</f>
        <v>197.27598380114512</v>
      </c>
      <c r="T71" s="1348">
        <f t="shared" si="77"/>
        <v>210.2587174708359</v>
      </c>
      <c r="U71" s="1348">
        <f t="shared" si="77"/>
        <v>235.03584650112867</v>
      </c>
      <c r="V71" s="1348">
        <f t="shared" si="77"/>
        <v>245.80837004405285</v>
      </c>
      <c r="W71" s="1349">
        <f t="shared" si="77"/>
        <v>265.8519313304721</v>
      </c>
      <c r="X71" s="1349">
        <f t="shared" si="77"/>
        <v>280.14139344262293</v>
      </c>
      <c r="Y71" s="1349">
        <f t="shared" si="77"/>
        <v>294.64271844660192</v>
      </c>
      <c r="Z71" s="1349">
        <f t="shared" si="77"/>
        <v>291.32246376811594</v>
      </c>
      <c r="AA71" s="1348">
        <f t="shared" si="77"/>
        <v>299.515625</v>
      </c>
      <c r="AB71" s="1348">
        <f t="shared" si="77"/>
        <v>303.23793677204657</v>
      </c>
      <c r="AC71" s="1348">
        <f t="shared" si="77"/>
        <v>309.72012578616352</v>
      </c>
      <c r="AD71" s="1348">
        <f t="shared" si="77"/>
        <v>317.32568807339447</v>
      </c>
      <c r="AE71" s="1349">
        <f t="shared" si="77"/>
        <v>325.7833827893175</v>
      </c>
      <c r="AF71" s="1349">
        <f t="shared" si="77"/>
        <v>333.47474747474746</v>
      </c>
      <c r="AG71" s="1349">
        <f t="shared" si="77"/>
        <v>345.97046413502107</v>
      </c>
      <c r="AH71" s="1349">
        <f t="shared" si="77"/>
        <v>339.5068870523416</v>
      </c>
      <c r="AI71" s="1348">
        <f t="shared" si="77"/>
        <v>348.8423180592992</v>
      </c>
      <c r="AJ71" s="1348">
        <f t="shared" si="77"/>
        <v>356.47258337297183</v>
      </c>
      <c r="AK71" s="1348">
        <f t="shared" si="77"/>
        <v>373.86202538729151</v>
      </c>
      <c r="AL71" s="1348">
        <f t="shared" si="77"/>
        <v>385.40075449996766</v>
      </c>
      <c r="AM71" s="1349">
        <f t="shared" si="77"/>
        <v>398.4667666068213</v>
      </c>
      <c r="AN71" s="1349">
        <f t="shared" si="77"/>
        <v>408.94563377038247</v>
      </c>
      <c r="AO71" s="1349">
        <f t="shared" si="77"/>
        <v>429.18766138224163</v>
      </c>
      <c r="AP71" s="1349">
        <f t="shared" si="77"/>
        <v>435.68794281142601</v>
      </c>
      <c r="AQ71" s="1350"/>
      <c r="AR71" s="1345"/>
      <c r="AS71" s="1349">
        <f>J71</f>
        <v>168</v>
      </c>
      <c r="AT71" s="1351">
        <f>N71</f>
        <v>171</v>
      </c>
      <c r="AU71" s="1352">
        <f>R71</f>
        <v>189</v>
      </c>
      <c r="AV71" s="1349">
        <f>V71</f>
        <v>245.80837004405285</v>
      </c>
      <c r="AW71" s="1349">
        <f t="shared" ref="AW71:BC71" si="78">AW36/AW57</f>
        <v>291.32246376811594</v>
      </c>
      <c r="AX71" s="1353">
        <f t="shared" si="78"/>
        <v>317.32568807339447</v>
      </c>
      <c r="AY71" s="1349">
        <f t="shared" si="78"/>
        <v>339.5068870523416</v>
      </c>
      <c r="AZ71" s="1349">
        <f t="shared" si="78"/>
        <v>385.40075449996755</v>
      </c>
      <c r="BA71" s="1354">
        <f t="shared" si="78"/>
        <v>435.68794281142601</v>
      </c>
      <c r="BB71" s="1353">
        <f t="shared" si="78"/>
        <v>491.32812058517368</v>
      </c>
      <c r="BC71" s="1354">
        <f t="shared" si="78"/>
        <v>554.95708905274398</v>
      </c>
    </row>
    <row r="72" spans="1:55" s="1366" customFormat="1" x14ac:dyDescent="0.35">
      <c r="A72" s="1213"/>
      <c r="B72" s="886" t="s">
        <v>761</v>
      </c>
      <c r="C72" s="1356"/>
      <c r="D72" s="1356"/>
      <c r="E72" s="1356"/>
      <c r="F72" s="1356"/>
      <c r="G72" s="1357"/>
      <c r="H72" s="1357"/>
      <c r="I72" s="1357"/>
      <c r="J72" s="1357"/>
      <c r="K72" s="1358"/>
      <c r="L72" s="1358"/>
      <c r="M72" s="1358"/>
      <c r="N72" s="1358">
        <f t="shared" ref="N72:AP72" si="79">N71/J71-1</f>
        <v>1.7857142857142794E-2</v>
      </c>
      <c r="O72" s="1357">
        <f t="shared" si="79"/>
        <v>1.7857142857142794E-2</v>
      </c>
      <c r="P72" s="1357">
        <f t="shared" si="79"/>
        <v>4.8192771084337283E-2</v>
      </c>
      <c r="Q72" s="1357">
        <f t="shared" si="79"/>
        <v>9.5238095238095344E-2</v>
      </c>
      <c r="R72" s="1357">
        <f t="shared" si="79"/>
        <v>0.10526315789473695</v>
      </c>
      <c r="S72" s="1359">
        <f t="shared" si="79"/>
        <v>0.15366072398330477</v>
      </c>
      <c r="T72" s="1359">
        <f t="shared" si="79"/>
        <v>0.20838343374043622</v>
      </c>
      <c r="U72" s="1359">
        <f t="shared" si="79"/>
        <v>0.27736873098439507</v>
      </c>
      <c r="V72" s="1360">
        <f t="shared" si="79"/>
        <v>0.30057338647647014</v>
      </c>
      <c r="W72" s="1361">
        <f t="shared" si="79"/>
        <v>0.34761427218860952</v>
      </c>
      <c r="X72" s="1361">
        <f t="shared" si="79"/>
        <v>0.3323651775887968</v>
      </c>
      <c r="Y72" s="1361">
        <f t="shared" si="79"/>
        <v>0.25360757872815376</v>
      </c>
      <c r="Z72" s="1361">
        <f t="shared" si="79"/>
        <v>0.18516087843512508</v>
      </c>
      <c r="AA72" s="1360">
        <f t="shared" si="79"/>
        <v>0.12662572545949136</v>
      </c>
      <c r="AB72" s="1360">
        <f t="shared" si="79"/>
        <v>8.2446021437935668E-2</v>
      </c>
      <c r="AC72" s="1360">
        <f t="shared" si="79"/>
        <v>5.1171830816155284E-2</v>
      </c>
      <c r="AD72" s="1360">
        <f t="shared" si="79"/>
        <v>8.9259248905626309E-2</v>
      </c>
      <c r="AE72" s="1361">
        <f t="shared" si="79"/>
        <v>8.7700792869545685E-2</v>
      </c>
      <c r="AF72" s="1361">
        <f t="shared" si="79"/>
        <v>9.9713152729405508E-2</v>
      </c>
      <c r="AG72" s="1361">
        <f t="shared" si="79"/>
        <v>0.11704224340230795</v>
      </c>
      <c r="AH72" s="1361">
        <f t="shared" si="79"/>
        <v>6.9900420333499191E-2</v>
      </c>
      <c r="AI72" s="1360">
        <f t="shared" si="79"/>
        <v>7.0779961434969119E-2</v>
      </c>
      <c r="AJ72" s="1360">
        <f t="shared" si="79"/>
        <v>6.8964250134010197E-2</v>
      </c>
      <c r="AK72" s="1360">
        <f t="shared" si="79"/>
        <v>8.0618330590744414E-2</v>
      </c>
      <c r="AL72" s="1360">
        <f t="shared" si="79"/>
        <v>0.13517801611061464</v>
      </c>
      <c r="AM72" s="1361">
        <f t="shared" si="79"/>
        <v>0.14225466916856822</v>
      </c>
      <c r="AN72" s="1361">
        <f t="shared" si="79"/>
        <v>0.14720080265614399</v>
      </c>
      <c r="AO72" s="1361">
        <f t="shared" si="79"/>
        <v>0.1479841017221184</v>
      </c>
      <c r="AP72" s="1361">
        <f t="shared" si="79"/>
        <v>0.13048025392867402</v>
      </c>
      <c r="AQ72" s="1362"/>
      <c r="AR72" s="1363"/>
      <c r="AS72" s="1361"/>
      <c r="AT72" s="1364">
        <f t="shared" ref="AT72:BC72" si="80">AT71/AS71-1</f>
        <v>1.7857142857142794E-2</v>
      </c>
      <c r="AU72" s="1365">
        <f t="shared" si="80"/>
        <v>0.10526315789473695</v>
      </c>
      <c r="AV72" s="1361">
        <f t="shared" si="80"/>
        <v>0.30057338647647014</v>
      </c>
      <c r="AW72" s="1361">
        <f t="shared" si="80"/>
        <v>0.18516087843512508</v>
      </c>
      <c r="AX72" s="1365">
        <f t="shared" si="80"/>
        <v>8.9259248905626309E-2</v>
      </c>
      <c r="AY72" s="1361">
        <f t="shared" si="80"/>
        <v>6.9900420333499191E-2</v>
      </c>
      <c r="AZ72" s="1361">
        <f t="shared" si="80"/>
        <v>0.13517801611061442</v>
      </c>
      <c r="BA72" s="1364">
        <f t="shared" si="80"/>
        <v>0.13048025392867446</v>
      </c>
      <c r="BB72" s="1365">
        <f t="shared" si="80"/>
        <v>0.12770648968321296</v>
      </c>
      <c r="BC72" s="1364">
        <f t="shared" si="80"/>
        <v>0.12950402348595058</v>
      </c>
    </row>
    <row r="73" spans="1:55" s="1259" customFormat="1" ht="12.75" outlineLevel="1" x14ac:dyDescent="0.3">
      <c r="A73" s="787" t="s">
        <v>801</v>
      </c>
      <c r="B73" s="1367" t="s">
        <v>802</v>
      </c>
      <c r="C73" s="1368"/>
      <c r="D73" s="1368"/>
      <c r="E73" s="1368"/>
      <c r="F73" s="1368"/>
      <c r="G73" s="1369"/>
      <c r="H73" s="1369"/>
      <c r="I73" s="1370"/>
      <c r="J73" s="1371">
        <v>18</v>
      </c>
      <c r="K73" s="1372">
        <v>27</v>
      </c>
      <c r="L73" s="1372">
        <v>39</v>
      </c>
      <c r="M73" s="1372">
        <v>52</v>
      </c>
      <c r="N73" s="1372">
        <v>62</v>
      </c>
      <c r="O73" s="1371">
        <v>76</v>
      </c>
      <c r="P73" s="1371">
        <v>87</v>
      </c>
      <c r="Q73" s="1371">
        <v>108</v>
      </c>
      <c r="R73" s="1371">
        <v>123</v>
      </c>
      <c r="S73" s="1372">
        <f>SUM(P44:S44)/S64</f>
        <v>140.19672131147541</v>
      </c>
      <c r="T73" s="1373">
        <f>SUM(Q44:T44)/T64</f>
        <v>151.23111111111112</v>
      </c>
      <c r="U73" s="1373">
        <f>SUM(R44:U44)/U64</f>
        <v>165.83975659229208</v>
      </c>
      <c r="V73" s="1373">
        <f>SUM(S44:V44)/V64</f>
        <v>178.95660749506902</v>
      </c>
      <c r="W73" s="1374">
        <v>195.3</v>
      </c>
      <c r="X73" s="1374">
        <v>212</v>
      </c>
      <c r="Y73" s="1374">
        <v>228</v>
      </c>
      <c r="Z73" s="1374">
        <v>230</v>
      </c>
      <c r="AA73" s="1375">
        <v>243</v>
      </c>
      <c r="AB73" s="1375">
        <v>247</v>
      </c>
      <c r="AC73" s="1375">
        <v>257</v>
      </c>
      <c r="AD73" s="1375">
        <v>264</v>
      </c>
      <c r="AE73" s="1374">
        <v>269</v>
      </c>
      <c r="AF73" s="1374">
        <v>274</v>
      </c>
      <c r="AG73" s="1374">
        <v>280</v>
      </c>
      <c r="AH73" s="1374">
        <v>276</v>
      </c>
      <c r="AI73" s="1375">
        <v>280</v>
      </c>
      <c r="AJ73" s="1375">
        <v>285</v>
      </c>
      <c r="AK73" s="1375">
        <v>295</v>
      </c>
      <c r="AL73" s="1375">
        <v>307</v>
      </c>
      <c r="AM73" s="1374">
        <v>318</v>
      </c>
      <c r="AN73" s="1374">
        <v>324</v>
      </c>
      <c r="AO73" s="1374">
        <v>338</v>
      </c>
      <c r="AP73" s="1374">
        <v>344</v>
      </c>
      <c r="AQ73" s="1376"/>
      <c r="AR73" s="1369"/>
      <c r="AS73" s="1256">
        <f>J73</f>
        <v>18</v>
      </c>
      <c r="AT73" s="1377">
        <f>N73</f>
        <v>62</v>
      </c>
      <c r="AU73" s="1378">
        <f>R73</f>
        <v>123</v>
      </c>
      <c r="AV73" s="1379">
        <f>V73</f>
        <v>178.95660749506902</v>
      </c>
      <c r="AW73" s="1256">
        <f>AW44/AW64</f>
        <v>230</v>
      </c>
      <c r="AX73" s="1258">
        <f>AX44/AX64</f>
        <v>264</v>
      </c>
      <c r="AY73" s="1256">
        <f>AY44/AY64</f>
        <v>276</v>
      </c>
      <c r="AZ73" s="1256">
        <f>AZ44/AZ64</f>
        <v>307</v>
      </c>
      <c r="BA73" s="1257">
        <f>BA44/BA64</f>
        <v>344</v>
      </c>
      <c r="BB73" s="1380">
        <v>395</v>
      </c>
      <c r="BC73" s="1381">
        <v>455</v>
      </c>
    </row>
    <row r="74" spans="1:55" s="1366" customFormat="1" outlineLevel="1" x14ac:dyDescent="0.35">
      <c r="A74" s="903"/>
      <c r="B74" s="886" t="s">
        <v>761</v>
      </c>
      <c r="C74" s="1356"/>
      <c r="D74" s="1356"/>
      <c r="E74" s="1356"/>
      <c r="F74" s="1356"/>
      <c r="G74" s="1357"/>
      <c r="H74" s="1357"/>
      <c r="I74" s="1357"/>
      <c r="J74" s="1357"/>
      <c r="K74" s="1358"/>
      <c r="L74" s="1358"/>
      <c r="M74" s="1358"/>
      <c r="N74" s="1358">
        <f t="shared" ref="N74:AP74" si="81">N73/J73-1</f>
        <v>2.4444444444444446</v>
      </c>
      <c r="O74" s="1357">
        <f t="shared" si="81"/>
        <v>1.8148148148148149</v>
      </c>
      <c r="P74" s="1357">
        <f t="shared" si="81"/>
        <v>1.2307692307692308</v>
      </c>
      <c r="Q74" s="1357">
        <f t="shared" si="81"/>
        <v>1.0769230769230771</v>
      </c>
      <c r="R74" s="1357">
        <f t="shared" si="81"/>
        <v>0.9838709677419355</v>
      </c>
      <c r="S74" s="1359">
        <f t="shared" si="81"/>
        <v>0.84469370146678169</v>
      </c>
      <c r="T74" s="1359">
        <f t="shared" si="81"/>
        <v>0.73828863346104745</v>
      </c>
      <c r="U74" s="1359">
        <f t="shared" si="81"/>
        <v>0.5355533017804821</v>
      </c>
      <c r="V74" s="1360">
        <f t="shared" si="81"/>
        <v>0.45493176825259374</v>
      </c>
      <c r="W74" s="1361">
        <f t="shared" si="81"/>
        <v>0.39304256314312447</v>
      </c>
      <c r="X74" s="1361">
        <f t="shared" si="81"/>
        <v>0.40182796014929312</v>
      </c>
      <c r="Y74" s="1361">
        <f t="shared" si="81"/>
        <v>0.37482112061057515</v>
      </c>
      <c r="Z74" s="1361">
        <f t="shared" si="81"/>
        <v>0.28522776118415982</v>
      </c>
      <c r="AA74" s="1360">
        <f t="shared" si="81"/>
        <v>0.24423963133640547</v>
      </c>
      <c r="AB74" s="1360">
        <f t="shared" si="81"/>
        <v>0.16509433962264142</v>
      </c>
      <c r="AC74" s="1360">
        <f t="shared" si="81"/>
        <v>0.12719298245614041</v>
      </c>
      <c r="AD74" s="1360">
        <f t="shared" si="81"/>
        <v>0.14782608695652177</v>
      </c>
      <c r="AE74" s="1361">
        <f t="shared" si="81"/>
        <v>0.10699588477366251</v>
      </c>
      <c r="AF74" s="1361">
        <f t="shared" si="81"/>
        <v>0.10931174089068829</v>
      </c>
      <c r="AG74" s="1361">
        <f t="shared" si="81"/>
        <v>8.9494163424124418E-2</v>
      </c>
      <c r="AH74" s="1361">
        <f t="shared" si="81"/>
        <v>4.5454545454545414E-2</v>
      </c>
      <c r="AI74" s="1360">
        <f t="shared" si="81"/>
        <v>4.0892193308550207E-2</v>
      </c>
      <c r="AJ74" s="1360">
        <f t="shared" si="81"/>
        <v>4.014598540145986E-2</v>
      </c>
      <c r="AK74" s="1360">
        <f t="shared" si="81"/>
        <v>5.3571428571428603E-2</v>
      </c>
      <c r="AL74" s="1360">
        <f t="shared" si="81"/>
        <v>0.1123188405797102</v>
      </c>
      <c r="AM74" s="1361">
        <f t="shared" si="81"/>
        <v>0.13571428571428568</v>
      </c>
      <c r="AN74" s="1361">
        <f t="shared" si="81"/>
        <v>0.13684210526315788</v>
      </c>
      <c r="AO74" s="1361">
        <f t="shared" si="81"/>
        <v>0.1457627118644067</v>
      </c>
      <c r="AP74" s="1361">
        <f t="shared" si="81"/>
        <v>0.12052117263843654</v>
      </c>
      <c r="AQ74" s="1362"/>
      <c r="AR74" s="1363"/>
      <c r="AS74" s="1361"/>
      <c r="AT74" s="1364">
        <f t="shared" ref="AT74:BC74" si="82">AT73/AS73-1</f>
        <v>2.4444444444444446</v>
      </c>
      <c r="AU74" s="1365">
        <f t="shared" si="82"/>
        <v>0.9838709677419355</v>
      </c>
      <c r="AV74" s="1361">
        <f t="shared" si="82"/>
        <v>0.45493176825259374</v>
      </c>
      <c r="AW74" s="1361">
        <f t="shared" si="82"/>
        <v>0.28522776118415982</v>
      </c>
      <c r="AX74" s="1365">
        <f t="shared" si="82"/>
        <v>0.14782608695652177</v>
      </c>
      <c r="AY74" s="1361">
        <f t="shared" si="82"/>
        <v>4.5454545454545414E-2</v>
      </c>
      <c r="AZ74" s="1361">
        <f t="shared" si="82"/>
        <v>0.1123188405797102</v>
      </c>
      <c r="BA74" s="1364">
        <f t="shared" si="82"/>
        <v>0.12052117263843654</v>
      </c>
      <c r="BB74" s="1365">
        <f t="shared" si="82"/>
        <v>0.14825581395348841</v>
      </c>
      <c r="BC74" s="1364">
        <f t="shared" si="82"/>
        <v>0.15189873417721511</v>
      </c>
    </row>
    <row r="75" spans="1:55" s="921" customFormat="1" ht="10.15" outlineLevel="1" x14ac:dyDescent="0.3">
      <c r="A75" s="830" t="s">
        <v>771</v>
      </c>
      <c r="B75" s="1382" t="s">
        <v>803</v>
      </c>
      <c r="C75" s="905"/>
      <c r="D75" s="1383"/>
      <c r="E75" s="1383"/>
      <c r="F75" s="1383"/>
      <c r="G75" s="1384"/>
      <c r="H75" s="1384">
        <f t="shared" ref="H75:AP75" si="83">H39/H64*1000</f>
        <v>602.45054945054949</v>
      </c>
      <c r="I75" s="1384">
        <f t="shared" si="83"/>
        <v>767.58088235294122</v>
      </c>
      <c r="J75" s="1384">
        <f t="shared" si="83"/>
        <v>723.9325153374233</v>
      </c>
      <c r="K75" s="1385">
        <f t="shared" si="83"/>
        <v>874.08510638297878</v>
      </c>
      <c r="L75" s="1385">
        <f t="shared" si="83"/>
        <v>917.29953917050693</v>
      </c>
      <c r="M75" s="1385">
        <f t="shared" si="83"/>
        <v>1233.9622641509434</v>
      </c>
      <c r="N75" s="1385">
        <f t="shared" si="83"/>
        <v>1051.9031141868511</v>
      </c>
      <c r="O75" s="1386">
        <f t="shared" si="83"/>
        <v>1208.4690553745929</v>
      </c>
      <c r="P75" s="1386">
        <f t="shared" si="83"/>
        <v>1271.6763005780347</v>
      </c>
      <c r="Q75" s="1386">
        <f t="shared" si="83"/>
        <v>1656.4885496183206</v>
      </c>
      <c r="R75" s="1386">
        <f t="shared" si="83"/>
        <v>1319.5121951219512</v>
      </c>
      <c r="S75" s="1385">
        <f t="shared" si="83"/>
        <v>1465.3747072599533</v>
      </c>
      <c r="T75" s="1387">
        <f t="shared" si="83"/>
        <v>1510.7560000000001</v>
      </c>
      <c r="U75" s="1387">
        <f t="shared" si="83"/>
        <v>1921.2305943204865</v>
      </c>
      <c r="V75" s="1387">
        <f t="shared" si="83"/>
        <v>1435.8491124260356</v>
      </c>
      <c r="W75" s="1331">
        <f t="shared" si="83"/>
        <v>1679.141776937618</v>
      </c>
      <c r="X75" s="1388">
        <f t="shared" si="83"/>
        <v>1708.8537704918028</v>
      </c>
      <c r="Y75" s="1388">
        <f t="shared" si="83"/>
        <v>2192.9948413793104</v>
      </c>
      <c r="Z75" s="1388">
        <f t="shared" si="83"/>
        <v>1565.8164651539707</v>
      </c>
      <c r="AA75" s="1387">
        <f t="shared" si="83"/>
        <v>1753.3260946372238</v>
      </c>
      <c r="AB75" s="1387">
        <f t="shared" si="83"/>
        <v>1708.6272513513513</v>
      </c>
      <c r="AC75" s="1387">
        <f t="shared" si="83"/>
        <v>2213.2491440000003</v>
      </c>
      <c r="AD75" s="1387">
        <f t="shared" si="83"/>
        <v>1644.7633216976426</v>
      </c>
      <c r="AE75" s="1388">
        <f t="shared" si="83"/>
        <v>1788.5557900927151</v>
      </c>
      <c r="AF75" s="1388">
        <f t="shared" si="83"/>
        <v>1702.3121853936307</v>
      </c>
      <c r="AG75" s="1388">
        <f t="shared" si="83"/>
        <v>2196.1631865500967</v>
      </c>
      <c r="AH75" s="1388">
        <f t="shared" si="83"/>
        <v>1501.8752614581567</v>
      </c>
      <c r="AI75" s="1387">
        <f t="shared" si="83"/>
        <v>1892.5934467551485</v>
      </c>
      <c r="AJ75" s="1387">
        <f t="shared" si="83"/>
        <v>1774.0927039450214</v>
      </c>
      <c r="AK75" s="1387">
        <f t="shared" si="83"/>
        <v>2355.7785420170903</v>
      </c>
      <c r="AL75" s="1387">
        <f t="shared" si="83"/>
        <v>1721.1186094068867</v>
      </c>
      <c r="AM75" s="1388">
        <f t="shared" si="83"/>
        <v>2064.3907765245776</v>
      </c>
      <c r="AN75" s="1388">
        <f t="shared" si="83"/>
        <v>1917.3914815129838</v>
      </c>
      <c r="AO75" s="1388">
        <f t="shared" si="83"/>
        <v>2538.3244565868968</v>
      </c>
      <c r="AP75" s="1388">
        <f t="shared" si="83"/>
        <v>1815.4779131147288</v>
      </c>
      <c r="AQ75" s="1389"/>
      <c r="AR75" s="1390"/>
      <c r="AS75" s="1391">
        <f t="shared" ref="AS75:BC75" si="84">AS39/AS64*1000</f>
        <v>1954.0736196319019</v>
      </c>
      <c r="AT75" s="1392">
        <f t="shared" si="84"/>
        <v>3440.7681660899657</v>
      </c>
      <c r="AU75" s="1393">
        <f t="shared" si="84"/>
        <v>4885.3658536585372</v>
      </c>
      <c r="AV75" s="1394">
        <f t="shared" si="84"/>
        <v>5879.0875404339249</v>
      </c>
      <c r="AW75" s="1394">
        <f t="shared" si="84"/>
        <v>6587.4756677471623</v>
      </c>
      <c r="AX75" s="1395">
        <f t="shared" si="84"/>
        <v>6910.5270457697652</v>
      </c>
      <c r="AY75" s="1394">
        <f t="shared" si="84"/>
        <v>6816.6662221807101</v>
      </c>
      <c r="AZ75" s="1394">
        <f t="shared" si="84"/>
        <v>7530.4430522265966</v>
      </c>
      <c r="BA75" s="1396">
        <f t="shared" si="84"/>
        <v>8130.6641221822156</v>
      </c>
      <c r="BB75" s="1395">
        <f t="shared" si="84"/>
        <v>8982.4479826013048</v>
      </c>
      <c r="BC75" s="1396">
        <f t="shared" si="84"/>
        <v>9941.7385438499896</v>
      </c>
    </row>
    <row r="76" spans="1:55" ht="10.15" outlineLevel="1" x14ac:dyDescent="0.3">
      <c r="A76" s="1397"/>
      <c r="B76" s="886" t="s">
        <v>750</v>
      </c>
      <c r="C76" s="887"/>
      <c r="D76" s="1082"/>
      <c r="E76" s="1082"/>
      <c r="F76" s="1082"/>
      <c r="G76" s="1398"/>
      <c r="H76" s="1398"/>
      <c r="I76" s="1084">
        <f t="shared" ref="I76:AP76" si="85">I75/H75-1</f>
        <v>0.27409773806828608</v>
      </c>
      <c r="J76" s="1084">
        <f t="shared" si="85"/>
        <v>-5.6864843847749702E-2</v>
      </c>
      <c r="K76" s="1082">
        <f t="shared" si="85"/>
        <v>0.20741241464416027</v>
      </c>
      <c r="L76" s="1082">
        <f t="shared" si="85"/>
        <v>4.9439616888511395E-2</v>
      </c>
      <c r="M76" s="1082">
        <f t="shared" si="85"/>
        <v>0.34521190893302678</v>
      </c>
      <c r="N76" s="1082">
        <f t="shared" si="85"/>
        <v>-0.14754028972625211</v>
      </c>
      <c r="O76" s="1084">
        <f t="shared" si="85"/>
        <v>0.14884064803703101</v>
      </c>
      <c r="P76" s="1084">
        <f t="shared" si="85"/>
        <v>5.2303569481015222E-2</v>
      </c>
      <c r="Q76" s="1084">
        <f t="shared" si="85"/>
        <v>0.3026023594725884</v>
      </c>
      <c r="R76" s="1084">
        <f t="shared" si="85"/>
        <v>-0.20342812183882208</v>
      </c>
      <c r="S76" s="1082">
        <f t="shared" si="85"/>
        <v>0.11054275411567627</v>
      </c>
      <c r="T76" s="1219">
        <f t="shared" si="85"/>
        <v>3.0969070583252822E-2</v>
      </c>
      <c r="U76" s="1219">
        <f t="shared" si="85"/>
        <v>0.27170144902319526</v>
      </c>
      <c r="V76" s="1219">
        <f t="shared" si="85"/>
        <v>-0.25264092885535372</v>
      </c>
      <c r="W76" s="1217">
        <f t="shared" si="85"/>
        <v>0.16944166514858305</v>
      </c>
      <c r="X76" s="1218">
        <f t="shared" si="85"/>
        <v>1.7694749759828321E-2</v>
      </c>
      <c r="Y76" s="1218">
        <f t="shared" si="85"/>
        <v>0.28331334093506033</v>
      </c>
      <c r="Z76" s="1218">
        <f t="shared" si="85"/>
        <v>-0.2859917243721688</v>
      </c>
      <c r="AA76" s="1219">
        <f t="shared" si="85"/>
        <v>0.11975198476713866</v>
      </c>
      <c r="AB76" s="1219">
        <f t="shared" si="85"/>
        <v>-2.5493742106838968E-2</v>
      </c>
      <c r="AC76" s="1219">
        <f t="shared" si="85"/>
        <v>0.29533761225541966</v>
      </c>
      <c r="AD76" s="1219">
        <f t="shared" si="85"/>
        <v>-0.25685577416509675</v>
      </c>
      <c r="AE76" s="1218">
        <f t="shared" si="85"/>
        <v>8.7424413286804725E-2</v>
      </c>
      <c r="AF76" s="1218">
        <f t="shared" si="85"/>
        <v>-4.8219689414672251E-2</v>
      </c>
      <c r="AG76" s="1218">
        <f t="shared" si="85"/>
        <v>0.29010601310021844</v>
      </c>
      <c r="AH76" s="1218">
        <f t="shared" si="85"/>
        <v>-0.3161367649471355</v>
      </c>
      <c r="AI76" s="1219">
        <f t="shared" si="85"/>
        <v>0.26015355291067732</v>
      </c>
      <c r="AJ76" s="1219">
        <f t="shared" si="85"/>
        <v>-6.2612888686313872E-2</v>
      </c>
      <c r="AK76" s="1219">
        <f t="shared" si="85"/>
        <v>0.32787792699816842</v>
      </c>
      <c r="AL76" s="1219">
        <f t="shared" si="85"/>
        <v>-0.26940560043763206</v>
      </c>
      <c r="AM76" s="1218">
        <f t="shared" si="85"/>
        <v>0.1994471300475833</v>
      </c>
      <c r="AN76" s="1218">
        <f t="shared" si="85"/>
        <v>-7.1207107047372431E-2</v>
      </c>
      <c r="AO76" s="1218">
        <f t="shared" si="85"/>
        <v>0.32384256478700135</v>
      </c>
      <c r="AP76" s="1218">
        <f t="shared" si="85"/>
        <v>-0.28477310754990237</v>
      </c>
      <c r="AQ76" s="1088"/>
      <c r="AS76" s="1273"/>
      <c r="AT76" s="1274"/>
      <c r="AU76" s="1275"/>
      <c r="AV76" s="1399"/>
      <c r="AW76" s="1399"/>
      <c r="AX76" s="1400"/>
      <c r="AY76" s="1399"/>
      <c r="AZ76" s="1399"/>
      <c r="BA76" s="1401"/>
      <c r="BB76" s="1400"/>
      <c r="BC76" s="1401"/>
    </row>
    <row r="77" spans="1:55" ht="10.15" outlineLevel="1" x14ac:dyDescent="0.3">
      <c r="A77" s="1397"/>
      <c r="B77" s="886" t="s">
        <v>761</v>
      </c>
      <c r="C77" s="1095"/>
      <c r="D77" s="1235"/>
      <c r="E77" s="1235"/>
      <c r="F77" s="1235"/>
      <c r="G77" s="1402"/>
      <c r="H77" s="1402"/>
      <c r="I77" s="1102"/>
      <c r="J77" s="1102"/>
      <c r="K77" s="1235"/>
      <c r="L77" s="1235">
        <f t="shared" ref="L77:AP77" si="86">L75/H75-1</f>
        <v>0.52261383113868498</v>
      </c>
      <c r="M77" s="1235">
        <f t="shared" si="86"/>
        <v>0.60759900685431023</v>
      </c>
      <c r="N77" s="1235">
        <f t="shared" si="86"/>
        <v>0.4530402929844386</v>
      </c>
      <c r="O77" s="1102">
        <f t="shared" si="86"/>
        <v>0.38255307927086957</v>
      </c>
      <c r="P77" s="1102">
        <f t="shared" si="86"/>
        <v>0.38632610862094463</v>
      </c>
      <c r="Q77" s="1102">
        <f t="shared" si="86"/>
        <v>0.34241426803931185</v>
      </c>
      <c r="R77" s="1102">
        <f t="shared" si="86"/>
        <v>0.25440468549422346</v>
      </c>
      <c r="S77" s="1235">
        <f t="shared" si="86"/>
        <v>0.21258769576497483</v>
      </c>
      <c r="T77" s="1403">
        <f t="shared" si="86"/>
        <v>0.188003581818182</v>
      </c>
      <c r="U77" s="1403">
        <f t="shared" si="86"/>
        <v>0.15982123435937212</v>
      </c>
      <c r="V77" s="1403">
        <f t="shared" si="86"/>
        <v>8.8166610156515057E-2</v>
      </c>
      <c r="W77" s="1404">
        <f t="shared" si="86"/>
        <v>0.14587877668325477</v>
      </c>
      <c r="X77" s="1404">
        <f t="shared" si="86"/>
        <v>0.13112492718334567</v>
      </c>
      <c r="Y77" s="1404">
        <f t="shared" si="86"/>
        <v>0.141453216423999</v>
      </c>
      <c r="Z77" s="1404">
        <f t="shared" si="86"/>
        <v>9.051602400501535E-2</v>
      </c>
      <c r="AA77" s="1403">
        <f t="shared" si="86"/>
        <v>4.4179901136699451E-2</v>
      </c>
      <c r="AB77" s="1403">
        <f t="shared" si="86"/>
        <v>-1.3255618728935659E-4</v>
      </c>
      <c r="AC77" s="1403">
        <f t="shared" si="86"/>
        <v>9.2359098336731726E-3</v>
      </c>
      <c r="AD77" s="1403">
        <f t="shared" si="86"/>
        <v>5.0418972019117714E-2</v>
      </c>
      <c r="AE77" s="1404">
        <f t="shared" si="86"/>
        <v>2.0093065153850009E-2</v>
      </c>
      <c r="AF77" s="1404">
        <f t="shared" si="86"/>
        <v>-3.6959880820852664E-3</v>
      </c>
      <c r="AG77" s="1404">
        <f t="shared" si="86"/>
        <v>-7.7198527315475163E-3</v>
      </c>
      <c r="AH77" s="1404">
        <f t="shared" si="86"/>
        <v>-8.6874541980911824E-2</v>
      </c>
      <c r="AI77" s="1403">
        <f t="shared" si="86"/>
        <v>5.8168527500638056E-2</v>
      </c>
      <c r="AJ77" s="1403">
        <f t="shared" si="86"/>
        <v>4.2166483426065993E-2</v>
      </c>
      <c r="AK77" s="1403">
        <f t="shared" si="86"/>
        <v>7.2679187250074051E-2</v>
      </c>
      <c r="AL77" s="1403">
        <f t="shared" si="86"/>
        <v>0.14597973185593904</v>
      </c>
      <c r="AM77" s="1404">
        <f t="shared" si="86"/>
        <v>9.0773499223499643E-2</v>
      </c>
      <c r="AN77" s="1404">
        <f t="shared" si="86"/>
        <v>8.0772993006121396E-2</v>
      </c>
      <c r="AO77" s="1404">
        <f t="shared" si="86"/>
        <v>7.748857174558732E-2</v>
      </c>
      <c r="AP77" s="1404">
        <f t="shared" si="86"/>
        <v>5.4824405007368515E-2</v>
      </c>
      <c r="AQ77" s="1100"/>
      <c r="AR77" s="768"/>
      <c r="AS77" s="768"/>
      <c r="AT77" s="1339">
        <f t="shared" ref="AT77:BC77" si="87">AT75/AS75-1</f>
        <v>0.7608180835776901</v>
      </c>
      <c r="AU77" s="1340">
        <f t="shared" si="87"/>
        <v>0.41984743459487106</v>
      </c>
      <c r="AV77" s="1405">
        <f t="shared" si="87"/>
        <v>0.20340783403789753</v>
      </c>
      <c r="AW77" s="1405">
        <f t="shared" si="87"/>
        <v>0.12049286941914672</v>
      </c>
      <c r="AX77" s="1406">
        <f t="shared" si="87"/>
        <v>4.9040238524794777E-2</v>
      </c>
      <c r="AY77" s="1405">
        <f t="shared" si="87"/>
        <v>-1.3582295962000668E-2</v>
      </c>
      <c r="AZ77" s="1405">
        <f t="shared" si="87"/>
        <v>0.10471054424277559</v>
      </c>
      <c r="BA77" s="1407">
        <f t="shared" si="87"/>
        <v>7.9705943699839299E-2</v>
      </c>
      <c r="BB77" s="1406">
        <f t="shared" si="87"/>
        <v>0.10476190476190483</v>
      </c>
      <c r="BC77" s="1407">
        <f t="shared" si="87"/>
        <v>0.10679611650485454</v>
      </c>
    </row>
    <row r="78" spans="1:55" s="921" customFormat="1" ht="10.15" outlineLevel="1" x14ac:dyDescent="0.3">
      <c r="A78" s="903" t="s">
        <v>804</v>
      </c>
      <c r="B78" s="1408" t="s">
        <v>805</v>
      </c>
      <c r="C78" s="1385"/>
      <c r="D78" s="1385"/>
      <c r="E78" s="1385"/>
      <c r="F78" s="1385"/>
      <c r="G78" s="1409"/>
      <c r="H78" s="1409"/>
      <c r="I78" s="1409"/>
      <c r="J78" s="1386"/>
      <c r="K78" s="1410">
        <v>173.3</v>
      </c>
      <c r="L78" s="1383"/>
      <c r="M78" s="1383"/>
      <c r="N78" s="1383"/>
      <c r="O78" s="1411"/>
      <c r="P78" s="1411"/>
      <c r="Q78" s="1409"/>
      <c r="R78" s="1409"/>
      <c r="S78" s="1385"/>
      <c r="T78" s="1385"/>
      <c r="U78" s="1385"/>
      <c r="V78" s="1385"/>
      <c r="W78" s="1412"/>
      <c r="X78" s="1409"/>
      <c r="Y78" s="1409"/>
      <c r="Z78" s="1409"/>
      <c r="AA78" s="1385"/>
      <c r="AB78" s="1385"/>
      <c r="AC78" s="1385"/>
      <c r="AD78" s="1385"/>
      <c r="AE78" s="1409"/>
      <c r="AF78" s="1409"/>
      <c r="AG78" s="1409"/>
      <c r="AH78" s="1409"/>
      <c r="AI78" s="1385"/>
      <c r="AJ78" s="1385"/>
      <c r="AK78" s="1385"/>
      <c r="AL78" s="1385"/>
      <c r="AM78" s="1409"/>
      <c r="AN78" s="1409"/>
      <c r="AO78" s="1409"/>
      <c r="AP78" s="1409"/>
      <c r="AQ78" s="1413"/>
      <c r="AR78" s="1414"/>
      <c r="AS78" s="1415">
        <v>156.30000000000001</v>
      </c>
      <c r="AT78" s="1416">
        <f>AT79*AT57</f>
        <v>220.5</v>
      </c>
      <c r="AU78" s="1417">
        <f>AU79*AU57</f>
        <v>274.95</v>
      </c>
      <c r="AV78" s="1418"/>
      <c r="AW78" s="1390"/>
      <c r="AX78" s="1389"/>
      <c r="AY78" s="1390"/>
      <c r="AZ78" s="1390"/>
      <c r="BA78" s="1419"/>
      <c r="BB78" s="1389"/>
      <c r="BC78" s="1419"/>
    </row>
    <row r="79" spans="1:55" s="921" customFormat="1" ht="10.15" outlineLevel="1" x14ac:dyDescent="0.3">
      <c r="A79" s="903" t="s">
        <v>757</v>
      </c>
      <c r="B79" s="1081" t="s">
        <v>806</v>
      </c>
      <c r="C79" s="1385"/>
      <c r="D79" s="1385"/>
      <c r="E79" s="1385"/>
      <c r="F79" s="1385"/>
      <c r="G79" s="1409"/>
      <c r="H79" s="1409"/>
      <c r="I79" s="1409"/>
      <c r="J79" s="1386"/>
      <c r="K79" s="1082">
        <f>K78/K57</f>
        <v>0.62114695340501791</v>
      </c>
      <c r="L79" s="1385"/>
      <c r="M79" s="1385"/>
      <c r="N79" s="1420"/>
      <c r="O79" s="1421"/>
      <c r="P79" s="1421"/>
      <c r="Q79" s="1421"/>
      <c r="R79" s="1421"/>
      <c r="S79" s="1385"/>
      <c r="T79" s="1385"/>
      <c r="U79" s="1385"/>
      <c r="V79" s="1385"/>
      <c r="W79" s="1412"/>
      <c r="X79" s="1409"/>
      <c r="Y79" s="1409"/>
      <c r="Z79" s="1409"/>
      <c r="AA79" s="1385"/>
      <c r="AB79" s="1385"/>
      <c r="AC79" s="1385"/>
      <c r="AD79" s="1385"/>
      <c r="AE79" s="1409"/>
      <c r="AF79" s="1409"/>
      <c r="AG79" s="1409"/>
      <c r="AH79" s="1409"/>
      <c r="AI79" s="1385"/>
      <c r="AJ79" s="1385"/>
      <c r="AK79" s="1385"/>
      <c r="AL79" s="1385"/>
      <c r="AM79" s="1409"/>
      <c r="AN79" s="1409"/>
      <c r="AO79" s="1409"/>
      <c r="AP79" s="1409"/>
      <c r="AQ79" s="1413"/>
      <c r="AR79" s="1414"/>
      <c r="AS79" s="1422">
        <f>AS78/AS57</f>
        <v>0.61294117647058832</v>
      </c>
      <c r="AT79" s="1281">
        <v>0.63</v>
      </c>
      <c r="AU79" s="1275">
        <v>0.65</v>
      </c>
      <c r="AV79" s="1418"/>
      <c r="AW79" s="1390"/>
      <c r="AX79" s="1389"/>
      <c r="AY79" s="1390"/>
      <c r="AZ79" s="1390"/>
      <c r="BA79" s="1419"/>
      <c r="BB79" s="1389"/>
      <c r="BC79" s="1419"/>
    </row>
    <row r="80" spans="1:55" s="921" customFormat="1" outlineLevel="1" x14ac:dyDescent="0.3">
      <c r="A80" s="903" t="s">
        <v>757</v>
      </c>
      <c r="B80" s="1423" t="s">
        <v>807</v>
      </c>
      <c r="C80" s="1385"/>
      <c r="D80" s="1385"/>
      <c r="E80" s="1385"/>
      <c r="F80" s="1385"/>
      <c r="G80" s="1409"/>
      <c r="H80" s="1409"/>
      <c r="I80" s="1409"/>
      <c r="J80" s="1386"/>
      <c r="K80" s="1385"/>
      <c r="L80" s="1385"/>
      <c r="M80" s="1385"/>
      <c r="N80" s="1420"/>
      <c r="O80" s="1421"/>
      <c r="P80" s="1421"/>
      <c r="Q80" s="1421"/>
      <c r="R80" s="1421"/>
      <c r="S80" s="1385"/>
      <c r="T80" s="1385"/>
      <c r="U80" s="1385"/>
      <c r="V80" s="1385"/>
      <c r="W80" s="1412"/>
      <c r="X80" s="1409"/>
      <c r="Y80" s="1409"/>
      <c r="Z80" s="1409"/>
      <c r="AA80" s="1385"/>
      <c r="AB80" s="1385"/>
      <c r="AC80" s="1385"/>
      <c r="AD80" s="1385"/>
      <c r="AE80" s="1409"/>
      <c r="AF80" s="1409"/>
      <c r="AG80" s="1409"/>
      <c r="AH80" s="1409"/>
      <c r="AI80" s="1385"/>
      <c r="AJ80" s="1385"/>
      <c r="AK80" s="1385"/>
      <c r="AL80" s="1385"/>
      <c r="AM80" s="1409"/>
      <c r="AN80" s="1409"/>
      <c r="AO80" s="1409"/>
      <c r="AP80" s="1409"/>
      <c r="AQ80" s="1413"/>
      <c r="AR80" s="1414"/>
      <c r="AS80" s="1424"/>
      <c r="AT80" s="1425">
        <v>140000</v>
      </c>
      <c r="AU80" s="1426">
        <v>100000</v>
      </c>
      <c r="AV80" s="1418"/>
      <c r="AW80" s="1390"/>
      <c r="AX80" s="1389"/>
      <c r="AY80" s="1390"/>
      <c r="AZ80" s="1390"/>
      <c r="BA80" s="1419"/>
      <c r="BB80" s="1389"/>
      <c r="BC80" s="1419"/>
    </row>
    <row r="81" spans="1:71" outlineLevel="1" x14ac:dyDescent="0.3">
      <c r="A81" s="903"/>
      <c r="B81" s="1423" t="s">
        <v>808</v>
      </c>
      <c r="C81" s="1427"/>
      <c r="D81" s="1427"/>
      <c r="E81" s="1427"/>
      <c r="F81" s="1427"/>
      <c r="I81" s="1428">
        <v>8</v>
      </c>
      <c r="K81" s="1429">
        <f>K82/K83</f>
        <v>8.6538461538461533</v>
      </c>
      <c r="L81" s="1427"/>
      <c r="M81" s="1427"/>
      <c r="N81" s="1427"/>
      <c r="O81" s="1430"/>
      <c r="P81" s="1430"/>
      <c r="Q81" s="1430"/>
      <c r="R81" s="1430"/>
      <c r="S81" s="1427"/>
      <c r="T81" s="1427"/>
      <c r="U81" s="1427"/>
      <c r="V81" s="1427"/>
      <c r="AA81" s="1427"/>
      <c r="AB81" s="1427"/>
      <c r="AC81" s="1427"/>
      <c r="AD81" s="1427"/>
      <c r="AI81" s="1427"/>
      <c r="AJ81" s="1427"/>
      <c r="AK81" s="1427"/>
      <c r="AL81" s="1427"/>
      <c r="AQ81" s="1088"/>
      <c r="AS81" s="1415">
        <f>AS82/AS83</f>
        <v>7.8846153846153832</v>
      </c>
      <c r="AT81" s="1431">
        <v>10</v>
      </c>
      <c r="AU81" s="1088"/>
      <c r="AX81" s="1088"/>
      <c r="BA81" s="1094"/>
      <c r="BB81" s="1088"/>
      <c r="BC81" s="1094"/>
    </row>
    <row r="82" spans="1:71" s="921" customFormat="1" ht="10.5" outlineLevel="1" x14ac:dyDescent="0.3">
      <c r="A82" s="903" t="s">
        <v>804</v>
      </c>
      <c r="B82" s="1432" t="s">
        <v>809</v>
      </c>
      <c r="C82" s="1385"/>
      <c r="D82" s="1385"/>
      <c r="E82" s="1385"/>
      <c r="F82" s="1385"/>
      <c r="G82" s="1409"/>
      <c r="H82" s="1409"/>
      <c r="I82" s="1409"/>
      <c r="J82" s="1386"/>
      <c r="K82" s="1433">
        <v>4.5</v>
      </c>
      <c r="L82" s="1385"/>
      <c r="M82" s="1385"/>
      <c r="N82" s="1420"/>
      <c r="O82" s="1434"/>
      <c r="P82" s="1434"/>
      <c r="Q82" s="1434"/>
      <c r="R82" s="1434"/>
      <c r="S82" s="1385"/>
      <c r="T82" s="1385"/>
      <c r="U82" s="1385"/>
      <c r="V82" s="1385"/>
      <c r="W82" s="1412"/>
      <c r="X82" s="1409"/>
      <c r="Y82" s="1409"/>
      <c r="Z82" s="1409"/>
      <c r="AA82" s="1385"/>
      <c r="AB82" s="1385"/>
      <c r="AC82" s="1385"/>
      <c r="AD82" s="1385"/>
      <c r="AE82" s="1409"/>
      <c r="AF82" s="1409"/>
      <c r="AG82" s="1409"/>
      <c r="AH82" s="1409"/>
      <c r="AI82" s="1385"/>
      <c r="AJ82" s="1385"/>
      <c r="AK82" s="1385"/>
      <c r="AL82" s="1385"/>
      <c r="AM82" s="1409"/>
      <c r="AN82" s="1409"/>
      <c r="AO82" s="1409"/>
      <c r="AP82" s="1409"/>
      <c r="AQ82" s="1413"/>
      <c r="AR82" s="1414"/>
      <c r="AS82" s="1415">
        <v>4.0999999999999996</v>
      </c>
      <c r="AT82" s="1435"/>
      <c r="AU82" s="1426"/>
      <c r="AV82" s="1418"/>
      <c r="AW82" s="1390"/>
      <c r="AX82" s="1389"/>
      <c r="AY82" s="1390"/>
      <c r="AZ82" s="1390"/>
      <c r="BA82" s="1419"/>
      <c r="BB82" s="1389"/>
      <c r="BC82" s="1419"/>
    </row>
    <row r="83" spans="1:71" ht="10.5" outlineLevel="1" x14ac:dyDescent="0.3">
      <c r="A83" s="903" t="s">
        <v>804</v>
      </c>
      <c r="B83" s="1081" t="s">
        <v>810</v>
      </c>
      <c r="C83" s="1427"/>
      <c r="D83" s="1427"/>
      <c r="E83" s="1427"/>
      <c r="F83" s="1427"/>
      <c r="I83" s="1436"/>
      <c r="K83" s="1437">
        <v>0.52</v>
      </c>
      <c r="L83" s="1427"/>
      <c r="M83" s="1427"/>
      <c r="N83" s="1427"/>
      <c r="O83" s="1438"/>
      <c r="P83" s="1438"/>
      <c r="Q83" s="1438"/>
      <c r="R83" s="1438"/>
      <c r="S83" s="1427"/>
      <c r="T83" s="1427"/>
      <c r="U83" s="1427"/>
      <c r="V83" s="1427"/>
      <c r="AA83" s="1427"/>
      <c r="AB83" s="1427"/>
      <c r="AC83" s="1427"/>
      <c r="AD83" s="1427"/>
      <c r="AI83" s="1427"/>
      <c r="AJ83" s="1427"/>
      <c r="AK83" s="1427"/>
      <c r="AL83" s="1427"/>
      <c r="AQ83" s="1088"/>
      <c r="AS83" s="1424">
        <v>0.52</v>
      </c>
      <c r="AT83" s="1172"/>
      <c r="AU83" s="1439"/>
      <c r="AV83" s="1440"/>
      <c r="AX83" s="1088"/>
      <c r="BA83" s="1094"/>
      <c r="BB83" s="1088"/>
      <c r="BC83" s="1094"/>
    </row>
    <row r="84" spans="1:71" ht="12.75" x14ac:dyDescent="0.35">
      <c r="A84" s="830"/>
      <c r="B84" s="1441" t="s">
        <v>811</v>
      </c>
      <c r="C84" s="1442"/>
      <c r="D84" s="1442"/>
      <c r="E84" s="1443"/>
      <c r="F84" s="1443"/>
      <c r="G84" s="1444"/>
      <c r="H84" s="1444"/>
      <c r="I84" s="1445"/>
      <c r="J84" s="1445"/>
      <c r="K84" s="1446"/>
      <c r="L84" s="1446"/>
      <c r="M84" s="1443"/>
      <c r="N84" s="1443"/>
      <c r="O84" s="1447"/>
      <c r="P84" s="1447"/>
      <c r="Q84" s="1447"/>
      <c r="R84" s="1447"/>
      <c r="S84" s="1442"/>
      <c r="T84" s="1442"/>
      <c r="U84" s="1442"/>
      <c r="V84" s="1442"/>
      <c r="W84" s="1448"/>
      <c r="X84" s="1448"/>
      <c r="Y84" s="1448"/>
      <c r="Z84" s="1448"/>
      <c r="AA84" s="1449"/>
      <c r="AB84" s="1449"/>
      <c r="AC84" s="1449"/>
      <c r="AD84" s="1449"/>
      <c r="AE84" s="1448"/>
      <c r="AF84" s="1448"/>
      <c r="AG84" s="1448"/>
      <c r="AH84" s="1448"/>
      <c r="AI84" s="1449"/>
      <c r="AJ84" s="1449"/>
      <c r="AK84" s="1449"/>
      <c r="AL84" s="1449"/>
      <c r="AM84" s="1448"/>
      <c r="AN84" s="1448"/>
      <c r="AO84" s="1448"/>
      <c r="AP84" s="1448"/>
      <c r="AQ84" s="1450"/>
      <c r="AR84" s="1451"/>
      <c r="AS84" s="1451"/>
      <c r="AT84" s="1452"/>
      <c r="AU84" s="1450"/>
      <c r="AV84" s="1453"/>
      <c r="AW84" s="1451"/>
      <c r="AX84" s="1450"/>
      <c r="AY84" s="1451"/>
      <c r="AZ84" s="1451"/>
      <c r="BA84" s="1452"/>
      <c r="BB84" s="1450"/>
      <c r="BC84" s="1452"/>
    </row>
    <row r="85" spans="1:71" s="1467" customFormat="1" x14ac:dyDescent="0.3">
      <c r="A85" s="830" t="s">
        <v>747</v>
      </c>
      <c r="B85" s="1454" t="s">
        <v>812</v>
      </c>
      <c r="C85" s="1455">
        <f t="shared" ref="C85:BC85" si="88">(C168-C171)/(C15*1000)</f>
        <v>2.4032004435501218E-2</v>
      </c>
      <c r="D85" s="1455">
        <f t="shared" si="88"/>
        <v>2.4554080361997299E-2</v>
      </c>
      <c r="E85" s="1455">
        <f t="shared" si="88"/>
        <v>2.7735351291307969E-2</v>
      </c>
      <c r="F85" s="1455">
        <f t="shared" si="88"/>
        <v>2.2244581622385989E-2</v>
      </c>
      <c r="G85" s="1456">
        <f t="shared" si="88"/>
        <v>2.4484185852451507E-2</v>
      </c>
      <c r="H85" s="1456">
        <f t="shared" si="88"/>
        <v>2.2557666214382634E-2</v>
      </c>
      <c r="I85" s="1456">
        <f t="shared" si="88"/>
        <v>2.9780607101449003E-2</v>
      </c>
      <c r="J85" s="1457">
        <f t="shared" si="88"/>
        <v>2.1243998279409884E-2</v>
      </c>
      <c r="K85" s="1458">
        <f t="shared" si="88"/>
        <v>2.4722994011976047E-2</v>
      </c>
      <c r="L85" s="1458">
        <f t="shared" si="88"/>
        <v>2.2513232367937182E-2</v>
      </c>
      <c r="M85" s="1458">
        <f t="shared" si="88"/>
        <v>2.6492376111817026E-2</v>
      </c>
      <c r="N85" s="1458">
        <f t="shared" si="88"/>
        <v>2.1313366666666667E-2</v>
      </c>
      <c r="O85" s="1459">
        <f t="shared" si="88"/>
        <v>2.2846173034999619E-2</v>
      </c>
      <c r="P85" s="1459">
        <f t="shared" si="88"/>
        <v>2.3594950911640954E-2</v>
      </c>
      <c r="Q85" s="1459">
        <f t="shared" si="88"/>
        <v>2.9223752043254118E-2</v>
      </c>
      <c r="R85" s="1459">
        <f t="shared" si="88"/>
        <v>2.4009272237196767E-2</v>
      </c>
      <c r="S85" s="1458">
        <f t="shared" si="88"/>
        <v>2.7248301461215253E-2</v>
      </c>
      <c r="T85" s="1460">
        <f t="shared" si="88"/>
        <v>2.6972544430294065E-2</v>
      </c>
      <c r="U85" s="1460">
        <f t="shared" si="88"/>
        <v>3.4155657690083684E-2</v>
      </c>
      <c r="V85" s="1460">
        <f t="shared" si="88"/>
        <v>2.8488074117878962E-2</v>
      </c>
      <c r="W85" s="1461">
        <f t="shared" si="88"/>
        <v>3.2795739114184264E-2</v>
      </c>
      <c r="X85" s="1461">
        <f t="shared" si="88"/>
        <v>3.2529650143527655E-2</v>
      </c>
      <c r="Y85" s="1461">
        <f t="shared" si="88"/>
        <v>3.676899854776456E-2</v>
      </c>
      <c r="Z85" s="1461">
        <f t="shared" si="88"/>
        <v>3.0230550885627566E-2</v>
      </c>
      <c r="AA85" s="1460">
        <f t="shared" si="88"/>
        <v>3.6635039279611856E-2</v>
      </c>
      <c r="AB85" s="1460">
        <f t="shared" si="88"/>
        <v>3.521145012504056E-2</v>
      </c>
      <c r="AC85" s="1460">
        <f t="shared" si="88"/>
        <v>3.9228307126087374E-2</v>
      </c>
      <c r="AD85" s="1460">
        <f t="shared" si="88"/>
        <v>3.2946854645359971E-2</v>
      </c>
      <c r="AE85" s="1461">
        <f t="shared" si="88"/>
        <v>3.7919321034172088E-2</v>
      </c>
      <c r="AF85" s="1461">
        <f t="shared" si="88"/>
        <v>3.7484513414494262E-2</v>
      </c>
      <c r="AG85" s="1461">
        <f t="shared" si="88"/>
        <v>4.1161105608172391E-2</v>
      </c>
      <c r="AH85" s="1461">
        <f t="shared" si="88"/>
        <v>3.144790292191902E-2</v>
      </c>
      <c r="AI85" s="1460">
        <f t="shared" si="88"/>
        <v>3.874763708666025E-2</v>
      </c>
      <c r="AJ85" s="1460">
        <f t="shared" si="88"/>
        <v>3.8847038025817925E-2</v>
      </c>
      <c r="AK85" s="1460">
        <f t="shared" si="88"/>
        <v>4.3022500970278418E-2</v>
      </c>
      <c r="AL85" s="1460">
        <f t="shared" si="88"/>
        <v>3.3863114847974031E-2</v>
      </c>
      <c r="AM85" s="1461">
        <f t="shared" si="88"/>
        <v>4.0328727937712541E-2</v>
      </c>
      <c r="AN85" s="1461">
        <f t="shared" si="88"/>
        <v>4.0425400437600248E-2</v>
      </c>
      <c r="AO85" s="1461">
        <f t="shared" si="88"/>
        <v>4.5698002280037134E-2</v>
      </c>
      <c r="AP85" s="1461">
        <f t="shared" si="88"/>
        <v>3.5797457368586451E-2</v>
      </c>
      <c r="AQ85" s="1462">
        <f t="shared" si="88"/>
        <v>2.0049650519092174E-2</v>
      </c>
      <c r="AR85" s="1456">
        <f t="shared" si="88"/>
        <v>2.4005518168458247E-2</v>
      </c>
      <c r="AS85" s="1456">
        <f t="shared" si="88"/>
        <v>2.4888128007668157E-2</v>
      </c>
      <c r="AT85" s="1463">
        <f t="shared" si="88"/>
        <v>2.4023726652464938E-2</v>
      </c>
      <c r="AU85" s="1462">
        <f t="shared" si="88"/>
        <v>2.5299159120310478E-2</v>
      </c>
      <c r="AV85" s="1456">
        <f t="shared" si="88"/>
        <v>2.9623366987904798E-2</v>
      </c>
      <c r="AW85" s="1464">
        <f t="shared" si="88"/>
        <v>3.3362703549680045E-2</v>
      </c>
      <c r="AX85" s="1465">
        <f t="shared" si="88"/>
        <v>3.6237297014143528E-2</v>
      </c>
      <c r="AY85" s="1464">
        <f t="shared" si="88"/>
        <v>3.7408104416451662E-2</v>
      </c>
      <c r="AZ85" s="1464">
        <f t="shared" si="88"/>
        <v>3.8974083722951067E-2</v>
      </c>
      <c r="BA85" s="1466">
        <f t="shared" si="88"/>
        <v>4.0993890240418038E-2</v>
      </c>
      <c r="BB85" s="1465">
        <f t="shared" si="88"/>
        <v>4.2963980507026732E-2</v>
      </c>
      <c r="BC85" s="1466">
        <f t="shared" si="88"/>
        <v>4.5191812484006076E-2</v>
      </c>
    </row>
    <row r="86" spans="1:71" s="1479" customFormat="1" x14ac:dyDescent="0.35">
      <c r="A86" s="830" t="s">
        <v>747</v>
      </c>
      <c r="B86" s="1468" t="s">
        <v>813</v>
      </c>
      <c r="C86" s="1469"/>
      <c r="D86" s="1469"/>
      <c r="E86" s="1469"/>
      <c r="F86" s="1469"/>
      <c r="G86" s="1470">
        <f t="shared" ref="G86:BC86" si="89">G169/1000/G15</f>
        <v>1.8256413451007432E-2</v>
      </c>
      <c r="H86" s="1470">
        <f t="shared" si="89"/>
        <v>1.6819921372160179E-2</v>
      </c>
      <c r="I86" s="1470">
        <f t="shared" si="89"/>
        <v>2.0617343377926235E-2</v>
      </c>
      <c r="J86" s="1470">
        <f t="shared" si="89"/>
        <v>1.3835834776846438E-2</v>
      </c>
      <c r="K86" s="1469">
        <f t="shared" si="89"/>
        <v>1.6650179640718563E-2</v>
      </c>
      <c r="L86" s="1469">
        <f t="shared" si="89"/>
        <v>1.481738252787702E-2</v>
      </c>
      <c r="M86" s="1469">
        <f t="shared" si="89"/>
        <v>1.6490152477763659E-2</v>
      </c>
      <c r="N86" s="1469">
        <f t="shared" si="89"/>
        <v>1.2831516666666666E-2</v>
      </c>
      <c r="O86" s="1470">
        <f t="shared" si="89"/>
        <v>1.5334323922734027E-2</v>
      </c>
      <c r="P86" s="1470">
        <f t="shared" si="89"/>
        <v>1.5893408134642358E-2</v>
      </c>
      <c r="Q86" s="1470">
        <f t="shared" si="89"/>
        <v>1.9737551867219916E-2</v>
      </c>
      <c r="R86" s="1470">
        <f t="shared" si="89"/>
        <v>1.5803234501347709E-2</v>
      </c>
      <c r="S86" s="1469">
        <f t="shared" si="89"/>
        <v>1.8973935628157693E-2</v>
      </c>
      <c r="T86" s="1471">
        <f t="shared" si="89"/>
        <v>1.9097281978912105E-2</v>
      </c>
      <c r="U86" s="1471">
        <f t="shared" si="89"/>
        <v>2.3845498796963072E-2</v>
      </c>
      <c r="V86" s="1471">
        <f t="shared" si="89"/>
        <v>1.9245867477682969E-2</v>
      </c>
      <c r="W86" s="1472">
        <f t="shared" si="89"/>
        <v>2.4500093440478415E-2</v>
      </c>
      <c r="X86" s="1472">
        <f t="shared" si="89"/>
        <v>2.3523133648145067E-2</v>
      </c>
      <c r="Y86" s="1472">
        <f t="shared" si="89"/>
        <v>2.5928957010110047E-2</v>
      </c>
      <c r="Z86" s="1472">
        <f t="shared" si="89"/>
        <v>2.0229658222154674E-2</v>
      </c>
      <c r="AA86" s="1471">
        <f t="shared" si="89"/>
        <v>2.586891310023736E-2</v>
      </c>
      <c r="AB86" s="1471">
        <f t="shared" si="89"/>
        <v>2.5168510902300139E-2</v>
      </c>
      <c r="AC86" s="1471">
        <f t="shared" si="89"/>
        <v>2.788838692886628E-2</v>
      </c>
      <c r="AD86" s="1471">
        <f t="shared" si="89"/>
        <v>2.2096379680322364E-2</v>
      </c>
      <c r="AE86" s="1472">
        <f t="shared" si="89"/>
        <v>2.7029821847690226E-2</v>
      </c>
      <c r="AF86" s="1472">
        <f t="shared" si="89"/>
        <v>2.6888771163888211E-2</v>
      </c>
      <c r="AG86" s="1472">
        <f t="shared" si="89"/>
        <v>2.9777660577435333E-2</v>
      </c>
      <c r="AH86" s="1472">
        <f t="shared" si="89"/>
        <v>2.1405296386046536E-2</v>
      </c>
      <c r="AI86" s="1471">
        <f t="shared" si="89"/>
        <v>2.7984918428916424E-2</v>
      </c>
      <c r="AJ86" s="1471">
        <f t="shared" si="89"/>
        <v>2.8329416467881532E-2</v>
      </c>
      <c r="AK86" s="1471">
        <f t="shared" si="89"/>
        <v>3.1828465705918754E-2</v>
      </c>
      <c r="AL86" s="1471">
        <f t="shared" si="89"/>
        <v>2.3271065013872126E-2</v>
      </c>
      <c r="AM86" s="1472">
        <f t="shared" si="89"/>
        <v>2.9594662984645331E-2</v>
      </c>
      <c r="AN86" s="1472">
        <f t="shared" si="89"/>
        <v>2.9881617019097959E-2</v>
      </c>
      <c r="AO86" s="1472">
        <f t="shared" si="89"/>
        <v>3.4389804363303814E-2</v>
      </c>
      <c r="AP86" s="1472">
        <f t="shared" si="89"/>
        <v>2.505756690564161E-2</v>
      </c>
      <c r="AQ86" s="1473">
        <f t="shared" si="89"/>
        <v>1.5454577693936605E-2</v>
      </c>
      <c r="AR86" s="1470">
        <f t="shared" si="89"/>
        <v>1.8285895713671667E-2</v>
      </c>
      <c r="AS86" s="1470">
        <f t="shared" si="89"/>
        <v>1.7721286586031008E-2</v>
      </c>
      <c r="AT86" s="1474">
        <f t="shared" si="89"/>
        <v>1.5348423829114418E-2</v>
      </c>
      <c r="AU86" s="1473">
        <f t="shared" si="89"/>
        <v>1.694857697283312E-2</v>
      </c>
      <c r="AV86" s="1470">
        <f t="shared" si="89"/>
        <v>2.0580564584525094E-2</v>
      </c>
      <c r="AW86" s="1475">
        <f t="shared" si="89"/>
        <v>2.3710320099341979E-2</v>
      </c>
      <c r="AX86" s="1476">
        <f t="shared" si="89"/>
        <v>2.5438100226994935E-2</v>
      </c>
      <c r="AY86" s="1475">
        <f t="shared" si="89"/>
        <v>2.661951737744726E-2</v>
      </c>
      <c r="AZ86" s="1475">
        <f t="shared" si="89"/>
        <v>2.8172685613688714E-2</v>
      </c>
      <c r="BA86" s="1477">
        <f t="shared" si="89"/>
        <v>3.0124916507970247E-2</v>
      </c>
      <c r="BB86" s="1476">
        <f t="shared" si="89"/>
        <v>3.1996840477079853E-2</v>
      </c>
      <c r="BC86" s="1477">
        <f t="shared" si="89"/>
        <v>3.4094802944893143E-2</v>
      </c>
      <c r="BD86" s="1478"/>
      <c r="BE86" s="1478"/>
      <c r="BF86" s="1478"/>
      <c r="BG86" s="1478"/>
      <c r="BH86" s="1478"/>
      <c r="BI86" s="1478"/>
      <c r="BJ86" s="1478"/>
      <c r="BK86" s="1478"/>
      <c r="BL86" s="1478"/>
      <c r="BM86" s="1478"/>
      <c r="BN86" s="1478"/>
      <c r="BO86" s="1478"/>
      <c r="BP86" s="1478"/>
      <c r="BQ86" s="1478"/>
      <c r="BR86" s="1478"/>
      <c r="BS86" s="1478"/>
    </row>
    <row r="87" spans="1:71" s="1492" customFormat="1" x14ac:dyDescent="0.35">
      <c r="A87" s="830" t="s">
        <v>740</v>
      </c>
      <c r="B87" s="1480" t="s">
        <v>814</v>
      </c>
      <c r="C87" s="1481">
        <v>1.2E-2</v>
      </c>
      <c r="D87" s="1481">
        <v>1.2E-2</v>
      </c>
      <c r="E87" s="1481">
        <v>1.2E-2</v>
      </c>
      <c r="F87" s="1481">
        <f t="shared" ref="F87:BC87" si="90">F91/F23</f>
        <v>8.5088609865470854E-3</v>
      </c>
      <c r="G87" s="1482">
        <f t="shared" si="90"/>
        <v>1.0297205369649806E-2</v>
      </c>
      <c r="H87" s="1482">
        <f t="shared" si="90"/>
        <v>9.598779272727273E-3</v>
      </c>
      <c r="I87" s="1482">
        <f t="shared" si="90"/>
        <v>1.2601820809248553E-2</v>
      </c>
      <c r="J87" s="1482">
        <f t="shared" si="90"/>
        <v>8.4720193220339003E-3</v>
      </c>
      <c r="K87" s="1481">
        <f t="shared" si="90"/>
        <v>9.7564210526315791E-3</v>
      </c>
      <c r="L87" s="1481">
        <f t="shared" si="90"/>
        <v>8.6694789473684176E-3</v>
      </c>
      <c r="M87" s="1481">
        <f t="shared" si="90"/>
        <v>1.0508299595141702E-2</v>
      </c>
      <c r="N87" s="1481">
        <f t="shared" si="90"/>
        <v>8.0828451443569569E-3</v>
      </c>
      <c r="O87" s="1482">
        <f t="shared" si="90"/>
        <v>8.942388758782201E-3</v>
      </c>
      <c r="P87" s="1482">
        <f t="shared" si="90"/>
        <v>9.8314155251141549E-3</v>
      </c>
      <c r="Q87" s="1482">
        <f t="shared" si="90"/>
        <v>1.216646536412078E-2</v>
      </c>
      <c r="R87" s="1482">
        <f t="shared" si="90"/>
        <v>9.6628507795100231E-3</v>
      </c>
      <c r="S87" s="1483">
        <f t="shared" si="90"/>
        <v>1.1567598425196848E-2</v>
      </c>
      <c r="T87" s="1483">
        <f t="shared" si="90"/>
        <v>1.1915970126151228E-2</v>
      </c>
      <c r="U87" s="1484">
        <f t="shared" si="90"/>
        <v>1.4833993714988388E-2</v>
      </c>
      <c r="V87" s="1484">
        <f t="shared" si="90"/>
        <v>1.153134912600391E-2</v>
      </c>
      <c r="W87" s="1485">
        <f t="shared" si="90"/>
        <v>1.4624015748031495E-2</v>
      </c>
      <c r="X87" s="1485">
        <f t="shared" si="90"/>
        <v>1.4825993860124349E-2</v>
      </c>
      <c r="Y87" s="1485">
        <f t="shared" si="90"/>
        <v>1.5803245885990764E-2</v>
      </c>
      <c r="Z87" s="1485">
        <f t="shared" si="90"/>
        <v>1.1332166935317703E-2</v>
      </c>
      <c r="AA87" s="1484">
        <f t="shared" si="90"/>
        <v>1.6030497546502338E-2</v>
      </c>
      <c r="AB87" s="1484">
        <f t="shared" si="90"/>
        <v>1.6296174096205873E-2</v>
      </c>
      <c r="AC87" s="1484">
        <f t="shared" si="90"/>
        <v>1.7263956515509167E-2</v>
      </c>
      <c r="AD87" s="1484">
        <f t="shared" si="90"/>
        <v>1.230480783965773E-2</v>
      </c>
      <c r="AE87" s="1485">
        <f t="shared" si="90"/>
        <v>1.736584472457247E-2</v>
      </c>
      <c r="AF87" s="1485">
        <f t="shared" si="90"/>
        <v>1.8418888442289758E-2</v>
      </c>
      <c r="AG87" s="1485">
        <f t="shared" si="90"/>
        <v>1.8929617231314214E-2</v>
      </c>
      <c r="AH87" s="1485">
        <f t="shared" si="90"/>
        <v>1.1863133667056214E-2</v>
      </c>
      <c r="AI87" s="1484">
        <f t="shared" si="90"/>
        <v>1.7704666690459225E-2</v>
      </c>
      <c r="AJ87" s="1484">
        <f t="shared" si="90"/>
        <v>1.8867178848821678E-2</v>
      </c>
      <c r="AK87" s="1484">
        <f t="shared" si="90"/>
        <v>1.9673125706282692E-2</v>
      </c>
      <c r="AL87" s="1484">
        <f t="shared" si="90"/>
        <v>1.244081669779982E-2</v>
      </c>
      <c r="AM87" s="1485">
        <f t="shared" si="90"/>
        <v>1.847723396422472E-2</v>
      </c>
      <c r="AN87" s="1485">
        <f t="shared" si="90"/>
        <v>2.0289790098030416E-2</v>
      </c>
      <c r="AO87" s="1485">
        <f t="shared" si="90"/>
        <v>2.1632900680854907E-2</v>
      </c>
      <c r="AP87" s="1485">
        <f t="shared" si="90"/>
        <v>1.3770966910772122E-2</v>
      </c>
      <c r="AQ87" s="1486">
        <f t="shared" si="90"/>
        <v>1.2500546448087431E-2</v>
      </c>
      <c r="AR87" s="1487">
        <f t="shared" si="90"/>
        <v>1.4342475728155338E-2</v>
      </c>
      <c r="AS87" s="1487">
        <f t="shared" si="90"/>
        <v>1.2672208013640239E-2</v>
      </c>
      <c r="AT87" s="1488">
        <f t="shared" si="90"/>
        <v>9.3948653725735767E-3</v>
      </c>
      <c r="AU87" s="1489">
        <f t="shared" si="90"/>
        <v>1.0289238145977623E-2</v>
      </c>
      <c r="AV87" s="1490">
        <f t="shared" si="90"/>
        <v>1.2617874844753643E-2</v>
      </c>
      <c r="AW87" s="1490">
        <f t="shared" si="90"/>
        <v>1.4231111487119426E-2</v>
      </c>
      <c r="AX87" s="1489">
        <f t="shared" si="90"/>
        <v>1.5558576021385256E-2</v>
      </c>
      <c r="AY87" s="1490">
        <f t="shared" si="90"/>
        <v>1.6816474756421611E-2</v>
      </c>
      <c r="AZ87" s="1490">
        <f t="shared" si="90"/>
        <v>1.7297663011310267E-2</v>
      </c>
      <c r="BA87" s="1491">
        <f t="shared" si="90"/>
        <v>1.8732856974101781E-2</v>
      </c>
      <c r="BB87" s="1489">
        <f t="shared" si="90"/>
        <v>1.9986684307561821E-2</v>
      </c>
      <c r="BC87" s="1491">
        <f t="shared" si="90"/>
        <v>2.0775816147797485E-2</v>
      </c>
    </row>
    <row r="88" spans="1:71" s="1492" customFormat="1" x14ac:dyDescent="0.35">
      <c r="A88" s="830" t="s">
        <v>740</v>
      </c>
      <c r="B88" s="1480" t="s">
        <v>815</v>
      </c>
      <c r="C88" s="1481">
        <f>(C168-C23*1000*C87)/(C30*1000)</f>
        <v>7.1999999999999995E-2</v>
      </c>
      <c r="D88" s="1481">
        <f>(D168-D23*1000*D87)/(D30*1000)</f>
        <v>7.0448979591836741E-2</v>
      </c>
      <c r="E88" s="1481">
        <f>(E168-E23*1000*E87)/(E30*1000)</f>
        <v>7.1736263736263739E-2</v>
      </c>
      <c r="F88" s="1481">
        <f>(F168-F23*1000*F87)/(F30*1000)</f>
        <v>6.8401746478873232E-2</v>
      </c>
      <c r="G88" s="1482">
        <f t="shared" ref="G88:BC88" si="91">G89+G90</f>
        <v>6.595390022727271E-2</v>
      </c>
      <c r="H88" s="1482">
        <f t="shared" si="91"/>
        <v>5.847687575757575E-2</v>
      </c>
      <c r="I88" s="1482">
        <f t="shared" si="91"/>
        <v>6.2213360655737709E-2</v>
      </c>
      <c r="J88" s="1487">
        <f t="shared" si="91"/>
        <v>4.9166513333333328E-2</v>
      </c>
      <c r="K88" s="1493">
        <f t="shared" si="91"/>
        <v>5.6915245283018868E-2</v>
      </c>
      <c r="L88" s="1493">
        <f t="shared" si="91"/>
        <v>5.2431372772046354E-2</v>
      </c>
      <c r="M88" s="1493">
        <f t="shared" si="91"/>
        <v>5.3441638225255966E-2</v>
      </c>
      <c r="N88" s="1493">
        <f t="shared" si="91"/>
        <v>4.4330849315068491E-2</v>
      </c>
      <c r="O88" s="1487">
        <f t="shared" si="91"/>
        <v>4.697997744940953E-2</v>
      </c>
      <c r="P88" s="1487">
        <f t="shared" si="91"/>
        <v>4.5516509090909096E-2</v>
      </c>
      <c r="Q88" s="1487">
        <f t="shared" si="91"/>
        <v>5.3172012393259277E-2</v>
      </c>
      <c r="R88" s="1487">
        <f t="shared" si="91"/>
        <v>4.59940614334471E-2</v>
      </c>
      <c r="S88" s="1494">
        <f t="shared" si="91"/>
        <v>5.1464012158054712E-2</v>
      </c>
      <c r="T88" s="1494">
        <f t="shared" si="91"/>
        <v>4.890866807610994E-2</v>
      </c>
      <c r="U88" s="1494">
        <f t="shared" si="91"/>
        <v>5.9010070751078447E-2</v>
      </c>
      <c r="V88" s="1494">
        <f t="shared" si="91"/>
        <v>5.2307546454304132E-2</v>
      </c>
      <c r="W88" s="1495">
        <f t="shared" si="91"/>
        <v>5.6845853234910995E-2</v>
      </c>
      <c r="X88" s="1495">
        <f t="shared" si="91"/>
        <v>5.463767240511426E-2</v>
      </c>
      <c r="Y88" s="1495">
        <f t="shared" si="91"/>
        <v>6.1524387700671992E-2</v>
      </c>
      <c r="Z88" s="1495">
        <f t="shared" si="91"/>
        <v>5.5409942099361897E-2</v>
      </c>
      <c r="AA88" s="1494">
        <f t="shared" si="91"/>
        <v>6.1683295437677477E-2</v>
      </c>
      <c r="AB88" s="1494">
        <f t="shared" si="91"/>
        <v>5.7466014029535085E-2</v>
      </c>
      <c r="AC88" s="1494">
        <f t="shared" si="91"/>
        <v>6.4305456035878908E-2</v>
      </c>
      <c r="AD88" s="1494">
        <f t="shared" si="91"/>
        <v>5.8867534199197741E-2</v>
      </c>
      <c r="AE88" s="1495">
        <f t="shared" si="91"/>
        <v>5.8960312714965275E-2</v>
      </c>
      <c r="AF88" s="1495">
        <f t="shared" si="91"/>
        <v>5.7403645748831229E-2</v>
      </c>
      <c r="AG88" s="1495">
        <f t="shared" si="91"/>
        <v>6.369549825913004E-2</v>
      </c>
      <c r="AH88" s="1495">
        <f t="shared" si="91"/>
        <v>5.4559968137791778E-2</v>
      </c>
      <c r="AI88" s="1494">
        <f t="shared" si="91"/>
        <v>5.7725198073610165E-2</v>
      </c>
      <c r="AJ88" s="1494">
        <f t="shared" si="91"/>
        <v>5.7325921146277006E-2</v>
      </c>
      <c r="AK88" s="1494">
        <f t="shared" si="91"/>
        <v>6.3660570352344625E-2</v>
      </c>
      <c r="AL88" s="1494">
        <f t="shared" si="91"/>
        <v>5.5722228796037318E-2</v>
      </c>
      <c r="AM88" s="1495">
        <f t="shared" si="91"/>
        <v>5.8097087776426054E-2</v>
      </c>
      <c r="AN88" s="1495">
        <f t="shared" si="91"/>
        <v>5.7341231756085118E-2</v>
      </c>
      <c r="AO88" s="1495">
        <f t="shared" si="91"/>
        <v>6.5002490684776079E-2</v>
      </c>
      <c r="AP88" s="1495">
        <f t="shared" si="91"/>
        <v>5.6159990474273065E-2</v>
      </c>
      <c r="AQ88" s="1486">
        <f t="shared" si="91"/>
        <v>5.1370175438596496E-2</v>
      </c>
      <c r="AR88" s="1487">
        <f t="shared" si="91"/>
        <v>5.5493280632411067E-2</v>
      </c>
      <c r="AS88" s="1487">
        <f t="shared" si="91"/>
        <v>5.3242574257425741E-2</v>
      </c>
      <c r="AT88" s="1488">
        <f t="shared" si="91"/>
        <v>5.1611531894090221E-2</v>
      </c>
      <c r="AU88" s="1489">
        <f t="shared" si="91"/>
        <v>4.8454610224075489E-2</v>
      </c>
      <c r="AV88" s="1490">
        <f t="shared" si="91"/>
        <v>5.3552865897724414E-2</v>
      </c>
      <c r="AW88" s="1490">
        <f t="shared" si="91"/>
        <v>5.7509419285534658E-2</v>
      </c>
      <c r="AX88" s="1489">
        <f t="shared" si="91"/>
        <v>6.0895170242633148E-2</v>
      </c>
      <c r="AY88" s="1490">
        <f t="shared" si="91"/>
        <v>5.9189444097439106E-2</v>
      </c>
      <c r="AZ88" s="1490">
        <f t="shared" si="91"/>
        <v>5.9073301554744086E-2</v>
      </c>
      <c r="BA88" s="1491">
        <f t="shared" si="91"/>
        <v>5.9684040226016116E-2</v>
      </c>
      <c r="BB88" s="1489">
        <f t="shared" si="91"/>
        <v>6.0457136181995108E-2</v>
      </c>
      <c r="BC88" s="1491">
        <f t="shared" si="91"/>
        <v>6.2177829914919838E-2</v>
      </c>
    </row>
    <row r="89" spans="1:71" s="1366" customFormat="1" x14ac:dyDescent="0.35">
      <c r="A89" s="830" t="s">
        <v>747</v>
      </c>
      <c r="B89" s="1496" t="s">
        <v>816</v>
      </c>
      <c r="C89" s="1497"/>
      <c r="D89" s="1497"/>
      <c r="E89" s="1497"/>
      <c r="F89" s="1497">
        <f t="shared" ref="F89:AP89" si="92">F170/1000/F30</f>
        <v>2.8538028169014081E-2</v>
      </c>
      <c r="G89" s="1498">
        <f t="shared" si="92"/>
        <v>2.4425181818181818E-2</v>
      </c>
      <c r="H89" s="1498">
        <f t="shared" si="92"/>
        <v>2.1656161616161615E-2</v>
      </c>
      <c r="I89" s="1498">
        <f t="shared" si="92"/>
        <v>2.6473770491803276E-2</v>
      </c>
      <c r="J89" s="1498">
        <f t="shared" si="92"/>
        <v>2.3601037037037038E-2</v>
      </c>
      <c r="K89" s="1497">
        <f t="shared" si="92"/>
        <v>2.5436981132075473E-2</v>
      </c>
      <c r="L89" s="1497">
        <f t="shared" si="92"/>
        <v>2.4327576009190492E-2</v>
      </c>
      <c r="M89" s="1499">
        <f t="shared" si="92"/>
        <v>2.6866040955631398E-2</v>
      </c>
      <c r="N89" s="1499">
        <f t="shared" si="92"/>
        <v>2.3237945205479456E-2</v>
      </c>
      <c r="O89" s="1498">
        <f t="shared" si="92"/>
        <v>2.0550709156726601E-2</v>
      </c>
      <c r="P89" s="1498">
        <f t="shared" si="92"/>
        <v>1.9968E-2</v>
      </c>
      <c r="Q89" s="1498">
        <f t="shared" si="92"/>
        <v>2.2804730597748055E-2</v>
      </c>
      <c r="R89" s="1498">
        <f t="shared" si="92"/>
        <v>2.0781160409556316E-2</v>
      </c>
      <c r="S89" s="1500">
        <f t="shared" si="92"/>
        <v>2.1051671732522797E-2</v>
      </c>
      <c r="T89" s="1501">
        <f t="shared" si="92"/>
        <v>1.9348837209302326E-2</v>
      </c>
      <c r="U89" s="1502">
        <f t="shared" si="92"/>
        <v>2.3572626772926729E-2</v>
      </c>
      <c r="V89" s="1502">
        <f t="shared" si="92"/>
        <v>2.2224930928002599E-2</v>
      </c>
      <c r="W89" s="1503">
        <f t="shared" si="92"/>
        <v>1.9274858879722103E-2</v>
      </c>
      <c r="X89" s="1503">
        <f t="shared" si="92"/>
        <v>2.0253699788583508E-2</v>
      </c>
      <c r="Y89" s="1503">
        <f t="shared" si="92"/>
        <v>2.3639460238591099E-2</v>
      </c>
      <c r="Z89" s="1503">
        <f t="shared" si="92"/>
        <v>2.3325650458756262E-2</v>
      </c>
      <c r="AA89" s="1502">
        <f t="shared" si="92"/>
        <v>2.3854147736179648E-2</v>
      </c>
      <c r="AB89" s="1502">
        <f t="shared" si="92"/>
        <v>2.1858850995887323E-2</v>
      </c>
      <c r="AC89" s="1502">
        <f t="shared" si="92"/>
        <v>2.4286939321652195E-2</v>
      </c>
      <c r="AD89" s="1502">
        <f t="shared" si="92"/>
        <v>2.4475658902610348E-2</v>
      </c>
      <c r="AE89" s="1503">
        <f t="shared" si="92"/>
        <v>2.2037290360073E-2</v>
      </c>
      <c r="AF89" s="1503">
        <f t="shared" si="92"/>
        <v>2.1665822165533873E-2</v>
      </c>
      <c r="AG89" s="1503">
        <f t="shared" si="92"/>
        <v>2.292198962545005E-2</v>
      </c>
      <c r="AH89" s="1503">
        <f t="shared" si="92"/>
        <v>2.1893927027524643E-2</v>
      </c>
      <c r="AI89" s="1502">
        <f t="shared" si="92"/>
        <v>2.0469055066865572E-2</v>
      </c>
      <c r="AJ89" s="1502">
        <f t="shared" si="92"/>
        <v>2.0245112515334934E-2</v>
      </c>
      <c r="AK89" s="1502">
        <f t="shared" si="92"/>
        <v>2.1088230455414046E-2</v>
      </c>
      <c r="AL89" s="1502">
        <f t="shared" si="92"/>
        <v>2.1400079049460178E-2</v>
      </c>
      <c r="AM89" s="1503">
        <f t="shared" si="92"/>
        <v>1.9462380227511528E-2</v>
      </c>
      <c r="AN89" s="1503">
        <f t="shared" si="92"/>
        <v>1.9401566160529311E-2</v>
      </c>
      <c r="AO89" s="1503">
        <f t="shared" si="92"/>
        <v>2.0379382372879121E-2</v>
      </c>
      <c r="AP89" s="1503">
        <f t="shared" si="92"/>
        <v>2.066845241529059E-2</v>
      </c>
      <c r="AQ89" s="1504">
        <f t="shared" ref="AQ89:BC89" si="93">(AQ170/1000)/AQ30</f>
        <v>2.5570175438596493E-2</v>
      </c>
      <c r="AR89" s="1505">
        <f t="shared" si="93"/>
        <v>2.4351778656126481E-2</v>
      </c>
      <c r="AS89" s="1505">
        <f t="shared" si="93"/>
        <v>2.3807920792079208E-2</v>
      </c>
      <c r="AT89" s="1506">
        <f t="shared" si="93"/>
        <v>2.503560319968258E-2</v>
      </c>
      <c r="AU89" s="1504">
        <f t="shared" si="93"/>
        <v>2.1218313927779189E-2</v>
      </c>
      <c r="AV89" s="1505">
        <f t="shared" si="93"/>
        <v>2.1767314778783738E-2</v>
      </c>
      <c r="AW89" s="1507">
        <f t="shared" si="93"/>
        <v>2.1835026619114978E-2</v>
      </c>
      <c r="AX89" s="1508">
        <f t="shared" si="93"/>
        <v>2.3676454787789736E-2</v>
      </c>
      <c r="AY89" s="1507">
        <f t="shared" si="93"/>
        <v>2.2200499687695191E-2</v>
      </c>
      <c r="AZ89" s="1507">
        <f t="shared" si="93"/>
        <v>2.08168732826794E-2</v>
      </c>
      <c r="BA89" s="1509">
        <f t="shared" si="93"/>
        <v>1.9994459814729314E-2</v>
      </c>
      <c r="BB89" s="1508">
        <f t="shared" si="93"/>
        <v>1.9316681515924933E-2</v>
      </c>
      <c r="BC89" s="1509">
        <f t="shared" si="93"/>
        <v>1.8817112166375154E-2</v>
      </c>
    </row>
    <row r="90" spans="1:71" s="1518" customFormat="1" x14ac:dyDescent="0.35">
      <c r="A90" s="830" t="s">
        <v>740</v>
      </c>
      <c r="B90" s="1496" t="s">
        <v>817</v>
      </c>
      <c r="C90" s="1510"/>
      <c r="D90" s="1510"/>
      <c r="E90" s="1510"/>
      <c r="F90" s="1511">
        <f t="shared" ref="F90:BC90" si="94">F93/F30</f>
        <v>3.6905971830985915E-2</v>
      </c>
      <c r="G90" s="1512">
        <f t="shared" si="94"/>
        <v>4.1528718409090899E-2</v>
      </c>
      <c r="H90" s="1512">
        <f t="shared" si="94"/>
        <v>3.6820714141414135E-2</v>
      </c>
      <c r="I90" s="1512">
        <f t="shared" si="94"/>
        <v>3.573959016393443E-2</v>
      </c>
      <c r="J90" s="1512">
        <f t="shared" si="94"/>
        <v>2.5565476296296293E-2</v>
      </c>
      <c r="K90" s="1511">
        <f t="shared" si="94"/>
        <v>3.1478264150943396E-2</v>
      </c>
      <c r="L90" s="1511">
        <f t="shared" si="94"/>
        <v>2.8103796762855862E-2</v>
      </c>
      <c r="M90" s="1511">
        <f t="shared" si="94"/>
        <v>2.6575597269624572E-2</v>
      </c>
      <c r="N90" s="1511">
        <f t="shared" si="94"/>
        <v>2.1092904109589038E-2</v>
      </c>
      <c r="O90" s="1512">
        <f t="shared" si="94"/>
        <v>2.6429268292682929E-2</v>
      </c>
      <c r="P90" s="1512">
        <f t="shared" si="94"/>
        <v>2.5548509090909093E-2</v>
      </c>
      <c r="Q90" s="1512">
        <f t="shared" si="94"/>
        <v>3.0367281795511226E-2</v>
      </c>
      <c r="R90" s="1512">
        <f t="shared" si="94"/>
        <v>2.5212901023890785E-2</v>
      </c>
      <c r="S90" s="1513">
        <f t="shared" si="94"/>
        <v>3.0412340425531918E-2</v>
      </c>
      <c r="T90" s="1513">
        <f t="shared" si="94"/>
        <v>2.9559830866807611E-2</v>
      </c>
      <c r="U90" s="1513">
        <f t="shared" si="94"/>
        <v>3.5437443978151718E-2</v>
      </c>
      <c r="V90" s="1513">
        <f t="shared" si="94"/>
        <v>3.0082615526301534E-2</v>
      </c>
      <c r="W90" s="1514">
        <f t="shared" si="94"/>
        <v>3.7570994355188889E-2</v>
      </c>
      <c r="X90" s="1514">
        <f t="shared" si="94"/>
        <v>3.4383972616530756E-2</v>
      </c>
      <c r="Y90" s="1514">
        <f t="shared" si="94"/>
        <v>3.7884927462080893E-2</v>
      </c>
      <c r="Z90" s="1514">
        <f t="shared" si="94"/>
        <v>3.2084291640605632E-2</v>
      </c>
      <c r="AA90" s="1513">
        <f t="shared" si="94"/>
        <v>3.7829147701497833E-2</v>
      </c>
      <c r="AB90" s="1513">
        <f t="shared" si="94"/>
        <v>3.5607163033647762E-2</v>
      </c>
      <c r="AC90" s="1513">
        <f t="shared" si="94"/>
        <v>4.0018516714226716E-2</v>
      </c>
      <c r="AD90" s="1513">
        <f t="shared" si="94"/>
        <v>3.4391875296587389E-2</v>
      </c>
      <c r="AE90" s="1514">
        <f t="shared" si="94"/>
        <v>3.6923022354892275E-2</v>
      </c>
      <c r="AF90" s="1514">
        <f t="shared" si="94"/>
        <v>3.5737823583297357E-2</v>
      </c>
      <c r="AG90" s="1514">
        <f t="shared" si="94"/>
        <v>4.0773508633679997E-2</v>
      </c>
      <c r="AH90" s="1514">
        <f t="shared" si="94"/>
        <v>3.2666041110267136E-2</v>
      </c>
      <c r="AI90" s="1513">
        <f t="shared" si="94"/>
        <v>3.725614300674459E-2</v>
      </c>
      <c r="AJ90" s="1513">
        <f t="shared" si="94"/>
        <v>3.7080808630942069E-2</v>
      </c>
      <c r="AK90" s="1513">
        <f t="shared" si="94"/>
        <v>4.2572339896930586E-2</v>
      </c>
      <c r="AL90" s="1513">
        <f t="shared" si="94"/>
        <v>3.4322149746577137E-2</v>
      </c>
      <c r="AM90" s="1514">
        <f t="shared" si="94"/>
        <v>3.8634707548914529E-2</v>
      </c>
      <c r="AN90" s="1514">
        <f t="shared" si="94"/>
        <v>3.7939665595555803E-2</v>
      </c>
      <c r="AO90" s="1514">
        <f t="shared" si="94"/>
        <v>4.4623108311896954E-2</v>
      </c>
      <c r="AP90" s="1514">
        <f t="shared" si="94"/>
        <v>3.5491538058982475E-2</v>
      </c>
      <c r="AQ90" s="1515">
        <f t="shared" si="94"/>
        <v>2.58E-2</v>
      </c>
      <c r="AR90" s="1516">
        <f t="shared" si="94"/>
        <v>3.1141501976284586E-2</v>
      </c>
      <c r="AS90" s="1516">
        <f t="shared" si="94"/>
        <v>2.9434653465346534E-2</v>
      </c>
      <c r="AT90" s="1517">
        <f t="shared" si="94"/>
        <v>2.6575928694407638E-2</v>
      </c>
      <c r="AU90" s="1515">
        <f t="shared" si="94"/>
        <v>2.7236296296296297E-2</v>
      </c>
      <c r="AV90" s="1516">
        <f t="shared" si="94"/>
        <v>3.1785551118940679E-2</v>
      </c>
      <c r="AW90" s="1516">
        <f t="shared" si="94"/>
        <v>3.5674392666419676E-2</v>
      </c>
      <c r="AX90" s="1515">
        <f t="shared" si="94"/>
        <v>3.7218715454843412E-2</v>
      </c>
      <c r="AY90" s="1516">
        <f t="shared" si="94"/>
        <v>3.6988944409743915E-2</v>
      </c>
      <c r="AZ90" s="1516">
        <f t="shared" si="94"/>
        <v>3.8256428272064685E-2</v>
      </c>
      <c r="BA90" s="1517">
        <f t="shared" si="94"/>
        <v>3.9689580411286798E-2</v>
      </c>
      <c r="BB90" s="1515">
        <f t="shared" si="94"/>
        <v>4.1140454666070178E-2</v>
      </c>
      <c r="BC90" s="1517">
        <f t="shared" si="94"/>
        <v>4.3360717748544685E-2</v>
      </c>
    </row>
    <row r="91" spans="1:71" s="1047" customFormat="1" x14ac:dyDescent="0.3">
      <c r="A91" s="830" t="s">
        <v>740</v>
      </c>
      <c r="B91" s="1519" t="s">
        <v>818</v>
      </c>
      <c r="C91" s="1520"/>
      <c r="D91" s="1520"/>
      <c r="E91" s="1520"/>
      <c r="F91" s="1521">
        <f t="shared" ref="F91:AX91" si="95">F169/1000-F93</f>
        <v>1.8974760000000002</v>
      </c>
      <c r="G91" s="1522">
        <f t="shared" si="95"/>
        <v>2.64638178</v>
      </c>
      <c r="H91" s="1522">
        <f t="shared" si="95"/>
        <v>2.6396643000000002</v>
      </c>
      <c r="I91" s="1522">
        <f t="shared" si="95"/>
        <v>4.3602299999999996</v>
      </c>
      <c r="J91" s="1522">
        <f t="shared" si="95"/>
        <v>2.4992457000000008</v>
      </c>
      <c r="K91" s="1521">
        <f t="shared" si="95"/>
        <v>3.3366959999999999</v>
      </c>
      <c r="L91" s="1521">
        <f t="shared" si="95"/>
        <v>3.2944019999999989</v>
      </c>
      <c r="M91" s="1521">
        <f t="shared" si="95"/>
        <v>5.1911000000000005</v>
      </c>
      <c r="N91" s="1521">
        <f t="shared" si="95"/>
        <v>3.0795640000000004</v>
      </c>
      <c r="O91" s="1522">
        <f t="shared" si="95"/>
        <v>3.8183999999999996</v>
      </c>
      <c r="P91" s="1522">
        <f t="shared" si="95"/>
        <v>4.3061600000000002</v>
      </c>
      <c r="Q91" s="1522">
        <f t="shared" si="95"/>
        <v>6.8497199999999996</v>
      </c>
      <c r="R91" s="1522">
        <f t="shared" si="95"/>
        <v>4.3386200000000006</v>
      </c>
      <c r="S91" s="1521">
        <f t="shared" si="95"/>
        <v>5.876339999999999</v>
      </c>
      <c r="T91" s="1521">
        <f t="shared" si="95"/>
        <v>6.1586499999999997</v>
      </c>
      <c r="U91" s="1521">
        <f t="shared" si="95"/>
        <v>9.7713000000000001</v>
      </c>
      <c r="V91" s="1521">
        <f t="shared" si="95"/>
        <v>5.9800999999999984</v>
      </c>
      <c r="W91" s="1522">
        <f t="shared" si="95"/>
        <v>8.9147999999999996</v>
      </c>
      <c r="X91" s="1522">
        <f t="shared" si="95"/>
        <v>9.1951999999999998</v>
      </c>
      <c r="Y91" s="1522">
        <f t="shared" si="95"/>
        <v>12.803999999999998</v>
      </c>
      <c r="Z91" s="1522">
        <f t="shared" si="95"/>
        <v>7.3577599999999972</v>
      </c>
      <c r="AA91" s="1521">
        <f t="shared" si="95"/>
        <v>11.238019999999999</v>
      </c>
      <c r="AB91" s="1521">
        <f t="shared" si="95"/>
        <v>11.522000000000002</v>
      </c>
      <c r="AC91" s="1521">
        <f t="shared" si="95"/>
        <v>16.365360000000003</v>
      </c>
      <c r="AD91" s="1521">
        <f t="shared" si="95"/>
        <v>9.3368900000000039</v>
      </c>
      <c r="AE91" s="1523">
        <f t="shared" si="95"/>
        <v>13.63505</v>
      </c>
      <c r="AF91" s="1523">
        <f t="shared" si="95"/>
        <v>14.455349999999999</v>
      </c>
      <c r="AG91" s="1523">
        <f t="shared" si="95"/>
        <v>19.595199999999998</v>
      </c>
      <c r="AH91" s="1523">
        <f t="shared" si="95"/>
        <v>9.2718000000000025</v>
      </c>
      <c r="AI91" s="1521">
        <f t="shared" si="95"/>
        <v>15.430199999999999</v>
      </c>
      <c r="AJ91" s="1521">
        <f t="shared" si="95"/>
        <v>15.991747199999999</v>
      </c>
      <c r="AK91" s="1521">
        <f t="shared" si="95"/>
        <v>22.197687500000001</v>
      </c>
      <c r="AL91" s="1521">
        <f t="shared" si="95"/>
        <v>11.181790800000002</v>
      </c>
      <c r="AM91" s="1523">
        <f t="shared" si="95"/>
        <v>17.713869600000002</v>
      </c>
      <c r="AN91" s="1523">
        <f t="shared" si="95"/>
        <v>18.745326170999995</v>
      </c>
      <c r="AO91" s="1523">
        <f t="shared" si="95"/>
        <v>26.361667499999996</v>
      </c>
      <c r="AP91" s="1523">
        <f t="shared" si="95"/>
        <v>13.119967871999997</v>
      </c>
      <c r="AQ91" s="1524">
        <f t="shared" si="95"/>
        <v>6.8628</v>
      </c>
      <c r="AR91" s="1522">
        <f t="shared" si="95"/>
        <v>11.818199999999999</v>
      </c>
      <c r="AS91" s="1522">
        <f t="shared" si="95"/>
        <v>14.8645</v>
      </c>
      <c r="AT91" s="1525">
        <f t="shared" si="95"/>
        <v>15.003600000000002</v>
      </c>
      <c r="AU91" s="1524">
        <f t="shared" si="95"/>
        <v>19.312899999999999</v>
      </c>
      <c r="AV91" s="1522">
        <f t="shared" si="95"/>
        <v>27.786390000000004</v>
      </c>
      <c r="AW91" s="1522">
        <f t="shared" si="95"/>
        <v>38.27176</v>
      </c>
      <c r="AX91" s="1524">
        <f t="shared" si="95"/>
        <v>48.462270000000018</v>
      </c>
      <c r="AY91" s="1522">
        <f>SUM(AE91:AH91)</f>
        <v>56.957399999999993</v>
      </c>
      <c r="AZ91" s="1522">
        <f>SUM(AI91:AL91)</f>
        <v>64.801425499999993</v>
      </c>
      <c r="BA91" s="1525">
        <f>BA169/1000-BA93</f>
        <v>75.940831142999969</v>
      </c>
      <c r="BB91" s="1524">
        <f>BB169/1000-BB93</f>
        <v>86.695360970400031</v>
      </c>
      <c r="BC91" s="1525">
        <f>BC169/1000-BC93</f>
        <v>95.525444032200028</v>
      </c>
    </row>
    <row r="92" spans="1:71" s="1047" customFormat="1" x14ac:dyDescent="0.3">
      <c r="A92" s="830" t="s">
        <v>740</v>
      </c>
      <c r="B92" s="1526" t="s">
        <v>819</v>
      </c>
      <c r="C92" s="1527"/>
      <c r="D92" s="1527"/>
      <c r="E92" s="1527"/>
      <c r="F92" s="1528">
        <f t="shared" ref="F92:BC92" si="96">1-F94</f>
        <v>0.42000000000000004</v>
      </c>
      <c r="G92" s="1529">
        <f t="shared" si="96"/>
        <v>0.42000000000000004</v>
      </c>
      <c r="H92" s="1529">
        <f t="shared" si="96"/>
        <v>0.42000000000000004</v>
      </c>
      <c r="I92" s="1529">
        <f t="shared" si="96"/>
        <v>0.4</v>
      </c>
      <c r="J92" s="1529">
        <f t="shared" si="96"/>
        <v>0.42000000000000004</v>
      </c>
      <c r="K92" s="1528">
        <f t="shared" si="96"/>
        <v>0.4</v>
      </c>
      <c r="L92" s="1528">
        <f t="shared" si="96"/>
        <v>0.4</v>
      </c>
      <c r="M92" s="1528">
        <f t="shared" si="96"/>
        <v>0.4</v>
      </c>
      <c r="N92" s="1528">
        <f t="shared" si="96"/>
        <v>0.4</v>
      </c>
      <c r="O92" s="1529">
        <f t="shared" si="96"/>
        <v>0.37</v>
      </c>
      <c r="P92" s="1529">
        <f t="shared" si="96"/>
        <v>0.38</v>
      </c>
      <c r="Q92" s="1529">
        <f t="shared" si="96"/>
        <v>0.36</v>
      </c>
      <c r="R92" s="1529">
        <f t="shared" si="96"/>
        <v>0.37</v>
      </c>
      <c r="S92" s="1528">
        <f t="shared" si="96"/>
        <v>0.37</v>
      </c>
      <c r="T92" s="1528">
        <f t="shared" si="96"/>
        <v>0.37</v>
      </c>
      <c r="U92" s="1528">
        <f t="shared" si="96"/>
        <v>0.35</v>
      </c>
      <c r="V92" s="1528">
        <f t="shared" si="96"/>
        <v>0.35</v>
      </c>
      <c r="W92" s="1529">
        <f t="shared" si="96"/>
        <v>0.33999999999999997</v>
      </c>
      <c r="X92" s="1529">
        <f t="shared" si="96"/>
        <v>0.35</v>
      </c>
      <c r="Y92" s="1529">
        <f t="shared" si="96"/>
        <v>0.32999999999999996</v>
      </c>
      <c r="Z92" s="1529">
        <f t="shared" si="96"/>
        <v>0.31999999999999995</v>
      </c>
      <c r="AA92" s="1528">
        <f t="shared" si="96"/>
        <v>0.33999999999999997</v>
      </c>
      <c r="AB92" s="1528">
        <f t="shared" si="96"/>
        <v>0.35</v>
      </c>
      <c r="AC92" s="1528">
        <f t="shared" si="96"/>
        <v>0.32999999999999996</v>
      </c>
      <c r="AD92" s="1528">
        <f t="shared" si="96"/>
        <v>0.31000000000000005</v>
      </c>
      <c r="AE92" s="1530">
        <f t="shared" si="96"/>
        <v>0.32499999999999996</v>
      </c>
      <c r="AF92" s="1530">
        <f t="shared" si="96"/>
        <v>0.35</v>
      </c>
      <c r="AG92" s="1530">
        <f t="shared" si="96"/>
        <v>0.31999999999999995</v>
      </c>
      <c r="AH92" s="1530">
        <f t="shared" si="96"/>
        <v>0.30000000000000004</v>
      </c>
      <c r="AI92" s="1528">
        <f t="shared" si="96"/>
        <v>0.30000000000000004</v>
      </c>
      <c r="AJ92" s="1528">
        <f t="shared" si="96"/>
        <v>0.31999999999999995</v>
      </c>
      <c r="AK92" s="1528">
        <f t="shared" si="96"/>
        <v>0.29000000000000004</v>
      </c>
      <c r="AL92" s="1528">
        <f t="shared" si="96"/>
        <v>0.27</v>
      </c>
      <c r="AM92" s="1530">
        <f t="shared" si="96"/>
        <v>0.28000000000000003</v>
      </c>
      <c r="AN92" s="1530">
        <f t="shared" si="96"/>
        <v>0.31000000000000005</v>
      </c>
      <c r="AO92" s="1530">
        <f t="shared" si="96"/>
        <v>0.28000000000000003</v>
      </c>
      <c r="AP92" s="1530">
        <f t="shared" si="96"/>
        <v>0.26400000000000001</v>
      </c>
      <c r="AQ92" s="1531">
        <f t="shared" si="96"/>
        <v>0.7</v>
      </c>
      <c r="AR92" s="1529">
        <f t="shared" si="96"/>
        <v>0.6</v>
      </c>
      <c r="AS92" s="1529">
        <f t="shared" si="96"/>
        <v>0.5</v>
      </c>
      <c r="AT92" s="1532">
        <f t="shared" si="96"/>
        <v>0.4</v>
      </c>
      <c r="AU92" s="1531">
        <f t="shared" si="96"/>
        <v>0.36853162866138722</v>
      </c>
      <c r="AV92" s="1529">
        <f t="shared" si="96"/>
        <v>0.35839070823283581</v>
      </c>
      <c r="AW92" s="1529">
        <f t="shared" si="96"/>
        <v>0.3348799929999563</v>
      </c>
      <c r="AX92" s="1531">
        <f t="shared" si="96"/>
        <v>0.3326533455973204</v>
      </c>
      <c r="AY92" s="1529">
        <f t="shared" si="96"/>
        <v>0.32473602590709016</v>
      </c>
      <c r="AZ92" s="1529">
        <f t="shared" si="96"/>
        <v>0.29540323249728762</v>
      </c>
      <c r="BA92" s="1532">
        <f t="shared" si="96"/>
        <v>0.28380791099921387</v>
      </c>
      <c r="BB92" s="1531">
        <f t="shared" si="96"/>
        <v>0.27</v>
      </c>
      <c r="BC92" s="1532">
        <f t="shared" si="96"/>
        <v>0.25</v>
      </c>
    </row>
    <row r="93" spans="1:71" s="1047" customFormat="1" x14ac:dyDescent="0.3">
      <c r="A93" s="830" t="s">
        <v>740</v>
      </c>
      <c r="B93" s="1047" t="s">
        <v>820</v>
      </c>
      <c r="C93" s="1527"/>
      <c r="D93" s="1527"/>
      <c r="E93" s="1527"/>
      <c r="F93" s="1533">
        <f t="shared" ref="F93:AT93" si="97">F94*F169/1000</f>
        <v>2.6203240000000001</v>
      </c>
      <c r="G93" s="1534">
        <f t="shared" si="97"/>
        <v>3.654527219999999</v>
      </c>
      <c r="H93" s="1534">
        <f t="shared" si="97"/>
        <v>3.6452506999999996</v>
      </c>
      <c r="I93" s="1534">
        <f t="shared" si="97"/>
        <v>6.5403450000000003</v>
      </c>
      <c r="J93" s="1534">
        <f t="shared" si="97"/>
        <v>3.4513392999999994</v>
      </c>
      <c r="K93" s="1533">
        <f t="shared" si="97"/>
        <v>5.0050439999999998</v>
      </c>
      <c r="L93" s="1533">
        <f t="shared" si="97"/>
        <v>4.941602999999998</v>
      </c>
      <c r="M93" s="1533">
        <f t="shared" si="97"/>
        <v>7.7866499999999998</v>
      </c>
      <c r="N93" s="1533">
        <f t="shared" si="97"/>
        <v>4.6193459999999993</v>
      </c>
      <c r="O93" s="1534">
        <f t="shared" si="97"/>
        <v>6.5016000000000007</v>
      </c>
      <c r="P93" s="1534">
        <f t="shared" si="97"/>
        <v>7.0258400000000005</v>
      </c>
      <c r="Q93" s="1534">
        <f t="shared" si="97"/>
        <v>12.177280000000001</v>
      </c>
      <c r="R93" s="1534">
        <f t="shared" si="97"/>
        <v>7.3873800000000003</v>
      </c>
      <c r="S93" s="1533">
        <f t="shared" si="97"/>
        <v>10.005660000000001</v>
      </c>
      <c r="T93" s="1533">
        <f t="shared" si="97"/>
        <v>10.48635</v>
      </c>
      <c r="U93" s="1533">
        <f t="shared" si="97"/>
        <v>18.146699999999999</v>
      </c>
      <c r="V93" s="1533">
        <f t="shared" si="97"/>
        <v>11.1059</v>
      </c>
      <c r="W93" s="1534">
        <f t="shared" si="97"/>
        <v>17.305199999999999</v>
      </c>
      <c r="X93" s="1534">
        <f t="shared" si="97"/>
        <v>17.076799999999999</v>
      </c>
      <c r="Y93" s="1534">
        <f t="shared" si="97"/>
        <v>25.995999999999999</v>
      </c>
      <c r="Z93" s="1534">
        <f t="shared" si="97"/>
        <v>15.635240000000001</v>
      </c>
      <c r="AA93" s="1533">
        <f t="shared" si="97"/>
        <v>21.814979999999998</v>
      </c>
      <c r="AB93" s="1533">
        <f t="shared" si="97"/>
        <v>21.398</v>
      </c>
      <c r="AC93" s="1533">
        <f t="shared" si="97"/>
        <v>33.226639999999996</v>
      </c>
      <c r="AD93" s="1533">
        <f t="shared" si="97"/>
        <v>20.782109999999996</v>
      </c>
      <c r="AE93" s="1535">
        <f t="shared" si="97"/>
        <v>28.318950000000001</v>
      </c>
      <c r="AF93" s="1535">
        <f t="shared" si="97"/>
        <v>26.845650000000003</v>
      </c>
      <c r="AG93" s="1535">
        <f t="shared" si="97"/>
        <v>41.639800000000001</v>
      </c>
      <c r="AH93" s="1535">
        <f t="shared" si="97"/>
        <v>21.634199999999996</v>
      </c>
      <c r="AI93" s="1533">
        <f t="shared" si="97"/>
        <v>36.003799999999998</v>
      </c>
      <c r="AJ93" s="1533">
        <f t="shared" si="97"/>
        <v>33.9824628</v>
      </c>
      <c r="AK93" s="1533">
        <f t="shared" si="97"/>
        <v>54.346062500000002</v>
      </c>
      <c r="AL93" s="1533">
        <f t="shared" si="97"/>
        <v>30.232249199999998</v>
      </c>
      <c r="AM93" s="1535">
        <f t="shared" si="97"/>
        <v>45.5499504</v>
      </c>
      <c r="AN93" s="1535">
        <f t="shared" si="97"/>
        <v>41.723467929000002</v>
      </c>
      <c r="AO93" s="1535">
        <f t="shared" si="97"/>
        <v>67.78714500000001</v>
      </c>
      <c r="AP93" s="1535">
        <f t="shared" si="97"/>
        <v>36.576880127999999</v>
      </c>
      <c r="AQ93" s="1536">
        <f t="shared" si="97"/>
        <v>2.9411999999999998</v>
      </c>
      <c r="AR93" s="1534">
        <f t="shared" si="97"/>
        <v>7.8788</v>
      </c>
      <c r="AS93" s="1534">
        <f t="shared" si="97"/>
        <v>14.8645</v>
      </c>
      <c r="AT93" s="1537">
        <f t="shared" si="97"/>
        <v>22.505399999999998</v>
      </c>
      <c r="AU93" s="1536">
        <f>SUM(O93:R93)</f>
        <v>33.092100000000002</v>
      </c>
      <c r="AV93" s="1534">
        <f>SUM(S93:V93)</f>
        <v>49.744610000000002</v>
      </c>
      <c r="AW93" s="1534">
        <f>SUM(W93:Z93)</f>
        <v>76.013239999999996</v>
      </c>
      <c r="AX93" s="1536">
        <f>SUM(AA93:AD93)</f>
        <v>97.22172999999998</v>
      </c>
      <c r="AY93" s="1535">
        <f>SUM(AE93:AH93)</f>
        <v>118.43860000000001</v>
      </c>
      <c r="AZ93" s="1535">
        <f>SUM(AI93:AL93)</f>
        <v>154.56457449999999</v>
      </c>
      <c r="BA93" s="1538">
        <f>SUM(AM93:AP93)</f>
        <v>191.63744345700002</v>
      </c>
      <c r="BB93" s="1539">
        <f>BB94*BB169/1000</f>
        <v>234.39856854959999</v>
      </c>
      <c r="BC93" s="1538">
        <f>BC94*BC169/1000</f>
        <v>286.57633209659997</v>
      </c>
    </row>
    <row r="94" spans="1:71" s="1047" customFormat="1" x14ac:dyDescent="0.3">
      <c r="A94" s="787" t="s">
        <v>821</v>
      </c>
      <c r="B94" s="1540" t="s">
        <v>819</v>
      </c>
      <c r="C94" s="1541"/>
      <c r="D94" s="1541"/>
      <c r="E94" s="1541"/>
      <c r="F94" s="1542">
        <v>0.57999999999999996</v>
      </c>
      <c r="G94" s="1543">
        <v>0.57999999999999996</v>
      </c>
      <c r="H94" s="1543">
        <v>0.57999999999999996</v>
      </c>
      <c r="I94" s="1543">
        <v>0.6</v>
      </c>
      <c r="J94" s="1543">
        <v>0.57999999999999996</v>
      </c>
      <c r="K94" s="1542">
        <v>0.6</v>
      </c>
      <c r="L94" s="1542">
        <v>0.6</v>
      </c>
      <c r="M94" s="1542">
        <v>0.6</v>
      </c>
      <c r="N94" s="1542">
        <v>0.6</v>
      </c>
      <c r="O94" s="1543">
        <v>0.63</v>
      </c>
      <c r="P94" s="1543">
        <v>0.62</v>
      </c>
      <c r="Q94" s="1543">
        <v>0.64</v>
      </c>
      <c r="R94" s="1543">
        <v>0.63</v>
      </c>
      <c r="S94" s="1542">
        <v>0.63</v>
      </c>
      <c r="T94" s="1542">
        <v>0.63</v>
      </c>
      <c r="U94" s="1542">
        <v>0.65</v>
      </c>
      <c r="V94" s="1542">
        <v>0.65</v>
      </c>
      <c r="W94" s="1543">
        <v>0.66</v>
      </c>
      <c r="X94" s="1543">
        <v>0.65</v>
      </c>
      <c r="Y94" s="1543">
        <v>0.67</v>
      </c>
      <c r="Z94" s="1543">
        <v>0.68</v>
      </c>
      <c r="AA94" s="1542">
        <v>0.66</v>
      </c>
      <c r="AB94" s="1542">
        <v>0.65</v>
      </c>
      <c r="AC94" s="1542">
        <v>0.67</v>
      </c>
      <c r="AD94" s="1542">
        <v>0.69</v>
      </c>
      <c r="AE94" s="1544">
        <v>0.67500000000000004</v>
      </c>
      <c r="AF94" s="1544">
        <v>0.65</v>
      </c>
      <c r="AG94" s="1544">
        <v>0.68</v>
      </c>
      <c r="AH94" s="1544">
        <v>0.7</v>
      </c>
      <c r="AI94" s="1542">
        <v>0.7</v>
      </c>
      <c r="AJ94" s="1542">
        <v>0.68</v>
      </c>
      <c r="AK94" s="1542">
        <v>0.71</v>
      </c>
      <c r="AL94" s="1542">
        <v>0.73</v>
      </c>
      <c r="AM94" s="1544">
        <v>0.72</v>
      </c>
      <c r="AN94" s="1544">
        <v>0.69</v>
      </c>
      <c r="AO94" s="1544">
        <v>0.72</v>
      </c>
      <c r="AP94" s="1544">
        <v>0.73599999999999999</v>
      </c>
      <c r="AQ94" s="1545">
        <v>0.3</v>
      </c>
      <c r="AR94" s="1543">
        <v>0.4</v>
      </c>
      <c r="AS94" s="1543">
        <v>0.5</v>
      </c>
      <c r="AT94" s="1546">
        <v>0.6</v>
      </c>
      <c r="AU94" s="1547">
        <f t="shared" ref="AU94:BA94" si="98">AU93/AU169*1000</f>
        <v>0.63146837133861278</v>
      </c>
      <c r="AV94" s="1548">
        <f t="shared" si="98"/>
        <v>0.64160929176716419</v>
      </c>
      <c r="AW94" s="1548">
        <f t="shared" si="98"/>
        <v>0.6651200070000437</v>
      </c>
      <c r="AX94" s="1547">
        <f t="shared" si="98"/>
        <v>0.6673466544026796</v>
      </c>
      <c r="AY94" s="1548">
        <f t="shared" si="98"/>
        <v>0.67526397409290984</v>
      </c>
      <c r="AZ94" s="1548">
        <f t="shared" si="98"/>
        <v>0.70459676750271238</v>
      </c>
      <c r="BA94" s="1549">
        <f t="shared" si="98"/>
        <v>0.71619208900078613</v>
      </c>
      <c r="BB94" s="1545">
        <v>0.73</v>
      </c>
      <c r="BC94" s="1546">
        <v>0.75</v>
      </c>
    </row>
    <row r="95" spans="1:71" s="1566" customFormat="1" outlineLevel="1" x14ac:dyDescent="0.35">
      <c r="A95" s="830" t="s">
        <v>822</v>
      </c>
      <c r="B95" s="1550" t="s">
        <v>823</v>
      </c>
      <c r="C95" s="1551">
        <f t="shared" ref="C95:AP95" si="99">C44/(C39*1000)</f>
        <v>4.3827611395178961E-3</v>
      </c>
      <c r="D95" s="1551">
        <f t="shared" si="99"/>
        <v>4.7232937101472092E-3</v>
      </c>
      <c r="E95" s="1551">
        <f t="shared" si="99"/>
        <v>5.4557499707727679E-3</v>
      </c>
      <c r="F95" s="1551">
        <f t="shared" si="99"/>
        <v>4.6656298600311046E-3</v>
      </c>
      <c r="G95" s="1552">
        <f t="shared" si="99"/>
        <v>5.811278723455774E-3</v>
      </c>
      <c r="H95" s="1552">
        <f t="shared" si="99"/>
        <v>6.0558524706783648E-3</v>
      </c>
      <c r="I95" s="1552">
        <f t="shared" si="99"/>
        <v>1.1217442116657567E-2</v>
      </c>
      <c r="J95" s="1553">
        <f t="shared" si="99"/>
        <v>9.8473741747951288E-3</v>
      </c>
      <c r="K95" s="1554">
        <f t="shared" si="99"/>
        <v>1.4933547539068205E-2</v>
      </c>
      <c r="L95" s="1551">
        <f t="shared" si="99"/>
        <v>1.8683372351221278E-2</v>
      </c>
      <c r="M95" s="1551">
        <f t="shared" si="99"/>
        <v>1.9633027522935779E-2</v>
      </c>
      <c r="N95" s="1551">
        <f t="shared" si="99"/>
        <v>1.7259868421052631E-2</v>
      </c>
      <c r="O95" s="1555">
        <f t="shared" si="99"/>
        <v>2.1528301886792452E-2</v>
      </c>
      <c r="P95" s="1555">
        <f t="shared" si="99"/>
        <v>2.3909090909090908E-2</v>
      </c>
      <c r="Q95" s="1555">
        <f t="shared" si="99"/>
        <v>2.8795698924731182E-2</v>
      </c>
      <c r="R95" s="1556">
        <f t="shared" si="99"/>
        <v>2.4184842883548982E-2</v>
      </c>
      <c r="S95" s="1557">
        <f t="shared" si="99"/>
        <v>2.7990379006416658E-2</v>
      </c>
      <c r="T95" s="1558">
        <f t="shared" si="99"/>
        <v>2.7521173358092094E-2</v>
      </c>
      <c r="U95" s="1558">
        <f t="shared" si="99"/>
        <v>3.4261129094212452E-2</v>
      </c>
      <c r="V95" s="1558">
        <f t="shared" si="99"/>
        <v>3.029772293160965E-2</v>
      </c>
      <c r="W95" s="1559">
        <f t="shared" si="99"/>
        <v>3.3882530683376391E-2</v>
      </c>
      <c r="X95" s="1559">
        <f t="shared" si="99"/>
        <v>3.3879376233104275E-2</v>
      </c>
      <c r="Y95" s="1559">
        <f t="shared" si="99"/>
        <v>3.7975937248615699E-2</v>
      </c>
      <c r="Z95" s="1559">
        <f t="shared" si="99"/>
        <v>3.2838952865761155E-2</v>
      </c>
      <c r="AA95" s="1558">
        <f t="shared" si="99"/>
        <v>3.8006807906145808E-2</v>
      </c>
      <c r="AB95" s="1558">
        <f t="shared" si="99"/>
        <v>3.7105723205401855E-2</v>
      </c>
      <c r="AC95" s="1558">
        <f t="shared" si="99"/>
        <v>4.1009367943916429E-2</v>
      </c>
      <c r="AD95" s="1558">
        <f t="shared" si="99"/>
        <v>3.5776977403313107E-2</v>
      </c>
      <c r="AE95" s="1559">
        <f t="shared" si="99"/>
        <v>4.07296686923228E-2</v>
      </c>
      <c r="AF95" s="1559">
        <f t="shared" si="99"/>
        <v>4.0573739979750667E-2</v>
      </c>
      <c r="AG95" s="1559">
        <f t="shared" si="99"/>
        <v>4.3696020778745848E-2</v>
      </c>
      <c r="AH95" s="1559">
        <f t="shared" si="99"/>
        <v>3.5576484580019087E-2</v>
      </c>
      <c r="AI95" s="1558">
        <f t="shared" si="99"/>
        <v>4.0035446560663136E-2</v>
      </c>
      <c r="AJ95" s="1558">
        <f t="shared" si="99"/>
        <v>4.0655299991570949E-2</v>
      </c>
      <c r="AK95" s="1558">
        <f t="shared" si="99"/>
        <v>4.3920678020323692E-2</v>
      </c>
      <c r="AL95" s="1558">
        <f t="shared" si="99"/>
        <v>3.7375294973111831E-2</v>
      </c>
      <c r="AM95" s="1559">
        <f t="shared" si="99"/>
        <v>4.2445198030406688E-2</v>
      </c>
      <c r="AN95" s="1559">
        <f t="shared" si="99"/>
        <v>4.0926104613305259E-2</v>
      </c>
      <c r="AO95" s="1559">
        <f t="shared" si="99"/>
        <v>4.5997391898061769E-2</v>
      </c>
      <c r="AP95" s="1559">
        <f t="shared" si="99"/>
        <v>3.8481710084375634E-2</v>
      </c>
      <c r="AQ95" s="1560"/>
      <c r="AR95" s="1556">
        <f t="shared" ref="AR95:BC95" si="100">AR44/(AR39*1000)</f>
        <v>4.8959146172628176E-3</v>
      </c>
      <c r="AS95" s="1556">
        <f t="shared" si="100"/>
        <v>9.1204782207375493E-3</v>
      </c>
      <c r="AT95" s="1561">
        <f t="shared" si="100"/>
        <v>1.7940791365893587E-2</v>
      </c>
      <c r="AU95" s="1562">
        <f t="shared" si="100"/>
        <v>2.5130803794308536E-2</v>
      </c>
      <c r="AV95" s="1556">
        <f t="shared" si="100"/>
        <v>3.0439520803913822E-2</v>
      </c>
      <c r="AW95" s="1556">
        <f t="shared" si="100"/>
        <v>3.4914739970289294E-2</v>
      </c>
      <c r="AX95" s="1562">
        <f t="shared" si="100"/>
        <v>3.8202585454260814E-2</v>
      </c>
      <c r="AY95" s="1563">
        <f t="shared" si="100"/>
        <v>4.0489000195128411E-2</v>
      </c>
      <c r="AZ95" s="1563">
        <f t="shared" si="100"/>
        <v>4.0767853613769306E-2</v>
      </c>
      <c r="BA95" s="1564">
        <f t="shared" si="100"/>
        <v>4.230896699588086E-2</v>
      </c>
      <c r="BB95" s="1565">
        <f t="shared" si="100"/>
        <v>4.3974649312203254E-2</v>
      </c>
      <c r="BC95" s="1564">
        <f t="shared" si="100"/>
        <v>4.5766643127168674E-2</v>
      </c>
    </row>
    <row r="96" spans="1:71" s="1566" customFormat="1" outlineLevel="1" x14ac:dyDescent="0.35">
      <c r="A96" s="830" t="s">
        <v>824</v>
      </c>
      <c r="B96" s="1567" t="s">
        <v>825</v>
      </c>
      <c r="C96" s="1568">
        <f t="shared" ref="C96:AP96" si="101">C53/1000/C49</f>
        <v>2.4975205121269495E-2</v>
      </c>
      <c r="D96" s="1568">
        <f t="shared" si="101"/>
        <v>2.5723771272026557E-2</v>
      </c>
      <c r="E96" s="1568">
        <f t="shared" si="101"/>
        <v>2.9521771056290717E-2</v>
      </c>
      <c r="F96" s="1568">
        <f t="shared" si="101"/>
        <v>2.4353102860166669E-2</v>
      </c>
      <c r="G96" s="1569">
        <f t="shared" si="101"/>
        <v>2.7022314743199428E-2</v>
      </c>
      <c r="H96" s="1569">
        <f t="shared" si="101"/>
        <v>2.5395109084294123E-2</v>
      </c>
      <c r="I96" s="1569">
        <f t="shared" si="101"/>
        <v>3.4347529447254194E-2</v>
      </c>
      <c r="J96" s="1569">
        <f t="shared" si="101"/>
        <v>2.5553136335089276E-2</v>
      </c>
      <c r="K96" s="1568">
        <f t="shared" si="101"/>
        <v>2.9501176218990587E-2</v>
      </c>
      <c r="L96" s="1570">
        <f t="shared" si="101"/>
        <v>2.4649980380066137E-2</v>
      </c>
      <c r="M96" s="1568">
        <f t="shared" si="101"/>
        <v>3.1368478260869567E-2</v>
      </c>
      <c r="N96" s="1568">
        <f t="shared" si="101"/>
        <v>2.5476418918918921E-2</v>
      </c>
      <c r="O96" s="1571">
        <f t="shared" si="101"/>
        <v>2.4465147193889879E-2</v>
      </c>
      <c r="P96" s="1571">
        <f t="shared" si="101"/>
        <v>2.3088644688644688E-2</v>
      </c>
      <c r="Q96" s="1571">
        <f t="shared" si="101"/>
        <v>3.0114047826507884E-2</v>
      </c>
      <c r="R96" s="1571">
        <f t="shared" si="101"/>
        <v>2.3536716417910452E-2</v>
      </c>
      <c r="S96" s="1572">
        <f t="shared" si="101"/>
        <v>2.5051105390672321E-2</v>
      </c>
      <c r="T96" s="1573">
        <f t="shared" si="101"/>
        <v>2.5027405504464681E-2</v>
      </c>
      <c r="U96" s="1573">
        <f t="shared" si="101"/>
        <v>3.3708922789873356E-2</v>
      </c>
      <c r="V96" s="1573">
        <f t="shared" si="101"/>
        <v>2.0244118410883628E-2</v>
      </c>
      <c r="W96" s="1574">
        <f t="shared" si="101"/>
        <v>2.7489639099893291E-2</v>
      </c>
      <c r="X96" s="1574">
        <f t="shared" si="101"/>
        <v>2.5443588173250386E-2</v>
      </c>
      <c r="Y96" s="1574">
        <f t="shared" si="101"/>
        <v>2.9929679242941459E-2</v>
      </c>
      <c r="Z96" s="1574">
        <f t="shared" si="101"/>
        <v>1.5449606331537255E-2</v>
      </c>
      <c r="AA96" s="1573">
        <f t="shared" si="101"/>
        <v>2.7454741548192316E-2</v>
      </c>
      <c r="AB96" s="1573">
        <f t="shared" si="101"/>
        <v>2.2534391818007239E-2</v>
      </c>
      <c r="AC96" s="1573">
        <f t="shared" si="101"/>
        <v>2.7308900114462149E-2</v>
      </c>
      <c r="AD96" s="1573">
        <f t="shared" si="101"/>
        <v>1.4006802342135194E-2</v>
      </c>
      <c r="AE96" s="1574">
        <f t="shared" si="101"/>
        <v>1.9111609783471182E-2</v>
      </c>
      <c r="AF96" s="1574">
        <f t="shared" si="101"/>
        <v>1.6810458708547551E-2</v>
      </c>
      <c r="AG96" s="1574">
        <f t="shared" si="101"/>
        <v>2.2571727690633727E-2</v>
      </c>
      <c r="AH96" s="1574">
        <f t="shared" si="101"/>
        <v>1.1716374291851231E-3</v>
      </c>
      <c r="AI96" s="1573">
        <f t="shared" si="101"/>
        <v>2.7157351820634248E-2</v>
      </c>
      <c r="AJ96" s="1573">
        <f t="shared" si="101"/>
        <v>2.2572680334040741E-2</v>
      </c>
      <c r="AK96" s="1573">
        <f t="shared" si="101"/>
        <v>3.4938907519870971E-2</v>
      </c>
      <c r="AL96" s="1573">
        <f t="shared" si="101"/>
        <v>2.253493721733813E-3</v>
      </c>
      <c r="AM96" s="1574">
        <f t="shared" si="101"/>
        <v>1.5989321871729776E-2</v>
      </c>
      <c r="AN96" s="1574">
        <f t="shared" si="101"/>
        <v>3.4667302416992583E-2</v>
      </c>
      <c r="AO96" s="1574">
        <f t="shared" si="101"/>
        <v>4.2255021672753822E-2</v>
      </c>
      <c r="AP96" s="1574">
        <f t="shared" si="101"/>
        <v>4.9285511370107983E-3</v>
      </c>
      <c r="AQ96" s="1575"/>
      <c r="AR96" s="1576">
        <f t="shared" ref="AR96:BC96" si="102">AR53/1000/AR49</f>
        <v>2.6431395739264216E-2</v>
      </c>
      <c r="AS96" s="1576">
        <f t="shared" si="102"/>
        <v>2.8590222894575933E-2</v>
      </c>
      <c r="AT96" s="1577">
        <f t="shared" si="102"/>
        <v>2.8077756283064217E-2</v>
      </c>
      <c r="AU96" s="1575">
        <f t="shared" si="102"/>
        <v>2.5572315355603042E-2</v>
      </c>
      <c r="AV96" s="1576">
        <f t="shared" si="102"/>
        <v>2.653027745918779E-2</v>
      </c>
      <c r="AW96" s="1576">
        <f t="shared" si="102"/>
        <v>2.5013878963978008E-2</v>
      </c>
      <c r="AX96" s="1575">
        <f t="shared" si="102"/>
        <v>2.3084982068743223E-2</v>
      </c>
      <c r="AY96" s="1578">
        <f t="shared" si="102"/>
        <v>2.1623454408006022E-2</v>
      </c>
      <c r="AZ96" s="1578">
        <f t="shared" si="102"/>
        <v>2.2830154705586941E-2</v>
      </c>
      <c r="BA96" s="1579">
        <f t="shared" si="102"/>
        <v>2.5870507552595533E-2</v>
      </c>
      <c r="BB96" s="1580">
        <f t="shared" si="102"/>
        <v>2.5733053050379148E-2</v>
      </c>
      <c r="BC96" s="1579">
        <f t="shared" si="102"/>
        <v>2.9692310296544164E-2</v>
      </c>
    </row>
    <row r="97" spans="1:71" s="1593" customFormat="1" ht="10.15" outlineLevel="1" x14ac:dyDescent="0.3">
      <c r="A97" s="830" t="s">
        <v>824</v>
      </c>
      <c r="B97" s="1581" t="s">
        <v>826</v>
      </c>
      <c r="C97" s="1582"/>
      <c r="D97" s="1582"/>
      <c r="E97" s="1582"/>
      <c r="F97" s="1582"/>
      <c r="G97" s="1583"/>
      <c r="H97" s="1583"/>
      <c r="I97" s="1583"/>
      <c r="J97" s="1584"/>
      <c r="K97" s="1585">
        <f t="shared" ref="K97:AP97" si="103">K85-G85</f>
        <v>2.3880815952453949E-4</v>
      </c>
      <c r="L97" s="1585">
        <f t="shared" si="103"/>
        <v>-4.4433846445451897E-5</v>
      </c>
      <c r="M97" s="1585">
        <f t="shared" si="103"/>
        <v>-3.2882309896319767E-3</v>
      </c>
      <c r="N97" s="1585">
        <f t="shared" si="103"/>
        <v>6.9368387256782404E-5</v>
      </c>
      <c r="O97" s="1586">
        <f t="shared" si="103"/>
        <v>-1.8768209769764281E-3</v>
      </c>
      <c r="P97" s="1586">
        <f t="shared" si="103"/>
        <v>1.0817185437037719E-3</v>
      </c>
      <c r="Q97" s="1586">
        <f t="shared" si="103"/>
        <v>2.7313759314370918E-3</v>
      </c>
      <c r="R97" s="1586">
        <f t="shared" si="103"/>
        <v>2.6959055705301008E-3</v>
      </c>
      <c r="S97" s="1585">
        <f t="shared" si="103"/>
        <v>4.4021284262156339E-3</v>
      </c>
      <c r="T97" s="1587">
        <f t="shared" si="103"/>
        <v>3.3775935186531117E-3</v>
      </c>
      <c r="U97" s="1587">
        <f t="shared" si="103"/>
        <v>4.9319056468295659E-3</v>
      </c>
      <c r="V97" s="1587">
        <f t="shared" si="103"/>
        <v>4.4788018806821948E-3</v>
      </c>
      <c r="W97" s="1588">
        <f t="shared" si="103"/>
        <v>5.547437652969011E-3</v>
      </c>
      <c r="X97" s="1588">
        <f t="shared" si="103"/>
        <v>5.5571057132335899E-3</v>
      </c>
      <c r="Y97" s="1588">
        <f t="shared" si="103"/>
        <v>2.6133408576808764E-3</v>
      </c>
      <c r="Z97" s="1588">
        <f t="shared" si="103"/>
        <v>1.742476767748604E-3</v>
      </c>
      <c r="AA97" s="1587">
        <f t="shared" si="103"/>
        <v>3.8393001654275921E-3</v>
      </c>
      <c r="AB97" s="1587">
        <f t="shared" si="103"/>
        <v>2.6817999815129043E-3</v>
      </c>
      <c r="AC97" s="1587">
        <f t="shared" si="103"/>
        <v>2.4593085783228136E-3</v>
      </c>
      <c r="AD97" s="1587">
        <f t="shared" si="103"/>
        <v>2.7163037597324052E-3</v>
      </c>
      <c r="AE97" s="1588">
        <f t="shared" si="103"/>
        <v>1.284281754560232E-3</v>
      </c>
      <c r="AF97" s="1588">
        <f t="shared" si="103"/>
        <v>2.2730632894537028E-3</v>
      </c>
      <c r="AG97" s="1588">
        <f t="shared" si="103"/>
        <v>1.9327984820850172E-3</v>
      </c>
      <c r="AH97" s="1588">
        <f t="shared" si="103"/>
        <v>-1.4989517234409513E-3</v>
      </c>
      <c r="AI97" s="1587">
        <f t="shared" si="103"/>
        <v>8.283160524881622E-4</v>
      </c>
      <c r="AJ97" s="1587">
        <f t="shared" si="103"/>
        <v>1.3625246113236622E-3</v>
      </c>
      <c r="AK97" s="1587">
        <f t="shared" si="103"/>
        <v>1.8613953621060275E-3</v>
      </c>
      <c r="AL97" s="1587">
        <f t="shared" si="103"/>
        <v>2.4152119260550109E-3</v>
      </c>
      <c r="AM97" s="1588">
        <f t="shared" si="103"/>
        <v>1.5810908510522914E-3</v>
      </c>
      <c r="AN97" s="1588">
        <f t="shared" si="103"/>
        <v>1.5783624117823233E-3</v>
      </c>
      <c r="AO97" s="1588">
        <f t="shared" si="103"/>
        <v>2.6755013097587155E-3</v>
      </c>
      <c r="AP97" s="1588">
        <f t="shared" si="103"/>
        <v>1.9343425206124198E-3</v>
      </c>
      <c r="AQ97" s="1589"/>
      <c r="AR97" s="1590">
        <f t="shared" ref="AR97:BC97" si="104">AR85-AQ85</f>
        <v>3.9558676493660731E-3</v>
      </c>
      <c r="AS97" s="1590">
        <f t="shared" si="104"/>
        <v>8.8260983920990937E-4</v>
      </c>
      <c r="AT97" s="1591">
        <f t="shared" si="104"/>
        <v>-8.6440135520321829E-4</v>
      </c>
      <c r="AU97" s="1592">
        <f t="shared" si="104"/>
        <v>1.27543246784554E-3</v>
      </c>
      <c r="AV97" s="1590">
        <f t="shared" si="104"/>
        <v>4.3242078675943194E-3</v>
      </c>
      <c r="AW97" s="1590">
        <f t="shared" si="104"/>
        <v>3.7393365617752472E-3</v>
      </c>
      <c r="AX97" s="1592">
        <f t="shared" si="104"/>
        <v>2.8745934644634832E-3</v>
      </c>
      <c r="AY97" s="1590">
        <f t="shared" si="104"/>
        <v>1.1708074023081341E-3</v>
      </c>
      <c r="AZ97" s="1590">
        <f t="shared" si="104"/>
        <v>1.5659793064994043E-3</v>
      </c>
      <c r="BA97" s="1591">
        <f t="shared" si="104"/>
        <v>2.019806517466971E-3</v>
      </c>
      <c r="BB97" s="1592">
        <f t="shared" si="104"/>
        <v>1.9700902666086942E-3</v>
      </c>
      <c r="BC97" s="1591">
        <f t="shared" si="104"/>
        <v>2.2278319769793442E-3</v>
      </c>
    </row>
    <row r="98" spans="1:71" s="1593" customFormat="1" ht="10.15" outlineLevel="1" x14ac:dyDescent="0.3">
      <c r="A98" s="830" t="s">
        <v>824</v>
      </c>
      <c r="B98" s="1581" t="s">
        <v>827</v>
      </c>
      <c r="C98" s="1582"/>
      <c r="D98" s="1582"/>
      <c r="E98" s="1582"/>
      <c r="F98" s="1582"/>
      <c r="G98" s="1583"/>
      <c r="H98" s="1583"/>
      <c r="I98" s="1583"/>
      <c r="J98" s="1584"/>
      <c r="K98" s="1585">
        <f t="shared" ref="K98:AP99" si="105">K95-J95</f>
        <v>5.0861733642730764E-3</v>
      </c>
      <c r="L98" s="1585">
        <f t="shared" si="105"/>
        <v>3.7498248121530728E-3</v>
      </c>
      <c r="M98" s="1585">
        <f t="shared" si="105"/>
        <v>9.496551717145009E-4</v>
      </c>
      <c r="N98" s="1585">
        <f t="shared" si="105"/>
        <v>-2.3731591018831474E-3</v>
      </c>
      <c r="O98" s="1586">
        <f t="shared" si="105"/>
        <v>4.2684334657398203E-3</v>
      </c>
      <c r="P98" s="1586">
        <f t="shared" si="105"/>
        <v>2.380789022298456E-3</v>
      </c>
      <c r="Q98" s="1586">
        <f t="shared" si="105"/>
        <v>4.8866080156402744E-3</v>
      </c>
      <c r="R98" s="1586">
        <f t="shared" si="105"/>
        <v>-4.6108560411822E-3</v>
      </c>
      <c r="S98" s="1585">
        <f t="shared" si="105"/>
        <v>3.8055361228676761E-3</v>
      </c>
      <c r="T98" s="1587">
        <f t="shared" si="105"/>
        <v>-4.6920564832456449E-4</v>
      </c>
      <c r="U98" s="1587">
        <f t="shared" si="105"/>
        <v>6.739955736120358E-3</v>
      </c>
      <c r="V98" s="1587">
        <f t="shared" si="105"/>
        <v>-3.9634061626028019E-3</v>
      </c>
      <c r="W98" s="1588">
        <f t="shared" si="105"/>
        <v>3.5848077517667415E-3</v>
      </c>
      <c r="X98" s="1588">
        <f t="shared" si="105"/>
        <v>-3.1544502721164713E-6</v>
      </c>
      <c r="Y98" s="1588">
        <f t="shared" si="105"/>
        <v>4.096561015511424E-3</v>
      </c>
      <c r="Z98" s="1588">
        <f t="shared" si="105"/>
        <v>-5.1369843828545439E-3</v>
      </c>
      <c r="AA98" s="1587">
        <f t="shared" si="105"/>
        <v>5.1678550403846529E-3</v>
      </c>
      <c r="AB98" s="1587">
        <f t="shared" si="105"/>
        <v>-9.0108470074395236E-4</v>
      </c>
      <c r="AC98" s="1587">
        <f t="shared" si="105"/>
        <v>3.9036447385145737E-3</v>
      </c>
      <c r="AD98" s="1587">
        <f t="shared" si="105"/>
        <v>-5.2323905406033225E-3</v>
      </c>
      <c r="AE98" s="1588">
        <f t="shared" si="105"/>
        <v>4.9526912890096933E-3</v>
      </c>
      <c r="AF98" s="1588">
        <f t="shared" si="105"/>
        <v>-1.5592871257213287E-4</v>
      </c>
      <c r="AG98" s="1588">
        <f t="shared" si="105"/>
        <v>3.1222807989951806E-3</v>
      </c>
      <c r="AH98" s="1588">
        <f t="shared" si="105"/>
        <v>-8.1195361987267609E-3</v>
      </c>
      <c r="AI98" s="1587">
        <f t="shared" si="105"/>
        <v>4.4589619806440495E-3</v>
      </c>
      <c r="AJ98" s="1587">
        <f t="shared" si="105"/>
        <v>6.1985343090781297E-4</v>
      </c>
      <c r="AK98" s="1587">
        <f t="shared" si="105"/>
        <v>3.2653780287527426E-3</v>
      </c>
      <c r="AL98" s="1587">
        <f t="shared" si="105"/>
        <v>-6.5453830472118613E-3</v>
      </c>
      <c r="AM98" s="1588">
        <f t="shared" si="105"/>
        <v>5.069903057294857E-3</v>
      </c>
      <c r="AN98" s="1588">
        <f t="shared" si="105"/>
        <v>-1.5190934171014289E-3</v>
      </c>
      <c r="AO98" s="1588">
        <f t="shared" si="105"/>
        <v>5.0712872847565107E-3</v>
      </c>
      <c r="AP98" s="1588">
        <f t="shared" si="105"/>
        <v>-7.5156818136861356E-3</v>
      </c>
      <c r="AQ98" s="1589"/>
      <c r="AR98" s="1590"/>
      <c r="AS98" s="1590"/>
      <c r="AT98" s="1591"/>
      <c r="AU98" s="1592"/>
      <c r="AV98" s="1590"/>
      <c r="AW98" s="1590"/>
      <c r="AX98" s="1592"/>
      <c r="AY98" s="1590"/>
      <c r="AZ98" s="1590"/>
      <c r="BA98" s="1591"/>
      <c r="BB98" s="1592"/>
      <c r="BC98" s="1591"/>
    </row>
    <row r="99" spans="1:71" s="1593" customFormat="1" ht="10.15" outlineLevel="1" x14ac:dyDescent="0.3">
      <c r="A99" s="830" t="s">
        <v>824</v>
      </c>
      <c r="B99" s="1594" t="s">
        <v>828</v>
      </c>
      <c r="C99" s="1595"/>
      <c r="D99" s="1595"/>
      <c r="E99" s="1595"/>
      <c r="F99" s="1595"/>
      <c r="G99" s="1596"/>
      <c r="H99" s="1596"/>
      <c r="I99" s="1596"/>
      <c r="J99" s="1597"/>
      <c r="K99" s="1598">
        <f t="shared" si="105"/>
        <v>3.9480398839013102E-3</v>
      </c>
      <c r="L99" s="1598">
        <f t="shared" si="105"/>
        <v>-4.8511958389244499E-3</v>
      </c>
      <c r="M99" s="1598">
        <f t="shared" si="105"/>
        <v>6.7184978808034305E-3</v>
      </c>
      <c r="N99" s="1598">
        <f t="shared" si="105"/>
        <v>-5.8920593419506465E-3</v>
      </c>
      <c r="O99" s="1599">
        <f t="shared" si="105"/>
        <v>-1.0112717250290414E-3</v>
      </c>
      <c r="P99" s="1599">
        <f t="shared" si="105"/>
        <v>-1.3765025052451911E-3</v>
      </c>
      <c r="Q99" s="1599">
        <f t="shared" si="105"/>
        <v>7.0254031378631961E-3</v>
      </c>
      <c r="R99" s="1599">
        <f t="shared" si="105"/>
        <v>-6.5773314085974324E-3</v>
      </c>
      <c r="S99" s="1598">
        <f t="shared" si="105"/>
        <v>1.5143889727618695E-3</v>
      </c>
      <c r="T99" s="1600">
        <f t="shared" si="105"/>
        <v>-2.3699886207640547E-5</v>
      </c>
      <c r="U99" s="1600">
        <f t="shared" si="105"/>
        <v>8.6815172854086756E-3</v>
      </c>
      <c r="V99" s="1600">
        <f t="shared" si="105"/>
        <v>-1.3464804378989729E-2</v>
      </c>
      <c r="W99" s="1601">
        <f t="shared" si="105"/>
        <v>7.2455206890096636E-3</v>
      </c>
      <c r="X99" s="1601">
        <f t="shared" si="105"/>
        <v>-2.0460509266429054E-3</v>
      </c>
      <c r="Y99" s="1601">
        <f t="shared" si="105"/>
        <v>4.4860910696910734E-3</v>
      </c>
      <c r="Z99" s="1601">
        <f t="shared" si="105"/>
        <v>-1.4480072911404204E-2</v>
      </c>
      <c r="AA99" s="1600">
        <f t="shared" si="105"/>
        <v>1.200513521665506E-2</v>
      </c>
      <c r="AB99" s="1600">
        <f t="shared" si="105"/>
        <v>-4.9203497301850765E-3</v>
      </c>
      <c r="AC99" s="1600">
        <f t="shared" si="105"/>
        <v>4.7745082964549095E-3</v>
      </c>
      <c r="AD99" s="1600">
        <f t="shared" si="105"/>
        <v>-1.3302097772326955E-2</v>
      </c>
      <c r="AE99" s="1601">
        <f t="shared" si="105"/>
        <v>5.104807441335988E-3</v>
      </c>
      <c r="AF99" s="1601">
        <f t="shared" si="105"/>
        <v>-2.3011510749236311E-3</v>
      </c>
      <c r="AG99" s="1601">
        <f t="shared" si="105"/>
        <v>5.7612689820861762E-3</v>
      </c>
      <c r="AH99" s="1601">
        <f t="shared" si="105"/>
        <v>-2.1400090261448602E-2</v>
      </c>
      <c r="AI99" s="1600">
        <f t="shared" si="105"/>
        <v>2.5985714391449123E-2</v>
      </c>
      <c r="AJ99" s="1600">
        <f t="shared" si="105"/>
        <v>-4.584671486593507E-3</v>
      </c>
      <c r="AK99" s="1600">
        <f t="shared" si="105"/>
        <v>1.236622718583023E-2</v>
      </c>
      <c r="AL99" s="1600">
        <f t="shared" si="105"/>
        <v>-3.2685413798137157E-2</v>
      </c>
      <c r="AM99" s="1601">
        <f t="shared" si="105"/>
        <v>1.3735828149995962E-2</v>
      </c>
      <c r="AN99" s="1601">
        <f t="shared" si="105"/>
        <v>1.8677980545262807E-2</v>
      </c>
      <c r="AO99" s="1601">
        <f t="shared" si="105"/>
        <v>7.5877192557612383E-3</v>
      </c>
      <c r="AP99" s="1601">
        <f t="shared" si="105"/>
        <v>-3.732647053574302E-2</v>
      </c>
      <c r="AQ99" s="1602"/>
      <c r="AR99" s="1603"/>
      <c r="AS99" s="1603"/>
      <c r="AT99" s="1604"/>
      <c r="AU99" s="1605"/>
      <c r="AV99" s="1603"/>
      <c r="AW99" s="1603"/>
      <c r="AX99" s="1605"/>
      <c r="AY99" s="1603"/>
      <c r="AZ99" s="1603"/>
      <c r="BA99" s="1604"/>
      <c r="BB99" s="1605"/>
      <c r="BC99" s="1604"/>
    </row>
    <row r="100" spans="1:71" s="1047" customFormat="1" ht="13.5" x14ac:dyDescent="0.35">
      <c r="A100" s="787"/>
      <c r="B100" s="1606" t="s">
        <v>829</v>
      </c>
      <c r="C100" s="1527"/>
      <c r="D100" s="1527"/>
      <c r="E100" s="1527"/>
      <c r="F100" s="1607"/>
      <c r="G100" s="1608"/>
      <c r="H100" s="1608"/>
      <c r="I100" s="1608"/>
      <c r="J100" s="1608"/>
      <c r="K100" s="1607"/>
      <c r="L100" s="1607"/>
      <c r="M100" s="1607"/>
      <c r="N100" s="1607"/>
      <c r="O100" s="1608"/>
      <c r="P100" s="1608"/>
      <c r="Q100" s="1608"/>
      <c r="R100" s="1608"/>
      <c r="S100" s="1607"/>
      <c r="T100" s="1607"/>
      <c r="U100" s="1607"/>
      <c r="V100" s="1607"/>
      <c r="W100" s="1608"/>
      <c r="X100" s="1608"/>
      <c r="Y100" s="1608"/>
      <c r="Z100" s="1608"/>
      <c r="AA100" s="1607"/>
      <c r="AB100" s="1607"/>
      <c r="AC100" s="1607"/>
      <c r="AD100" s="1607"/>
      <c r="AE100" s="1609"/>
      <c r="AF100" s="1609"/>
      <c r="AG100" s="1609"/>
      <c r="AH100" s="1609"/>
      <c r="AI100" s="1607"/>
      <c r="AJ100" s="1607"/>
      <c r="AK100" s="1607"/>
      <c r="AL100" s="1607"/>
      <c r="AM100" s="1609"/>
      <c r="AN100" s="1609"/>
      <c r="AO100" s="1609"/>
      <c r="AP100" s="1609"/>
      <c r="AQ100" s="1610"/>
      <c r="AR100" s="1611"/>
      <c r="AS100" s="1611"/>
      <c r="AT100" s="1612"/>
      <c r="AU100" s="1610"/>
      <c r="AV100" s="1611"/>
      <c r="AW100" s="1611"/>
      <c r="AX100" s="1610"/>
      <c r="AY100" s="1611"/>
      <c r="AZ100" s="1611"/>
      <c r="BA100" s="1612"/>
      <c r="BB100" s="1610"/>
      <c r="BC100" s="1612"/>
    </row>
    <row r="101" spans="1:71" s="1047" customFormat="1" x14ac:dyDescent="0.3">
      <c r="A101" s="903" t="s">
        <v>768</v>
      </c>
      <c r="B101" s="1047" t="s">
        <v>830</v>
      </c>
      <c r="C101" s="1613"/>
      <c r="D101" s="1613"/>
      <c r="E101" s="1613"/>
      <c r="F101" s="1614"/>
      <c r="G101" s="1615"/>
      <c r="H101" s="1615"/>
      <c r="I101" s="1615"/>
      <c r="J101" s="1615"/>
      <c r="K101" s="1614"/>
      <c r="L101" s="1614"/>
      <c r="M101" s="1614"/>
      <c r="N101" s="1614"/>
      <c r="O101" s="1615"/>
      <c r="P101" s="1615"/>
      <c r="Q101" s="1615"/>
      <c r="R101" s="1615">
        <v>1</v>
      </c>
      <c r="S101" s="1614">
        <v>1</v>
      </c>
      <c r="T101" s="1614">
        <v>2</v>
      </c>
      <c r="U101" s="1614">
        <v>5</v>
      </c>
      <c r="V101" s="1614">
        <v>8</v>
      </c>
      <c r="W101" s="1615">
        <v>10</v>
      </c>
      <c r="X101" s="1616">
        <v>20</v>
      </c>
      <c r="Y101" s="1616">
        <v>25</v>
      </c>
      <c r="Z101" s="1616">
        <v>37</v>
      </c>
      <c r="AA101" s="1617">
        <v>45</v>
      </c>
      <c r="AB101" s="1617">
        <v>77</v>
      </c>
      <c r="AC101" s="1617">
        <v>109</v>
      </c>
      <c r="AD101" s="1617">
        <v>135</v>
      </c>
      <c r="AE101" s="1618">
        <v>150</v>
      </c>
      <c r="AF101" s="1618">
        <v>170</v>
      </c>
      <c r="AG101" s="1618">
        <v>197</v>
      </c>
      <c r="AH101" s="1618">
        <v>207</v>
      </c>
      <c r="AI101" s="1617">
        <v>214</v>
      </c>
      <c r="AJ101" s="1617"/>
      <c r="AK101" s="1617"/>
      <c r="AL101" s="1617"/>
      <c r="AM101" s="1618"/>
      <c r="AN101" s="1618"/>
      <c r="AO101" s="1618"/>
      <c r="AP101" s="1618"/>
      <c r="AQ101" s="1610"/>
      <c r="AR101" s="1611"/>
      <c r="AS101" s="1611"/>
      <c r="AT101" s="1612"/>
      <c r="AU101" s="1610"/>
      <c r="AV101" s="1611"/>
      <c r="AW101" s="1611"/>
      <c r="AX101" s="1610"/>
      <c r="AY101" s="1611"/>
      <c r="AZ101" s="1611"/>
      <c r="BA101" s="1612"/>
      <c r="BB101" s="1610"/>
      <c r="BC101" s="1612"/>
    </row>
    <row r="102" spans="1:71" s="1047" customFormat="1" x14ac:dyDescent="0.3">
      <c r="A102" s="903" t="s">
        <v>768</v>
      </c>
      <c r="B102" s="1047" t="s">
        <v>831</v>
      </c>
      <c r="C102" s="1527"/>
      <c r="D102" s="1527"/>
      <c r="E102" s="1527"/>
      <c r="F102" s="1607"/>
      <c r="G102" s="1608"/>
      <c r="H102" s="1608"/>
      <c r="I102" s="1608"/>
      <c r="J102" s="1608"/>
      <c r="K102" s="1607"/>
      <c r="L102" s="1607"/>
      <c r="M102" s="1607"/>
      <c r="N102" s="1607"/>
      <c r="O102" s="1608"/>
      <c r="P102" s="1608"/>
      <c r="Q102" s="1608"/>
      <c r="R102" s="1619">
        <v>1</v>
      </c>
      <c r="S102" s="1620">
        <v>1</v>
      </c>
      <c r="T102" s="1620">
        <v>1</v>
      </c>
      <c r="U102" s="1620">
        <v>1</v>
      </c>
      <c r="V102" s="1620">
        <v>2</v>
      </c>
      <c r="W102" s="1619">
        <v>3</v>
      </c>
      <c r="X102" s="1619"/>
      <c r="Y102" s="1619"/>
      <c r="Z102" s="1619"/>
      <c r="AA102" s="1620">
        <v>13</v>
      </c>
      <c r="AB102" s="1620">
        <v>16</v>
      </c>
      <c r="AC102" s="1621">
        <v>16</v>
      </c>
      <c r="AD102" s="1620"/>
      <c r="AE102" s="1622"/>
      <c r="AF102" s="1622"/>
      <c r="AG102" s="1622"/>
      <c r="AH102" s="1622"/>
      <c r="AI102" s="1620"/>
      <c r="AJ102" s="1620"/>
      <c r="AK102" s="1620"/>
      <c r="AL102" s="1620"/>
      <c r="AM102" s="1622"/>
      <c r="AN102" s="1622"/>
      <c r="AO102" s="1622"/>
      <c r="AP102" s="1622"/>
      <c r="AQ102" s="1610"/>
      <c r="AR102" s="1611"/>
      <c r="AS102" s="1611"/>
      <c r="AT102" s="1612"/>
      <c r="AU102" s="1610"/>
      <c r="AV102" s="1611"/>
      <c r="AW102" s="1611"/>
      <c r="AX102" s="1610"/>
      <c r="AY102" s="1611"/>
      <c r="AZ102" s="1611"/>
      <c r="BA102" s="1612"/>
      <c r="BB102" s="1610"/>
      <c r="BC102" s="1612"/>
    </row>
    <row r="103" spans="1:71" s="1631" customFormat="1" ht="13.5" x14ac:dyDescent="0.35">
      <c r="A103" s="1623"/>
      <c r="B103" s="1606" t="s">
        <v>832</v>
      </c>
      <c r="C103" s="1624"/>
      <c r="D103" s="1624"/>
      <c r="E103" s="1624"/>
      <c r="F103" s="1624"/>
      <c r="G103" s="1625"/>
      <c r="H103" s="1625"/>
      <c r="I103" s="1625"/>
      <c r="J103" s="1625"/>
      <c r="K103" s="1624"/>
      <c r="L103" s="1624"/>
      <c r="M103" s="1624"/>
      <c r="N103" s="1624"/>
      <c r="O103" s="1625"/>
      <c r="P103" s="1625"/>
      <c r="Q103" s="1625"/>
      <c r="R103" s="1625"/>
      <c r="S103" s="1624"/>
      <c r="T103" s="1624"/>
      <c r="U103" s="1624"/>
      <c r="V103" s="1624"/>
      <c r="W103" s="1625"/>
      <c r="X103" s="1625"/>
      <c r="Y103" s="1625"/>
      <c r="Z103" s="1625"/>
      <c r="AA103" s="1624"/>
      <c r="AB103" s="1624"/>
      <c r="AC103" s="1624"/>
      <c r="AD103" s="1624"/>
      <c r="AE103" s="1625"/>
      <c r="AF103" s="1625"/>
      <c r="AG103" s="1625"/>
      <c r="AH103" s="1625"/>
      <c r="AI103" s="1624"/>
      <c r="AJ103" s="1624"/>
      <c r="AK103" s="1624"/>
      <c r="AL103" s="1624"/>
      <c r="AM103" s="1625"/>
      <c r="AN103" s="1625"/>
      <c r="AO103" s="1625"/>
      <c r="AP103" s="1625"/>
      <c r="AQ103" s="1626"/>
      <c r="AR103" s="1625"/>
      <c r="AS103" s="1625"/>
      <c r="AT103" s="1627"/>
      <c r="AU103" s="1626"/>
      <c r="AV103" s="1625"/>
      <c r="AW103" s="1625"/>
      <c r="AX103" s="1626"/>
      <c r="AY103" s="1628"/>
      <c r="AZ103" s="1628"/>
      <c r="BA103" s="1629"/>
      <c r="BB103" s="1630"/>
      <c r="BC103" s="1629"/>
    </row>
    <row r="104" spans="1:71" s="1648" customFormat="1" x14ac:dyDescent="0.3">
      <c r="A104" s="818" t="s">
        <v>740</v>
      </c>
      <c r="B104" s="1632" t="s">
        <v>833</v>
      </c>
      <c r="C104" s="1633"/>
      <c r="D104" s="1633"/>
      <c r="E104" s="1633"/>
      <c r="F104" s="1633"/>
      <c r="G104" s="1634"/>
      <c r="H104" s="1634"/>
      <c r="I104" s="1635"/>
      <c r="J104" s="1635">
        <f>N104/(1+N105)</f>
        <v>46.583850931677013</v>
      </c>
      <c r="K104" s="1636">
        <f>O104/(1+O105)</f>
        <v>60.970588235294116</v>
      </c>
      <c r="L104" s="1636">
        <f>383.8-M104-K104-J104</f>
        <v>71.117355704823751</v>
      </c>
      <c r="M104" s="1636">
        <f>Q104/(1+Q105)</f>
        <v>205.12820512820514</v>
      </c>
      <c r="N104" s="1637">
        <v>150</v>
      </c>
      <c r="O104" s="1638">
        <f>(1024-333)*0.3</f>
        <v>207.29999999999998</v>
      </c>
      <c r="P104" s="1638">
        <f>(1024-333)*0.5</f>
        <v>345.5</v>
      </c>
      <c r="Q104" s="1638">
        <v>400</v>
      </c>
      <c r="R104" s="1639">
        <f t="shared" ref="R104:AP104" si="106">N104*(1+R105)</f>
        <v>300</v>
      </c>
      <c r="S104" s="1640">
        <f t="shared" si="106"/>
        <v>404.23499999999996</v>
      </c>
      <c r="T104" s="1640">
        <f t="shared" si="106"/>
        <v>535.52499999999998</v>
      </c>
      <c r="U104" s="1640">
        <f t="shared" si="106"/>
        <v>919.99999999999989</v>
      </c>
      <c r="V104" s="1640">
        <f t="shared" si="106"/>
        <v>720</v>
      </c>
      <c r="W104" s="1639">
        <f t="shared" si="106"/>
        <v>1010.5874999999999</v>
      </c>
      <c r="X104" s="1639">
        <f t="shared" si="106"/>
        <v>1338.8125</v>
      </c>
      <c r="Y104" s="1639">
        <f t="shared" si="106"/>
        <v>2115.9999999999995</v>
      </c>
      <c r="Z104" s="1639">
        <f t="shared" si="106"/>
        <v>1655.9999999999998</v>
      </c>
      <c r="AA104" s="1640">
        <f t="shared" si="106"/>
        <v>1970.6456249999997</v>
      </c>
      <c r="AB104" s="1640">
        <f t="shared" si="106"/>
        <v>2543.7437500000001</v>
      </c>
      <c r="AC104" s="1640">
        <f t="shared" si="106"/>
        <v>4760.9999999999991</v>
      </c>
      <c r="AD104" s="1640">
        <f t="shared" si="106"/>
        <v>3725.9999999999995</v>
      </c>
      <c r="AE104" s="1641">
        <f t="shared" si="106"/>
        <v>4453.6591124999986</v>
      </c>
      <c r="AF104" s="1641">
        <f t="shared" si="106"/>
        <v>5596.2362500000008</v>
      </c>
      <c r="AG104" s="1641">
        <f t="shared" si="106"/>
        <v>10378.979999999996</v>
      </c>
      <c r="AH104" s="1641">
        <f t="shared" si="106"/>
        <v>7638.2999999999984</v>
      </c>
      <c r="AI104" s="1640">
        <f t="shared" si="106"/>
        <v>9130.0011806249968</v>
      </c>
      <c r="AJ104" s="1640">
        <f t="shared" si="106"/>
        <v>11192.472500000002</v>
      </c>
      <c r="AK104" s="1640">
        <f t="shared" si="106"/>
        <v>18682.163999999993</v>
      </c>
      <c r="AL104" s="1640">
        <f t="shared" si="106"/>
        <v>13137.875999999997</v>
      </c>
      <c r="AM104" s="1641">
        <f t="shared" si="106"/>
        <v>14608.001888999996</v>
      </c>
      <c r="AN104" s="1641">
        <f t="shared" si="106"/>
        <v>16229.085125000001</v>
      </c>
      <c r="AO104" s="1641">
        <f t="shared" si="106"/>
        <v>25781.386319999991</v>
      </c>
      <c r="AP104" s="1641">
        <f t="shared" si="106"/>
        <v>17867.511359999993</v>
      </c>
      <c r="AQ104" s="1642"/>
      <c r="AR104" s="1634"/>
      <c r="AS104" s="1643"/>
      <c r="AT104" s="1644">
        <f>SUM(K104:N104)</f>
        <v>487.21614906832303</v>
      </c>
      <c r="AU104" s="1645">
        <f>SUM(O104:R104)</f>
        <v>1252.8</v>
      </c>
      <c r="AV104" s="1643">
        <f>SUM(S104:V104)</f>
        <v>2579.7599999999998</v>
      </c>
      <c r="AW104" s="1643">
        <f>SUM(W104:Z104)</f>
        <v>6121.4</v>
      </c>
      <c r="AX104" s="1646">
        <f>SUM(AA104:AD104)</f>
        <v>13001.389374999999</v>
      </c>
      <c r="AY104" s="1647">
        <f>SUM(AE104:AH104)</f>
        <v>28067.175362499995</v>
      </c>
      <c r="AZ104" s="1647">
        <f>SUM(AI104:AL104)</f>
        <v>52142.513680624987</v>
      </c>
      <c r="BA104" s="1644">
        <f>SUM(AM104:AP104)</f>
        <v>74485.984693999984</v>
      </c>
      <c r="BB104" s="1645">
        <f>BA104*(1+BB105)</f>
        <v>99066.359643019983</v>
      </c>
      <c r="BC104" s="1644">
        <f>BB104*(1+BC105)</f>
        <v>126804.94034306558</v>
      </c>
    </row>
    <row r="105" spans="1:71" s="1663" customFormat="1" x14ac:dyDescent="0.35">
      <c r="A105" s="787" t="s">
        <v>834</v>
      </c>
      <c r="B105" s="1649" t="s">
        <v>835</v>
      </c>
      <c r="C105" s="1650"/>
      <c r="D105" s="1650"/>
      <c r="E105" s="1650"/>
      <c r="F105" s="1650"/>
      <c r="G105" s="1651"/>
      <c r="H105" s="1651"/>
      <c r="I105" s="1652"/>
      <c r="J105" s="1653"/>
      <c r="K105" s="1654"/>
      <c r="L105" s="1654"/>
      <c r="M105" s="1654"/>
      <c r="N105" s="1654">
        <v>2.2200000000000002</v>
      </c>
      <c r="O105" s="1653">
        <v>2.4</v>
      </c>
      <c r="P105" s="1653">
        <v>1.1000000000000001</v>
      </c>
      <c r="Q105" s="1653">
        <v>0.95</v>
      </c>
      <c r="R105" s="1653">
        <v>1</v>
      </c>
      <c r="S105" s="1654">
        <v>0.95</v>
      </c>
      <c r="T105" s="1654">
        <v>0.55000000000000004</v>
      </c>
      <c r="U105" s="1654">
        <v>1.3</v>
      </c>
      <c r="V105" s="1655">
        <v>1.4</v>
      </c>
      <c r="W105" s="1656">
        <v>1.5</v>
      </c>
      <c r="X105" s="1656">
        <v>1.5</v>
      </c>
      <c r="Y105" s="1656">
        <v>1.3</v>
      </c>
      <c r="Z105" s="1656">
        <v>1.3</v>
      </c>
      <c r="AA105" s="1655">
        <v>0.95</v>
      </c>
      <c r="AB105" s="1655">
        <v>0.9</v>
      </c>
      <c r="AC105" s="1655">
        <v>1.25</v>
      </c>
      <c r="AD105" s="1655">
        <v>1.25</v>
      </c>
      <c r="AE105" s="1656">
        <v>1.26</v>
      </c>
      <c r="AF105" s="1656">
        <v>1.2</v>
      </c>
      <c r="AG105" s="1656">
        <v>1.18</v>
      </c>
      <c r="AH105" s="1656">
        <v>1.05</v>
      </c>
      <c r="AI105" s="1655">
        <v>1.05</v>
      </c>
      <c r="AJ105" s="1655">
        <v>1</v>
      </c>
      <c r="AK105" s="1655">
        <v>0.8</v>
      </c>
      <c r="AL105" s="1655">
        <v>0.72</v>
      </c>
      <c r="AM105" s="1656">
        <v>0.6</v>
      </c>
      <c r="AN105" s="1656">
        <v>0.45</v>
      </c>
      <c r="AO105" s="1656">
        <v>0.38</v>
      </c>
      <c r="AP105" s="1656">
        <v>0.36</v>
      </c>
      <c r="AQ105" s="1657"/>
      <c r="AR105" s="1651"/>
      <c r="AS105" s="1651"/>
      <c r="AT105" s="1658"/>
      <c r="AU105" s="1659">
        <f t="shared" ref="AU105:BA105" si="107">(AU104-AT104)/AT104</f>
        <v>1.5713433399029595</v>
      </c>
      <c r="AV105" s="1530">
        <f t="shared" si="107"/>
        <v>1.0591954022988506</v>
      </c>
      <c r="AW105" s="1530">
        <f t="shared" si="107"/>
        <v>1.3728563897416814</v>
      </c>
      <c r="AX105" s="1659">
        <f t="shared" si="107"/>
        <v>1.1239241635900283</v>
      </c>
      <c r="AY105" s="1530">
        <f t="shared" si="107"/>
        <v>1.1587827695145849</v>
      </c>
      <c r="AZ105" s="1530">
        <f t="shared" si="107"/>
        <v>0.85777560467632885</v>
      </c>
      <c r="BA105" s="1660">
        <f t="shared" si="107"/>
        <v>0.42850774610195558</v>
      </c>
      <c r="BB105" s="1661">
        <v>0.33</v>
      </c>
      <c r="BC105" s="1662">
        <v>0.28000000000000003</v>
      </c>
    </row>
    <row r="106" spans="1:71" s="1677" customFormat="1" x14ac:dyDescent="0.3">
      <c r="A106" s="1664"/>
      <c r="B106" s="1649" t="s">
        <v>836</v>
      </c>
      <c r="C106" s="1665"/>
      <c r="D106" s="1665"/>
      <c r="E106" s="1665"/>
      <c r="F106" s="1665"/>
      <c r="G106" s="1666"/>
      <c r="H106" s="1666"/>
      <c r="I106" s="1667"/>
      <c r="J106" s="1666"/>
      <c r="K106" s="1668"/>
      <c r="L106" s="1668"/>
      <c r="M106" s="1668"/>
      <c r="N106" s="1668"/>
      <c r="O106" s="1669">
        <f t="shared" ref="O106:AP106" si="108">(O104-N104)/N104</f>
        <v>0.3819999999999999</v>
      </c>
      <c r="P106" s="1669">
        <f t="shared" si="108"/>
        <v>0.66666666666666685</v>
      </c>
      <c r="Q106" s="1669">
        <f t="shared" si="108"/>
        <v>0.15774240231548481</v>
      </c>
      <c r="R106" s="1669">
        <f t="shared" si="108"/>
        <v>-0.25</v>
      </c>
      <c r="S106" s="1528">
        <f t="shared" si="108"/>
        <v>0.34744999999999987</v>
      </c>
      <c r="T106" s="1528">
        <f t="shared" si="108"/>
        <v>0.32478632478632485</v>
      </c>
      <c r="U106" s="1528">
        <f t="shared" si="108"/>
        <v>0.71794033891975151</v>
      </c>
      <c r="V106" s="1528">
        <f t="shared" si="108"/>
        <v>-0.217391304347826</v>
      </c>
      <c r="W106" s="1669">
        <f t="shared" si="108"/>
        <v>0.40359374999999981</v>
      </c>
      <c r="X106" s="1669">
        <f t="shared" si="108"/>
        <v>0.32478632478632496</v>
      </c>
      <c r="Y106" s="1669">
        <f t="shared" si="108"/>
        <v>0.58050511180617115</v>
      </c>
      <c r="Z106" s="1669">
        <f t="shared" si="108"/>
        <v>-0.21739130434782603</v>
      </c>
      <c r="AA106" s="1528">
        <f t="shared" si="108"/>
        <v>0.19000339673913039</v>
      </c>
      <c r="AB106" s="1528">
        <f t="shared" si="108"/>
        <v>0.29081744466359877</v>
      </c>
      <c r="AC106" s="1528">
        <f t="shared" si="108"/>
        <v>0.87165079029678161</v>
      </c>
      <c r="AD106" s="1528">
        <f t="shared" si="108"/>
        <v>-0.21739130434782603</v>
      </c>
      <c r="AE106" s="1530">
        <f t="shared" si="108"/>
        <v>0.19529230072463746</v>
      </c>
      <c r="AF106" s="1530">
        <f t="shared" si="108"/>
        <v>0.25654795498226463</v>
      </c>
      <c r="AG106" s="1530">
        <f t="shared" si="108"/>
        <v>0.85463578311226485</v>
      </c>
      <c r="AH106" s="1530">
        <f t="shared" si="108"/>
        <v>-0.26406063023534093</v>
      </c>
      <c r="AI106" s="1528">
        <f t="shared" si="108"/>
        <v>0.19529230072463752</v>
      </c>
      <c r="AJ106" s="1528">
        <f t="shared" si="108"/>
        <v>0.22590044388513625</v>
      </c>
      <c r="AK106" s="1528">
        <f t="shared" si="108"/>
        <v>0.66917220480103845</v>
      </c>
      <c r="AL106" s="1528">
        <f t="shared" si="108"/>
        <v>-0.2967690466693258</v>
      </c>
      <c r="AM106" s="1530">
        <f t="shared" si="108"/>
        <v>0.11189981462756989</v>
      </c>
      <c r="AN106" s="1530">
        <f t="shared" si="108"/>
        <v>0.11097227727090461</v>
      </c>
      <c r="AO106" s="1530">
        <f t="shared" si="108"/>
        <v>0.58859147767271247</v>
      </c>
      <c r="AP106" s="1530">
        <f t="shared" si="108"/>
        <v>-0.30696079961614725</v>
      </c>
      <c r="AQ106" s="1670"/>
      <c r="AR106" s="1666"/>
      <c r="AS106" s="1666"/>
      <c r="AT106" s="1671"/>
      <c r="AU106" s="1672"/>
      <c r="AV106" s="1673"/>
      <c r="AW106" s="1673"/>
      <c r="AX106" s="1674"/>
      <c r="AY106" s="1675"/>
      <c r="AZ106" s="1673"/>
      <c r="BA106" s="1676"/>
      <c r="BB106" s="1674"/>
      <c r="BC106" s="1676"/>
    </row>
    <row r="107" spans="1:71" s="1683" customFormat="1" x14ac:dyDescent="0.35">
      <c r="A107" s="787" t="s">
        <v>837</v>
      </c>
      <c r="B107" s="1649" t="s">
        <v>838</v>
      </c>
      <c r="C107" s="1668"/>
      <c r="D107" s="1668"/>
      <c r="E107" s="1668"/>
      <c r="F107" s="1668"/>
      <c r="G107" s="1678"/>
      <c r="H107" s="1678"/>
      <c r="I107" s="1678"/>
      <c r="J107" s="1679">
        <v>0.49</v>
      </c>
      <c r="K107" s="1654">
        <v>0.44</v>
      </c>
      <c r="L107" s="1654">
        <v>0.37</v>
      </c>
      <c r="M107" s="1654">
        <v>0.3</v>
      </c>
      <c r="N107" s="1654">
        <v>0.28000000000000003</v>
      </c>
      <c r="O107" s="1653">
        <v>0.27</v>
      </c>
      <c r="P107" s="1653">
        <v>0.27</v>
      </c>
      <c r="Q107" s="1653">
        <v>0.26</v>
      </c>
      <c r="R107" s="1653">
        <v>0.25</v>
      </c>
      <c r="S107" s="1654">
        <v>0.24</v>
      </c>
      <c r="T107" s="1654">
        <v>0.23</v>
      </c>
      <c r="U107" s="1654">
        <v>0.25</v>
      </c>
      <c r="V107" s="1655">
        <v>0.26</v>
      </c>
      <c r="W107" s="1656">
        <v>0.24</v>
      </c>
      <c r="X107" s="1656">
        <v>0.23</v>
      </c>
      <c r="Y107" s="1656">
        <v>0.23</v>
      </c>
      <c r="Z107" s="1656">
        <v>0.22</v>
      </c>
      <c r="AA107" s="1655">
        <v>0.23</v>
      </c>
      <c r="AB107" s="1655">
        <v>0.20499999999999999</v>
      </c>
      <c r="AC107" s="1655">
        <v>0.12</v>
      </c>
      <c r="AD107" s="1655">
        <v>0.12</v>
      </c>
      <c r="AE107" s="1656">
        <v>0.12</v>
      </c>
      <c r="AF107" s="1656">
        <v>0.12</v>
      </c>
      <c r="AG107" s="1656">
        <v>7.0000000000000007E-2</v>
      </c>
      <c r="AH107" s="1656">
        <v>7.0000000000000007E-2</v>
      </c>
      <c r="AI107" s="1655">
        <v>7.0000000000000007E-2</v>
      </c>
      <c r="AJ107" s="1655">
        <v>7.0000000000000007E-2</v>
      </c>
      <c r="AK107" s="1655">
        <v>0.06</v>
      </c>
      <c r="AL107" s="1655">
        <v>0.06</v>
      </c>
      <c r="AM107" s="1656">
        <v>0.06</v>
      </c>
      <c r="AN107" s="1656">
        <v>0.06</v>
      </c>
      <c r="AO107" s="1656">
        <v>0.06</v>
      </c>
      <c r="AP107" s="1656">
        <v>0.06</v>
      </c>
      <c r="AQ107" s="1680"/>
      <c r="AR107" s="1678"/>
      <c r="AS107" s="1678"/>
      <c r="AT107" s="1681"/>
      <c r="AU107" s="1680"/>
      <c r="AV107" s="1530">
        <f t="shared" ref="AV107:BA107" si="109">AV108/AV6/AV104</f>
        <v>0.23779902358378877</v>
      </c>
      <c r="AW107" s="1530">
        <f t="shared" si="109"/>
        <v>0.23816145775187114</v>
      </c>
      <c r="AX107" s="1659">
        <f t="shared" si="109"/>
        <v>0.15482738291698125</v>
      </c>
      <c r="AY107" s="1530">
        <f t="shared" si="109"/>
        <v>8.7113997989598915E-2</v>
      </c>
      <c r="AZ107" s="1530">
        <f t="shared" si="109"/>
        <v>6.2951888292483438E-2</v>
      </c>
      <c r="BA107" s="1660">
        <f t="shared" si="109"/>
        <v>5.9999999999999991E-2</v>
      </c>
      <c r="BB107" s="1661">
        <v>0.06</v>
      </c>
      <c r="BC107" s="1662">
        <v>0.06</v>
      </c>
      <c r="BD107" s="1682"/>
      <c r="BE107" s="1682"/>
      <c r="BF107" s="1682"/>
      <c r="BG107" s="1682"/>
      <c r="BH107" s="1682"/>
      <c r="BI107" s="1682"/>
      <c r="BJ107" s="1682"/>
      <c r="BK107" s="1682"/>
      <c r="BL107" s="1682"/>
      <c r="BM107" s="1682"/>
      <c r="BN107" s="1682"/>
      <c r="BO107" s="1682"/>
      <c r="BP107" s="1682"/>
      <c r="BQ107" s="1682"/>
      <c r="BR107" s="1682"/>
      <c r="BS107" s="1682"/>
    </row>
    <row r="108" spans="1:71" s="1566" customFormat="1" x14ac:dyDescent="0.3">
      <c r="A108" s="1664"/>
      <c r="B108" s="1684" t="s">
        <v>839</v>
      </c>
      <c r="C108" s="1685"/>
      <c r="D108" s="1685"/>
      <c r="E108" s="1685"/>
      <c r="F108" s="1685"/>
      <c r="G108" s="1686"/>
      <c r="H108" s="1686"/>
      <c r="I108" s="1687"/>
      <c r="J108" s="1686"/>
      <c r="K108" s="1685"/>
      <c r="L108" s="1685"/>
      <c r="M108" s="1348"/>
      <c r="N108" s="1348"/>
      <c r="O108" s="1347"/>
      <c r="P108" s="1347"/>
      <c r="Q108" s="1347"/>
      <c r="R108" s="1688"/>
      <c r="S108" s="1689">
        <f>S104*S107*S6*0.8</f>
        <v>515.80903420799996</v>
      </c>
      <c r="T108" s="1690">
        <f t="shared" ref="T108:AP108" si="110">T104*T107*T6</f>
        <v>821.36414637500002</v>
      </c>
      <c r="U108" s="1690">
        <f t="shared" si="110"/>
        <v>1596.8899999999996</v>
      </c>
      <c r="V108" s="1690">
        <f t="shared" si="110"/>
        <v>1288.5350400000002</v>
      </c>
      <c r="W108" s="1691">
        <f t="shared" si="110"/>
        <v>1644.2582012999999</v>
      </c>
      <c r="X108" s="1691">
        <f t="shared" si="110"/>
        <v>2048.7298774374999</v>
      </c>
      <c r="Y108" s="1691">
        <f t="shared" si="110"/>
        <v>3166.4860839999997</v>
      </c>
      <c r="Z108" s="1691">
        <f t="shared" si="110"/>
        <v>2285.2336319999995</v>
      </c>
      <c r="AA108" s="1690">
        <f t="shared" si="110"/>
        <v>2999.1906079931246</v>
      </c>
      <c r="AB108" s="1690">
        <f t="shared" si="110"/>
        <v>3581.4385753749998</v>
      </c>
      <c r="AC108" s="1690">
        <f t="shared" si="110"/>
        <v>3928.1106599999985</v>
      </c>
      <c r="AD108" s="1690">
        <f t="shared" si="110"/>
        <v>3000.7117439999997</v>
      </c>
      <c r="AE108" s="1692">
        <f t="shared" si="110"/>
        <v>3668.9243768774986</v>
      </c>
      <c r="AF108" s="1692">
        <f t="shared" si="110"/>
        <v>4800.0261412950003</v>
      </c>
      <c r="AG108" s="1692">
        <f t="shared" si="110"/>
        <v>5057.9468074799988</v>
      </c>
      <c r="AH108" s="1692">
        <f t="shared" si="110"/>
        <v>3785.9692247999997</v>
      </c>
      <c r="AI108" s="1690">
        <f t="shared" si="110"/>
        <v>4515.3059938863571</v>
      </c>
      <c r="AJ108" s="1690">
        <f t="shared" si="110"/>
        <v>5484.3115250000019</v>
      </c>
      <c r="AK108" s="1690">
        <f t="shared" si="110"/>
        <v>7958.6018639999966</v>
      </c>
      <c r="AL108" s="1690">
        <f t="shared" si="110"/>
        <v>5675.5624319999988</v>
      </c>
      <c r="AM108" s="1692">
        <f t="shared" si="110"/>
        <v>6310.6568160479974</v>
      </c>
      <c r="AN108" s="1692">
        <f t="shared" si="110"/>
        <v>7010.964774</v>
      </c>
      <c r="AO108" s="1692">
        <f t="shared" si="110"/>
        <v>11137.558890239996</v>
      </c>
      <c r="AP108" s="1692">
        <f t="shared" si="110"/>
        <v>7718.764907519997</v>
      </c>
      <c r="AQ108" s="1693"/>
      <c r="AR108" s="1686"/>
      <c r="AS108" s="1686"/>
      <c r="AT108" s="1351"/>
      <c r="AU108" s="1352"/>
      <c r="AV108" s="1346">
        <f>AV186</f>
        <v>4222.5982205830005</v>
      </c>
      <c r="AW108" s="1346">
        <f>AW186</f>
        <v>9144.7077947374983</v>
      </c>
      <c r="AX108" s="1694">
        <f>AX186</f>
        <v>13509.451587368123</v>
      </c>
      <c r="AY108" s="1346">
        <f>SUM(AE108:AH108)</f>
        <v>17312.866550452498</v>
      </c>
      <c r="AZ108" s="1346">
        <f>SUM(AI108:AL108)</f>
        <v>23633.781814886355</v>
      </c>
      <c r="BA108" s="1695">
        <f>SUM(AM108:AP108)</f>
        <v>32177.945387807988</v>
      </c>
      <c r="BB108" s="1694">
        <f>BB104*BB107*BB6</f>
        <v>42796.667365784633</v>
      </c>
      <c r="BC108" s="1695">
        <f>BC104*BC107*BC6</f>
        <v>54779.734228204332</v>
      </c>
    </row>
    <row r="109" spans="1:71" s="1566" customFormat="1" x14ac:dyDescent="0.3">
      <c r="A109" s="1664"/>
      <c r="B109" s="1696" t="s">
        <v>840</v>
      </c>
      <c r="C109" s="1697"/>
      <c r="D109" s="1697"/>
      <c r="E109" s="1697"/>
      <c r="F109" s="1697"/>
      <c r="G109" s="1698"/>
      <c r="H109" s="1698"/>
      <c r="I109" s="1699"/>
      <c r="J109" s="1698"/>
      <c r="K109" s="1697"/>
      <c r="L109" s="1697"/>
      <c r="M109" s="1700"/>
      <c r="N109" s="1700"/>
      <c r="O109" s="1701"/>
      <c r="P109" s="1701"/>
      <c r="Q109" s="1701"/>
      <c r="R109" s="1702"/>
      <c r="S109" s="1703"/>
      <c r="T109" s="1704"/>
      <c r="U109" s="1704"/>
      <c r="V109" s="1704"/>
      <c r="W109" s="1705"/>
      <c r="X109" s="1706">
        <f t="shared" ref="X109:AP109" si="111">X108/X184</f>
        <v>0.45235810939224991</v>
      </c>
      <c r="Y109" s="1706">
        <f t="shared" si="111"/>
        <v>0.49484076949523359</v>
      </c>
      <c r="Z109" s="1706">
        <f t="shared" si="111"/>
        <v>0.40332397317331442</v>
      </c>
      <c r="AA109" s="1707">
        <f t="shared" si="111"/>
        <v>0.48743549617960746</v>
      </c>
      <c r="AB109" s="1707">
        <f t="shared" si="111"/>
        <v>0.55217986052651857</v>
      </c>
      <c r="AC109" s="1707">
        <f t="shared" si="111"/>
        <v>0.49046206267948539</v>
      </c>
      <c r="AD109" s="1707">
        <f t="shared" si="111"/>
        <v>0.42400900720644336</v>
      </c>
      <c r="AE109" s="1708">
        <f t="shared" si="111"/>
        <v>0.46965237799251136</v>
      </c>
      <c r="AF109" s="1708">
        <f t="shared" si="111"/>
        <v>0.56865610014157097</v>
      </c>
      <c r="AG109" s="1708">
        <f t="shared" si="111"/>
        <v>0.5133407903663858</v>
      </c>
      <c r="AH109" s="1708">
        <f t="shared" si="111"/>
        <v>0.48469712262194337</v>
      </c>
      <c r="AI109" s="1707">
        <f t="shared" si="111"/>
        <v>0.44198375038041865</v>
      </c>
      <c r="AJ109" s="1707">
        <f t="shared" si="111"/>
        <v>0.53675262094398224</v>
      </c>
      <c r="AK109" s="1707">
        <f t="shared" si="111"/>
        <v>0.57257323299442742</v>
      </c>
      <c r="AL109" s="1707">
        <f t="shared" si="111"/>
        <v>0.52177619495117011</v>
      </c>
      <c r="AM109" s="1708">
        <f t="shared" si="111"/>
        <v>0.47660118912924676</v>
      </c>
      <c r="AN109" s="1708">
        <f t="shared" si="111"/>
        <v>0.55386746738221415</v>
      </c>
      <c r="AO109" s="1708">
        <f t="shared" si="111"/>
        <v>0.61459844964198818</v>
      </c>
      <c r="AP109" s="1708">
        <f t="shared" si="111"/>
        <v>0.56055547618728563</v>
      </c>
      <c r="AQ109" s="1709"/>
      <c r="AR109" s="1710"/>
      <c r="AS109" s="1710"/>
      <c r="AT109" s="1711"/>
      <c r="AU109" s="1712"/>
      <c r="AV109" s="1713"/>
      <c r="AW109" s="1713"/>
      <c r="AX109" s="1714"/>
      <c r="AY109" s="1715"/>
      <c r="AZ109" s="1713"/>
      <c r="BA109" s="1711"/>
      <c r="BB109" s="1712"/>
      <c r="BC109" s="1711"/>
    </row>
    <row r="110" spans="1:71" s="1648" customFormat="1" x14ac:dyDescent="0.3">
      <c r="A110" s="818" t="s">
        <v>740</v>
      </c>
      <c r="B110" s="1716" t="s">
        <v>841</v>
      </c>
      <c r="C110" s="1717"/>
      <c r="D110" s="1717"/>
      <c r="E110" s="1717"/>
      <c r="F110" s="1717"/>
      <c r="G110" s="1718"/>
      <c r="H110" s="1718"/>
      <c r="I110" s="883"/>
      <c r="J110" s="883">
        <f t="shared" ref="J110:AP110" si="112">J114/J113/J6</f>
        <v>654.94958037265474</v>
      </c>
      <c r="K110" s="1719">
        <f t="shared" si="112"/>
        <v>824.40610521079918</v>
      </c>
      <c r="L110" s="1719">
        <f t="shared" si="112"/>
        <v>975.18968486710412</v>
      </c>
      <c r="M110" s="1719">
        <f t="shared" si="112"/>
        <v>1275.5513190674199</v>
      </c>
      <c r="N110" s="1720">
        <f t="shared" si="112"/>
        <v>1007.0748738275757</v>
      </c>
      <c r="O110" s="1721">
        <f t="shared" si="112"/>
        <v>1154.3778801843316</v>
      </c>
      <c r="P110" s="1721">
        <f t="shared" si="112"/>
        <v>1081.1612706005051</v>
      </c>
      <c r="Q110" s="1721">
        <f t="shared" si="112"/>
        <v>1393.7712539089548</v>
      </c>
      <c r="R110" s="1722">
        <f t="shared" si="112"/>
        <v>1307.1605813541296</v>
      </c>
      <c r="S110" s="1723">
        <f t="shared" si="112"/>
        <v>1292.2918443637645</v>
      </c>
      <c r="T110" s="1723">
        <f t="shared" si="112"/>
        <v>1106.7724667680673</v>
      </c>
      <c r="U110" s="1723">
        <f t="shared" si="112"/>
        <v>1759.4493940453906</v>
      </c>
      <c r="V110" s="1723">
        <f t="shared" si="112"/>
        <v>2366.9741648402728</v>
      </c>
      <c r="W110" s="1722">
        <f t="shared" si="112"/>
        <v>2094.0674420662899</v>
      </c>
      <c r="X110" s="1722">
        <f t="shared" si="112"/>
        <v>1780.5774633049982</v>
      </c>
      <c r="Y110" s="1722">
        <f t="shared" si="112"/>
        <v>3439.5540058975803</v>
      </c>
      <c r="Z110" s="1722">
        <f t="shared" si="112"/>
        <v>3830.1874547351072</v>
      </c>
      <c r="AA110" s="1723">
        <f t="shared" si="112"/>
        <v>2842.8711585068022</v>
      </c>
      <c r="AB110" s="1723">
        <f t="shared" si="112"/>
        <v>1835.7630098697896</v>
      </c>
      <c r="AC110" s="1723">
        <f t="shared" si="112"/>
        <v>3960.0015375505191</v>
      </c>
      <c r="AD110" s="1723">
        <f t="shared" si="112"/>
        <v>4136.5569197758969</v>
      </c>
      <c r="AE110" s="1724">
        <f t="shared" si="112"/>
        <v>3949.7984041671025</v>
      </c>
      <c r="AF110" s="1724">
        <f t="shared" si="112"/>
        <v>2412.3121697589027</v>
      </c>
      <c r="AG110" s="1724">
        <f t="shared" si="112"/>
        <v>4797.7189653743098</v>
      </c>
      <c r="AH110" s="1724">
        <f t="shared" si="112"/>
        <v>3161.5289136013689</v>
      </c>
      <c r="AI110" s="1723">
        <f t="shared" si="112"/>
        <v>5048.3442881480651</v>
      </c>
      <c r="AJ110" s="1723">
        <f t="shared" si="112"/>
        <v>3202.17554350306</v>
      </c>
      <c r="AK110" s="1723">
        <f t="shared" si="112"/>
        <v>6021.5454455243489</v>
      </c>
      <c r="AL110" s="1723">
        <f t="shared" si="112"/>
        <v>4663.7820690476192</v>
      </c>
      <c r="AM110" s="1724">
        <f t="shared" si="112"/>
        <v>6439.8853332296339</v>
      </c>
      <c r="AN110" s="1724">
        <f t="shared" si="112"/>
        <v>3984.9295652482524</v>
      </c>
      <c r="AO110" s="1724">
        <f t="shared" si="112"/>
        <v>7422.3910873650839</v>
      </c>
      <c r="AP110" s="1724">
        <f t="shared" si="112"/>
        <v>5783.0897656190473</v>
      </c>
      <c r="AQ110" s="1725"/>
      <c r="AR110" s="1718"/>
      <c r="AS110" s="1726"/>
      <c r="AT110" s="1727">
        <f>SUM(K110:N110)</f>
        <v>4082.2219829728988</v>
      </c>
      <c r="AU110" s="1728">
        <f>SUM(O110:R110)</f>
        <v>4936.4709860479215</v>
      </c>
      <c r="AV110" s="1726">
        <f>SUM(S110:V110)</f>
        <v>6525.4878700174959</v>
      </c>
      <c r="AW110" s="1726">
        <f>SUM(W110:Z110)</f>
        <v>11144.386366003975</v>
      </c>
      <c r="AX110" s="1729">
        <f>SUM(AA110:AD110)</f>
        <v>12775.192625703006</v>
      </c>
      <c r="AY110" s="1730">
        <f>SUM(AE110:AH110)</f>
        <v>14321.358452901684</v>
      </c>
      <c r="AZ110" s="1730">
        <f>SUM(AI110:AL110)</f>
        <v>18935.847346223094</v>
      </c>
      <c r="BA110" s="1727">
        <f>SUM(AM110:AP110)</f>
        <v>23630.295751462018</v>
      </c>
      <c r="BB110" s="1728">
        <f>BA110*(1+BB111)</f>
        <v>31428.293349444484</v>
      </c>
      <c r="BC110" s="1727">
        <f>BB110*(1+BC111)</f>
        <v>40228.215487288944</v>
      </c>
    </row>
    <row r="111" spans="1:71" s="1663" customFormat="1" x14ac:dyDescent="0.35">
      <c r="A111" s="787" t="s">
        <v>834</v>
      </c>
      <c r="B111" s="1731" t="s">
        <v>835</v>
      </c>
      <c r="C111" s="1650"/>
      <c r="D111" s="1650"/>
      <c r="E111" s="1650"/>
      <c r="F111" s="1650"/>
      <c r="G111" s="1651"/>
      <c r="H111" s="1651"/>
      <c r="I111" s="1652"/>
      <c r="J111" s="1653"/>
      <c r="K111" s="1654"/>
      <c r="L111" s="1654"/>
      <c r="M111" s="1654"/>
      <c r="N111" s="1732">
        <f t="shared" ref="N111:AP111" si="113">N110/J110-1</f>
        <v>0.53763725332042811</v>
      </c>
      <c r="O111" s="1733">
        <f t="shared" si="113"/>
        <v>0.40025391962515755</v>
      </c>
      <c r="P111" s="1733">
        <f t="shared" si="113"/>
        <v>0.10866766474036527</v>
      </c>
      <c r="Q111" s="1733">
        <f t="shared" si="113"/>
        <v>9.2681441408384746E-2</v>
      </c>
      <c r="R111" s="1733">
        <f t="shared" si="113"/>
        <v>0.29797755392905612</v>
      </c>
      <c r="S111" s="1732">
        <f t="shared" si="113"/>
        <v>0.11947038014745281</v>
      </c>
      <c r="T111" s="1732">
        <f t="shared" si="113"/>
        <v>2.3688599345902395E-2</v>
      </c>
      <c r="U111" s="1732">
        <f t="shared" si="113"/>
        <v>0.262365965082763</v>
      </c>
      <c r="V111" s="1734">
        <f t="shared" si="113"/>
        <v>0.81077535430899261</v>
      </c>
      <c r="W111" s="1735">
        <f t="shared" si="113"/>
        <v>0.62042920196348095</v>
      </c>
      <c r="X111" s="1735">
        <f t="shared" si="113"/>
        <v>0.60880173366124413</v>
      </c>
      <c r="Y111" s="1735">
        <f t="shared" si="113"/>
        <v>0.95490362924802952</v>
      </c>
      <c r="Z111" s="1735">
        <f t="shared" si="113"/>
        <v>0.61817881733980573</v>
      </c>
      <c r="AA111" s="1734">
        <f t="shared" si="113"/>
        <v>0.35758338122178213</v>
      </c>
      <c r="AB111" s="1734">
        <f t="shared" si="113"/>
        <v>3.0993061353455253E-2</v>
      </c>
      <c r="AC111" s="1734">
        <f t="shared" si="113"/>
        <v>0.1513125046911783</v>
      </c>
      <c r="AD111" s="1734">
        <f t="shared" si="113"/>
        <v>7.9988112504007391E-2</v>
      </c>
      <c r="AE111" s="1735">
        <f t="shared" si="113"/>
        <v>0.38936947330448346</v>
      </c>
      <c r="AF111" s="1735">
        <f t="shared" si="113"/>
        <v>0.31406513628902877</v>
      </c>
      <c r="AG111" s="1735">
        <f t="shared" si="113"/>
        <v>0.21154472286946779</v>
      </c>
      <c r="AH111" s="1735">
        <f t="shared" si="113"/>
        <v>-0.23571004221243774</v>
      </c>
      <c r="AI111" s="1734">
        <f t="shared" si="113"/>
        <v>0.2781270767697861</v>
      </c>
      <c r="AJ111" s="1734">
        <f t="shared" si="113"/>
        <v>0.32742999999999989</v>
      </c>
      <c r="AK111" s="1734">
        <f t="shared" si="113"/>
        <v>0.25508507042253536</v>
      </c>
      <c r="AL111" s="1734">
        <f t="shared" si="113"/>
        <v>0.47516666666666652</v>
      </c>
      <c r="AM111" s="1735">
        <f t="shared" si="113"/>
        <v>0.27564305555555557</v>
      </c>
      <c r="AN111" s="1735">
        <f t="shared" si="113"/>
        <v>0.24444444444444446</v>
      </c>
      <c r="AO111" s="1735">
        <f t="shared" si="113"/>
        <v>0.23263888888888906</v>
      </c>
      <c r="AP111" s="1735">
        <f t="shared" si="113"/>
        <v>0.24</v>
      </c>
      <c r="AQ111" s="1657"/>
      <c r="AR111" s="1651"/>
      <c r="AS111" s="1651"/>
      <c r="AT111" s="1658"/>
      <c r="AU111" s="1659">
        <f t="shared" ref="AU111:BA111" si="114">(AU110-AT110)/AT110</f>
        <v>0.2092607914606622</v>
      </c>
      <c r="AV111" s="1530">
        <f t="shared" si="114"/>
        <v>0.3218932894492148</v>
      </c>
      <c r="AW111" s="1530">
        <f t="shared" si="114"/>
        <v>0.70782424057652804</v>
      </c>
      <c r="AX111" s="1659">
        <f t="shared" si="114"/>
        <v>0.14633432529527302</v>
      </c>
      <c r="AY111" s="1530">
        <f t="shared" si="114"/>
        <v>0.12102876821503848</v>
      </c>
      <c r="AZ111" s="1530">
        <f t="shared" si="114"/>
        <v>0.32221027834035237</v>
      </c>
      <c r="BA111" s="1660">
        <f t="shared" si="114"/>
        <v>0.24791330007079238</v>
      </c>
      <c r="BB111" s="1661">
        <v>0.33</v>
      </c>
      <c r="BC111" s="1662">
        <v>0.28000000000000003</v>
      </c>
    </row>
    <row r="112" spans="1:71" s="1677" customFormat="1" x14ac:dyDescent="0.3">
      <c r="A112" s="1664"/>
      <c r="B112" s="1731" t="s">
        <v>836</v>
      </c>
      <c r="C112" s="1665"/>
      <c r="D112" s="1665"/>
      <c r="E112" s="1665"/>
      <c r="F112" s="1665"/>
      <c r="G112" s="1666"/>
      <c r="H112" s="1666"/>
      <c r="I112" s="1667"/>
      <c r="J112" s="1666"/>
      <c r="K112" s="1668"/>
      <c r="L112" s="1668"/>
      <c r="M112" s="1668"/>
      <c r="N112" s="1668"/>
      <c r="O112" s="1669">
        <f t="shared" ref="O112:AP112" si="115">(O110-N110)/N110</f>
        <v>0.14626817745626336</v>
      </c>
      <c r="P112" s="1669">
        <f t="shared" si="115"/>
        <v>-6.342516678519107E-2</v>
      </c>
      <c r="Q112" s="1669">
        <f t="shared" si="115"/>
        <v>0.28914278730574394</v>
      </c>
      <c r="R112" s="1669">
        <f t="shared" si="115"/>
        <v>-6.2141238967239366E-2</v>
      </c>
      <c r="S112" s="1528">
        <f t="shared" si="115"/>
        <v>-1.1374835810120627E-2</v>
      </c>
      <c r="T112" s="1528">
        <f t="shared" si="115"/>
        <v>-0.14355842173331537</v>
      </c>
      <c r="U112" s="1528">
        <f t="shared" si="115"/>
        <v>0.58971192984519449</v>
      </c>
      <c r="V112" s="1528">
        <f t="shared" si="115"/>
        <v>0.34529255166472222</v>
      </c>
      <c r="W112" s="1669">
        <f t="shared" si="115"/>
        <v>-0.11529771926868457</v>
      </c>
      <c r="X112" s="1669">
        <f t="shared" si="115"/>
        <v>-0.14970385980117246</v>
      </c>
      <c r="Y112" s="1669">
        <f t="shared" si="115"/>
        <v>0.93170703144433376</v>
      </c>
      <c r="Z112" s="1669">
        <f t="shared" si="115"/>
        <v>0.11357095953944407</v>
      </c>
      <c r="AA112" s="1528">
        <f t="shared" si="115"/>
        <v>-0.2577723173855957</v>
      </c>
      <c r="AB112" s="1528">
        <f t="shared" si="115"/>
        <v>-0.35425740122742283</v>
      </c>
      <c r="AC112" s="1528">
        <f t="shared" si="115"/>
        <v>1.1571420255555762</v>
      </c>
      <c r="AD112" s="1528">
        <f t="shared" si="115"/>
        <v>4.4584675170249333E-2</v>
      </c>
      <c r="AE112" s="1530">
        <f t="shared" si="115"/>
        <v>-4.5148300683582096E-2</v>
      </c>
      <c r="AF112" s="1530">
        <f t="shared" si="115"/>
        <v>-0.38925688784170009</v>
      </c>
      <c r="AG112" s="1530">
        <f t="shared" si="115"/>
        <v>0.98884664494057395</v>
      </c>
      <c r="AH112" s="1530">
        <f t="shared" si="115"/>
        <v>-0.34103499258324904</v>
      </c>
      <c r="AI112" s="1528">
        <f t="shared" si="115"/>
        <v>0.59680471889070352</v>
      </c>
      <c r="AJ112" s="1528">
        <f t="shared" si="115"/>
        <v>-0.36569786830490791</v>
      </c>
      <c r="AK112" s="1528">
        <f t="shared" si="115"/>
        <v>0.88045451091572702</v>
      </c>
      <c r="AL112" s="1528">
        <f t="shared" si="115"/>
        <v>-0.22548420314354986</v>
      </c>
      <c r="AM112" s="1530">
        <f t="shared" si="115"/>
        <v>0.38082895767569797</v>
      </c>
      <c r="AN112" s="1530">
        <f t="shared" si="115"/>
        <v>-0.38121109941412717</v>
      </c>
      <c r="AO112" s="1530">
        <f t="shared" si="115"/>
        <v>0.86261537772065622</v>
      </c>
      <c r="AP112" s="1530">
        <f t="shared" si="115"/>
        <v>-0.22085892570880167</v>
      </c>
      <c r="AQ112" s="1670"/>
      <c r="AR112" s="1666"/>
      <c r="AS112" s="1666"/>
      <c r="AT112" s="1671"/>
      <c r="AU112" s="1672"/>
      <c r="AV112" s="1673"/>
      <c r="AW112" s="1673"/>
      <c r="AX112" s="1674"/>
      <c r="AY112" s="1675"/>
      <c r="AZ112" s="1673"/>
      <c r="BA112" s="1676"/>
      <c r="BB112" s="1674"/>
      <c r="BC112" s="1676"/>
    </row>
    <row r="113" spans="1:55" s="1677" customFormat="1" x14ac:dyDescent="0.3">
      <c r="A113" s="1664"/>
      <c r="B113" s="1731" t="s">
        <v>842</v>
      </c>
      <c r="C113" s="1665"/>
      <c r="D113" s="1665"/>
      <c r="E113" s="1665"/>
      <c r="F113" s="1665"/>
      <c r="G113" s="1666"/>
      <c r="H113" s="1666"/>
      <c r="I113" s="1667"/>
      <c r="J113" s="1653">
        <v>7.0000000000000007E-2</v>
      </c>
      <c r="K113" s="1654">
        <f t="shared" ref="K113:AP113" si="116">J113</f>
        <v>7.0000000000000007E-2</v>
      </c>
      <c r="L113" s="1654">
        <f t="shared" si="116"/>
        <v>7.0000000000000007E-2</v>
      </c>
      <c r="M113" s="1654">
        <f t="shared" si="116"/>
        <v>7.0000000000000007E-2</v>
      </c>
      <c r="N113" s="1654">
        <f t="shared" si="116"/>
        <v>7.0000000000000007E-2</v>
      </c>
      <c r="O113" s="1679">
        <f t="shared" si="116"/>
        <v>7.0000000000000007E-2</v>
      </c>
      <c r="P113" s="1679">
        <f t="shared" si="116"/>
        <v>7.0000000000000007E-2</v>
      </c>
      <c r="Q113" s="1679">
        <f t="shared" si="116"/>
        <v>7.0000000000000007E-2</v>
      </c>
      <c r="R113" s="1679">
        <f t="shared" si="116"/>
        <v>7.0000000000000007E-2</v>
      </c>
      <c r="S113" s="1654">
        <f t="shared" si="116"/>
        <v>7.0000000000000007E-2</v>
      </c>
      <c r="T113" s="1654">
        <f t="shared" si="116"/>
        <v>7.0000000000000007E-2</v>
      </c>
      <c r="U113" s="1654">
        <f t="shared" si="116"/>
        <v>7.0000000000000007E-2</v>
      </c>
      <c r="V113" s="1654">
        <f t="shared" si="116"/>
        <v>7.0000000000000007E-2</v>
      </c>
      <c r="W113" s="1679">
        <f t="shared" si="116"/>
        <v>7.0000000000000007E-2</v>
      </c>
      <c r="X113" s="1653">
        <f t="shared" si="116"/>
        <v>7.0000000000000007E-2</v>
      </c>
      <c r="Y113" s="1653">
        <f t="shared" si="116"/>
        <v>7.0000000000000007E-2</v>
      </c>
      <c r="Z113" s="1653">
        <f t="shared" si="116"/>
        <v>7.0000000000000007E-2</v>
      </c>
      <c r="AA113" s="1654">
        <f t="shared" si="116"/>
        <v>7.0000000000000007E-2</v>
      </c>
      <c r="AB113" s="1654">
        <f t="shared" si="116"/>
        <v>7.0000000000000007E-2</v>
      </c>
      <c r="AC113" s="1654">
        <f t="shared" si="116"/>
        <v>7.0000000000000007E-2</v>
      </c>
      <c r="AD113" s="1654">
        <f t="shared" si="116"/>
        <v>7.0000000000000007E-2</v>
      </c>
      <c r="AE113" s="1679">
        <f t="shared" si="116"/>
        <v>7.0000000000000007E-2</v>
      </c>
      <c r="AF113" s="1679">
        <f t="shared" si="116"/>
        <v>7.0000000000000007E-2</v>
      </c>
      <c r="AG113" s="1679">
        <f t="shared" si="116"/>
        <v>7.0000000000000007E-2</v>
      </c>
      <c r="AH113" s="1679">
        <f t="shared" si="116"/>
        <v>7.0000000000000007E-2</v>
      </c>
      <c r="AI113" s="1654">
        <f t="shared" si="116"/>
        <v>7.0000000000000007E-2</v>
      </c>
      <c r="AJ113" s="1654">
        <f t="shared" si="116"/>
        <v>7.0000000000000007E-2</v>
      </c>
      <c r="AK113" s="1654">
        <f t="shared" si="116"/>
        <v>7.0000000000000007E-2</v>
      </c>
      <c r="AL113" s="1654">
        <f t="shared" si="116"/>
        <v>7.0000000000000007E-2</v>
      </c>
      <c r="AM113" s="1679">
        <f t="shared" si="116"/>
        <v>7.0000000000000007E-2</v>
      </c>
      <c r="AN113" s="1679">
        <f t="shared" si="116"/>
        <v>7.0000000000000007E-2</v>
      </c>
      <c r="AO113" s="1679">
        <f t="shared" si="116"/>
        <v>7.0000000000000007E-2</v>
      </c>
      <c r="AP113" s="1679">
        <f t="shared" si="116"/>
        <v>7.0000000000000007E-2</v>
      </c>
      <c r="AQ113" s="1670"/>
      <c r="AR113" s="1666"/>
      <c r="AS113" s="1666"/>
      <c r="AT113" s="1671"/>
      <c r="AU113" s="1672"/>
      <c r="AV113" s="1673"/>
      <c r="AW113" s="1673"/>
      <c r="AX113" s="1674"/>
      <c r="AY113" s="1675"/>
      <c r="AZ113" s="1673"/>
      <c r="BA113" s="1676"/>
      <c r="BB113" s="1674"/>
      <c r="BC113" s="1676"/>
    </row>
    <row r="114" spans="1:55" s="1566" customFormat="1" x14ac:dyDescent="0.3">
      <c r="A114" s="1664"/>
      <c r="B114" s="1684" t="s">
        <v>843</v>
      </c>
      <c r="C114" s="1685"/>
      <c r="D114" s="1685"/>
      <c r="E114" s="1685"/>
      <c r="F114" s="1685"/>
      <c r="G114" s="1686"/>
      <c r="H114" s="1686"/>
      <c r="I114" s="1687"/>
      <c r="J114" s="1346">
        <f t="shared" ref="J114:AP114" si="117">J189</f>
        <v>285</v>
      </c>
      <c r="K114" s="1689">
        <f t="shared" si="117"/>
        <v>358</v>
      </c>
      <c r="L114" s="1689">
        <f t="shared" si="117"/>
        <v>419</v>
      </c>
      <c r="M114" s="1689">
        <f t="shared" si="117"/>
        <v>554</v>
      </c>
      <c r="N114" s="1689">
        <f t="shared" si="117"/>
        <v>437</v>
      </c>
      <c r="O114" s="1346">
        <f t="shared" si="117"/>
        <v>501</v>
      </c>
      <c r="P114" s="1346">
        <f t="shared" si="117"/>
        <v>481</v>
      </c>
      <c r="Q114" s="1346">
        <f t="shared" si="117"/>
        <v>632</v>
      </c>
      <c r="R114" s="1346">
        <f t="shared" si="117"/>
        <v>590</v>
      </c>
      <c r="S114" s="1689">
        <f t="shared" si="117"/>
        <v>601.19096579200004</v>
      </c>
      <c r="T114" s="1690">
        <f t="shared" si="117"/>
        <v>516.63585362499998</v>
      </c>
      <c r="U114" s="1690">
        <f t="shared" si="117"/>
        <v>855.11000000000035</v>
      </c>
      <c r="V114" s="1690">
        <f t="shared" si="117"/>
        <v>1140.4649599999998</v>
      </c>
      <c r="W114" s="1691">
        <f t="shared" si="117"/>
        <v>993.74179870000012</v>
      </c>
      <c r="X114" s="1691">
        <f t="shared" si="117"/>
        <v>829.27012256250009</v>
      </c>
      <c r="Y114" s="1691">
        <f t="shared" si="117"/>
        <v>1566.5139160000003</v>
      </c>
      <c r="Z114" s="1691">
        <f t="shared" si="117"/>
        <v>1681.7663680000005</v>
      </c>
      <c r="AA114" s="1690">
        <f t="shared" si="117"/>
        <v>1316.8093920068754</v>
      </c>
      <c r="AB114" s="1690">
        <f t="shared" si="117"/>
        <v>882.5614246250002</v>
      </c>
      <c r="AC114" s="1690">
        <f t="shared" si="117"/>
        <v>1905.8893400000015</v>
      </c>
      <c r="AD114" s="1690">
        <f t="shared" si="117"/>
        <v>1943.2882560000003</v>
      </c>
      <c r="AE114" s="1692">
        <f t="shared" si="117"/>
        <v>1898.0756231225014</v>
      </c>
      <c r="AF114" s="1692">
        <f t="shared" si="117"/>
        <v>1206.9738587049997</v>
      </c>
      <c r="AG114" s="1692">
        <f t="shared" si="117"/>
        <v>2338.0531925200012</v>
      </c>
      <c r="AH114" s="1692">
        <f t="shared" si="117"/>
        <v>1567.0307752000003</v>
      </c>
      <c r="AI114" s="1690">
        <f t="shared" si="117"/>
        <v>2496.6940061136429</v>
      </c>
      <c r="AJ114" s="1690">
        <f t="shared" si="117"/>
        <v>1569.0660163164996</v>
      </c>
      <c r="AK114" s="1690">
        <f t="shared" si="117"/>
        <v>2992.7080864256018</v>
      </c>
      <c r="AL114" s="1690">
        <f t="shared" si="117"/>
        <v>2350.5461628000003</v>
      </c>
      <c r="AM114" s="1692">
        <f t="shared" si="117"/>
        <v>3245.702207947736</v>
      </c>
      <c r="AN114" s="1692">
        <f t="shared" si="117"/>
        <v>2008.4045008851194</v>
      </c>
      <c r="AO114" s="1692">
        <f t="shared" si="117"/>
        <v>3740.8851080320023</v>
      </c>
      <c r="AP114" s="1692">
        <f t="shared" si="117"/>
        <v>2914.6772418720002</v>
      </c>
      <c r="AQ114" s="1693"/>
      <c r="AR114" s="1686"/>
      <c r="AS114" s="1686"/>
      <c r="AT114" s="1351"/>
      <c r="AU114" s="1352"/>
      <c r="AV114" s="1346"/>
      <c r="AW114" s="1346"/>
      <c r="AX114" s="1694"/>
      <c r="AY114" s="1346"/>
      <c r="AZ114" s="1346"/>
      <c r="BA114" s="1695"/>
      <c r="BB114" s="1694"/>
      <c r="BC114" s="1695"/>
    </row>
    <row r="115" spans="1:55" s="1631" customFormat="1" ht="13.5" collapsed="1" x14ac:dyDescent="0.35">
      <c r="A115" s="903"/>
      <c r="B115" s="1606" t="s">
        <v>844</v>
      </c>
      <c r="C115" s="1624"/>
      <c r="D115" s="1624"/>
      <c r="E115" s="1624"/>
      <c r="F115" s="1624"/>
      <c r="G115" s="1625"/>
      <c r="H115" s="1625"/>
      <c r="I115" s="1625"/>
      <c r="J115" s="1625"/>
      <c r="K115" s="1624"/>
      <c r="L115" s="1624"/>
      <c r="M115" s="1624"/>
      <c r="N115" s="1624"/>
      <c r="O115" s="1625"/>
      <c r="P115" s="1625"/>
      <c r="Q115" s="1625"/>
      <c r="R115" s="1625"/>
      <c r="S115" s="1624"/>
      <c r="T115" s="1624"/>
      <c r="U115" s="1624"/>
      <c r="V115" s="1624"/>
      <c r="W115" s="1625"/>
      <c r="X115" s="1625"/>
      <c r="Y115" s="1625"/>
      <c r="Z115" s="1625"/>
      <c r="AA115" s="1624"/>
      <c r="AB115" s="1624"/>
      <c r="AC115" s="1624"/>
      <c r="AD115" s="1624"/>
      <c r="AE115" s="1625"/>
      <c r="AF115" s="1625"/>
      <c r="AG115" s="1625"/>
      <c r="AH115" s="1625"/>
      <c r="AI115" s="1624"/>
      <c r="AJ115" s="1624"/>
      <c r="AK115" s="1624"/>
      <c r="AL115" s="1624"/>
      <c r="AM115" s="1625"/>
      <c r="AN115" s="1625"/>
      <c r="AO115" s="1625"/>
      <c r="AP115" s="1625"/>
      <c r="AQ115" s="1626"/>
      <c r="AR115" s="1625"/>
      <c r="AS115" s="1625"/>
      <c r="AT115" s="1627"/>
      <c r="AU115" s="1626"/>
      <c r="AV115" s="1625"/>
      <c r="AW115" s="1625"/>
      <c r="AX115" s="1626"/>
      <c r="AY115" s="1628"/>
      <c r="AZ115" s="1628"/>
      <c r="BA115" s="1629"/>
      <c r="BB115" s="1630"/>
      <c r="BC115" s="1629"/>
    </row>
    <row r="116" spans="1:55" s="1259" customFormat="1" ht="12.75" x14ac:dyDescent="0.3">
      <c r="A116" s="830" t="s">
        <v>845</v>
      </c>
      <c r="B116" s="1736" t="s">
        <v>846</v>
      </c>
      <c r="C116" s="1737"/>
      <c r="D116" s="1737"/>
      <c r="E116" s="1737"/>
      <c r="F116" s="1737"/>
      <c r="G116" s="1738"/>
      <c r="H116" s="1738"/>
      <c r="I116" s="1739"/>
      <c r="J116" s="1738"/>
      <c r="K116" s="1740"/>
      <c r="L116" s="1740"/>
      <c r="M116" s="1740"/>
      <c r="N116" s="1740"/>
      <c r="O116" s="1741">
        <v>263</v>
      </c>
      <c r="P116" s="1741">
        <f>T116/2.08</f>
        <v>312.98076923076923</v>
      </c>
      <c r="Q116" s="1741">
        <f>U116/(1+U117)</f>
        <v>382.5</v>
      </c>
      <c r="R116" s="1741">
        <v>513</v>
      </c>
      <c r="S116" s="1742">
        <v>577</v>
      </c>
      <c r="T116" s="1742">
        <v>651</v>
      </c>
      <c r="U116" s="1742">
        <v>765</v>
      </c>
      <c r="V116" s="1742">
        <v>874</v>
      </c>
      <c r="W116" s="1743">
        <v>1011</v>
      </c>
      <c r="X116" s="1744">
        <f t="shared" ref="X116:AD116" si="118">W116*(1+X118)</f>
        <v>1091.8800000000001</v>
      </c>
      <c r="Y116" s="1744">
        <f t="shared" si="118"/>
        <v>1157.3928000000001</v>
      </c>
      <c r="Z116" s="1744">
        <f t="shared" si="118"/>
        <v>1203.6885120000002</v>
      </c>
      <c r="AA116" s="1740">
        <f t="shared" si="118"/>
        <v>1263.8729376000003</v>
      </c>
      <c r="AB116" s="1740">
        <f t="shared" si="118"/>
        <v>1314.4278551040004</v>
      </c>
      <c r="AC116" s="1740">
        <f t="shared" si="118"/>
        <v>1367.0049693081605</v>
      </c>
      <c r="AD116" s="1740">
        <f t="shared" si="118"/>
        <v>1408.0151183874054</v>
      </c>
      <c r="AE116" s="1744">
        <f t="shared" ref="AE116:AP116" si="119">AA116*(1+AE117)</f>
        <v>1415.5376901120005</v>
      </c>
      <c r="AF116" s="1744">
        <f t="shared" si="119"/>
        <v>1445.8706406144006</v>
      </c>
      <c r="AG116" s="1744">
        <f t="shared" si="119"/>
        <v>1503.7054662389767</v>
      </c>
      <c r="AH116" s="1744">
        <f t="shared" si="119"/>
        <v>1548.8166302261461</v>
      </c>
      <c r="AI116" s="1740">
        <f t="shared" si="119"/>
        <v>1557.0914591232006</v>
      </c>
      <c r="AJ116" s="1740">
        <f t="shared" si="119"/>
        <v>1575.9989982696968</v>
      </c>
      <c r="AK116" s="1740">
        <f t="shared" si="119"/>
        <v>1639.0389582004848</v>
      </c>
      <c r="AL116" s="1740">
        <f t="shared" si="119"/>
        <v>1688.2101269464995</v>
      </c>
      <c r="AM116" s="1744">
        <f t="shared" si="119"/>
        <v>1689.4442331486725</v>
      </c>
      <c r="AN116" s="1744">
        <f t="shared" si="119"/>
        <v>1709.958913122621</v>
      </c>
      <c r="AO116" s="1744">
        <f t="shared" si="119"/>
        <v>1778.357269647526</v>
      </c>
      <c r="AP116" s="1744">
        <f t="shared" si="119"/>
        <v>1831.707987736952</v>
      </c>
      <c r="AQ116" s="1745"/>
      <c r="AR116" s="1746"/>
      <c r="AS116" s="1746"/>
      <c r="AT116" s="1747"/>
      <c r="AU116" s="1748">
        <f>AVERAGE(O116:R116)</f>
        <v>367.87019230769232</v>
      </c>
      <c r="AV116" s="1749">
        <f>AVERAGE(S116:V116)</f>
        <v>716.75</v>
      </c>
      <c r="AW116" s="1746">
        <f>AVERAGE(W116:Z116)</f>
        <v>1115.9903280000001</v>
      </c>
      <c r="AX116" s="1745">
        <f>AVERAGE(AA116:AD116)</f>
        <v>1338.3302200998917</v>
      </c>
      <c r="AY116" s="1746">
        <f>AVERAGE(AE116:AH116)</f>
        <v>1478.4826067978809</v>
      </c>
      <c r="AZ116" s="1746">
        <f>AVERAGE(AI116:AL116)</f>
        <v>1615.0848856349703</v>
      </c>
      <c r="BA116" s="1750">
        <f>AVERAGE(AM116:AP116)</f>
        <v>1752.367100913943</v>
      </c>
      <c r="BB116" s="1745">
        <f>BA116*(1+BB117)</f>
        <v>1910.0801399961979</v>
      </c>
      <c r="BC116" s="1750">
        <f>BB116*(1+BC117)</f>
        <v>2062.8865511958938</v>
      </c>
    </row>
    <row r="117" spans="1:55" s="1566" customFormat="1" x14ac:dyDescent="0.35">
      <c r="A117" s="787" t="s">
        <v>847</v>
      </c>
      <c r="B117" s="886" t="s">
        <v>761</v>
      </c>
      <c r="C117" s="1751"/>
      <c r="D117" s="1751"/>
      <c r="E117" s="1751"/>
      <c r="F117" s="1751"/>
      <c r="G117" s="1752"/>
      <c r="H117" s="1752"/>
      <c r="I117" s="1753"/>
      <c r="J117" s="1752"/>
      <c r="K117" s="1751"/>
      <c r="L117" s="1751"/>
      <c r="M117" s="1754"/>
      <c r="N117" s="1754"/>
      <c r="O117" s="1755"/>
      <c r="P117" s="1755"/>
      <c r="Q117" s="1755"/>
      <c r="R117" s="1755"/>
      <c r="S117" s="1756">
        <v>1.19</v>
      </c>
      <c r="T117" s="968">
        <v>1.08</v>
      </c>
      <c r="U117" s="965">
        <v>1</v>
      </c>
      <c r="V117" s="965">
        <f t="shared" ref="V117:AD117" si="120">V116/R116-1</f>
        <v>0.70370370370370372</v>
      </c>
      <c r="W117" s="1048">
        <f t="shared" si="120"/>
        <v>0.75216637781629125</v>
      </c>
      <c r="X117" s="1757">
        <f t="shared" si="120"/>
        <v>0.67723502304147476</v>
      </c>
      <c r="Y117" s="1757">
        <f t="shared" si="120"/>
        <v>0.51293176470588242</v>
      </c>
      <c r="Z117" s="1757">
        <f t="shared" si="120"/>
        <v>0.37721797711670502</v>
      </c>
      <c r="AA117" s="1758">
        <f t="shared" si="120"/>
        <v>0.25012160000000039</v>
      </c>
      <c r="AB117" s="1758">
        <f t="shared" si="120"/>
        <v>0.20382080000000036</v>
      </c>
      <c r="AC117" s="1758">
        <f t="shared" si="120"/>
        <v>0.18110720000000047</v>
      </c>
      <c r="AD117" s="1758">
        <f t="shared" si="120"/>
        <v>0.1697504000000003</v>
      </c>
      <c r="AE117" s="967">
        <v>0.12</v>
      </c>
      <c r="AF117" s="967">
        <v>0.1</v>
      </c>
      <c r="AG117" s="967">
        <v>0.1</v>
      </c>
      <c r="AH117" s="967">
        <v>0.1</v>
      </c>
      <c r="AI117" s="966">
        <v>0.1</v>
      </c>
      <c r="AJ117" s="966">
        <v>0.09</v>
      </c>
      <c r="AK117" s="966">
        <v>0.09</v>
      </c>
      <c r="AL117" s="966">
        <v>0.09</v>
      </c>
      <c r="AM117" s="967">
        <v>8.5000000000000006E-2</v>
      </c>
      <c r="AN117" s="967">
        <v>8.5000000000000006E-2</v>
      </c>
      <c r="AO117" s="967">
        <v>8.5000000000000006E-2</v>
      </c>
      <c r="AP117" s="967">
        <v>8.5000000000000006E-2</v>
      </c>
      <c r="AQ117" s="1759"/>
      <c r="AR117" s="1752"/>
      <c r="AS117" s="1752"/>
      <c r="AT117" s="1760"/>
      <c r="AU117" s="1761"/>
      <c r="AV117" s="1762">
        <f t="shared" ref="AV117:BA117" si="121">(AV116-AU116)/AU116</f>
        <v>0.94837748474195271</v>
      </c>
      <c r="AW117" s="1763">
        <f t="shared" si="121"/>
        <v>0.55701475828392055</v>
      </c>
      <c r="AX117" s="1764">
        <f t="shared" si="121"/>
        <v>0.19923102066516438</v>
      </c>
      <c r="AY117" s="1763">
        <f t="shared" si="121"/>
        <v>0.10472182768728659</v>
      </c>
      <c r="AZ117" s="1763">
        <f t="shared" si="121"/>
        <v>9.2393565003070707E-2</v>
      </c>
      <c r="BA117" s="1765">
        <f t="shared" si="121"/>
        <v>8.5000000000000117E-2</v>
      </c>
      <c r="BB117" s="1766">
        <v>0.09</v>
      </c>
      <c r="BC117" s="1767">
        <v>0.08</v>
      </c>
    </row>
    <row r="118" spans="1:55" s="1566" customFormat="1" x14ac:dyDescent="0.35">
      <c r="A118" s="787" t="s">
        <v>847</v>
      </c>
      <c r="B118" s="886" t="s">
        <v>750</v>
      </c>
      <c r="C118" s="1751"/>
      <c r="D118" s="1751"/>
      <c r="E118" s="1751"/>
      <c r="F118" s="1751"/>
      <c r="G118" s="1752"/>
      <c r="H118" s="1752"/>
      <c r="I118" s="1753"/>
      <c r="J118" s="1752"/>
      <c r="K118" s="1751"/>
      <c r="L118" s="1751"/>
      <c r="M118" s="1754"/>
      <c r="N118" s="1754"/>
      <c r="O118" s="1755"/>
      <c r="P118" s="1755"/>
      <c r="Q118" s="1755"/>
      <c r="R118" s="1755"/>
      <c r="S118" s="1756">
        <v>0.12</v>
      </c>
      <c r="T118" s="965">
        <f>T116/S116-1</f>
        <v>0.12824956672443677</v>
      </c>
      <c r="U118" s="965">
        <f>U116/T116-1</f>
        <v>0.1751152073732718</v>
      </c>
      <c r="V118" s="965">
        <f>V116/U116-1</f>
        <v>0.14248366013071889</v>
      </c>
      <c r="W118" s="1048">
        <f>W116/V116-1</f>
        <v>0.15675057208237986</v>
      </c>
      <c r="X118" s="967">
        <v>0.08</v>
      </c>
      <c r="Y118" s="967">
        <v>0.06</v>
      </c>
      <c r="Z118" s="967">
        <v>0.04</v>
      </c>
      <c r="AA118" s="966">
        <v>0.05</v>
      </c>
      <c r="AB118" s="966">
        <v>0.04</v>
      </c>
      <c r="AC118" s="966">
        <v>0.04</v>
      </c>
      <c r="AD118" s="966">
        <v>0.03</v>
      </c>
      <c r="AE118" s="1768">
        <f t="shared" ref="AE118:AP118" si="122">AE116/AD116-1</f>
        <v>5.3426782328946931E-3</v>
      </c>
      <c r="AF118" s="1768">
        <f t="shared" si="122"/>
        <v>2.1428571428571574E-2</v>
      </c>
      <c r="AG118" s="1768">
        <f t="shared" si="122"/>
        <v>4.0000000000000036E-2</v>
      </c>
      <c r="AH118" s="1768">
        <f t="shared" si="122"/>
        <v>3.0000000000000027E-2</v>
      </c>
      <c r="AI118" s="1758">
        <f t="shared" si="122"/>
        <v>5.3426782328946931E-3</v>
      </c>
      <c r="AJ118" s="1758">
        <f t="shared" si="122"/>
        <v>1.2142857142857233E-2</v>
      </c>
      <c r="AK118" s="1758">
        <f t="shared" si="122"/>
        <v>4.0000000000000036E-2</v>
      </c>
      <c r="AL118" s="1758">
        <f t="shared" si="122"/>
        <v>3.0000000000000027E-2</v>
      </c>
      <c r="AM118" s="1768">
        <f t="shared" si="122"/>
        <v>7.3101457127577874E-4</v>
      </c>
      <c r="AN118" s="1768">
        <f t="shared" si="122"/>
        <v>1.2142857142857233E-2</v>
      </c>
      <c r="AO118" s="1768">
        <f t="shared" si="122"/>
        <v>4.0000000000000036E-2</v>
      </c>
      <c r="AP118" s="1768">
        <f t="shared" si="122"/>
        <v>3.0000000000000027E-2</v>
      </c>
      <c r="AQ118" s="1759"/>
      <c r="AR118" s="1752"/>
      <c r="AS118" s="1752"/>
      <c r="AT118" s="1760"/>
      <c r="AU118" s="1761"/>
      <c r="AV118" s="1769"/>
      <c r="AW118" s="1770"/>
      <c r="AX118" s="1771"/>
      <c r="AY118" s="1770"/>
      <c r="AZ118" s="1770"/>
      <c r="BA118" s="1772"/>
      <c r="BB118" s="1773"/>
      <c r="BC118" s="1772"/>
    </row>
    <row r="119" spans="1:55" s="1566" customFormat="1" x14ac:dyDescent="0.3">
      <c r="A119" s="830" t="s">
        <v>845</v>
      </c>
      <c r="B119" s="1774" t="s">
        <v>848</v>
      </c>
      <c r="C119" s="1685"/>
      <c r="D119" s="1685"/>
      <c r="E119" s="1685"/>
      <c r="F119" s="1685"/>
      <c r="G119" s="1686"/>
      <c r="H119" s="1686"/>
      <c r="I119" s="1687"/>
      <c r="J119" s="1686"/>
      <c r="K119" s="1685"/>
      <c r="L119" s="1685"/>
      <c r="M119" s="1348"/>
      <c r="N119" s="1348"/>
      <c r="O119" s="1347">
        <f t="shared" ref="O119:AI119" si="123">O251*1000/O116</f>
        <v>1844.1064638783271</v>
      </c>
      <c r="P119" s="1347">
        <f t="shared" si="123"/>
        <v>2073.6098310291859</v>
      </c>
      <c r="Q119" s="1347">
        <f t="shared" si="123"/>
        <v>2141.1764705882351</v>
      </c>
      <c r="R119" s="1347">
        <f t="shared" si="123"/>
        <v>2077.9727095516569</v>
      </c>
      <c r="S119" s="1775">
        <f t="shared" si="123"/>
        <v>2154.2461005199307</v>
      </c>
      <c r="T119" s="1775">
        <f t="shared" si="123"/>
        <v>2293.3947772657452</v>
      </c>
      <c r="U119" s="1775">
        <f t="shared" si="123"/>
        <v>2305.8823529411766</v>
      </c>
      <c r="V119" s="1775">
        <f t="shared" si="123"/>
        <v>2474.8283752860411</v>
      </c>
      <c r="W119" s="1776">
        <f t="shared" si="123"/>
        <v>2404.5499505440157</v>
      </c>
      <c r="X119" s="1777">
        <f t="shared" si="123"/>
        <v>2724.6583873685749</v>
      </c>
      <c r="Y119" s="1777">
        <f t="shared" si="123"/>
        <v>3109.5752453272562</v>
      </c>
      <c r="Z119" s="1777">
        <f t="shared" si="123"/>
        <v>3642.9690541069144</v>
      </c>
      <c r="AA119" s="1778">
        <f t="shared" si="123"/>
        <v>3717.1458144527951</v>
      </c>
      <c r="AB119" s="1778">
        <f t="shared" si="123"/>
        <v>4311.3815474882904</v>
      </c>
      <c r="AC119" s="1778">
        <f t="shared" si="123"/>
        <v>4836.1199472053268</v>
      </c>
      <c r="AD119" s="1778">
        <f t="shared" si="123"/>
        <v>5487.1569907918029</v>
      </c>
      <c r="AE119" s="1777">
        <f t="shared" si="123"/>
        <v>5501.0898363178694</v>
      </c>
      <c r="AF119" s="1777">
        <f t="shared" si="123"/>
        <v>6425.8860640893381</v>
      </c>
      <c r="AG119" s="1777">
        <f t="shared" si="123"/>
        <v>7129.720707084377</v>
      </c>
      <c r="AH119" s="1777">
        <f t="shared" si="123"/>
        <v>7887.9576584971001</v>
      </c>
      <c r="AI119" s="1778">
        <f t="shared" si="123"/>
        <v>7928.2433460597613</v>
      </c>
      <c r="AJ119" s="1778">
        <f t="shared" ref="AJ119:AP119" si="124">AF119*(1+AJ120)</f>
        <v>9189.0170716477533</v>
      </c>
      <c r="AK119" s="1778">
        <f t="shared" si="124"/>
        <v>9981.6089899181279</v>
      </c>
      <c r="AL119" s="1778">
        <f t="shared" si="124"/>
        <v>11043.140721895939</v>
      </c>
      <c r="AM119" s="1777">
        <f t="shared" si="124"/>
        <v>10940.97581756247</v>
      </c>
      <c r="AN119" s="1777">
        <f t="shared" si="124"/>
        <v>12588.953388157423</v>
      </c>
      <c r="AO119" s="1777">
        <f t="shared" si="124"/>
        <v>13475.172136389474</v>
      </c>
      <c r="AP119" s="1777">
        <f t="shared" si="124"/>
        <v>14576.94575290264</v>
      </c>
      <c r="AQ119" s="1693"/>
      <c r="AR119" s="1686"/>
      <c r="AS119" s="1686"/>
      <c r="AT119" s="1351"/>
      <c r="AU119" s="1352">
        <f t="shared" ref="AU119:BA119" si="125">1000*AU122/AU116</f>
        <v>8206.6991648914609</v>
      </c>
      <c r="AV119" s="1687">
        <f t="shared" si="125"/>
        <v>9296.1283571677704</v>
      </c>
      <c r="AW119" s="1346">
        <f t="shared" si="125"/>
        <v>11998.311870674204</v>
      </c>
      <c r="AX119" s="1694">
        <f t="shared" si="125"/>
        <v>18457.328116043191</v>
      </c>
      <c r="AY119" s="1346">
        <f t="shared" si="125"/>
        <v>27065.587255481641</v>
      </c>
      <c r="AZ119" s="1346">
        <f t="shared" si="125"/>
        <v>38282.984535324562</v>
      </c>
      <c r="BA119" s="1695">
        <f t="shared" si="125"/>
        <v>51744.374684147864</v>
      </c>
      <c r="BB119" s="1694">
        <f>BA119*(1+BB120)</f>
        <v>66750.243342550748</v>
      </c>
      <c r="BC119" s="1695">
        <f>BB119*(1+BC120)</f>
        <v>84105.306611613938</v>
      </c>
    </row>
    <row r="120" spans="1:55" s="1566" customFormat="1" x14ac:dyDescent="0.3">
      <c r="A120" s="787" t="s">
        <v>849</v>
      </c>
      <c r="B120" s="886" t="s">
        <v>761</v>
      </c>
      <c r="C120" s="1751"/>
      <c r="D120" s="1751"/>
      <c r="E120" s="1751"/>
      <c r="F120" s="1751"/>
      <c r="G120" s="1752"/>
      <c r="H120" s="1752"/>
      <c r="I120" s="1753"/>
      <c r="J120" s="1752"/>
      <c r="K120" s="1751"/>
      <c r="L120" s="1751"/>
      <c r="M120" s="1754"/>
      <c r="N120" s="1754"/>
      <c r="O120" s="1755"/>
      <c r="P120" s="1755"/>
      <c r="Q120" s="1755"/>
      <c r="R120" s="1755"/>
      <c r="S120" s="1779">
        <f t="shared" ref="S120:AI120" si="126">(S119-O119)/O119</f>
        <v>0.16817881327163245</v>
      </c>
      <c r="T120" s="1779">
        <f t="shared" si="126"/>
        <v>0.10599146616095778</v>
      </c>
      <c r="U120" s="1779">
        <f t="shared" si="126"/>
        <v>7.6923076923077052E-2</v>
      </c>
      <c r="V120" s="1779">
        <f t="shared" si="126"/>
        <v>0.19098213557386412</v>
      </c>
      <c r="W120" s="1762">
        <f t="shared" si="126"/>
        <v>0.11619092635872652</v>
      </c>
      <c r="X120" s="1763">
        <f t="shared" si="126"/>
        <v>0.18804595457263371</v>
      </c>
      <c r="Y120" s="1763">
        <f t="shared" si="126"/>
        <v>0.34854028496335082</v>
      </c>
      <c r="Z120" s="1763">
        <f t="shared" si="126"/>
        <v>0.4720087625008984</v>
      </c>
      <c r="AA120" s="1780">
        <f t="shared" si="126"/>
        <v>0.54588005693614805</v>
      </c>
      <c r="AB120" s="1780">
        <f t="shared" si="126"/>
        <v>0.58235673414168576</v>
      </c>
      <c r="AC120" s="1780">
        <f t="shared" si="126"/>
        <v>0.55523490048119628</v>
      </c>
      <c r="AD120" s="1780">
        <f t="shared" si="126"/>
        <v>0.50623211707105675</v>
      </c>
      <c r="AE120" s="1763">
        <f t="shared" si="126"/>
        <v>0.47992306756674558</v>
      </c>
      <c r="AF120" s="1763">
        <f t="shared" si="126"/>
        <v>0.4904470860002888</v>
      </c>
      <c r="AG120" s="1763">
        <f t="shared" si="126"/>
        <v>0.47426465532652162</v>
      </c>
      <c r="AH120" s="1763">
        <f t="shared" si="126"/>
        <v>0.43753088744028429</v>
      </c>
      <c r="AI120" s="1780">
        <f t="shared" si="126"/>
        <v>0.44121321082923753</v>
      </c>
      <c r="AJ120" s="1781">
        <v>0.43</v>
      </c>
      <c r="AK120" s="1781">
        <v>0.4</v>
      </c>
      <c r="AL120" s="1781">
        <v>0.4</v>
      </c>
      <c r="AM120" s="1782">
        <v>0.38</v>
      </c>
      <c r="AN120" s="1782">
        <v>0.37</v>
      </c>
      <c r="AO120" s="1782">
        <v>0.35</v>
      </c>
      <c r="AP120" s="1782">
        <v>0.32</v>
      </c>
      <c r="AQ120" s="1759"/>
      <c r="AR120" s="1752"/>
      <c r="AS120" s="1752"/>
      <c r="AT120" s="1760"/>
      <c r="AU120" s="1783"/>
      <c r="AV120" s="1762">
        <f t="shared" ref="AV120:BA120" si="127">(AV119-AU119)/AU119</f>
        <v>0.13274876663408411</v>
      </c>
      <c r="AW120" s="1763">
        <f t="shared" si="127"/>
        <v>0.29067837810381758</v>
      </c>
      <c r="AX120" s="1764">
        <f t="shared" si="127"/>
        <v>0.53832708425889952</v>
      </c>
      <c r="AY120" s="1763">
        <f t="shared" si="127"/>
        <v>0.46638706779862216</v>
      </c>
      <c r="AZ120" s="1763">
        <f t="shared" si="127"/>
        <v>0.41445238833940473</v>
      </c>
      <c r="BA120" s="1765">
        <f t="shared" si="127"/>
        <v>0.35162854495845741</v>
      </c>
      <c r="BB120" s="1766">
        <v>0.28999999999999998</v>
      </c>
      <c r="BC120" s="1767">
        <v>0.26</v>
      </c>
    </row>
    <row r="121" spans="1:55" s="1566" customFormat="1" x14ac:dyDescent="0.3">
      <c r="A121" s="1664"/>
      <c r="B121" s="886" t="s">
        <v>750</v>
      </c>
      <c r="C121" s="1751"/>
      <c r="D121" s="1751"/>
      <c r="E121" s="1751"/>
      <c r="F121" s="1751"/>
      <c r="G121" s="1752"/>
      <c r="H121" s="1752"/>
      <c r="I121" s="1753"/>
      <c r="J121" s="1752"/>
      <c r="K121" s="1751"/>
      <c r="L121" s="1751"/>
      <c r="M121" s="1754"/>
      <c r="N121" s="1754"/>
      <c r="O121" s="1755"/>
      <c r="P121" s="1762">
        <f t="shared" ref="P121:AP121" si="128">(P119-O119)/O119</f>
        <v>0.12445234136221828</v>
      </c>
      <c r="Q121" s="1762">
        <f t="shared" si="128"/>
        <v>3.2584065983866491E-2</v>
      </c>
      <c r="R121" s="1762">
        <f t="shared" si="128"/>
        <v>-2.9518240044555787E-2</v>
      </c>
      <c r="S121" s="1779">
        <f t="shared" si="128"/>
        <v>3.6705675015688992E-2</v>
      </c>
      <c r="T121" s="1779">
        <f t="shared" si="128"/>
        <v>6.4592748577904258E-2</v>
      </c>
      <c r="U121" s="1779">
        <f t="shared" si="128"/>
        <v>5.445017926795582E-3</v>
      </c>
      <c r="V121" s="1779">
        <f t="shared" si="128"/>
        <v>7.3267407649558608E-2</v>
      </c>
      <c r="W121" s="1762">
        <f t="shared" si="128"/>
        <v>-2.8397292290582632E-2</v>
      </c>
      <c r="X121" s="1763">
        <f t="shared" si="128"/>
        <v>0.13312613312613303</v>
      </c>
      <c r="Y121" s="1763">
        <f t="shared" si="128"/>
        <v>0.14127160298081509</v>
      </c>
      <c r="Z121" s="1763">
        <f t="shared" si="128"/>
        <v>0.17153269070468274</v>
      </c>
      <c r="AA121" s="1780">
        <f t="shared" si="128"/>
        <v>2.0361622414073823E-2</v>
      </c>
      <c r="AB121" s="1780">
        <f t="shared" si="128"/>
        <v>0.15986344434620287</v>
      </c>
      <c r="AC121" s="1780">
        <f t="shared" si="128"/>
        <v>0.12171003515630312</v>
      </c>
      <c r="AD121" s="1780">
        <f t="shared" si="128"/>
        <v>0.1346197056098028</v>
      </c>
      <c r="AE121" s="1763">
        <f t="shared" si="128"/>
        <v>2.5391738471211541E-3</v>
      </c>
      <c r="AF121" s="1763">
        <f t="shared" si="128"/>
        <v>0.1681114570545674</v>
      </c>
      <c r="AG121" s="1763">
        <f t="shared" si="128"/>
        <v>0.10953114262768751</v>
      </c>
      <c r="AH121" s="1763">
        <f t="shared" si="128"/>
        <v>0.10634875930824449</v>
      </c>
      <c r="AI121" s="1780">
        <f t="shared" si="128"/>
        <v>5.1072393269333159E-3</v>
      </c>
      <c r="AJ121" s="1780">
        <f t="shared" si="128"/>
        <v>0.15902308626974485</v>
      </c>
      <c r="AK121" s="1780">
        <f t="shared" si="128"/>
        <v>8.6254265509624187E-2</v>
      </c>
      <c r="AL121" s="1780">
        <f t="shared" si="128"/>
        <v>0.10634875930824439</v>
      </c>
      <c r="AM121" s="1763">
        <f t="shared" si="128"/>
        <v>-9.2514355205942714E-3</v>
      </c>
      <c r="AN121" s="1763">
        <f t="shared" si="128"/>
        <v>0.1506243682532975</v>
      </c>
      <c r="AO121" s="1763">
        <f t="shared" si="128"/>
        <v>7.0396539005834105E-2</v>
      </c>
      <c r="AP121" s="1763">
        <f t="shared" si="128"/>
        <v>8.1763231323616667E-2</v>
      </c>
      <c r="AQ121" s="1759"/>
      <c r="AR121" s="1752"/>
      <c r="AS121" s="1752"/>
      <c r="AT121" s="1760"/>
      <c r="AU121" s="1761"/>
      <c r="AV121" s="1769"/>
      <c r="AW121" s="1769"/>
      <c r="AX121" s="1773"/>
      <c r="AY121" s="1769"/>
      <c r="AZ121" s="1769"/>
      <c r="BA121" s="1772"/>
      <c r="BB121" s="1773"/>
      <c r="BC121" s="1772"/>
    </row>
    <row r="122" spans="1:55" s="1566" customFormat="1" ht="12.75" x14ac:dyDescent="0.3">
      <c r="A122" s="903" t="s">
        <v>768</v>
      </c>
      <c r="B122" s="1784" t="s">
        <v>850</v>
      </c>
      <c r="C122" s="1685"/>
      <c r="D122" s="1685"/>
      <c r="E122" s="1685"/>
      <c r="F122" s="1685"/>
      <c r="G122" s="1686"/>
      <c r="H122" s="1686"/>
      <c r="I122" s="1687"/>
      <c r="J122" s="1686"/>
      <c r="K122" s="1685"/>
      <c r="L122" s="1685"/>
      <c r="M122" s="1348"/>
      <c r="N122" s="1348"/>
      <c r="O122" s="1226">
        <f t="shared" ref="O122:AA122" si="129">O251</f>
        <v>485</v>
      </c>
      <c r="P122" s="1226">
        <f t="shared" si="129"/>
        <v>649</v>
      </c>
      <c r="Q122" s="1226">
        <f t="shared" si="129"/>
        <v>819</v>
      </c>
      <c r="R122" s="1226">
        <f t="shared" si="129"/>
        <v>1066</v>
      </c>
      <c r="S122" s="1775">
        <f t="shared" si="129"/>
        <v>1243</v>
      </c>
      <c r="T122" s="1775">
        <f t="shared" si="129"/>
        <v>1493</v>
      </c>
      <c r="U122" s="1775">
        <f t="shared" si="129"/>
        <v>1764</v>
      </c>
      <c r="V122" s="1775">
        <f t="shared" si="129"/>
        <v>2163</v>
      </c>
      <c r="W122" s="1687">
        <f t="shared" si="129"/>
        <v>2431</v>
      </c>
      <c r="X122" s="1687">
        <f t="shared" si="129"/>
        <v>2975</v>
      </c>
      <c r="Y122" s="1785">
        <f t="shared" si="129"/>
        <v>3599</v>
      </c>
      <c r="Z122" s="1785">
        <f t="shared" si="129"/>
        <v>4385</v>
      </c>
      <c r="AA122" s="1786">
        <f t="shared" si="129"/>
        <v>4698</v>
      </c>
      <c r="AB122" s="1775">
        <f t="shared" ref="AB122:AP122" si="130">AB119*AB116/1000</f>
        <v>5667</v>
      </c>
      <c r="AC122" s="1775">
        <f t="shared" si="130"/>
        <v>6611.0000000000009</v>
      </c>
      <c r="AD122" s="1775">
        <f t="shared" si="130"/>
        <v>7726</v>
      </c>
      <c r="AE122" s="1785">
        <f t="shared" si="130"/>
        <v>7787</v>
      </c>
      <c r="AF122" s="1687">
        <f t="shared" si="130"/>
        <v>9291</v>
      </c>
      <c r="AG122" s="1687">
        <f t="shared" si="130"/>
        <v>10721</v>
      </c>
      <c r="AH122" s="1687">
        <f t="shared" si="130"/>
        <v>12217</v>
      </c>
      <c r="AI122" s="1775">
        <f t="shared" si="130"/>
        <v>12345</v>
      </c>
      <c r="AJ122" s="1775">
        <f t="shared" si="130"/>
        <v>14481.881700000002</v>
      </c>
      <c r="AK122" s="1775">
        <f t="shared" si="130"/>
        <v>16360.246000000001</v>
      </c>
      <c r="AL122" s="1775">
        <f t="shared" si="130"/>
        <v>18643.142</v>
      </c>
      <c r="AM122" s="1687">
        <f t="shared" si="130"/>
        <v>18484.168499999996</v>
      </c>
      <c r="AN122" s="1687">
        <f t="shared" si="130"/>
        <v>21526.593052965003</v>
      </c>
      <c r="AO122" s="1687">
        <f t="shared" si="130"/>
        <v>23963.670328500008</v>
      </c>
      <c r="AP122" s="1687">
        <f t="shared" si="130"/>
        <v>26700.707972400003</v>
      </c>
      <c r="AQ122" s="1693"/>
      <c r="AR122" s="1687">
        <f>AR251</f>
        <v>650</v>
      </c>
      <c r="AS122" s="1687">
        <f>AS251</f>
        <v>773</v>
      </c>
      <c r="AT122" s="1351">
        <f>AT251</f>
        <v>1271</v>
      </c>
      <c r="AU122" s="1352">
        <f>AU251</f>
        <v>3019</v>
      </c>
      <c r="AV122" s="1687">
        <f>AV251</f>
        <v>6663</v>
      </c>
      <c r="AW122" s="1687">
        <f>SUM(W122:Z122)</f>
        <v>13390</v>
      </c>
      <c r="AX122" s="1352">
        <f>SUM(AA122:AD122)</f>
        <v>24702</v>
      </c>
      <c r="AY122" s="1687">
        <f>SUM(AE122:AH122)</f>
        <v>40016</v>
      </c>
      <c r="AZ122" s="1687">
        <f>SUM(AI122:AL122)</f>
        <v>61830.269700000004</v>
      </c>
      <c r="BA122" s="1351">
        <f>SUM(AM122:AP122)</f>
        <v>90675.13985386501</v>
      </c>
      <c r="BB122" s="1352">
        <f>BB119*BB116/1000</f>
        <v>127498.31414851961</v>
      </c>
      <c r="BC122" s="1351">
        <f>BC119*BC116/1000</f>
        <v>173499.70589330548</v>
      </c>
    </row>
    <row r="123" spans="1:55" s="1794" customFormat="1" x14ac:dyDescent="0.3">
      <c r="A123" s="1787"/>
      <c r="B123" s="1716" t="s">
        <v>851</v>
      </c>
      <c r="C123" s="1717"/>
      <c r="D123" s="1717"/>
      <c r="E123" s="1717"/>
      <c r="F123" s="1717"/>
      <c r="G123" s="1718"/>
      <c r="H123" s="1718"/>
      <c r="I123" s="883"/>
      <c r="J123" s="1718"/>
      <c r="K123" s="1717"/>
      <c r="L123" s="1717"/>
      <c r="M123" s="1720"/>
      <c r="N123" s="1720"/>
      <c r="O123" s="1721"/>
      <c r="P123" s="1721"/>
      <c r="Q123" s="1721"/>
      <c r="R123" s="1788"/>
      <c r="S123" s="1789">
        <f t="shared" ref="S123:AP123" si="131">S122/S6/1000</f>
        <v>0.18703260656946386</v>
      </c>
      <c r="T123" s="1789">
        <f t="shared" si="131"/>
        <v>0.22388843068156256</v>
      </c>
      <c r="U123" s="1789">
        <f t="shared" si="131"/>
        <v>0.25406884632003457</v>
      </c>
      <c r="V123" s="1789">
        <f t="shared" si="131"/>
        <v>0.31424337517433748</v>
      </c>
      <c r="W123" s="1790">
        <f t="shared" si="131"/>
        <v>0.35859159500243387</v>
      </c>
      <c r="X123" s="1790">
        <f t="shared" si="131"/>
        <v>0.44714652879022443</v>
      </c>
      <c r="Y123" s="1790">
        <f t="shared" si="131"/>
        <v>0.55315617171049603</v>
      </c>
      <c r="Z123" s="1790">
        <f t="shared" si="131"/>
        <v>0.69907215508720466</v>
      </c>
      <c r="AA123" s="1789">
        <f t="shared" si="131"/>
        <v>0.70997869157183668</v>
      </c>
      <c r="AB123" s="1789">
        <f t="shared" si="131"/>
        <v>0.82513104251601621</v>
      </c>
      <c r="AC123" s="1789">
        <f t="shared" si="131"/>
        <v>0.96153007054032447</v>
      </c>
      <c r="AD123" s="1789">
        <f t="shared" si="131"/>
        <v>1.1512099177494337</v>
      </c>
      <c r="AE123" s="1790">
        <f t="shared" si="131"/>
        <v>1.1343044428259286</v>
      </c>
      <c r="AF123" s="1790">
        <f t="shared" si="131"/>
        <v>1.2998586958042446</v>
      </c>
      <c r="AG123" s="1790">
        <f t="shared" si="131"/>
        <v>1.5399752937458702</v>
      </c>
      <c r="AH123" s="1790">
        <f t="shared" si="131"/>
        <v>1.7253700146876059</v>
      </c>
      <c r="AI123" s="1789">
        <f t="shared" si="131"/>
        <v>1.7473213401084202</v>
      </c>
      <c r="AJ123" s="1789">
        <f t="shared" si="131"/>
        <v>2.0688402428571431</v>
      </c>
      <c r="AK123" s="1789">
        <f t="shared" si="131"/>
        <v>2.3042600000000002</v>
      </c>
      <c r="AL123" s="1789">
        <f t="shared" si="131"/>
        <v>2.5893252777777773</v>
      </c>
      <c r="AM123" s="1790">
        <f t="shared" si="131"/>
        <v>2.5672456249999995</v>
      </c>
      <c r="AN123" s="1790">
        <f t="shared" si="131"/>
        <v>2.9898045906895838</v>
      </c>
      <c r="AO123" s="1790">
        <f t="shared" si="131"/>
        <v>3.3282875456250007</v>
      </c>
      <c r="AP123" s="1790">
        <f t="shared" si="131"/>
        <v>3.7084316628333336</v>
      </c>
      <c r="AQ123" s="1725"/>
      <c r="AR123" s="1791">
        <f t="shared" ref="AR123:BC123" si="132">AR122/AR6/1000</f>
        <v>0.10465640497198429</v>
      </c>
      <c r="AS123" s="1791">
        <f t="shared" si="132"/>
        <v>0.12434849752268194</v>
      </c>
      <c r="AT123" s="1792">
        <f t="shared" si="132"/>
        <v>0.20503306984997582</v>
      </c>
      <c r="AU123" s="1793">
        <f t="shared" si="132"/>
        <v>0.46820719602977662</v>
      </c>
      <c r="AV123" s="1791">
        <f t="shared" si="132"/>
        <v>0.96800906555090649</v>
      </c>
      <c r="AW123" s="1791">
        <f t="shared" si="132"/>
        <v>2.1346809935274051</v>
      </c>
      <c r="AX123" s="1793">
        <f t="shared" si="132"/>
        <v>3.6807128382405532</v>
      </c>
      <c r="AY123" s="1791">
        <f t="shared" si="132"/>
        <v>5.6513388317704214</v>
      </c>
      <c r="AZ123" s="1791">
        <f t="shared" si="132"/>
        <v>8.5875374583333333</v>
      </c>
      <c r="BA123" s="1792">
        <f t="shared" si="132"/>
        <v>12.593769424147919</v>
      </c>
      <c r="BB123" s="1793">
        <f t="shared" si="132"/>
        <v>17.708099187294387</v>
      </c>
      <c r="BC123" s="1792">
        <f t="shared" si="132"/>
        <v>24.097181374070207</v>
      </c>
    </row>
    <row r="124" spans="1:55" s="1566" customFormat="1" x14ac:dyDescent="0.3">
      <c r="A124" s="1664"/>
      <c r="B124" s="1795" t="s">
        <v>835</v>
      </c>
      <c r="C124" s="1751"/>
      <c r="D124" s="1751"/>
      <c r="E124" s="1751"/>
      <c r="F124" s="1751"/>
      <c r="G124" s="1752"/>
      <c r="H124" s="1752"/>
      <c r="I124" s="1753"/>
      <c r="J124" s="1752"/>
      <c r="K124" s="1751"/>
      <c r="L124" s="1751"/>
      <c r="M124" s="1754"/>
      <c r="N124" s="1754"/>
      <c r="O124" s="1755"/>
      <c r="P124" s="1755"/>
      <c r="Q124" s="1755"/>
      <c r="R124" s="1796"/>
      <c r="S124" s="1779">
        <f t="shared" ref="S124:AP124" si="133">(S122-O122)/O122</f>
        <v>1.5628865979381443</v>
      </c>
      <c r="T124" s="1779">
        <f t="shared" si="133"/>
        <v>1.300462249614792</v>
      </c>
      <c r="U124" s="1779">
        <f t="shared" si="133"/>
        <v>1.1538461538461537</v>
      </c>
      <c r="V124" s="1779">
        <f t="shared" si="133"/>
        <v>1.0290806754221389</v>
      </c>
      <c r="W124" s="1762">
        <f t="shared" si="133"/>
        <v>0.95575221238938057</v>
      </c>
      <c r="X124" s="1762">
        <f t="shared" si="133"/>
        <v>0.99263228399196246</v>
      </c>
      <c r="Y124" s="1762">
        <f t="shared" si="133"/>
        <v>1.0402494331065759</v>
      </c>
      <c r="Z124" s="1762">
        <f t="shared" si="133"/>
        <v>1.0272769301895515</v>
      </c>
      <c r="AA124" s="1779">
        <f t="shared" si="133"/>
        <v>0.93253805018510905</v>
      </c>
      <c r="AB124" s="1779">
        <f t="shared" si="133"/>
        <v>0.90487394957983192</v>
      </c>
      <c r="AC124" s="1779">
        <f t="shared" si="133"/>
        <v>0.83689913864962517</v>
      </c>
      <c r="AD124" s="1779">
        <f t="shared" si="133"/>
        <v>0.7619156214367161</v>
      </c>
      <c r="AE124" s="1762">
        <f t="shared" si="133"/>
        <v>0.65751383567475519</v>
      </c>
      <c r="AF124" s="1762">
        <f t="shared" si="133"/>
        <v>0.63949179460031758</v>
      </c>
      <c r="AG124" s="1762">
        <f t="shared" si="133"/>
        <v>0.62169112085917388</v>
      </c>
      <c r="AH124" s="1762">
        <f t="shared" si="133"/>
        <v>0.58128397618431271</v>
      </c>
      <c r="AI124" s="1779">
        <f t="shared" si="133"/>
        <v>0.58533453191216134</v>
      </c>
      <c r="AJ124" s="1779">
        <f t="shared" si="133"/>
        <v>0.5587000000000002</v>
      </c>
      <c r="AK124" s="1779">
        <f t="shared" si="133"/>
        <v>0.52600000000000013</v>
      </c>
      <c r="AL124" s="1779">
        <f t="shared" si="133"/>
        <v>0.52600000000000002</v>
      </c>
      <c r="AM124" s="1762">
        <f t="shared" si="133"/>
        <v>0.49729999999999969</v>
      </c>
      <c r="AN124" s="1762">
        <f t="shared" si="133"/>
        <v>0.48645000000000005</v>
      </c>
      <c r="AO124" s="1762">
        <f t="shared" si="133"/>
        <v>0.46475000000000039</v>
      </c>
      <c r="AP124" s="1762">
        <f t="shared" si="133"/>
        <v>0.4322000000000002</v>
      </c>
      <c r="AQ124" s="1759"/>
      <c r="AR124" s="1752"/>
      <c r="AS124" s="1762">
        <f t="shared" ref="AS124:BC124" si="134">(AS122-AR122)/AR122</f>
        <v>0.18923076923076923</v>
      </c>
      <c r="AT124" s="1797">
        <f t="shared" si="134"/>
        <v>0.64424320827943082</v>
      </c>
      <c r="AU124" s="1783">
        <f t="shared" si="134"/>
        <v>1.3752950432730133</v>
      </c>
      <c r="AV124" s="1762">
        <f t="shared" si="134"/>
        <v>1.2070221927790659</v>
      </c>
      <c r="AW124" s="1762">
        <f t="shared" si="134"/>
        <v>1.0096052829055981</v>
      </c>
      <c r="AX124" s="1783">
        <f t="shared" si="134"/>
        <v>0.84480955937266622</v>
      </c>
      <c r="AY124" s="1762">
        <f t="shared" si="134"/>
        <v>0.61994980163549507</v>
      </c>
      <c r="AZ124" s="1762">
        <f t="shared" si="134"/>
        <v>0.54513868702519008</v>
      </c>
      <c r="BA124" s="1797">
        <f t="shared" si="134"/>
        <v>0.46651697127992642</v>
      </c>
      <c r="BB124" s="1783">
        <f t="shared" si="134"/>
        <v>0.40610000000000024</v>
      </c>
      <c r="BC124" s="1797">
        <f t="shared" si="134"/>
        <v>0.36079999999999995</v>
      </c>
    </row>
    <row r="125" spans="1:55" s="1566" customFormat="1" x14ac:dyDescent="0.3">
      <c r="A125" s="1664"/>
      <c r="B125" s="1795" t="s">
        <v>836</v>
      </c>
      <c r="C125" s="1751"/>
      <c r="D125" s="1751"/>
      <c r="E125" s="1751"/>
      <c r="F125" s="1751"/>
      <c r="G125" s="1752"/>
      <c r="H125" s="1752"/>
      <c r="I125" s="1753"/>
      <c r="J125" s="1752"/>
      <c r="K125" s="1751"/>
      <c r="L125" s="1751"/>
      <c r="M125" s="1754"/>
      <c r="N125" s="1754"/>
      <c r="O125" s="1755"/>
      <c r="P125" s="1755"/>
      <c r="Q125" s="1755"/>
      <c r="R125" s="1796"/>
      <c r="S125" s="1779">
        <f t="shared" ref="S125:AP125" si="135">(S122-R122)/R122</f>
        <v>0.16604127579737335</v>
      </c>
      <c r="T125" s="1779">
        <f t="shared" si="135"/>
        <v>0.20112630732099759</v>
      </c>
      <c r="U125" s="1779">
        <f t="shared" si="135"/>
        <v>0.18151373074346952</v>
      </c>
      <c r="V125" s="1779">
        <f t="shared" si="135"/>
        <v>0.22619047619047619</v>
      </c>
      <c r="W125" s="1762">
        <f t="shared" si="135"/>
        <v>0.12390198797965789</v>
      </c>
      <c r="X125" s="1762">
        <f t="shared" si="135"/>
        <v>0.22377622377622378</v>
      </c>
      <c r="Y125" s="1762">
        <f t="shared" si="135"/>
        <v>0.20974789915966385</v>
      </c>
      <c r="Z125" s="1762">
        <f t="shared" si="135"/>
        <v>0.21839399833287024</v>
      </c>
      <c r="AA125" s="1779">
        <f t="shared" si="135"/>
        <v>7.1379703534777655E-2</v>
      </c>
      <c r="AB125" s="1779">
        <f t="shared" si="135"/>
        <v>0.20625798212005109</v>
      </c>
      <c r="AC125" s="1779">
        <f t="shared" si="135"/>
        <v>0.1665784365625553</v>
      </c>
      <c r="AD125" s="1779">
        <f t="shared" si="135"/>
        <v>0.16865829677809696</v>
      </c>
      <c r="AE125" s="1762">
        <f t="shared" si="135"/>
        <v>7.8954180688583994E-3</v>
      </c>
      <c r="AF125" s="1762">
        <f t="shared" si="135"/>
        <v>0.19314241684859382</v>
      </c>
      <c r="AG125" s="1762">
        <f t="shared" si="135"/>
        <v>0.15391238833279519</v>
      </c>
      <c r="AH125" s="1762">
        <f t="shared" si="135"/>
        <v>0.13953922208749184</v>
      </c>
      <c r="AI125" s="1779">
        <f t="shared" si="135"/>
        <v>1.0477203896210199E-2</v>
      </c>
      <c r="AJ125" s="1779">
        <f t="shared" si="135"/>
        <v>0.17309693803159187</v>
      </c>
      <c r="AK125" s="1779">
        <f t="shared" si="135"/>
        <v>0.1297044361300092</v>
      </c>
      <c r="AL125" s="1779">
        <f t="shared" si="135"/>
        <v>0.13953922208749175</v>
      </c>
      <c r="AM125" s="1762">
        <f t="shared" si="135"/>
        <v>-8.5271838834893657E-3</v>
      </c>
      <c r="AN125" s="1762">
        <f t="shared" si="135"/>
        <v>0.16459623558208786</v>
      </c>
      <c r="AO125" s="1762">
        <f t="shared" si="135"/>
        <v>0.11321240056606771</v>
      </c>
      <c r="AP125" s="1762">
        <f t="shared" si="135"/>
        <v>0.11421612826332514</v>
      </c>
      <c r="AQ125" s="1759"/>
      <c r="AR125" s="1752"/>
      <c r="AS125" s="1752"/>
      <c r="AT125" s="1760"/>
      <c r="AU125" s="1761"/>
      <c r="AV125" s="1769"/>
      <c r="AW125" s="1769"/>
      <c r="AX125" s="1773"/>
      <c r="AY125" s="1769"/>
      <c r="AZ125" s="1769"/>
      <c r="BA125" s="1772"/>
      <c r="BB125" s="1773"/>
      <c r="BC125" s="1772"/>
    </row>
    <row r="126" spans="1:55" s="1677" customFormat="1" x14ac:dyDescent="0.35">
      <c r="A126" s="944"/>
      <c r="B126" s="1731" t="s">
        <v>852</v>
      </c>
      <c r="C126" s="1665"/>
      <c r="D126" s="1665"/>
      <c r="E126" s="1665"/>
      <c r="F126" s="1665"/>
      <c r="G126" s="1666"/>
      <c r="H126" s="1666"/>
      <c r="I126" s="1667"/>
      <c r="J126" s="1666"/>
      <c r="K126" s="1665"/>
      <c r="L126" s="1665"/>
      <c r="M126" s="1798"/>
      <c r="N126" s="1798"/>
      <c r="O126" s="1796"/>
      <c r="P126" s="1796"/>
      <c r="Q126" s="1796"/>
      <c r="R126" s="1796"/>
      <c r="S126" s="1668"/>
      <c r="T126" s="1799"/>
      <c r="U126" s="1668"/>
      <c r="V126" s="1800"/>
      <c r="W126" s="998"/>
      <c r="X126" s="998"/>
      <c r="Y126" s="998"/>
      <c r="Z126" s="998"/>
      <c r="AA126" s="1800"/>
      <c r="AB126" s="1800"/>
      <c r="AC126" s="1800"/>
      <c r="AD126" s="1800"/>
      <c r="AE126" s="998"/>
      <c r="AF126" s="998"/>
      <c r="AG126" s="998"/>
      <c r="AH126" s="1678"/>
      <c r="AI126" s="1668"/>
      <c r="AJ126" s="1668"/>
      <c r="AK126" s="1668"/>
      <c r="AL126" s="1668"/>
      <c r="AM126" s="1678"/>
      <c r="AN126" s="1678"/>
      <c r="AO126" s="1678"/>
      <c r="AP126" s="1678"/>
      <c r="AQ126" s="1670"/>
      <c r="AR126" s="1666"/>
      <c r="AS126" s="1666"/>
      <c r="AT126" s="1671"/>
      <c r="AU126" s="1680">
        <f t="shared" ref="AU126:BC126" si="136">AU122/AU323</f>
        <v>2.9848827897135739E-2</v>
      </c>
      <c r="AV126" s="1678">
        <f t="shared" si="136"/>
        <v>4.2098146872808377E-2</v>
      </c>
      <c r="AW126" s="1678">
        <f t="shared" si="136"/>
        <v>5.3503072730614623E-2</v>
      </c>
      <c r="AX126" s="1680">
        <f t="shared" si="136"/>
        <v>6.5549670420651518E-2</v>
      </c>
      <c r="AY126" s="1678">
        <f t="shared" si="136"/>
        <v>7.8507232529806112E-2</v>
      </c>
      <c r="AZ126" s="1678">
        <f t="shared" si="136"/>
        <v>9.1138252804749367E-2</v>
      </c>
      <c r="BA126" s="1681">
        <f t="shared" si="136"/>
        <v>0.10579087212280169</v>
      </c>
      <c r="BB126" s="1680">
        <f t="shared" si="136"/>
        <v>0.12128393695327608</v>
      </c>
      <c r="BC126" s="1681">
        <f t="shared" si="136"/>
        <v>0.13686998964576486</v>
      </c>
    </row>
    <row r="127" spans="1:55" s="1677" customFormat="1" x14ac:dyDescent="0.35">
      <c r="A127" s="944"/>
      <c r="B127" s="1731" t="s">
        <v>853</v>
      </c>
      <c r="C127" s="1665"/>
      <c r="D127" s="1665"/>
      <c r="E127" s="1665"/>
      <c r="F127" s="1665"/>
      <c r="G127" s="1666"/>
      <c r="H127" s="1666"/>
      <c r="I127" s="1667"/>
      <c r="J127" s="1666"/>
      <c r="K127" s="1665"/>
      <c r="L127" s="1665"/>
      <c r="M127" s="1798"/>
      <c r="N127" s="1798"/>
      <c r="O127" s="1801"/>
      <c r="P127" s="1801"/>
      <c r="Q127" s="1801"/>
      <c r="R127" s="1796"/>
      <c r="S127" s="1802"/>
      <c r="T127" s="1803"/>
      <c r="U127" s="1802"/>
      <c r="V127" s="1804"/>
      <c r="W127" s="1805"/>
      <c r="X127" s="1805"/>
      <c r="Y127" s="1805"/>
      <c r="Z127" s="1805"/>
      <c r="AA127" s="1804"/>
      <c r="AB127" s="1804"/>
      <c r="AC127" s="1804"/>
      <c r="AD127" s="1804"/>
      <c r="AE127" s="1805"/>
      <c r="AF127" s="1805"/>
      <c r="AG127" s="1805"/>
      <c r="AH127" s="1805"/>
      <c r="AI127" s="1804"/>
      <c r="AJ127" s="1804"/>
      <c r="AK127" s="1804"/>
      <c r="AL127" s="1804"/>
      <c r="AM127" s="1805"/>
      <c r="AN127" s="1805"/>
      <c r="AO127" s="1805"/>
      <c r="AP127" s="1805"/>
      <c r="AQ127" s="1670"/>
      <c r="AR127" s="1666"/>
      <c r="AS127" s="1666"/>
      <c r="AT127" s="1671"/>
      <c r="AU127" s="1806"/>
      <c r="AV127" s="1667">
        <f t="shared" ref="AV127:BC127" si="137">AV257</f>
        <v>-70.124995443966398</v>
      </c>
      <c r="AW127" s="1667">
        <f t="shared" si="137"/>
        <v>-127.37939610368906</v>
      </c>
      <c r="AX127" s="1672">
        <f t="shared" si="137"/>
        <v>-172.54738347836454</v>
      </c>
      <c r="AY127" s="1667">
        <f t="shared" si="137"/>
        <v>-199.69494972319512</v>
      </c>
      <c r="AZ127" s="1667">
        <f t="shared" si="137"/>
        <v>-187.65546855907994</v>
      </c>
      <c r="BA127" s="1671">
        <f t="shared" si="137"/>
        <v>-64.661261895416672</v>
      </c>
      <c r="BB127" s="1672">
        <f t="shared" si="137"/>
        <v>177.08099187294388</v>
      </c>
      <c r="BC127" s="1671">
        <f t="shared" si="137"/>
        <v>481.94362748140412</v>
      </c>
    </row>
    <row r="128" spans="1:55" s="1566" customFormat="1" x14ac:dyDescent="0.35">
      <c r="A128" s="944"/>
      <c r="B128" s="1807" t="s">
        <v>854</v>
      </c>
      <c r="C128" s="1697"/>
      <c r="D128" s="1697"/>
      <c r="E128" s="1697"/>
      <c r="F128" s="1697"/>
      <c r="G128" s="1698"/>
      <c r="H128" s="1698"/>
      <c r="I128" s="1699"/>
      <c r="J128" s="1698"/>
      <c r="K128" s="1697"/>
      <c r="L128" s="1697"/>
      <c r="M128" s="1700"/>
      <c r="N128" s="1700"/>
      <c r="O128" s="1701"/>
      <c r="P128" s="1701"/>
      <c r="Q128" s="1701"/>
      <c r="R128" s="1702"/>
      <c r="S128" s="1703"/>
      <c r="T128" s="1704"/>
      <c r="U128" s="1703"/>
      <c r="V128" s="1808"/>
      <c r="W128" s="1809"/>
      <c r="X128" s="1809"/>
      <c r="Y128" s="1809"/>
      <c r="Z128" s="1809"/>
      <c r="AA128" s="1808"/>
      <c r="AB128" s="1808"/>
      <c r="AC128" s="1808"/>
      <c r="AD128" s="1808"/>
      <c r="AE128" s="1809"/>
      <c r="AF128" s="1809"/>
      <c r="AG128" s="1809"/>
      <c r="AH128" s="1809"/>
      <c r="AI128" s="1808"/>
      <c r="AJ128" s="1808"/>
      <c r="AK128" s="1808"/>
      <c r="AL128" s="1808"/>
      <c r="AM128" s="1809"/>
      <c r="AN128" s="1809"/>
      <c r="AO128" s="1809"/>
      <c r="AP128" s="1809"/>
      <c r="AQ128" s="1810"/>
      <c r="AR128" s="1698"/>
      <c r="AS128" s="1698"/>
      <c r="AT128" s="1811"/>
      <c r="AU128" s="1812"/>
      <c r="AV128" s="1813"/>
      <c r="AW128" s="1813"/>
      <c r="AX128" s="1814">
        <f>AY128/1.12</f>
        <v>40.36670594121729</v>
      </c>
      <c r="AY128" s="1813">
        <f>8*AY123</f>
        <v>45.210710654163371</v>
      </c>
      <c r="AZ128" s="1813">
        <f>8*AZ123</f>
        <v>68.700299666666666</v>
      </c>
      <c r="BA128" s="1815">
        <f>7*BA123</f>
        <v>88.156385969035426</v>
      </c>
      <c r="BB128" s="1814">
        <f>7*BB123</f>
        <v>123.95669431106072</v>
      </c>
      <c r="BC128" s="1815">
        <f>7*BC123</f>
        <v>168.68026961849145</v>
      </c>
    </row>
    <row r="129" spans="1:55" s="1566" customFormat="1" ht="13.5" x14ac:dyDescent="0.35">
      <c r="A129" s="944"/>
      <c r="B129" s="1606" t="s">
        <v>855</v>
      </c>
      <c r="C129" s="1685"/>
      <c r="D129" s="1685"/>
      <c r="E129" s="1685"/>
      <c r="F129" s="1685"/>
      <c r="G129" s="1686"/>
      <c r="H129" s="1686"/>
      <c r="I129" s="1687"/>
      <c r="J129" s="1686"/>
      <c r="K129" s="1685"/>
      <c r="L129" s="1685"/>
      <c r="M129" s="1348"/>
      <c r="N129" s="1348"/>
      <c r="O129" s="1347"/>
      <c r="P129" s="1347"/>
      <c r="Q129" s="1347"/>
      <c r="R129" s="1796"/>
      <c r="S129" s="1816"/>
      <c r="T129" s="1817"/>
      <c r="U129" s="1816"/>
      <c r="V129" s="1077"/>
      <c r="W129" s="1076"/>
      <c r="X129" s="1076"/>
      <c r="Y129" s="1076"/>
      <c r="Z129" s="1076"/>
      <c r="AA129" s="1077"/>
      <c r="AB129" s="1077"/>
      <c r="AC129" s="1077"/>
      <c r="AD129" s="1077"/>
      <c r="AE129" s="1076"/>
      <c r="AF129" s="1076"/>
      <c r="AG129" s="1076"/>
      <c r="AH129" s="1076"/>
      <c r="AI129" s="1077"/>
      <c r="AJ129" s="1077"/>
      <c r="AK129" s="1077"/>
      <c r="AL129" s="1077"/>
      <c r="AM129" s="1076"/>
      <c r="AN129" s="1076"/>
      <c r="AO129" s="1076"/>
      <c r="AP129" s="1076"/>
      <c r="AQ129" s="1693"/>
      <c r="AR129" s="1686"/>
      <c r="AS129" s="1686"/>
      <c r="AT129" s="1351"/>
      <c r="AU129" s="1352"/>
      <c r="AV129" s="1349"/>
      <c r="AW129" s="1349"/>
      <c r="AX129" s="1353"/>
      <c r="AY129" s="1818"/>
      <c r="AZ129" s="1818"/>
      <c r="BA129" s="1819"/>
      <c r="BB129" s="1820"/>
      <c r="BC129" s="1819"/>
    </row>
    <row r="130" spans="1:55" s="1259" customFormat="1" ht="12.75" collapsed="1" x14ac:dyDescent="0.3">
      <c r="A130" s="1821"/>
      <c r="B130" s="1822" t="s">
        <v>856</v>
      </c>
      <c r="C130" s="1737"/>
      <c r="D130" s="1737"/>
      <c r="E130" s="1737"/>
      <c r="F130" s="1737"/>
      <c r="G130" s="1738"/>
      <c r="H130" s="1738"/>
      <c r="I130" s="1739"/>
      <c r="J130" s="1738"/>
      <c r="K130" s="1737"/>
      <c r="L130" s="1737"/>
      <c r="M130" s="1823"/>
      <c r="N130" s="1823"/>
      <c r="O130" s="1824"/>
      <c r="P130" s="1824"/>
      <c r="Q130" s="1824"/>
      <c r="R130" s="1824"/>
      <c r="S130" s="1823"/>
      <c r="T130" s="1823"/>
      <c r="U130" s="1823"/>
      <c r="V130" s="1823"/>
      <c r="W130" s="1825"/>
      <c r="X130" s="1825"/>
      <c r="Y130" s="1825"/>
      <c r="Z130" s="1825"/>
      <c r="AA130" s="1823"/>
      <c r="AB130" s="1823"/>
      <c r="AC130" s="1823"/>
      <c r="AD130" s="1823"/>
      <c r="AE130" s="1825"/>
      <c r="AF130" s="1825"/>
      <c r="AG130" s="1825"/>
      <c r="AH130" s="1825"/>
      <c r="AI130" s="1823"/>
      <c r="AJ130" s="1823"/>
      <c r="AK130" s="1823"/>
      <c r="AL130" s="1823"/>
      <c r="AM130" s="1825"/>
      <c r="AN130" s="1825"/>
      <c r="AO130" s="1825"/>
      <c r="AP130" s="1825"/>
      <c r="AQ130" s="1826"/>
      <c r="AR130" s="1827"/>
      <c r="AS130" s="1827"/>
      <c r="AT130" s="1828"/>
      <c r="AU130" s="1829"/>
      <c r="AV130" s="1830"/>
      <c r="AW130" s="1830"/>
      <c r="AX130" s="1831"/>
      <c r="AY130" s="1832"/>
      <c r="AZ130" s="1832"/>
      <c r="BA130" s="1833"/>
      <c r="BB130" s="1834"/>
      <c r="BC130" s="1833"/>
    </row>
    <row r="131" spans="1:55" s="1259" customFormat="1" ht="23.25" collapsed="1" x14ac:dyDescent="0.3">
      <c r="A131" s="903" t="s">
        <v>768</v>
      </c>
      <c r="B131" s="1835" t="s">
        <v>857</v>
      </c>
      <c r="C131" s="1368"/>
      <c r="D131" s="1368"/>
      <c r="E131" s="1368"/>
      <c r="F131" s="1368"/>
      <c r="G131" s="1369"/>
      <c r="H131" s="1369"/>
      <c r="I131" s="1117"/>
      <c r="J131" s="1369"/>
      <c r="K131" s="1368"/>
      <c r="L131" s="1368"/>
      <c r="M131" s="1836"/>
      <c r="N131" s="1836"/>
      <c r="O131" s="1837"/>
      <c r="P131" s="1837"/>
      <c r="Q131" s="1837"/>
      <c r="R131" s="1837"/>
      <c r="S131" s="1775">
        <v>420</v>
      </c>
      <c r="T131" s="1836"/>
      <c r="U131" s="1836"/>
      <c r="V131" s="1836"/>
      <c r="W131" s="1838"/>
      <c r="X131" s="1838"/>
      <c r="Y131" s="1838"/>
      <c r="Z131" s="1838"/>
      <c r="AA131" s="1836"/>
      <c r="AB131" s="1836"/>
      <c r="AC131" s="1836"/>
      <c r="AD131" s="1836"/>
      <c r="AE131" s="1838"/>
      <c r="AF131" s="1838"/>
      <c r="AG131" s="1838"/>
      <c r="AH131" s="1838"/>
      <c r="AI131" s="1836"/>
      <c r="AJ131" s="1836"/>
      <c r="AK131" s="1836"/>
      <c r="AL131" s="1836"/>
      <c r="AM131" s="1838"/>
      <c r="AN131" s="1838"/>
      <c r="AO131" s="1838"/>
      <c r="AP131" s="1838"/>
      <c r="AQ131" s="1350"/>
      <c r="AR131" s="1345"/>
      <c r="AS131" s="1345"/>
      <c r="AT131" s="1695"/>
      <c r="AU131" s="1694"/>
      <c r="AV131" s="1832"/>
      <c r="AW131" s="1832"/>
      <c r="AX131" s="1834"/>
      <c r="AY131" s="1832"/>
      <c r="AZ131" s="1832"/>
      <c r="BA131" s="1833"/>
      <c r="BB131" s="1834"/>
      <c r="BC131" s="1833"/>
    </row>
    <row r="132" spans="1:55" s="1259" customFormat="1" ht="12.75" x14ac:dyDescent="0.3">
      <c r="A132" s="804"/>
      <c r="B132" s="1784" t="s">
        <v>858</v>
      </c>
      <c r="C132" s="1368"/>
      <c r="D132" s="1368"/>
      <c r="E132" s="1368"/>
      <c r="F132" s="1368"/>
      <c r="G132" s="1369"/>
      <c r="H132" s="1369"/>
      <c r="I132" s="1117"/>
      <c r="J132" s="1369"/>
      <c r="K132" s="1368"/>
      <c r="L132" s="1368"/>
      <c r="M132" s="1836"/>
      <c r="N132" s="1836"/>
      <c r="O132" s="1837"/>
      <c r="P132" s="1837"/>
      <c r="Q132" s="1837"/>
      <c r="R132" s="1837"/>
      <c r="S132" s="1836"/>
      <c r="T132" s="1836"/>
      <c r="U132" s="1836"/>
      <c r="V132" s="1836"/>
      <c r="W132" s="1838"/>
      <c r="X132" s="1838"/>
      <c r="Y132" s="1838"/>
      <c r="Z132" s="1838"/>
      <c r="AA132" s="1836"/>
      <c r="AB132" s="1836"/>
      <c r="AC132" s="1836"/>
      <c r="AD132" s="1836"/>
      <c r="AE132" s="1838"/>
      <c r="AF132" s="1838"/>
      <c r="AG132" s="1838"/>
      <c r="AH132" s="1838"/>
      <c r="AI132" s="1836"/>
      <c r="AJ132" s="1836"/>
      <c r="AK132" s="1836"/>
      <c r="AL132" s="1836"/>
      <c r="AM132" s="1838"/>
      <c r="AN132" s="1838"/>
      <c r="AO132" s="1838"/>
      <c r="AP132" s="1838"/>
      <c r="AQ132" s="1350"/>
      <c r="AR132" s="1345"/>
      <c r="AS132" s="1345"/>
      <c r="AT132" s="1695"/>
      <c r="AU132" s="1694"/>
      <c r="AV132" s="1832"/>
      <c r="AW132" s="1832"/>
      <c r="AX132" s="1834"/>
      <c r="AY132" s="1832"/>
      <c r="AZ132" s="1832"/>
      <c r="BA132" s="1833"/>
      <c r="BB132" s="1834"/>
      <c r="BC132" s="1833"/>
    </row>
    <row r="133" spans="1:55" s="1259" customFormat="1" ht="12.75" collapsed="1" x14ac:dyDescent="0.3">
      <c r="A133" s="1839"/>
      <c r="B133" s="1840" t="s">
        <v>859</v>
      </c>
      <c r="C133" s="1368"/>
      <c r="D133" s="1368"/>
      <c r="E133" s="1368"/>
      <c r="F133" s="1368"/>
      <c r="G133" s="1369"/>
      <c r="H133" s="1369"/>
      <c r="I133" s="1117"/>
      <c r="J133" s="1369"/>
      <c r="K133" s="1368"/>
      <c r="L133" s="1368"/>
      <c r="M133" s="1836"/>
      <c r="N133" s="1836"/>
      <c r="O133" s="1837"/>
      <c r="P133" s="1837"/>
      <c r="Q133" s="1837"/>
      <c r="R133" s="1837"/>
      <c r="S133" s="1775"/>
      <c r="T133" s="1836"/>
      <c r="U133" s="1836"/>
      <c r="V133" s="1836"/>
      <c r="W133" s="1838"/>
      <c r="X133" s="1838"/>
      <c r="Y133" s="1838"/>
      <c r="Z133" s="1838"/>
      <c r="AA133" s="1836"/>
      <c r="AB133" s="1836"/>
      <c r="AC133" s="1836"/>
      <c r="AD133" s="1836"/>
      <c r="AE133" s="1838"/>
      <c r="AF133" s="1838"/>
      <c r="AG133" s="1838"/>
      <c r="AH133" s="1838"/>
      <c r="AI133" s="1836"/>
      <c r="AJ133" s="1836"/>
      <c r="AK133" s="1836"/>
      <c r="AL133" s="1836"/>
      <c r="AM133" s="1838"/>
      <c r="AN133" s="1838"/>
      <c r="AO133" s="1838"/>
      <c r="AP133" s="1838"/>
      <c r="AQ133" s="1350"/>
      <c r="AR133" s="1345"/>
      <c r="AS133" s="1345"/>
      <c r="AT133" s="1695"/>
      <c r="AU133" s="1694"/>
      <c r="AV133" s="1832"/>
      <c r="AW133" s="1832"/>
      <c r="AX133" s="1834"/>
      <c r="AY133" s="1832"/>
      <c r="AZ133" s="1832"/>
      <c r="BA133" s="1833"/>
      <c r="BB133" s="1834"/>
      <c r="BC133" s="1833"/>
    </row>
    <row r="134" spans="1:55" s="1492" customFormat="1" x14ac:dyDescent="0.35">
      <c r="A134" s="903" t="s">
        <v>860</v>
      </c>
      <c r="B134" s="1841" t="s">
        <v>861</v>
      </c>
      <c r="C134" s="1685"/>
      <c r="D134" s="1685"/>
      <c r="E134" s="1685"/>
      <c r="F134" s="1685"/>
      <c r="G134" s="1686"/>
      <c r="H134" s="1686"/>
      <c r="I134" s="1687"/>
      <c r="J134" s="1686"/>
      <c r="K134" s="1685"/>
      <c r="L134" s="1685"/>
      <c r="M134" s="1348"/>
      <c r="N134" s="1348"/>
      <c r="O134" s="1347"/>
      <c r="P134" s="1347"/>
      <c r="Q134" s="1347"/>
      <c r="R134" s="1842"/>
      <c r="S134" s="1843">
        <v>42</v>
      </c>
      <c r="T134" s="1775"/>
      <c r="U134" s="1775">
        <v>57</v>
      </c>
      <c r="V134" s="1077">
        <v>42</v>
      </c>
      <c r="W134" s="1076">
        <v>55</v>
      </c>
      <c r="X134" s="1076"/>
      <c r="Y134" s="1076"/>
      <c r="Z134" s="1076"/>
      <c r="AA134" s="1077"/>
      <c r="AB134" s="1077"/>
      <c r="AC134" s="1077"/>
      <c r="AD134" s="1077"/>
      <c r="AE134" s="1076"/>
      <c r="AF134" s="1076"/>
      <c r="AG134" s="1076"/>
      <c r="AH134" s="1076"/>
      <c r="AI134" s="1077"/>
      <c r="AJ134" s="1077"/>
      <c r="AK134" s="1077"/>
      <c r="AL134" s="1077"/>
      <c r="AM134" s="1076"/>
      <c r="AN134" s="1076"/>
      <c r="AO134" s="1076"/>
      <c r="AP134" s="1076"/>
      <c r="AQ134" s="1844"/>
      <c r="AR134" s="1845"/>
      <c r="AS134" s="1845"/>
      <c r="AT134" s="1846"/>
      <c r="AU134" s="1847">
        <f>12200/366</f>
        <v>33.333333333333336</v>
      </c>
      <c r="AV134" s="1845">
        <f>16600/365</f>
        <v>45.479452054794521</v>
      </c>
      <c r="AW134" s="1845">
        <f>20600/365</f>
        <v>56.438356164383563</v>
      </c>
      <c r="AX134" s="1844">
        <f>25100/365</f>
        <v>68.767123287671239</v>
      </c>
      <c r="AY134" s="1845"/>
      <c r="AZ134" s="1845"/>
      <c r="BA134" s="1848"/>
      <c r="BB134" s="1844"/>
      <c r="BC134" s="1848"/>
    </row>
    <row r="135" spans="1:55" s="1566" customFormat="1" x14ac:dyDescent="0.35">
      <c r="A135" s="944"/>
      <c r="B135" s="1849" t="s">
        <v>754</v>
      </c>
      <c r="C135" s="1751"/>
      <c r="D135" s="1751"/>
      <c r="E135" s="1751"/>
      <c r="F135" s="1751"/>
      <c r="G135" s="1752"/>
      <c r="H135" s="1752"/>
      <c r="I135" s="1753"/>
      <c r="J135" s="1752"/>
      <c r="K135" s="1751"/>
      <c r="L135" s="1751"/>
      <c r="M135" s="1754"/>
      <c r="N135" s="1754"/>
      <c r="O135" s="1755"/>
      <c r="P135" s="1755"/>
      <c r="Q135" s="1755"/>
      <c r="R135" s="1796"/>
      <c r="S135" s="1850"/>
      <c r="T135" s="1851"/>
      <c r="U135" s="1851"/>
      <c r="V135" s="1852"/>
      <c r="W135" s="961">
        <f>W134/S134-1</f>
        <v>0.30952380952380953</v>
      </c>
      <c r="X135" s="1853"/>
      <c r="Y135" s="1853"/>
      <c r="Z135" s="1853"/>
      <c r="AA135" s="1852"/>
      <c r="AB135" s="1852"/>
      <c r="AC135" s="1852"/>
      <c r="AD135" s="1852"/>
      <c r="AE135" s="1853"/>
      <c r="AF135" s="1853"/>
      <c r="AG135" s="1853"/>
      <c r="AH135" s="1853"/>
      <c r="AI135" s="1852"/>
      <c r="AJ135" s="1852"/>
      <c r="AK135" s="1852"/>
      <c r="AL135" s="1852"/>
      <c r="AM135" s="1853"/>
      <c r="AN135" s="1853"/>
      <c r="AO135" s="1853"/>
      <c r="AP135" s="1853"/>
      <c r="AQ135" s="1854"/>
      <c r="AR135" s="1855"/>
      <c r="AS135" s="1855"/>
      <c r="AT135" s="1856"/>
      <c r="AU135" s="1857"/>
      <c r="AV135" s="1762">
        <f>AV134/AU134-1</f>
        <v>0.36438356164383556</v>
      </c>
      <c r="AW135" s="1762">
        <f>AW134/AV134-1</f>
        <v>0.24096385542168686</v>
      </c>
      <c r="AX135" s="1783">
        <f>AX134/AW134-1</f>
        <v>0.2184466019417477</v>
      </c>
      <c r="AY135" s="1855"/>
      <c r="AZ135" s="1855"/>
      <c r="BA135" s="1858"/>
      <c r="BB135" s="1854"/>
      <c r="BC135" s="1858"/>
    </row>
    <row r="136" spans="1:55" s="1566" customFormat="1" x14ac:dyDescent="0.35">
      <c r="A136" s="903" t="s">
        <v>862</v>
      </c>
      <c r="B136" s="1859" t="s">
        <v>863</v>
      </c>
      <c r="C136" s="1751"/>
      <c r="D136" s="1751"/>
      <c r="E136" s="1751"/>
      <c r="F136" s="1751"/>
      <c r="G136" s="1752"/>
      <c r="H136" s="1752"/>
      <c r="I136" s="1753"/>
      <c r="J136" s="1752"/>
      <c r="K136" s="1751"/>
      <c r="L136" s="1751"/>
      <c r="M136" s="1754"/>
      <c r="N136" s="1754"/>
      <c r="O136" s="1755"/>
      <c r="P136" s="1755"/>
      <c r="Q136" s="1755"/>
      <c r="R136" s="1796"/>
      <c r="S136" s="1850">
        <v>1.7</v>
      </c>
      <c r="T136" s="1851"/>
      <c r="U136" s="1851"/>
      <c r="V136" s="1852"/>
      <c r="W136" s="1853"/>
      <c r="X136" s="1853"/>
      <c r="Y136" s="1853"/>
      <c r="Z136" s="1853"/>
      <c r="AA136" s="1852"/>
      <c r="AB136" s="1852"/>
      <c r="AC136" s="1852"/>
      <c r="AD136" s="1852"/>
      <c r="AE136" s="1853"/>
      <c r="AF136" s="1853"/>
      <c r="AG136" s="1853"/>
      <c r="AH136" s="1853"/>
      <c r="AI136" s="1852"/>
      <c r="AJ136" s="1852"/>
      <c r="AK136" s="1852"/>
      <c r="AL136" s="1852"/>
      <c r="AM136" s="1853"/>
      <c r="AN136" s="1853"/>
      <c r="AO136" s="1853"/>
      <c r="AP136" s="1853"/>
      <c r="AQ136" s="1854"/>
      <c r="AR136" s="1855"/>
      <c r="AS136" s="1855"/>
      <c r="AT136" s="1856"/>
      <c r="AU136" s="1857">
        <v>1.7</v>
      </c>
      <c r="AV136" s="1855">
        <v>1.8</v>
      </c>
      <c r="AW136" s="1860">
        <v>1.9</v>
      </c>
      <c r="AX136" s="1861">
        <v>1.6</v>
      </c>
      <c r="AY136" s="1860"/>
      <c r="AZ136" s="1860"/>
      <c r="BA136" s="1862"/>
      <c r="BB136" s="1861"/>
      <c r="BC136" s="1862"/>
    </row>
    <row r="137" spans="1:55" s="1566" customFormat="1" x14ac:dyDescent="0.35">
      <c r="A137" s="903" t="s">
        <v>862</v>
      </c>
      <c r="B137" s="1859" t="s">
        <v>864</v>
      </c>
      <c r="C137" s="1751"/>
      <c r="D137" s="1751"/>
      <c r="E137" s="1751"/>
      <c r="F137" s="1751"/>
      <c r="G137" s="1752"/>
      <c r="H137" s="1752"/>
      <c r="I137" s="1753"/>
      <c r="J137" s="1752"/>
      <c r="K137" s="1751"/>
      <c r="L137" s="1751"/>
      <c r="M137" s="1754"/>
      <c r="N137" s="1754"/>
      <c r="O137" s="1755"/>
      <c r="P137" s="1755"/>
      <c r="Q137" s="1755"/>
      <c r="R137" s="1796"/>
      <c r="S137" s="1850"/>
      <c r="T137" s="1851"/>
      <c r="U137" s="1851"/>
      <c r="V137" s="1852"/>
      <c r="W137" s="1853"/>
      <c r="X137" s="1853"/>
      <c r="Y137" s="1853"/>
      <c r="Z137" s="1853"/>
      <c r="AA137" s="1852"/>
      <c r="AB137" s="1852"/>
      <c r="AC137" s="1852"/>
      <c r="AD137" s="1852"/>
      <c r="AE137" s="1853"/>
      <c r="AF137" s="1853"/>
      <c r="AG137" s="1853"/>
      <c r="AH137" s="1853"/>
      <c r="AI137" s="1852"/>
      <c r="AJ137" s="1852"/>
      <c r="AK137" s="1852"/>
      <c r="AL137" s="1852"/>
      <c r="AM137" s="1853"/>
      <c r="AN137" s="1853"/>
      <c r="AO137" s="1853"/>
      <c r="AP137" s="1853"/>
      <c r="AQ137" s="1854"/>
      <c r="AR137" s="1855"/>
      <c r="AS137" s="1855"/>
      <c r="AT137" s="1856"/>
      <c r="AU137" s="1857">
        <v>150</v>
      </c>
      <c r="AV137" s="1855">
        <v>180</v>
      </c>
      <c r="AW137" s="1860">
        <v>200</v>
      </c>
      <c r="AX137" s="1861">
        <v>190</v>
      </c>
      <c r="AY137" s="1860"/>
      <c r="AZ137" s="1860"/>
      <c r="BA137" s="1862"/>
      <c r="BB137" s="1861"/>
      <c r="BC137" s="1862"/>
    </row>
    <row r="138" spans="1:55" s="1566" customFormat="1" x14ac:dyDescent="0.35">
      <c r="A138" s="903" t="s">
        <v>862</v>
      </c>
      <c r="B138" s="1859" t="s">
        <v>865</v>
      </c>
      <c r="C138" s="1751"/>
      <c r="D138" s="1751"/>
      <c r="E138" s="1751"/>
      <c r="F138" s="1751"/>
      <c r="G138" s="1752"/>
      <c r="H138" s="1752"/>
      <c r="I138" s="1753"/>
      <c r="J138" s="1752"/>
      <c r="K138" s="1751"/>
      <c r="L138" s="1751"/>
      <c r="M138" s="1754"/>
      <c r="N138" s="1754"/>
      <c r="O138" s="1755"/>
      <c r="P138" s="1755"/>
      <c r="Q138" s="1755"/>
      <c r="R138" s="1796"/>
      <c r="S138" s="1851">
        <v>180000</v>
      </c>
      <c r="T138" s="1851"/>
      <c r="U138" s="1851"/>
      <c r="V138" s="1852"/>
      <c r="W138" s="1853"/>
      <c r="X138" s="1853"/>
      <c r="Y138" s="1853"/>
      <c r="Z138" s="1853"/>
      <c r="AA138" s="1852"/>
      <c r="AB138" s="1852"/>
      <c r="AC138" s="1852"/>
      <c r="AD138" s="1852"/>
      <c r="AE138" s="1853"/>
      <c r="AF138" s="1853"/>
      <c r="AG138" s="1853"/>
      <c r="AH138" s="1853"/>
      <c r="AI138" s="1852"/>
      <c r="AJ138" s="1852"/>
      <c r="AK138" s="1852"/>
      <c r="AL138" s="1852"/>
      <c r="AM138" s="1853"/>
      <c r="AN138" s="1853"/>
      <c r="AO138" s="1853"/>
      <c r="AP138" s="1853"/>
      <c r="AQ138" s="1854"/>
      <c r="AR138" s="1855"/>
      <c r="AS138" s="1855"/>
      <c r="AT138" s="1856"/>
      <c r="AU138" s="1857"/>
      <c r="AV138" s="1855"/>
      <c r="AW138" s="1863"/>
      <c r="AX138" s="1854"/>
      <c r="AY138" s="1863"/>
      <c r="AZ138" s="1863"/>
      <c r="BA138" s="1856"/>
      <c r="BB138" s="1857"/>
      <c r="BC138" s="1856"/>
    </row>
    <row r="139" spans="1:55" s="1566" customFormat="1" x14ac:dyDescent="0.35">
      <c r="A139" s="903" t="s">
        <v>862</v>
      </c>
      <c r="B139" s="1859" t="s">
        <v>866</v>
      </c>
      <c r="C139" s="1751"/>
      <c r="D139" s="1751"/>
      <c r="E139" s="1751"/>
      <c r="F139" s="1751"/>
      <c r="G139" s="1752"/>
      <c r="H139" s="1752"/>
      <c r="I139" s="1753"/>
      <c r="J139" s="1752"/>
      <c r="K139" s="1751"/>
      <c r="L139" s="1751"/>
      <c r="M139" s="1754"/>
      <c r="N139" s="1754"/>
      <c r="O139" s="1755"/>
      <c r="P139" s="1755"/>
      <c r="Q139" s="1755"/>
      <c r="R139" s="1796"/>
      <c r="S139" s="1851"/>
      <c r="T139" s="1851"/>
      <c r="U139" s="1851"/>
      <c r="V139" s="1852"/>
      <c r="W139" s="1853"/>
      <c r="X139" s="1853"/>
      <c r="Y139" s="1853"/>
      <c r="Z139" s="1853"/>
      <c r="AA139" s="1852"/>
      <c r="AB139" s="1852"/>
      <c r="AC139" s="1852"/>
      <c r="AD139" s="1852"/>
      <c r="AE139" s="1853"/>
      <c r="AF139" s="1853"/>
      <c r="AG139" s="1853"/>
      <c r="AH139" s="1853"/>
      <c r="AI139" s="1852"/>
      <c r="AJ139" s="1852"/>
      <c r="AK139" s="1852"/>
      <c r="AL139" s="1852"/>
      <c r="AM139" s="1853"/>
      <c r="AN139" s="1853"/>
      <c r="AO139" s="1853"/>
      <c r="AP139" s="1853"/>
      <c r="AQ139" s="1854"/>
      <c r="AR139" s="1855"/>
      <c r="AS139" s="1855"/>
      <c r="AT139" s="1856"/>
      <c r="AU139" s="1857">
        <v>600</v>
      </c>
      <c r="AV139" s="1855">
        <v>600</v>
      </c>
      <c r="AW139" s="1863">
        <v>700</v>
      </c>
      <c r="AX139" s="1854">
        <v>700</v>
      </c>
      <c r="AY139" s="1863"/>
      <c r="AZ139" s="1863"/>
      <c r="BA139" s="1856"/>
      <c r="BB139" s="1857"/>
      <c r="BC139" s="1856"/>
    </row>
    <row r="140" spans="1:55" s="1566" customFormat="1" x14ac:dyDescent="0.35">
      <c r="A140" s="903"/>
      <c r="B140" s="1864" t="s">
        <v>867</v>
      </c>
      <c r="C140" s="1751"/>
      <c r="D140" s="1751"/>
      <c r="E140" s="1751"/>
      <c r="F140" s="1751"/>
      <c r="G140" s="1752"/>
      <c r="H140" s="1752"/>
      <c r="I140" s="1753"/>
      <c r="J140" s="1752"/>
      <c r="K140" s="1751"/>
      <c r="L140" s="1751"/>
      <c r="M140" s="1754"/>
      <c r="N140" s="1754"/>
      <c r="O140" s="1755"/>
      <c r="P140" s="1755"/>
      <c r="Q140" s="1755"/>
      <c r="R140" s="1796"/>
      <c r="S140" s="1851"/>
      <c r="T140" s="1851"/>
      <c r="U140" s="1851"/>
      <c r="V140" s="1852"/>
      <c r="W140" s="1853"/>
      <c r="X140" s="1853"/>
      <c r="Y140" s="1853"/>
      <c r="Z140" s="1853"/>
      <c r="AA140" s="1852"/>
      <c r="AB140" s="1852"/>
      <c r="AC140" s="1852"/>
      <c r="AD140" s="1852"/>
      <c r="AE140" s="1853"/>
      <c r="AF140" s="1853"/>
      <c r="AG140" s="1853"/>
      <c r="AH140" s="1853"/>
      <c r="AI140" s="1852"/>
      <c r="AJ140" s="1852"/>
      <c r="AK140" s="1852"/>
      <c r="AL140" s="1852"/>
      <c r="AM140" s="1853"/>
      <c r="AN140" s="1853"/>
      <c r="AO140" s="1853"/>
      <c r="AP140" s="1853"/>
      <c r="AQ140" s="1854"/>
      <c r="AR140" s="1855"/>
      <c r="AS140" s="1855"/>
      <c r="AT140" s="1856"/>
      <c r="AU140" s="1857"/>
      <c r="AV140" s="1855"/>
      <c r="AW140" s="1863"/>
      <c r="AX140" s="1854"/>
      <c r="AY140" s="1863"/>
      <c r="AZ140" s="1863"/>
      <c r="BA140" s="1856"/>
      <c r="BB140" s="1857"/>
      <c r="BC140" s="1856"/>
    </row>
    <row r="141" spans="1:55" s="1566" customFormat="1" x14ac:dyDescent="0.35">
      <c r="A141" s="903" t="s">
        <v>862</v>
      </c>
      <c r="B141" s="1859" t="s">
        <v>831</v>
      </c>
      <c r="C141" s="1751"/>
      <c r="D141" s="1751"/>
      <c r="E141" s="1751"/>
      <c r="F141" s="1751"/>
      <c r="G141" s="1752"/>
      <c r="H141" s="1752"/>
      <c r="I141" s="1753"/>
      <c r="J141" s="1752"/>
      <c r="K141" s="1751"/>
      <c r="L141" s="1751"/>
      <c r="M141" s="1754"/>
      <c r="N141" s="1754"/>
      <c r="O141" s="1755"/>
      <c r="P141" s="1755"/>
      <c r="Q141" s="1755"/>
      <c r="R141" s="1796"/>
      <c r="S141" s="1851"/>
      <c r="T141" s="1851"/>
      <c r="U141" s="1851"/>
      <c r="V141" s="1852"/>
      <c r="W141" s="1853"/>
      <c r="X141" s="1853"/>
      <c r="Y141" s="1853"/>
      <c r="Z141" s="1853"/>
      <c r="AA141" s="1852"/>
      <c r="AB141" s="1852"/>
      <c r="AC141" s="1852"/>
      <c r="AD141" s="1852"/>
      <c r="AE141" s="1853"/>
      <c r="AF141" s="1853"/>
      <c r="AG141" s="1853"/>
      <c r="AH141" s="1853"/>
      <c r="AI141" s="1852"/>
      <c r="AJ141" s="1852"/>
      <c r="AK141" s="1852"/>
      <c r="AL141" s="1852"/>
      <c r="AM141" s="1853"/>
      <c r="AN141" s="1853"/>
      <c r="AO141" s="1853"/>
      <c r="AP141" s="1853"/>
      <c r="AQ141" s="1854"/>
      <c r="AR141" s="1855"/>
      <c r="AS141" s="1855"/>
      <c r="AT141" s="1856"/>
      <c r="AU141" s="1857">
        <v>300</v>
      </c>
      <c r="AV141" s="1855"/>
      <c r="AW141" s="1863">
        <v>670</v>
      </c>
      <c r="AX141" s="1854"/>
      <c r="AY141" s="1863"/>
      <c r="AZ141" s="1863"/>
      <c r="BA141" s="1856"/>
      <c r="BB141" s="1857"/>
      <c r="BC141" s="1856"/>
    </row>
    <row r="142" spans="1:55" s="1566" customFormat="1" x14ac:dyDescent="0.35">
      <c r="A142" s="1623"/>
      <c r="B142" s="1849" t="s">
        <v>754</v>
      </c>
      <c r="C142" s="1751"/>
      <c r="D142" s="1751"/>
      <c r="E142" s="1751"/>
      <c r="F142" s="1751"/>
      <c r="G142" s="1752"/>
      <c r="H142" s="1752"/>
      <c r="I142" s="1753"/>
      <c r="J142" s="1752"/>
      <c r="K142" s="1751"/>
      <c r="L142" s="1751"/>
      <c r="M142" s="1754"/>
      <c r="N142" s="1754"/>
      <c r="O142" s="1755"/>
      <c r="P142" s="1755"/>
      <c r="Q142" s="1755"/>
      <c r="R142" s="1796"/>
      <c r="S142" s="1851"/>
      <c r="T142" s="1851"/>
      <c r="U142" s="1851"/>
      <c r="V142" s="1852"/>
      <c r="W142" s="1853"/>
      <c r="X142" s="1853"/>
      <c r="Y142" s="1853"/>
      <c r="Z142" s="1853"/>
      <c r="AA142" s="1852"/>
      <c r="AB142" s="1852"/>
      <c r="AC142" s="1852"/>
      <c r="AD142" s="1852"/>
      <c r="AE142" s="1853"/>
      <c r="AF142" s="1853"/>
      <c r="AG142" s="1853"/>
      <c r="AH142" s="1853"/>
      <c r="AI142" s="1852"/>
      <c r="AJ142" s="1852"/>
      <c r="AK142" s="1852"/>
      <c r="AL142" s="1852"/>
      <c r="AM142" s="1853"/>
      <c r="AN142" s="1853"/>
      <c r="AO142" s="1853"/>
      <c r="AP142" s="1853"/>
      <c r="AQ142" s="1854"/>
      <c r="AR142" s="1855"/>
      <c r="AS142" s="1855"/>
      <c r="AT142" s="1856"/>
      <c r="AU142" s="1857"/>
      <c r="AV142" s="1855"/>
      <c r="AW142" s="1762"/>
      <c r="AX142" s="1854"/>
      <c r="AY142" s="1863"/>
      <c r="AZ142" s="1863"/>
      <c r="BA142" s="1856"/>
      <c r="BB142" s="1857"/>
      <c r="BC142" s="1856"/>
    </row>
    <row r="143" spans="1:55" s="1259" customFormat="1" ht="12.75" collapsed="1" x14ac:dyDescent="0.3">
      <c r="A143" s="1623"/>
      <c r="B143" s="1865" t="s">
        <v>868</v>
      </c>
      <c r="C143" s="1368"/>
      <c r="D143" s="1368"/>
      <c r="E143" s="1368"/>
      <c r="F143" s="1368"/>
      <c r="G143" s="1369"/>
      <c r="H143" s="1369"/>
      <c r="I143" s="1117"/>
      <c r="J143" s="1369"/>
      <c r="K143" s="1368"/>
      <c r="L143" s="1368"/>
      <c r="M143" s="1836"/>
      <c r="N143" s="1836"/>
      <c r="O143" s="1837"/>
      <c r="P143" s="1837"/>
      <c r="Q143" s="1837"/>
      <c r="R143" s="1837"/>
      <c r="S143" s="1775"/>
      <c r="T143" s="1836"/>
      <c r="U143" s="1836"/>
      <c r="V143" s="1836"/>
      <c r="W143" s="1838"/>
      <c r="X143" s="1866"/>
      <c r="Y143" s="1838"/>
      <c r="Z143" s="1838"/>
      <c r="AA143" s="1836"/>
      <c r="AB143" s="1836"/>
      <c r="AC143" s="1836"/>
      <c r="AD143" s="1836"/>
      <c r="AE143" s="1838"/>
      <c r="AF143" s="1838"/>
      <c r="AG143" s="1838"/>
      <c r="AH143" s="1838"/>
      <c r="AI143" s="1836"/>
      <c r="AJ143" s="1836"/>
      <c r="AK143" s="1836"/>
      <c r="AL143" s="1836"/>
      <c r="AM143" s="1838"/>
      <c r="AN143" s="1838"/>
      <c r="AO143" s="1838"/>
      <c r="AP143" s="1838"/>
      <c r="AQ143" s="1867"/>
      <c r="AR143" s="1868"/>
      <c r="AS143" s="1868"/>
      <c r="AT143" s="1869"/>
      <c r="AU143" s="1870"/>
      <c r="AV143" s="1868"/>
      <c r="AW143" s="1871"/>
      <c r="AX143" s="1872"/>
      <c r="AY143" s="1871"/>
      <c r="AZ143" s="1871"/>
      <c r="BA143" s="1873"/>
      <c r="BB143" s="1872"/>
      <c r="BC143" s="1873"/>
    </row>
    <row r="144" spans="1:55" s="1259" customFormat="1" ht="12.75" x14ac:dyDescent="0.3">
      <c r="A144" s="903" t="s">
        <v>862</v>
      </c>
      <c r="B144" s="1874" t="s">
        <v>869</v>
      </c>
      <c r="C144" s="1368"/>
      <c r="D144" s="1368"/>
      <c r="E144" s="1368"/>
      <c r="F144" s="1368"/>
      <c r="G144" s="1369"/>
      <c r="H144" s="1369"/>
      <c r="I144" s="1117"/>
      <c r="J144" s="1369"/>
      <c r="K144" s="1368"/>
      <c r="L144" s="1368"/>
      <c r="M144" s="1836"/>
      <c r="N144" s="1836"/>
      <c r="O144" s="1837"/>
      <c r="P144" s="1837"/>
      <c r="Q144" s="1837"/>
      <c r="R144" s="1837"/>
      <c r="S144" s="1775"/>
      <c r="T144" s="1836"/>
      <c r="U144" s="1836"/>
      <c r="V144" s="1836"/>
      <c r="W144" s="1838"/>
      <c r="X144" s="1866"/>
      <c r="Y144" s="1838"/>
      <c r="Z144" s="1838"/>
      <c r="AA144" s="1836"/>
      <c r="AB144" s="1836"/>
      <c r="AC144" s="1836"/>
      <c r="AD144" s="1836"/>
      <c r="AE144" s="1838"/>
      <c r="AF144" s="1838"/>
      <c r="AG144" s="1838"/>
      <c r="AH144" s="1838"/>
      <c r="AI144" s="1836"/>
      <c r="AJ144" s="1836"/>
      <c r="AK144" s="1836"/>
      <c r="AL144" s="1836"/>
      <c r="AM144" s="1838"/>
      <c r="AN144" s="1838"/>
      <c r="AO144" s="1838"/>
      <c r="AP144" s="1838"/>
      <c r="AQ144" s="1867"/>
      <c r="AR144" s="1868"/>
      <c r="AS144" s="1868"/>
      <c r="AT144" s="1869"/>
      <c r="AU144" s="1870"/>
      <c r="AV144" s="1875">
        <v>313</v>
      </c>
      <c r="AW144" s="1875">
        <v>1207</v>
      </c>
      <c r="AX144" s="1872"/>
      <c r="AY144" s="1871"/>
      <c r="AZ144" s="1871"/>
      <c r="BA144" s="1873"/>
      <c r="BB144" s="1872"/>
      <c r="BC144" s="1873"/>
    </row>
    <row r="145" spans="1:55" s="1259" customFormat="1" ht="12.75" x14ac:dyDescent="0.3">
      <c r="A145" s="1623"/>
      <c r="B145" s="1876" t="s">
        <v>754</v>
      </c>
      <c r="C145" s="1368"/>
      <c r="D145" s="1368"/>
      <c r="E145" s="1368"/>
      <c r="F145" s="1368"/>
      <c r="G145" s="1369"/>
      <c r="H145" s="1369"/>
      <c r="I145" s="1117"/>
      <c r="J145" s="1369"/>
      <c r="K145" s="1368"/>
      <c r="L145" s="1368"/>
      <c r="M145" s="1836"/>
      <c r="N145" s="1836"/>
      <c r="O145" s="1837"/>
      <c r="P145" s="1837"/>
      <c r="Q145" s="1837"/>
      <c r="R145" s="1837"/>
      <c r="S145" s="1775"/>
      <c r="T145" s="1836"/>
      <c r="U145" s="1836"/>
      <c r="V145" s="1836"/>
      <c r="W145" s="1838"/>
      <c r="X145" s="1866"/>
      <c r="Y145" s="1838"/>
      <c r="Z145" s="1838"/>
      <c r="AA145" s="1836"/>
      <c r="AB145" s="1836"/>
      <c r="AC145" s="1836"/>
      <c r="AD145" s="1836"/>
      <c r="AE145" s="1838"/>
      <c r="AF145" s="1838"/>
      <c r="AG145" s="1838"/>
      <c r="AH145" s="1838"/>
      <c r="AI145" s="1836"/>
      <c r="AJ145" s="1836"/>
      <c r="AK145" s="1836"/>
      <c r="AL145" s="1836"/>
      <c r="AM145" s="1838"/>
      <c r="AN145" s="1838"/>
      <c r="AO145" s="1838"/>
      <c r="AP145" s="1838"/>
      <c r="AQ145" s="1867"/>
      <c r="AR145" s="1868"/>
      <c r="AS145" s="1868"/>
      <c r="AT145" s="1869"/>
      <c r="AU145" s="1870"/>
      <c r="AV145" s="1875"/>
      <c r="AW145" s="931">
        <f>AW144/AV144-1</f>
        <v>2.8562300319488818</v>
      </c>
      <c r="AX145" s="1872"/>
      <c r="AY145" s="1871"/>
      <c r="AZ145" s="1871"/>
      <c r="BA145" s="1873"/>
      <c r="BB145" s="1872"/>
      <c r="BC145" s="1873"/>
    </row>
    <row r="146" spans="1:55" s="1259" customFormat="1" ht="12.75" x14ac:dyDescent="0.3">
      <c r="A146" s="903" t="s">
        <v>862</v>
      </c>
      <c r="B146" s="1874" t="s">
        <v>870</v>
      </c>
      <c r="C146" s="1368"/>
      <c r="D146" s="1368"/>
      <c r="E146" s="1368"/>
      <c r="F146" s="1368"/>
      <c r="G146" s="1369"/>
      <c r="H146" s="1369"/>
      <c r="I146" s="1117"/>
      <c r="J146" s="1369"/>
      <c r="K146" s="1368"/>
      <c r="L146" s="1368"/>
      <c r="M146" s="1836"/>
      <c r="N146" s="1836"/>
      <c r="O146" s="1837"/>
      <c r="P146" s="1837"/>
      <c r="Q146" s="1837"/>
      <c r="R146" s="1837"/>
      <c r="S146" s="1775"/>
      <c r="T146" s="1836"/>
      <c r="U146" s="1836"/>
      <c r="V146" s="1836"/>
      <c r="W146" s="1838"/>
      <c r="X146" s="1866"/>
      <c r="Y146" s="1838"/>
      <c r="Z146" s="1838"/>
      <c r="AA146" s="1836"/>
      <c r="AB146" s="1836"/>
      <c r="AC146" s="1836"/>
      <c r="AD146" s="1836"/>
      <c r="AE146" s="1838"/>
      <c r="AF146" s="1838"/>
      <c r="AG146" s="1838"/>
      <c r="AH146" s="1838"/>
      <c r="AI146" s="1836"/>
      <c r="AJ146" s="1836"/>
      <c r="AK146" s="1836"/>
      <c r="AL146" s="1836"/>
      <c r="AM146" s="1838"/>
      <c r="AN146" s="1838"/>
      <c r="AO146" s="1838"/>
      <c r="AP146" s="1838"/>
      <c r="AQ146" s="1867"/>
      <c r="AR146" s="1868"/>
      <c r="AS146" s="1868"/>
      <c r="AT146" s="1869"/>
      <c r="AU146" s="1870"/>
      <c r="AV146" s="1875">
        <v>-2312</v>
      </c>
      <c r="AW146" s="1875">
        <v>-4429</v>
      </c>
      <c r="AX146" s="1872"/>
      <c r="AY146" s="1871"/>
      <c r="AZ146" s="1871"/>
      <c r="BA146" s="1873"/>
      <c r="BB146" s="1872"/>
      <c r="BC146" s="1873"/>
    </row>
    <row r="147" spans="1:55" s="1259" customFormat="1" ht="12.75" x14ac:dyDescent="0.3">
      <c r="A147" s="1623"/>
      <c r="B147" s="1876" t="s">
        <v>754</v>
      </c>
      <c r="C147" s="1368"/>
      <c r="D147" s="1368"/>
      <c r="E147" s="1368"/>
      <c r="F147" s="1368"/>
      <c r="G147" s="1369"/>
      <c r="H147" s="1369"/>
      <c r="I147" s="1117"/>
      <c r="J147" s="1369"/>
      <c r="K147" s="1368"/>
      <c r="L147" s="1368"/>
      <c r="M147" s="1836"/>
      <c r="N147" s="1836"/>
      <c r="O147" s="1837"/>
      <c r="P147" s="1837"/>
      <c r="Q147" s="1837"/>
      <c r="R147" s="1837"/>
      <c r="S147" s="1775"/>
      <c r="T147" s="1836"/>
      <c r="U147" s="1836"/>
      <c r="V147" s="1836"/>
      <c r="W147" s="1838"/>
      <c r="X147" s="1866"/>
      <c r="Y147" s="1838"/>
      <c r="Z147" s="1838"/>
      <c r="AA147" s="1836"/>
      <c r="AB147" s="1836"/>
      <c r="AC147" s="1836"/>
      <c r="AD147" s="1836"/>
      <c r="AE147" s="1838"/>
      <c r="AF147" s="1838"/>
      <c r="AG147" s="1838"/>
      <c r="AH147" s="1838"/>
      <c r="AI147" s="1836"/>
      <c r="AJ147" s="1836"/>
      <c r="AK147" s="1836"/>
      <c r="AL147" s="1836"/>
      <c r="AM147" s="1838"/>
      <c r="AN147" s="1838"/>
      <c r="AO147" s="1838"/>
      <c r="AP147" s="1838"/>
      <c r="AQ147" s="1867"/>
      <c r="AR147" s="1868"/>
      <c r="AS147" s="1868"/>
      <c r="AT147" s="1869"/>
      <c r="AU147" s="1870"/>
      <c r="AV147" s="1875"/>
      <c r="AW147" s="931">
        <f>AW146/AV146-1</f>
        <v>0.91565743944636679</v>
      </c>
      <c r="AX147" s="1872"/>
      <c r="AY147" s="1871"/>
      <c r="AZ147" s="1871"/>
      <c r="BA147" s="1873"/>
      <c r="BB147" s="1872"/>
      <c r="BC147" s="1873"/>
    </row>
    <row r="148" spans="1:55" s="1259" customFormat="1" ht="12.75" x14ac:dyDescent="0.3">
      <c r="A148" s="1623"/>
      <c r="B148" s="1874" t="s">
        <v>871</v>
      </c>
      <c r="C148" s="1368"/>
      <c r="D148" s="1368"/>
      <c r="E148" s="1368"/>
      <c r="F148" s="1368"/>
      <c r="G148" s="1369"/>
      <c r="H148" s="1369"/>
      <c r="I148" s="1117"/>
      <c r="J148" s="1369"/>
      <c r="K148" s="1368"/>
      <c r="L148" s="1368"/>
      <c r="M148" s="1836"/>
      <c r="N148" s="1836"/>
      <c r="O148" s="1837"/>
      <c r="P148" s="1837"/>
      <c r="Q148" s="1837"/>
      <c r="R148" s="1837"/>
      <c r="S148" s="1775"/>
      <c r="T148" s="1836"/>
      <c r="U148" s="1836"/>
      <c r="V148" s="1836"/>
      <c r="W148" s="1838"/>
      <c r="X148" s="1866"/>
      <c r="Y148" s="1838"/>
      <c r="Z148" s="1838"/>
      <c r="AA148" s="1836"/>
      <c r="AB148" s="1836"/>
      <c r="AC148" s="1836"/>
      <c r="AD148" s="1836"/>
      <c r="AE148" s="1838"/>
      <c r="AF148" s="1838"/>
      <c r="AG148" s="1838"/>
      <c r="AH148" s="1838"/>
      <c r="AI148" s="1836"/>
      <c r="AJ148" s="1836"/>
      <c r="AK148" s="1836"/>
      <c r="AL148" s="1836"/>
      <c r="AM148" s="1838"/>
      <c r="AN148" s="1838"/>
      <c r="AO148" s="1838"/>
      <c r="AP148" s="1838"/>
      <c r="AQ148" s="1867"/>
      <c r="AR148" s="1868"/>
      <c r="AS148" s="1868"/>
      <c r="AT148" s="1869"/>
      <c r="AU148" s="1870"/>
      <c r="AV148" s="1875"/>
      <c r="AW148" s="1875"/>
      <c r="AX148" s="1872"/>
      <c r="AY148" s="1871"/>
      <c r="AZ148" s="1871"/>
      <c r="BA148" s="1873"/>
      <c r="BB148" s="1872"/>
      <c r="BC148" s="1873"/>
    </row>
    <row r="149" spans="1:55" s="1492" customFormat="1" x14ac:dyDescent="0.35">
      <c r="A149" s="1623"/>
      <c r="B149" s="1874" t="s">
        <v>872</v>
      </c>
      <c r="C149" s="1685"/>
      <c r="D149" s="1685"/>
      <c r="E149" s="1685"/>
      <c r="F149" s="1685"/>
      <c r="G149" s="1686"/>
      <c r="H149" s="1686"/>
      <c r="I149" s="1687"/>
      <c r="J149" s="1686"/>
      <c r="K149" s="1685"/>
      <c r="L149" s="1685"/>
      <c r="M149" s="1348"/>
      <c r="N149" s="1348"/>
      <c r="O149" s="1347"/>
      <c r="P149" s="1347"/>
      <c r="Q149" s="1347"/>
      <c r="R149" s="1877">
        <f>S149/(1+S150)</f>
        <v>20.945945945945947</v>
      </c>
      <c r="S149" s="1843">
        <v>31</v>
      </c>
      <c r="T149" s="1775">
        <v>48</v>
      </c>
      <c r="U149" s="1843">
        <v>73.099999999999994</v>
      </c>
      <c r="V149" s="1843">
        <v>74.7</v>
      </c>
      <c r="W149" s="1878">
        <v>92</v>
      </c>
      <c r="X149" s="1076"/>
      <c r="Y149" s="1076"/>
      <c r="Z149" s="1076"/>
      <c r="AA149" s="1077"/>
      <c r="AB149" s="1077"/>
      <c r="AC149" s="1077"/>
      <c r="AD149" s="1077"/>
      <c r="AE149" s="1076"/>
      <c r="AF149" s="1076"/>
      <c r="AG149" s="1076"/>
      <c r="AH149" s="1076"/>
      <c r="AI149" s="1077"/>
      <c r="AJ149" s="1077"/>
      <c r="AK149" s="1077"/>
      <c r="AL149" s="1077"/>
      <c r="AM149" s="1076"/>
      <c r="AN149" s="1076"/>
      <c r="AO149" s="1076"/>
      <c r="AP149" s="1076"/>
      <c r="AQ149" s="1844"/>
      <c r="AR149" s="1879"/>
      <c r="AS149" s="1879"/>
      <c r="AT149" s="1880"/>
      <c r="AU149" s="1847"/>
      <c r="AV149" s="1845"/>
      <c r="AW149" s="1845"/>
      <c r="AX149" s="1844"/>
      <c r="AY149" s="1845"/>
      <c r="AZ149" s="1845"/>
      <c r="BA149" s="1848"/>
      <c r="BB149" s="1844"/>
      <c r="BC149" s="1848"/>
    </row>
    <row r="150" spans="1:55" s="1259" customFormat="1" ht="12.75" x14ac:dyDescent="0.3">
      <c r="A150" s="903"/>
      <c r="B150" s="1881" t="s">
        <v>750</v>
      </c>
      <c r="C150" s="1882"/>
      <c r="D150" s="1882"/>
      <c r="E150" s="1882"/>
      <c r="F150" s="1882"/>
      <c r="G150" s="1883"/>
      <c r="H150" s="1883"/>
      <c r="I150" s="1884"/>
      <c r="J150" s="1883"/>
      <c r="K150" s="1882"/>
      <c r="L150" s="1882"/>
      <c r="M150" s="1885"/>
      <c r="N150" s="1885"/>
      <c r="O150" s="1886"/>
      <c r="P150" s="1886"/>
      <c r="Q150" s="1886"/>
      <c r="R150" s="1886"/>
      <c r="S150" s="1887">
        <v>0.48</v>
      </c>
      <c r="T150" s="1887">
        <f>(T149-S149)/S149</f>
        <v>0.54838709677419351</v>
      </c>
      <c r="U150" s="1887">
        <v>0.52</v>
      </c>
      <c r="V150" s="1887">
        <v>0.52</v>
      </c>
      <c r="W150" s="1888">
        <v>0.52</v>
      </c>
      <c r="X150" s="1889"/>
      <c r="Y150" s="1889"/>
      <c r="Z150" s="1889"/>
      <c r="AA150" s="1885"/>
      <c r="AB150" s="1885"/>
      <c r="AC150" s="1885"/>
      <c r="AD150" s="1885"/>
      <c r="AE150" s="1889"/>
      <c r="AF150" s="1889"/>
      <c r="AG150" s="1889"/>
      <c r="AH150" s="1889"/>
      <c r="AI150" s="1885"/>
      <c r="AJ150" s="1885"/>
      <c r="AK150" s="1885"/>
      <c r="AL150" s="1885"/>
      <c r="AM150" s="1889"/>
      <c r="AN150" s="1889"/>
      <c r="AO150" s="1889"/>
      <c r="AP150" s="1889"/>
      <c r="AQ150" s="1890"/>
      <c r="AR150" s="1891"/>
      <c r="AS150" s="1891"/>
      <c r="AT150" s="1892"/>
      <c r="AU150" s="1893"/>
      <c r="AV150" s="1894"/>
      <c r="AW150" s="1894"/>
      <c r="AX150" s="1895"/>
      <c r="AY150" s="1894"/>
      <c r="AZ150" s="1894"/>
      <c r="BA150" s="1896"/>
      <c r="BB150" s="1897"/>
      <c r="BC150" s="1896"/>
    </row>
    <row r="151" spans="1:55" s="1355" customFormat="1" x14ac:dyDescent="0.3">
      <c r="A151" s="903"/>
      <c r="B151" s="1840" t="s">
        <v>873</v>
      </c>
      <c r="C151" s="1344"/>
      <c r="D151" s="1344"/>
      <c r="E151" s="1344"/>
      <c r="F151" s="1344"/>
      <c r="G151" s="1345"/>
      <c r="H151" s="1345"/>
      <c r="I151" s="1346"/>
      <c r="J151" s="1345"/>
      <c r="K151" s="1344"/>
      <c r="L151" s="1344"/>
      <c r="M151" s="1898"/>
      <c r="N151" s="1898"/>
      <c r="O151" s="1899"/>
      <c r="P151" s="1899"/>
      <c r="Q151" s="1899"/>
      <c r="R151" s="1899"/>
      <c r="S151" s="1779"/>
      <c r="T151" s="1779"/>
      <c r="U151" s="1779"/>
      <c r="V151" s="1779"/>
      <c r="W151" s="1762"/>
      <c r="X151" s="1832"/>
      <c r="Y151" s="1832"/>
      <c r="Z151" s="1832"/>
      <c r="AA151" s="1898"/>
      <c r="AB151" s="1898"/>
      <c r="AC151" s="1898"/>
      <c r="AD151" s="1898"/>
      <c r="AE151" s="1832"/>
      <c r="AF151" s="1832"/>
      <c r="AG151" s="1832"/>
      <c r="AH151" s="1832"/>
      <c r="AI151" s="1898"/>
      <c r="AJ151" s="1898"/>
      <c r="AK151" s="1898"/>
      <c r="AL151" s="1898"/>
      <c r="AM151" s="1832"/>
      <c r="AN151" s="1832"/>
      <c r="AO151" s="1832"/>
      <c r="AP151" s="1832"/>
      <c r="AQ151" s="1826"/>
      <c r="AR151" s="1827"/>
      <c r="AS151" s="1827"/>
      <c r="AT151" s="1828"/>
      <c r="AU151" s="1829"/>
      <c r="AV151" s="1830"/>
      <c r="AW151" s="1830"/>
      <c r="AX151" s="1900"/>
      <c r="AY151" s="1832"/>
      <c r="AZ151" s="1832"/>
      <c r="BA151" s="1833"/>
      <c r="BB151" s="1834"/>
      <c r="BC151" s="1833"/>
    </row>
    <row r="152" spans="1:55" s="1047" customFormat="1" x14ac:dyDescent="0.3">
      <c r="A152" s="903" t="s">
        <v>862</v>
      </c>
      <c r="B152" s="960" t="s">
        <v>874</v>
      </c>
      <c r="C152" s="1901"/>
      <c r="D152" s="1901"/>
      <c r="E152" s="1901"/>
      <c r="F152" s="1901"/>
      <c r="G152" s="1902"/>
      <c r="H152" s="1902"/>
      <c r="I152" s="930"/>
      <c r="J152" s="1902"/>
      <c r="K152" s="1901"/>
      <c r="L152" s="1901"/>
      <c r="M152" s="1903"/>
      <c r="N152" s="1903"/>
      <c r="O152" s="1904"/>
      <c r="P152" s="1904"/>
      <c r="Q152" s="1904"/>
      <c r="R152" s="1904"/>
      <c r="S152" s="1905"/>
      <c r="T152" s="1905"/>
      <c r="U152" s="1905"/>
      <c r="V152" s="1905"/>
      <c r="W152" s="931"/>
      <c r="X152" s="1906"/>
      <c r="Y152" s="1906"/>
      <c r="Z152" s="1906"/>
      <c r="AA152" s="1903"/>
      <c r="AB152" s="1907"/>
      <c r="AC152" s="1903"/>
      <c r="AD152" s="1903"/>
      <c r="AE152" s="1906"/>
      <c r="AF152" s="1906"/>
      <c r="AG152" s="1906"/>
      <c r="AH152" s="1906"/>
      <c r="AI152" s="1903"/>
      <c r="AJ152" s="1903"/>
      <c r="AK152" s="1903"/>
      <c r="AL152" s="1903"/>
      <c r="AM152" s="1906"/>
      <c r="AN152" s="1906"/>
      <c r="AO152" s="1906"/>
      <c r="AP152" s="1906"/>
      <c r="AQ152" s="1908"/>
      <c r="AR152" s="1902"/>
      <c r="AS152" s="1902"/>
      <c r="AT152" s="1909"/>
      <c r="AU152" s="1910">
        <v>450</v>
      </c>
      <c r="AV152" s="1911">
        <v>630</v>
      </c>
      <c r="AW152" s="1911">
        <v>870</v>
      </c>
      <c r="AX152" s="1912">
        <v>1000</v>
      </c>
      <c r="AY152" s="1906"/>
      <c r="AZ152" s="1906"/>
      <c r="BA152" s="1913"/>
      <c r="BB152" s="1914"/>
      <c r="BC152" s="1913"/>
    </row>
    <row r="153" spans="1:55" s="1355" customFormat="1" x14ac:dyDescent="0.3">
      <c r="A153" s="1915"/>
      <c r="B153" s="960" t="s">
        <v>754</v>
      </c>
      <c r="C153" s="1344"/>
      <c r="D153" s="1344"/>
      <c r="E153" s="1344"/>
      <c r="F153" s="1344"/>
      <c r="G153" s="1345"/>
      <c r="H153" s="1345"/>
      <c r="I153" s="1346"/>
      <c r="J153" s="1345"/>
      <c r="K153" s="1344"/>
      <c r="L153" s="1344"/>
      <c r="M153" s="1898"/>
      <c r="N153" s="1898"/>
      <c r="O153" s="1899"/>
      <c r="P153" s="1899"/>
      <c r="Q153" s="1899"/>
      <c r="R153" s="1899"/>
      <c r="S153" s="1779"/>
      <c r="T153" s="1779"/>
      <c r="U153" s="1779"/>
      <c r="V153" s="1779"/>
      <c r="W153" s="1762"/>
      <c r="X153" s="1832"/>
      <c r="Y153" s="1832"/>
      <c r="Z153" s="1832"/>
      <c r="AA153" s="1916"/>
      <c r="AB153" s="1916"/>
      <c r="AC153" s="1916"/>
      <c r="AD153" s="1916"/>
      <c r="AE153" s="1917"/>
      <c r="AF153" s="1917"/>
      <c r="AG153" s="1917"/>
      <c r="AH153" s="1917"/>
      <c r="AI153" s="1916"/>
      <c r="AJ153" s="1916"/>
      <c r="AK153" s="1916"/>
      <c r="AL153" s="1916"/>
      <c r="AM153" s="1917"/>
      <c r="AN153" s="1917"/>
      <c r="AO153" s="1917"/>
      <c r="AP153" s="1917"/>
      <c r="AQ153" s="1350"/>
      <c r="AR153" s="1345"/>
      <c r="AS153" s="1345"/>
      <c r="AT153" s="1695"/>
      <c r="AU153" s="1694"/>
      <c r="AV153" s="1762">
        <f>AV152/AU152-1</f>
        <v>0.39999999999999991</v>
      </c>
      <c r="AW153" s="1762">
        <f>AW152/AV152-1</f>
        <v>0.38095238095238093</v>
      </c>
      <c r="AX153" s="932">
        <f>AX152/AW152-1</f>
        <v>0.14942528735632177</v>
      </c>
      <c r="AY153" s="1906"/>
      <c r="AZ153" s="1832"/>
      <c r="BA153" s="1833"/>
      <c r="BB153" s="1834"/>
      <c r="BC153" s="1833"/>
    </row>
    <row r="154" spans="1:55" s="1355" customFormat="1" x14ac:dyDescent="0.3">
      <c r="A154" s="1918"/>
      <c r="B154" s="960" t="s">
        <v>875</v>
      </c>
      <c r="C154" s="1344"/>
      <c r="D154" s="1344"/>
      <c r="E154" s="1344"/>
      <c r="F154" s="1344"/>
      <c r="G154" s="1345"/>
      <c r="H154" s="1345"/>
      <c r="I154" s="1346"/>
      <c r="J154" s="1345"/>
      <c r="K154" s="1344"/>
      <c r="L154" s="1344"/>
      <c r="M154" s="1898"/>
      <c r="N154" s="1898"/>
      <c r="O154" s="1899"/>
      <c r="P154" s="1899"/>
      <c r="Q154" s="1899"/>
      <c r="R154" s="1899"/>
      <c r="S154" s="1779"/>
      <c r="T154" s="1779"/>
      <c r="U154" s="1779"/>
      <c r="V154" s="1779"/>
      <c r="W154" s="1762"/>
      <c r="X154" s="1832"/>
      <c r="Y154" s="1832"/>
      <c r="Z154" s="1832"/>
      <c r="AA154" s="1907"/>
      <c r="AB154" s="1907">
        <v>700</v>
      </c>
      <c r="AC154" s="1907"/>
      <c r="AD154" s="1907"/>
      <c r="AE154" s="1911"/>
      <c r="AF154" s="1911"/>
      <c r="AG154" s="1911"/>
      <c r="AH154" s="1911"/>
      <c r="AI154" s="1907"/>
      <c r="AJ154" s="1907"/>
      <c r="AK154" s="1907"/>
      <c r="AL154" s="1907"/>
      <c r="AM154" s="1911"/>
      <c r="AN154" s="1911"/>
      <c r="AO154" s="1911"/>
      <c r="AP154" s="1911"/>
      <c r="AQ154" s="1350"/>
      <c r="AR154" s="1345"/>
      <c r="AS154" s="1345"/>
      <c r="AT154" s="1695"/>
      <c r="AU154" s="1694"/>
      <c r="AV154" s="1762"/>
      <c r="AW154" s="1762"/>
      <c r="AX154" s="919"/>
      <c r="AY154" s="1906"/>
      <c r="AZ154" s="1832"/>
      <c r="BA154" s="1833"/>
      <c r="BB154" s="1834"/>
      <c r="BC154" s="1833"/>
    </row>
    <row r="155" spans="1:55" ht="10.15" x14ac:dyDescent="0.3">
      <c r="A155" s="1918"/>
      <c r="B155" s="1919" t="s">
        <v>876</v>
      </c>
      <c r="C155" s="1920"/>
      <c r="D155" s="1920"/>
      <c r="E155" s="1921">
        <v>19.100000000000001</v>
      </c>
      <c r="F155" s="1922"/>
      <c r="G155" s="1131"/>
      <c r="H155" s="1923"/>
      <c r="I155" s="1440">
        <v>36.200000000000003</v>
      </c>
      <c r="J155" s="1924"/>
      <c r="K155" s="1920"/>
      <c r="L155" s="1920"/>
      <c r="M155" s="1920"/>
      <c r="N155" s="1920"/>
      <c r="O155" s="1925"/>
      <c r="P155" s="1924"/>
      <c r="Q155" s="1924"/>
      <c r="R155" s="1924"/>
      <c r="S155" s="1920"/>
      <c r="T155" s="1920"/>
      <c r="U155" s="1920"/>
      <c r="V155" s="1920"/>
      <c r="W155" s="1924"/>
      <c r="X155" s="1924"/>
      <c r="Y155" s="1924"/>
      <c r="Z155" s="1924"/>
      <c r="AA155" s="1920"/>
      <c r="AB155" s="1920"/>
      <c r="AC155" s="1920"/>
      <c r="AD155" s="1920"/>
      <c r="AE155" s="1924"/>
      <c r="AF155" s="1924"/>
      <c r="AG155" s="1924"/>
      <c r="AH155" s="1924"/>
      <c r="AI155" s="1920"/>
      <c r="AJ155" s="1920"/>
      <c r="AK155" s="1920"/>
      <c r="AL155" s="1920"/>
      <c r="AM155" s="1924"/>
      <c r="AN155" s="1924"/>
      <c r="AO155" s="1924"/>
      <c r="AP155" s="1924"/>
      <c r="AQ155" s="1926"/>
      <c r="AR155" s="1440"/>
      <c r="AT155" s="1094"/>
      <c r="AU155" s="1088"/>
      <c r="AX155" s="1088"/>
      <c r="BA155" s="1094"/>
      <c r="BB155" s="1088"/>
      <c r="BC155" s="1094"/>
    </row>
    <row r="156" spans="1:55" ht="10.15" x14ac:dyDescent="0.3">
      <c r="A156" s="903" t="s">
        <v>862</v>
      </c>
      <c r="B156" s="1927" t="s">
        <v>877</v>
      </c>
      <c r="C156" s="1922"/>
      <c r="D156" s="1922"/>
      <c r="E156" s="1921"/>
      <c r="F156" s="1922"/>
      <c r="G156" s="1131"/>
      <c r="H156" s="1923"/>
      <c r="I156" s="1440"/>
      <c r="J156" s="1923"/>
      <c r="K156" s="1922"/>
      <c r="L156" s="1922"/>
      <c r="M156" s="1922"/>
      <c r="N156" s="1922"/>
      <c r="O156" s="1131"/>
      <c r="P156" s="1923"/>
      <c r="Q156" s="1928"/>
      <c r="R156" s="1928"/>
      <c r="S156" s="1922"/>
      <c r="T156" s="1922"/>
      <c r="U156" s="1922"/>
      <c r="V156" s="1922"/>
      <c r="W156" s="1923"/>
      <c r="X156" s="1923"/>
      <c r="Y156" s="1923"/>
      <c r="Z156" s="1923"/>
      <c r="AA156" s="1922"/>
      <c r="AB156" s="1922"/>
      <c r="AC156" s="1922"/>
      <c r="AD156" s="1922"/>
      <c r="AE156" s="1923"/>
      <c r="AF156" s="1923"/>
      <c r="AG156" s="1923"/>
      <c r="AH156" s="1923"/>
      <c r="AI156" s="1922"/>
      <c r="AJ156" s="1922"/>
      <c r="AK156" s="1922"/>
      <c r="AL156" s="1922"/>
      <c r="AM156" s="1923"/>
      <c r="AN156" s="1923"/>
      <c r="AO156" s="1923"/>
      <c r="AP156" s="1923"/>
      <c r="AQ156" s="1926"/>
      <c r="AR156" s="1440">
        <v>36.200000000000003</v>
      </c>
      <c r="AT156" s="1929">
        <f>75%*AT15</f>
        <v>1832.8754999999999</v>
      </c>
      <c r="AU156" s="1930">
        <f>75%*AU15</f>
        <v>2319</v>
      </c>
      <c r="AV156" s="1931">
        <f>72%*AV15</f>
        <v>2712.3803999999996</v>
      </c>
      <c r="AW156" s="1931">
        <f>70%*AW15</f>
        <v>3374.0371139999993</v>
      </c>
      <c r="AX156" s="1289">
        <f>70%*AX15</f>
        <v>4008.8999999999996</v>
      </c>
      <c r="BA156" s="1094"/>
      <c r="BB156" s="1088"/>
      <c r="BC156" s="1094"/>
    </row>
    <row r="157" spans="1:55" ht="10.15" x14ac:dyDescent="0.3">
      <c r="A157" s="903" t="s">
        <v>862</v>
      </c>
      <c r="B157" s="1927" t="s">
        <v>878</v>
      </c>
      <c r="C157" s="1922"/>
      <c r="D157" s="1922"/>
      <c r="E157" s="887"/>
      <c r="F157" s="1922"/>
      <c r="G157" s="1131"/>
      <c r="H157" s="1923"/>
      <c r="I157" s="1440"/>
      <c r="J157" s="1923"/>
      <c r="K157" s="1922"/>
      <c r="L157" s="1922"/>
      <c r="M157" s="1922"/>
      <c r="N157" s="1922"/>
      <c r="O157" s="1131"/>
      <c r="P157" s="1923"/>
      <c r="Q157" s="1928"/>
      <c r="R157" s="1928"/>
      <c r="S157" s="1922"/>
      <c r="T157" s="1922"/>
      <c r="U157" s="1922"/>
      <c r="V157" s="1922"/>
      <c r="W157" s="1923"/>
      <c r="X157" s="1923"/>
      <c r="Y157" s="1923"/>
      <c r="Z157" s="1923"/>
      <c r="AA157" s="1922"/>
      <c r="AB157" s="1922"/>
      <c r="AC157" s="1922"/>
      <c r="AD157" s="1922"/>
      <c r="AE157" s="1923"/>
      <c r="AF157" s="1923"/>
      <c r="AG157" s="1923"/>
      <c r="AH157" s="1923"/>
      <c r="AI157" s="1922"/>
      <c r="AJ157" s="1922"/>
      <c r="AK157" s="1922"/>
      <c r="AL157" s="1922"/>
      <c r="AM157" s="1923"/>
      <c r="AN157" s="1923"/>
      <c r="AO157" s="1923"/>
      <c r="AP157" s="1923"/>
      <c r="AQ157" s="1926"/>
      <c r="AR157" s="1932"/>
      <c r="AT157" s="1929"/>
      <c r="AU157" s="1930">
        <v>4898</v>
      </c>
      <c r="AV157" s="1931">
        <v>5487</v>
      </c>
      <c r="AW157" s="1931">
        <v>6295</v>
      </c>
      <c r="AX157" s="1289">
        <v>8252</v>
      </c>
      <c r="BA157" s="1094"/>
      <c r="BB157" s="1088"/>
      <c r="BC157" s="1094"/>
    </row>
    <row r="158" spans="1:55" ht="10.15" x14ac:dyDescent="0.3">
      <c r="A158" s="903"/>
      <c r="B158" s="1927" t="s">
        <v>879</v>
      </c>
      <c r="C158" s="1922"/>
      <c r="D158" s="1922"/>
      <c r="E158" s="887"/>
      <c r="F158" s="1922"/>
      <c r="G158" s="1131"/>
      <c r="H158" s="1923"/>
      <c r="I158" s="1440"/>
      <c r="J158" s="1923"/>
      <c r="K158" s="1922"/>
      <c r="L158" s="1922"/>
      <c r="M158" s="1922"/>
      <c r="N158" s="1922"/>
      <c r="O158" s="1131"/>
      <c r="P158" s="1923"/>
      <c r="Q158" s="1928"/>
      <c r="R158" s="1928"/>
      <c r="S158" s="1922"/>
      <c r="T158" s="1922"/>
      <c r="U158" s="1922"/>
      <c r="V158" s="1922"/>
      <c r="W158" s="1923"/>
      <c r="X158" s="1923"/>
      <c r="Y158" s="1923"/>
      <c r="Z158" s="1923"/>
      <c r="AA158" s="1922"/>
      <c r="AB158" s="1922"/>
      <c r="AC158" s="1922"/>
      <c r="AD158" s="1922"/>
      <c r="AE158" s="1923"/>
      <c r="AF158" s="1923"/>
      <c r="AG158" s="1923"/>
      <c r="AH158" s="1923"/>
      <c r="AI158" s="1922"/>
      <c r="AJ158" s="1922"/>
      <c r="AK158" s="1922"/>
      <c r="AL158" s="1922"/>
      <c r="AM158" s="1923"/>
      <c r="AN158" s="1923"/>
      <c r="AO158" s="1923"/>
      <c r="AP158" s="1923"/>
      <c r="AQ158" s="1926"/>
      <c r="AR158" s="1932"/>
      <c r="AT158" s="1929"/>
      <c r="AU158" s="1933">
        <f>AU157/AU156/1000</f>
        <v>2.1121172919361794E-3</v>
      </c>
      <c r="AV158" s="1934">
        <f>AV157/AV156/1000</f>
        <v>2.022946338942724E-3</v>
      </c>
      <c r="AW158" s="1934">
        <f>AW157/AW156/1000</f>
        <v>1.8657174735511818E-3</v>
      </c>
      <c r="AX158" s="1933">
        <f>AX157/AX156/1000</f>
        <v>2.0584200154655894E-3</v>
      </c>
      <c r="BA158" s="1094"/>
      <c r="BB158" s="1088"/>
      <c r="BC158" s="1094"/>
    </row>
    <row r="159" spans="1:55" ht="10.15" x14ac:dyDescent="0.3">
      <c r="A159" s="903" t="s">
        <v>862</v>
      </c>
      <c r="B159" s="1935" t="s">
        <v>880</v>
      </c>
      <c r="C159" s="1936"/>
      <c r="D159" s="1936"/>
      <c r="E159" s="1936"/>
      <c r="F159" s="1936"/>
      <c r="G159" s="1937"/>
      <c r="H159" s="1938"/>
      <c r="I159" s="770">
        <v>254</v>
      </c>
      <c r="J159" s="1938"/>
      <c r="K159" s="1936"/>
      <c r="L159" s="1936"/>
      <c r="M159" s="1936"/>
      <c r="N159" s="1936"/>
      <c r="O159" s="1937"/>
      <c r="P159" s="1938"/>
      <c r="Q159" s="1938"/>
      <c r="R159" s="1938"/>
      <c r="S159" s="1936"/>
      <c r="T159" s="1936"/>
      <c r="U159" s="1936"/>
      <c r="V159" s="1936"/>
      <c r="W159" s="1938"/>
      <c r="X159" s="1938"/>
      <c r="Y159" s="1938"/>
      <c r="Z159" s="1938"/>
      <c r="AA159" s="1936"/>
      <c r="AB159" s="1936"/>
      <c r="AC159" s="1936"/>
      <c r="AD159" s="1936"/>
      <c r="AE159" s="1938"/>
      <c r="AF159" s="1938"/>
      <c r="AG159" s="1938"/>
      <c r="AH159" s="1938"/>
      <c r="AI159" s="1936"/>
      <c r="AJ159" s="1936"/>
      <c r="AK159" s="1936"/>
      <c r="AL159" s="1936"/>
      <c r="AM159" s="1938"/>
      <c r="AN159" s="1938"/>
      <c r="AO159" s="1938"/>
      <c r="AP159" s="1938"/>
      <c r="AQ159" s="1939"/>
      <c r="AR159" s="770">
        <v>254</v>
      </c>
      <c r="AS159" s="768"/>
      <c r="AT159" s="1940"/>
      <c r="AU159" s="1100"/>
      <c r="AV159" s="768"/>
      <c r="AW159" s="768"/>
      <c r="AX159" s="1100"/>
      <c r="AY159" s="768"/>
      <c r="AZ159" s="768"/>
      <c r="BA159" s="1940"/>
      <c r="BB159" s="1100"/>
      <c r="BC159" s="1940"/>
    </row>
    <row r="160" spans="1:55" ht="10.15" x14ac:dyDescent="0.3">
      <c r="A160" s="903" t="s">
        <v>862</v>
      </c>
      <c r="B160" s="1941" t="s">
        <v>881</v>
      </c>
      <c r="C160" s="1920"/>
      <c r="D160" s="1920"/>
      <c r="E160" s="1920"/>
      <c r="F160" s="1920"/>
      <c r="G160" s="1925"/>
      <c r="H160" s="1924"/>
      <c r="I160" s="1436"/>
      <c r="J160" s="1924"/>
      <c r="K160" s="1920"/>
      <c r="L160" s="1920"/>
      <c r="M160" s="1920"/>
      <c r="N160" s="1920"/>
      <c r="O160" s="1925"/>
      <c r="P160" s="1924"/>
      <c r="Q160" s="1924"/>
      <c r="R160" s="1924"/>
      <c r="S160" s="1920"/>
      <c r="T160" s="1920"/>
      <c r="U160" s="1920"/>
      <c r="V160" s="1920"/>
      <c r="W160" s="1924"/>
      <c r="X160" s="1924"/>
      <c r="Y160" s="1924"/>
      <c r="Z160" s="1924"/>
      <c r="AA160" s="1920"/>
      <c r="AB160" s="1920"/>
      <c r="AC160" s="1920"/>
      <c r="AD160" s="1920"/>
      <c r="AE160" s="1924"/>
      <c r="AF160" s="1924"/>
      <c r="AG160" s="1924"/>
      <c r="AH160" s="1924"/>
      <c r="AI160" s="1920"/>
      <c r="AJ160" s="1920"/>
      <c r="AK160" s="1920"/>
      <c r="AL160" s="1920"/>
      <c r="AM160" s="1924"/>
      <c r="AN160" s="1924"/>
      <c r="AO160" s="1924"/>
      <c r="AP160" s="1924"/>
      <c r="AQ160" s="1926"/>
      <c r="AR160" s="1436"/>
      <c r="AT160" s="1929">
        <v>12000</v>
      </c>
      <c r="AU160" s="1930">
        <v>18000</v>
      </c>
      <c r="AV160" s="1931">
        <v>22000</v>
      </c>
      <c r="AW160" s="1931">
        <v>24000</v>
      </c>
      <c r="AX160" s="1088"/>
      <c r="BA160" s="1094"/>
      <c r="BB160" s="1088"/>
      <c r="BC160" s="1094"/>
    </row>
    <row r="161" spans="1:59" ht="10.5" thickBot="1" x14ac:dyDescent="0.35">
      <c r="A161" s="1942" t="s">
        <v>757</v>
      </c>
      <c r="B161" s="1941" t="s">
        <v>882</v>
      </c>
      <c r="C161" s="1920"/>
      <c r="D161" s="1920"/>
      <c r="E161" s="1920"/>
      <c r="F161" s="1920"/>
      <c r="G161" s="1925"/>
      <c r="H161" s="1924"/>
      <c r="I161" s="1436"/>
      <c r="J161" s="1924"/>
      <c r="K161" s="1920"/>
      <c r="L161" s="1920"/>
      <c r="M161" s="1920"/>
      <c r="N161" s="1920"/>
      <c r="O161" s="1925"/>
      <c r="P161" s="1924"/>
      <c r="Q161" s="1924"/>
      <c r="R161" s="1924"/>
      <c r="S161" s="1920"/>
      <c r="T161" s="1920"/>
      <c r="U161" s="1920"/>
      <c r="V161" s="1920"/>
      <c r="W161" s="1924"/>
      <c r="X161" s="1924"/>
      <c r="Y161" s="1924"/>
      <c r="Z161" s="1924"/>
      <c r="AA161" s="1920"/>
      <c r="AB161" s="1920"/>
      <c r="AC161" s="1920"/>
      <c r="AD161" s="1920"/>
      <c r="AE161" s="1924"/>
      <c r="AF161" s="1924"/>
      <c r="AG161" s="1924"/>
      <c r="AH161" s="1924"/>
      <c r="AI161" s="1920"/>
      <c r="AJ161" s="1920"/>
      <c r="AK161" s="1920"/>
      <c r="AL161" s="1920"/>
      <c r="AM161" s="1924"/>
      <c r="AN161" s="1924"/>
      <c r="AO161" s="1924"/>
      <c r="AP161" s="1924"/>
      <c r="AQ161" s="1926"/>
      <c r="AR161" s="1436"/>
      <c r="AT161" s="1929"/>
      <c r="AU161" s="1289"/>
      <c r="AV161" s="1290">
        <v>50097</v>
      </c>
      <c r="AW161" s="1290">
        <v>66421</v>
      </c>
      <c r="AX161" s="1289">
        <v>101958</v>
      </c>
      <c r="BA161" s="1094"/>
      <c r="BB161" s="1088"/>
      <c r="BC161" s="1094"/>
    </row>
    <row r="162" spans="1:59" ht="10.15" x14ac:dyDescent="0.3">
      <c r="A162" s="1943"/>
      <c r="B162" s="1941"/>
      <c r="C162" s="1920"/>
      <c r="D162" s="1920"/>
      <c r="E162" s="1920"/>
      <c r="F162" s="1920"/>
      <c r="G162" s="1925"/>
      <c r="H162" s="1924"/>
      <c r="I162" s="1436"/>
      <c r="J162" s="1924"/>
      <c r="K162" s="1920"/>
      <c r="L162" s="1920"/>
      <c r="M162" s="1920"/>
      <c r="N162" s="1920"/>
      <c r="O162" s="1925"/>
      <c r="P162" s="1924"/>
      <c r="Q162" s="1924"/>
      <c r="R162" s="1924"/>
      <c r="S162" s="1920"/>
      <c r="T162" s="1920"/>
      <c r="U162" s="1920"/>
      <c r="V162" s="1920"/>
      <c r="W162" s="1924"/>
      <c r="X162" s="1924"/>
      <c r="Y162" s="1924"/>
      <c r="Z162" s="1924"/>
      <c r="AA162" s="1920"/>
      <c r="AB162" s="1920"/>
      <c r="AC162" s="1920"/>
      <c r="AD162" s="1920"/>
      <c r="AE162" s="1924"/>
      <c r="AF162" s="1924"/>
      <c r="AG162" s="1924"/>
      <c r="AH162" s="1924"/>
      <c r="AI162" s="1920"/>
      <c r="AJ162" s="1920"/>
      <c r="AK162" s="1920"/>
      <c r="AL162" s="1920"/>
      <c r="AM162" s="1924"/>
      <c r="AN162" s="1924"/>
      <c r="AO162" s="1924"/>
      <c r="AP162" s="1924"/>
      <c r="AQ162" s="1926"/>
      <c r="AR162" s="1436"/>
      <c r="AT162" s="1094"/>
      <c r="AU162" s="1088"/>
      <c r="AX162" s="1088"/>
      <c r="BA162" s="1094"/>
      <c r="BB162" s="1088"/>
      <c r="BC162" s="1094"/>
    </row>
    <row r="163" spans="1:59" s="1953" customFormat="1" ht="10.5" thickBot="1" x14ac:dyDescent="0.35">
      <c r="A163" s="1944"/>
      <c r="B163" s="1945" t="s">
        <v>883</v>
      </c>
      <c r="C163" s="1946"/>
      <c r="D163" s="1946"/>
      <c r="E163" s="1946"/>
      <c r="F163" s="1946"/>
      <c r="G163" s="1947"/>
      <c r="H163" s="1946"/>
      <c r="I163" s="1948"/>
      <c r="J163" s="1946"/>
      <c r="K163" s="1946"/>
      <c r="L163" s="1946"/>
      <c r="M163" s="1946"/>
      <c r="N163" s="1946"/>
      <c r="O163" s="1947"/>
      <c r="P163" s="1946"/>
      <c r="Q163" s="1946"/>
      <c r="R163" s="1946"/>
      <c r="S163" s="1946"/>
      <c r="T163" s="1946"/>
      <c r="U163" s="1946"/>
      <c r="V163" s="1946"/>
      <c r="W163" s="1946"/>
      <c r="X163" s="1946"/>
      <c r="Y163" s="1946"/>
      <c r="Z163" s="1946"/>
      <c r="AA163" s="1946"/>
      <c r="AB163" s="1946"/>
      <c r="AC163" s="1946"/>
      <c r="AD163" s="1946"/>
      <c r="AE163" s="1946"/>
      <c r="AF163" s="1946"/>
      <c r="AG163" s="1946"/>
      <c r="AH163" s="1946"/>
      <c r="AI163" s="1946"/>
      <c r="AJ163" s="1946"/>
      <c r="AK163" s="1946"/>
      <c r="AL163" s="1946"/>
      <c r="AM163" s="1946"/>
      <c r="AN163" s="1946"/>
      <c r="AO163" s="1946"/>
      <c r="AP163" s="1946"/>
      <c r="AQ163" s="1949"/>
      <c r="AR163" s="1948"/>
      <c r="AS163" s="1950"/>
      <c r="AT163" s="1951"/>
      <c r="AU163" s="1952"/>
      <c r="AV163" s="1950"/>
      <c r="AW163" s="1950"/>
      <c r="AX163" s="1952"/>
      <c r="AY163" s="1950"/>
      <c r="AZ163" s="1950"/>
      <c r="BA163" s="1951"/>
      <c r="BB163" s="1952"/>
      <c r="BC163" s="1951"/>
    </row>
    <row r="164" spans="1:59" s="1960" customFormat="1" ht="13.15" thickBot="1" x14ac:dyDescent="0.4">
      <c r="A164" s="1954"/>
      <c r="B164" s="1954"/>
      <c r="C164" s="1955" t="s">
        <v>884</v>
      </c>
      <c r="D164" s="1955" t="s">
        <v>885</v>
      </c>
      <c r="E164" s="1955" t="s">
        <v>886</v>
      </c>
      <c r="F164" s="1955" t="s">
        <v>887</v>
      </c>
      <c r="G164" s="1955" t="s">
        <v>888</v>
      </c>
      <c r="H164" s="1955" t="s">
        <v>889</v>
      </c>
      <c r="I164" s="1955" t="s">
        <v>890</v>
      </c>
      <c r="J164" s="1955" t="str">
        <f t="shared" ref="J164:AP164" si="138">J5</f>
        <v>F4Q14</v>
      </c>
      <c r="K164" s="1955" t="str">
        <f t="shared" si="138"/>
        <v>F1Q15</v>
      </c>
      <c r="L164" s="1955" t="str">
        <f t="shared" si="138"/>
        <v>F2Q15</v>
      </c>
      <c r="M164" s="1955" t="str">
        <f t="shared" si="138"/>
        <v>F3Q15</v>
      </c>
      <c r="N164" s="1955" t="str">
        <f t="shared" si="138"/>
        <v>F4Q15</v>
      </c>
      <c r="O164" s="1955" t="str">
        <f t="shared" si="138"/>
        <v>F1Q16</v>
      </c>
      <c r="P164" s="1955" t="str">
        <f t="shared" si="138"/>
        <v>F2Q16</v>
      </c>
      <c r="Q164" s="1955" t="str">
        <f t="shared" si="138"/>
        <v>F3Q16</v>
      </c>
      <c r="R164" s="1955" t="str">
        <f t="shared" si="138"/>
        <v>F4Q16</v>
      </c>
      <c r="S164" s="1955" t="str">
        <f t="shared" si="138"/>
        <v>F1Q17</v>
      </c>
      <c r="T164" s="1955" t="str">
        <f t="shared" si="138"/>
        <v>F2Q17</v>
      </c>
      <c r="U164" s="1955" t="str">
        <f t="shared" si="138"/>
        <v>F3Q17</v>
      </c>
      <c r="V164" s="1955" t="str">
        <f t="shared" si="138"/>
        <v>F4Q17</v>
      </c>
      <c r="W164" s="1956" t="str">
        <f t="shared" si="138"/>
        <v>F1Q18</v>
      </c>
      <c r="X164" s="1956" t="str">
        <f t="shared" si="138"/>
        <v>F2Q18</v>
      </c>
      <c r="Y164" s="1956" t="str">
        <f t="shared" si="138"/>
        <v>F3Q18</v>
      </c>
      <c r="Z164" s="1956" t="str">
        <f t="shared" si="138"/>
        <v>F4Q18</v>
      </c>
      <c r="AA164" s="1956" t="str">
        <f t="shared" si="138"/>
        <v>F1Q19</v>
      </c>
      <c r="AB164" s="1956" t="str">
        <f t="shared" si="138"/>
        <v>F2Q19</v>
      </c>
      <c r="AC164" s="1956" t="str">
        <f t="shared" si="138"/>
        <v>F3Q19</v>
      </c>
      <c r="AD164" s="1956" t="str">
        <f t="shared" si="138"/>
        <v>F4Q19</v>
      </c>
      <c r="AE164" s="1956" t="str">
        <f t="shared" si="138"/>
        <v>F1Q20</v>
      </c>
      <c r="AF164" s="1956" t="str">
        <f t="shared" si="138"/>
        <v>F2Q20</v>
      </c>
      <c r="AG164" s="1956" t="str">
        <f t="shared" si="138"/>
        <v>F3Q20</v>
      </c>
      <c r="AH164" s="1956" t="str">
        <f t="shared" si="138"/>
        <v>F4Q20</v>
      </c>
      <c r="AI164" s="1956" t="str">
        <f t="shared" si="138"/>
        <v>F1Q21</v>
      </c>
      <c r="AJ164" s="1956" t="str">
        <f t="shared" si="138"/>
        <v>F2Q21E</v>
      </c>
      <c r="AK164" s="1956" t="str">
        <f t="shared" si="138"/>
        <v>F3Q21E</v>
      </c>
      <c r="AL164" s="1956" t="str">
        <f t="shared" si="138"/>
        <v>F4Q21E</v>
      </c>
      <c r="AM164" s="1956" t="str">
        <f t="shared" si="138"/>
        <v>F1Q22E</v>
      </c>
      <c r="AN164" s="1956" t="str">
        <f t="shared" si="138"/>
        <v>F2Q22E</v>
      </c>
      <c r="AO164" s="1956" t="str">
        <f t="shared" si="138"/>
        <v>F3Q22E</v>
      </c>
      <c r="AP164" s="1956" t="str">
        <f t="shared" si="138"/>
        <v>F4Q22E</v>
      </c>
      <c r="AQ164" s="1957" t="s">
        <v>891</v>
      </c>
      <c r="AR164" s="1958" t="s">
        <v>726</v>
      </c>
      <c r="AS164" s="1958" t="str">
        <f t="shared" ref="AS164:BC164" si="139">AS5</f>
        <v>FY2014</v>
      </c>
      <c r="AT164" s="1959" t="str">
        <f t="shared" si="139"/>
        <v>FY2015</v>
      </c>
      <c r="AU164" s="1957" t="str">
        <f t="shared" si="139"/>
        <v>FY2016</v>
      </c>
      <c r="AV164" s="1958" t="str">
        <f t="shared" si="139"/>
        <v>FY2017</v>
      </c>
      <c r="AW164" s="1958" t="str">
        <f t="shared" si="139"/>
        <v>FY2018</v>
      </c>
      <c r="AX164" s="1957" t="str">
        <f t="shared" si="139"/>
        <v>FY2019</v>
      </c>
      <c r="AY164" s="1958" t="str">
        <f t="shared" si="139"/>
        <v>FY2020</v>
      </c>
      <c r="AZ164" s="1958" t="str">
        <f t="shared" si="139"/>
        <v>FY2021E</v>
      </c>
      <c r="BA164" s="1959" t="str">
        <f t="shared" si="139"/>
        <v>FY2022E</v>
      </c>
      <c r="BB164" s="1957" t="str">
        <f t="shared" si="139"/>
        <v>FY2023E</v>
      </c>
      <c r="BC164" s="1959" t="str">
        <f t="shared" si="139"/>
        <v>FY2024E</v>
      </c>
    </row>
    <row r="165" spans="1:59" s="1969" customFormat="1" ht="12.75" x14ac:dyDescent="0.35">
      <c r="A165" s="1961"/>
      <c r="B165" s="1962" t="s">
        <v>892</v>
      </c>
      <c r="C165" s="1963">
        <f t="shared" ref="C165:N165" si="140">C167+C184+C186</f>
        <v>6575</v>
      </c>
      <c r="D165" s="1963">
        <f t="shared" si="140"/>
        <v>7201</v>
      </c>
      <c r="E165" s="1963">
        <f t="shared" si="140"/>
        <v>11266</v>
      </c>
      <c r="F165" s="1963">
        <f t="shared" si="140"/>
        <v>8285</v>
      </c>
      <c r="G165" s="1963">
        <f t="shared" si="140"/>
        <v>10310</v>
      </c>
      <c r="H165" s="1963">
        <f t="shared" si="140"/>
        <v>10389</v>
      </c>
      <c r="I165" s="1963">
        <f t="shared" si="140"/>
        <v>18025</v>
      </c>
      <c r="J165" s="1963">
        <f t="shared" si="140"/>
        <v>11259</v>
      </c>
      <c r="K165" s="1963">
        <f t="shared" si="140"/>
        <v>14817</v>
      </c>
      <c r="L165" s="1963">
        <f t="shared" si="140"/>
        <v>15176</v>
      </c>
      <c r="M165" s="1963">
        <f t="shared" si="140"/>
        <v>23898</v>
      </c>
      <c r="N165" s="1963">
        <f t="shared" si="140"/>
        <v>15532</v>
      </c>
      <c r="O165" s="1963">
        <f>O167+O184+O197</f>
        <v>18538</v>
      </c>
      <c r="P165" s="1963">
        <f>P167+P184+P197</f>
        <v>20231</v>
      </c>
      <c r="Q165" s="1963">
        <f>Q167+Q184+Q197</f>
        <v>32111</v>
      </c>
      <c r="R165" s="1963">
        <v>21455</v>
      </c>
      <c r="S165" s="1963">
        <f>S167+S184+S197</f>
        <v>27241</v>
      </c>
      <c r="T165" s="1963">
        <v>28493</v>
      </c>
      <c r="U165" s="1963">
        <v>46576</v>
      </c>
      <c r="V165" s="1963">
        <v>31570</v>
      </c>
      <c r="W165" s="1963">
        <f>W167+W184+W197</f>
        <v>43027</v>
      </c>
      <c r="X165" s="1963">
        <f>X167+X184+X197</f>
        <v>46462</v>
      </c>
      <c r="Y165" s="1963">
        <f>Y167+Y184+Y195+Y197</f>
        <v>73244</v>
      </c>
      <c r="Z165" s="1963">
        <f>Z167+Z184+Z195+Z197</f>
        <v>51287</v>
      </c>
      <c r="AA165" s="1963">
        <f t="shared" ref="AA165:AP165" si="141">AA167+AA184+AA195+AA196+AA197</f>
        <v>69188</v>
      </c>
      <c r="AB165" s="1963">
        <f t="shared" si="141"/>
        <v>72475</v>
      </c>
      <c r="AC165" s="1963">
        <f t="shared" si="141"/>
        <v>102843</v>
      </c>
      <c r="AD165" s="1963">
        <f t="shared" si="141"/>
        <v>78894</v>
      </c>
      <c r="AE165" s="1963">
        <f t="shared" si="141"/>
        <v>99544</v>
      </c>
      <c r="AF165" s="1963">
        <f t="shared" si="141"/>
        <v>101220</v>
      </c>
      <c r="AG165" s="1963">
        <f t="shared" si="141"/>
        <v>141475</v>
      </c>
      <c r="AH165" s="1963">
        <f t="shared" si="141"/>
        <v>93865</v>
      </c>
      <c r="AI165" s="1963">
        <f t="shared" si="141"/>
        <v>133318</v>
      </c>
      <c r="AJ165" s="1963">
        <f t="shared" si="141"/>
        <v>131568.39640569259</v>
      </c>
      <c r="AK165" s="1963">
        <f t="shared" si="141"/>
        <v>181693.71516855282</v>
      </c>
      <c r="AL165" s="1963">
        <f t="shared" si="141"/>
        <v>129763.26603264763</v>
      </c>
      <c r="AM165" s="1963">
        <f t="shared" si="141"/>
        <v>171044.46276137084</v>
      </c>
      <c r="AN165" s="1963">
        <f t="shared" si="141"/>
        <v>163611.17386392492</v>
      </c>
      <c r="AO165" s="1963">
        <f t="shared" si="141"/>
        <v>227085.0820995273</v>
      </c>
      <c r="AP165" s="1963">
        <f t="shared" si="141"/>
        <v>159405.64048735576</v>
      </c>
      <c r="AQ165" s="1964">
        <f t="shared" ref="AQ165:AV165" si="142">AQ167+AQ184+AQ197</f>
        <v>19402</v>
      </c>
      <c r="AR165" s="1965">
        <f t="shared" si="142"/>
        <v>33327</v>
      </c>
      <c r="AS165" s="1966">
        <f t="shared" si="142"/>
        <v>49983</v>
      </c>
      <c r="AT165" s="1967">
        <f t="shared" si="142"/>
        <v>69423</v>
      </c>
      <c r="AU165" s="1968">
        <f t="shared" si="142"/>
        <v>92335</v>
      </c>
      <c r="AV165" s="1963">
        <f t="shared" si="142"/>
        <v>133880</v>
      </c>
      <c r="AW165" s="1963">
        <f>AW167+AW184+AW195+AW197</f>
        <v>214020</v>
      </c>
      <c r="AX165" s="1968">
        <f t="shared" ref="AX165:BC165" si="143">AX167+AX184+AX195+AX196+AX197</f>
        <v>323400</v>
      </c>
      <c r="AY165" s="1963">
        <f t="shared" si="143"/>
        <v>436104</v>
      </c>
      <c r="AZ165" s="1963">
        <f t="shared" si="143"/>
        <v>576343.37760689296</v>
      </c>
      <c r="BA165" s="1967">
        <f t="shared" si="143"/>
        <v>721146.35921217874</v>
      </c>
      <c r="BB165" s="1968">
        <f t="shared" si="143"/>
        <v>874535.62620420347</v>
      </c>
      <c r="BC165" s="1967">
        <f t="shared" si="143"/>
        <v>1041042.1212641206</v>
      </c>
    </row>
    <row r="166" spans="1:59" s="1953" customFormat="1" hidden="1" outlineLevel="1" x14ac:dyDescent="0.3">
      <c r="A166" s="1970"/>
      <c r="B166" s="1971" t="s">
        <v>893</v>
      </c>
      <c r="C166" s="1972"/>
      <c r="D166" s="1972"/>
      <c r="E166" s="1972"/>
      <c r="F166" s="1972"/>
      <c r="G166" s="1972"/>
      <c r="H166" s="1972"/>
      <c r="I166" s="1972"/>
      <c r="J166" s="1973"/>
      <c r="K166" s="1973"/>
      <c r="L166" s="1973"/>
      <c r="M166" s="1973"/>
      <c r="N166" s="1973"/>
      <c r="O166" s="1974"/>
      <c r="P166" s="1974"/>
      <c r="Q166" s="1975"/>
      <c r="R166" s="1974"/>
      <c r="S166" s="1973">
        <f t="shared" ref="S166:AE166" si="144">S165-S195-S196</f>
        <v>27241</v>
      </c>
      <c r="T166" s="1973">
        <f t="shared" si="144"/>
        <v>28493</v>
      </c>
      <c r="U166" s="1973">
        <f t="shared" si="144"/>
        <v>46576</v>
      </c>
      <c r="V166" s="1973">
        <f t="shared" si="144"/>
        <v>31570</v>
      </c>
      <c r="W166" s="1973">
        <f t="shared" si="144"/>
        <v>43027</v>
      </c>
      <c r="X166" s="1973">
        <f t="shared" si="144"/>
        <v>46462</v>
      </c>
      <c r="Y166" s="1973">
        <f t="shared" si="144"/>
        <v>69337</v>
      </c>
      <c r="Z166" s="1973">
        <f t="shared" si="144"/>
        <v>48435</v>
      </c>
      <c r="AA166" s="1973">
        <f t="shared" si="144"/>
        <v>63249</v>
      </c>
      <c r="AB166" s="1973">
        <f t="shared" si="144"/>
        <v>64248</v>
      </c>
      <c r="AC166" s="1973">
        <f t="shared" si="144"/>
        <v>93193</v>
      </c>
      <c r="AD166" s="1973">
        <f t="shared" si="144"/>
        <v>69767</v>
      </c>
      <c r="AE166" s="1973">
        <f t="shared" si="144"/>
        <v>88359</v>
      </c>
      <c r="AF166" s="1973">
        <f t="shared" ref="AF166:AP166" si="145">AF165-AF195-AF196-AF174</f>
        <v>87626</v>
      </c>
      <c r="AG166" s="1973">
        <f t="shared" si="145"/>
        <v>120896.74000000002</v>
      </c>
      <c r="AH166" s="1973">
        <f t="shared" si="145"/>
        <v>81073</v>
      </c>
      <c r="AI166" s="1973">
        <f t="shared" si="145"/>
        <v>114004</v>
      </c>
      <c r="AJ166" s="1973">
        <f t="shared" si="145"/>
        <v>111165.7275413165</v>
      </c>
      <c r="AK166" s="1973">
        <f t="shared" si="145"/>
        <v>154456.50895042563</v>
      </c>
      <c r="AL166" s="1973">
        <f t="shared" si="145"/>
        <v>110285.82237811132</v>
      </c>
      <c r="AM166" s="1973">
        <f t="shared" si="145"/>
        <v>144724.83881199575</v>
      </c>
      <c r="AN166" s="1973">
        <f t="shared" si="145"/>
        <v>137407.41475440515</v>
      </c>
      <c r="AO166" s="1973">
        <f t="shared" si="145"/>
        <v>191914.19224097286</v>
      </c>
      <c r="AP166" s="1973">
        <f t="shared" si="145"/>
        <v>134476.16837650313</v>
      </c>
      <c r="AQ166" s="1976"/>
      <c r="AR166" s="1974"/>
      <c r="AS166" s="1948"/>
      <c r="AT166" s="1977"/>
      <c r="AU166" s="1978"/>
      <c r="AV166" s="1979"/>
      <c r="AW166" s="1973">
        <f>AW165-AW195-AW196</f>
        <v>207261</v>
      </c>
      <c r="AX166" s="1978">
        <f>AX165-AX195-AX196</f>
        <v>290457</v>
      </c>
      <c r="AY166" s="1979">
        <f>AY165-AY195-AY196-AY174</f>
        <v>377954.74</v>
      </c>
      <c r="AZ166" s="1979">
        <f>AZ165-AZ195-AZ196-AZ174</f>
        <v>489912.05886985332</v>
      </c>
      <c r="BA166" s="1977">
        <f>BA165-BA195-BA196-BA174</f>
        <v>608522.61418387678</v>
      </c>
      <c r="BB166" s="1978">
        <f>BB165-BB195-BB196-BB174</f>
        <v>736312.83325524116</v>
      </c>
      <c r="BC166" s="1977">
        <f>BC165-BC195-BC196-BC174</f>
        <v>876400.05068311398</v>
      </c>
    </row>
    <row r="167" spans="1:59" s="1953" customFormat="1" collapsed="1" x14ac:dyDescent="0.3">
      <c r="A167" s="1970"/>
      <c r="B167" s="1980" t="s">
        <v>894</v>
      </c>
      <c r="C167" s="1973">
        <v>5601</v>
      </c>
      <c r="D167" s="1973">
        <v>6152</v>
      </c>
      <c r="E167" s="1973">
        <v>10172</v>
      </c>
      <c r="F167" s="1973">
        <v>7242</v>
      </c>
      <c r="G167" s="1973">
        <v>9193</v>
      </c>
      <c r="H167" s="1973">
        <v>9213</v>
      </c>
      <c r="I167" s="1973">
        <v>16761</v>
      </c>
      <c r="J167" s="1973">
        <v>9965</v>
      </c>
      <c r="K167" s="1973">
        <v>13348</v>
      </c>
      <c r="L167" s="1973">
        <f>L168+L183</f>
        <v>13559</v>
      </c>
      <c r="M167" s="1973">
        <v>22135</v>
      </c>
      <c r="N167" s="1973">
        <f t="shared" ref="N167:AP167" si="146">N168+N183</f>
        <v>13895</v>
      </c>
      <c r="O167" s="1973">
        <f t="shared" si="146"/>
        <v>16709</v>
      </c>
      <c r="P167" s="1973">
        <f t="shared" si="146"/>
        <v>18313</v>
      </c>
      <c r="Q167" s="1973">
        <f t="shared" si="146"/>
        <v>29876</v>
      </c>
      <c r="R167" s="1973">
        <f t="shared" si="146"/>
        <v>19423</v>
      </c>
      <c r="S167" s="1973">
        <f t="shared" si="146"/>
        <v>24644</v>
      </c>
      <c r="T167" s="1973">
        <f t="shared" si="146"/>
        <v>25544</v>
      </c>
      <c r="U167" s="1973">
        <f t="shared" si="146"/>
        <v>42316</v>
      </c>
      <c r="V167" s="1973">
        <f t="shared" si="146"/>
        <v>27284</v>
      </c>
      <c r="W167" s="1973">
        <f t="shared" si="146"/>
        <v>38353</v>
      </c>
      <c r="X167" s="1973">
        <f t="shared" si="146"/>
        <v>41271</v>
      </c>
      <c r="Y167" s="1973">
        <f t="shared" si="146"/>
        <v>62031</v>
      </c>
      <c r="Z167" s="1973">
        <f t="shared" si="146"/>
        <v>42068</v>
      </c>
      <c r="AA167" s="1973">
        <f t="shared" si="146"/>
        <v>56218</v>
      </c>
      <c r="AB167" s="1973">
        <f t="shared" si="146"/>
        <v>56648</v>
      </c>
      <c r="AC167" s="1973">
        <f t="shared" si="146"/>
        <v>83749</v>
      </c>
      <c r="AD167" s="1973">
        <f t="shared" si="146"/>
        <v>60988</v>
      </c>
      <c r="AE167" s="1973">
        <f t="shared" si="146"/>
        <v>78593</v>
      </c>
      <c r="AF167" s="1973">
        <f t="shared" si="146"/>
        <v>79069</v>
      </c>
      <c r="AG167" s="1973">
        <f t="shared" si="146"/>
        <v>113823</v>
      </c>
      <c r="AH167" s="1973">
        <f t="shared" si="146"/>
        <v>73692</v>
      </c>
      <c r="AI167" s="1973">
        <f t="shared" si="146"/>
        <v>104805</v>
      </c>
      <c r="AJ167" s="1973">
        <f t="shared" si="146"/>
        <v>102908.95000000001</v>
      </c>
      <c r="AK167" s="1973">
        <f t="shared" si="146"/>
        <v>144439.53700000001</v>
      </c>
      <c r="AL167" s="1973">
        <f t="shared" si="146"/>
        <v>101124.43378331132</v>
      </c>
      <c r="AM167" s="1973">
        <f t="shared" si="146"/>
        <v>133727.57978800003</v>
      </c>
      <c r="AN167" s="1973">
        <f t="shared" si="146"/>
        <v>127716.09547952002</v>
      </c>
      <c r="AO167" s="1973">
        <f t="shared" si="146"/>
        <v>179131.39074270081</v>
      </c>
      <c r="AP167" s="1973">
        <f t="shared" si="146"/>
        <v>123169.91822711113</v>
      </c>
      <c r="AQ167" s="1976">
        <v>15637</v>
      </c>
      <c r="AR167" s="1974">
        <v>29167</v>
      </c>
      <c r="AS167" s="1948">
        <f>SUM(G167:J167)</f>
        <v>45132</v>
      </c>
      <c r="AT167" s="1977">
        <f>SUM(K167:N167)</f>
        <v>62937</v>
      </c>
      <c r="AU167" s="1978">
        <f t="shared" ref="AU167:BC167" si="147">AU168+AU183</f>
        <v>84321</v>
      </c>
      <c r="AV167" s="1979">
        <f t="shared" si="147"/>
        <v>119788</v>
      </c>
      <c r="AW167" s="1948">
        <f t="shared" si="147"/>
        <v>183723</v>
      </c>
      <c r="AX167" s="1949">
        <f t="shared" si="147"/>
        <v>257603</v>
      </c>
      <c r="AY167" s="1948">
        <f t="shared" si="147"/>
        <v>345177</v>
      </c>
      <c r="AZ167" s="1948">
        <f t="shared" si="147"/>
        <v>453277.9207833113</v>
      </c>
      <c r="BA167" s="1981">
        <f t="shared" si="147"/>
        <v>563744.9842373319</v>
      </c>
      <c r="BB167" s="1949">
        <f t="shared" si="147"/>
        <v>680259.93670221011</v>
      </c>
      <c r="BC167" s="1981">
        <f t="shared" si="147"/>
        <v>807638.97730700881</v>
      </c>
    </row>
    <row r="168" spans="1:59" s="1989" customFormat="1" x14ac:dyDescent="0.35">
      <c r="A168" s="1970"/>
      <c r="B168" s="1982" t="s">
        <v>895</v>
      </c>
      <c r="C168" s="1983">
        <v>5028</v>
      </c>
      <c r="D168" s="1983">
        <v>5600</v>
      </c>
      <c r="E168" s="1983">
        <v>9588</v>
      </c>
      <c r="F168" s="1983">
        <v>6754</v>
      </c>
      <c r="G168" s="1983">
        <v>8667</v>
      </c>
      <c r="H168" s="1983">
        <v>8645</v>
      </c>
      <c r="I168" s="1983">
        <v>16149</v>
      </c>
      <c r="J168" s="1983">
        <v>9371</v>
      </c>
      <c r="K168" s="1983">
        <v>12639</v>
      </c>
      <c r="L168" s="1983">
        <v>12769</v>
      </c>
      <c r="M168" s="1983">
        <v>21275</v>
      </c>
      <c r="N168" s="1983">
        <v>13049</v>
      </c>
      <c r="O168" s="1983">
        <v>15712</v>
      </c>
      <c r="P168" s="1983">
        <v>17267</v>
      </c>
      <c r="Q168" s="1983">
        <v>28714</v>
      </c>
      <c r="R168" s="1983">
        <v>18340</v>
      </c>
      <c r="S168" s="1983">
        <v>23383</v>
      </c>
      <c r="T168" s="1983">
        <v>24109</v>
      </c>
      <c r="U168" s="1983">
        <v>40802</v>
      </c>
      <c r="V168" s="1983">
        <v>25815</v>
      </c>
      <c r="W168" s="1983">
        <f t="shared" ref="W168:AP168" si="148">W169+W170+W171</f>
        <v>36712</v>
      </c>
      <c r="X168" s="1983">
        <f t="shared" si="148"/>
        <v>39557</v>
      </c>
      <c r="Y168" s="1983">
        <f t="shared" si="148"/>
        <v>60105</v>
      </c>
      <c r="Z168" s="1983">
        <f t="shared" si="148"/>
        <v>40185</v>
      </c>
      <c r="AA168" s="1983">
        <f t="shared" si="148"/>
        <v>53968</v>
      </c>
      <c r="AB168" s="1983">
        <f t="shared" si="148"/>
        <v>54151</v>
      </c>
      <c r="AC168" s="1983">
        <f t="shared" si="148"/>
        <v>81055</v>
      </c>
      <c r="AD168" s="1983">
        <f t="shared" si="148"/>
        <v>58441</v>
      </c>
      <c r="AE168" s="1983">
        <f t="shared" si="148"/>
        <v>75601</v>
      </c>
      <c r="AF168" s="1983">
        <f t="shared" si="148"/>
        <v>75786</v>
      </c>
      <c r="AG168" s="1983">
        <f t="shared" si="148"/>
        <v>110458</v>
      </c>
      <c r="AH168" s="1983">
        <f t="shared" si="148"/>
        <v>70905</v>
      </c>
      <c r="AI168" s="1983">
        <f t="shared" si="148"/>
        <v>101321</v>
      </c>
      <c r="AJ168" s="1983">
        <f t="shared" si="148"/>
        <v>98870.860000000015</v>
      </c>
      <c r="AK168" s="1983">
        <f t="shared" si="148"/>
        <v>140300.587</v>
      </c>
      <c r="AL168" s="1983">
        <f t="shared" si="148"/>
        <v>97501.333783311318</v>
      </c>
      <c r="AM168" s="1983">
        <f t="shared" si="148"/>
        <v>129477.09978800002</v>
      </c>
      <c r="AN168" s="1983">
        <f t="shared" si="148"/>
        <v>122789.62567952002</v>
      </c>
      <c r="AO168" s="1983">
        <f t="shared" si="148"/>
        <v>174123.2612427008</v>
      </c>
      <c r="AP168" s="1983">
        <f t="shared" si="148"/>
        <v>118822.19822711113</v>
      </c>
      <c r="AQ168" s="1984">
        <v>13422</v>
      </c>
      <c r="AR168" s="1985">
        <v>26970</v>
      </c>
      <c r="AS168" s="1986">
        <f>SUM(G168:J168)</f>
        <v>42832</v>
      </c>
      <c r="AT168" s="1987">
        <f>SUM(K168:N168)</f>
        <v>59732</v>
      </c>
      <c r="AU168" s="1984">
        <f>SUM(O168:R168)</f>
        <v>80033</v>
      </c>
      <c r="AV168" s="1985">
        <f>SUM(S168:V168)</f>
        <v>114109</v>
      </c>
      <c r="AW168" s="1985">
        <f>SUM(W168:Z168)</f>
        <v>176559</v>
      </c>
      <c r="AX168" s="1984">
        <f>SUM(AA168:AD168)</f>
        <v>247615</v>
      </c>
      <c r="AY168" s="1985">
        <f>AY169+AY170+AY171</f>
        <v>332750</v>
      </c>
      <c r="AZ168" s="1985">
        <f>AZ169+AZ170+AZ171</f>
        <v>437993.78078331129</v>
      </c>
      <c r="BA168" s="1988">
        <f>BA169+BA170+BA171</f>
        <v>545212.18493733194</v>
      </c>
      <c r="BB168" s="1984">
        <f>BB169+BB170+BB171</f>
        <v>658576.56152121013</v>
      </c>
      <c r="BC168" s="1988">
        <f>BC169+BC170+BC171</f>
        <v>783136.76335247885</v>
      </c>
    </row>
    <row r="169" spans="1:59" s="1999" customFormat="1" x14ac:dyDescent="0.3">
      <c r="A169" s="1990"/>
      <c r="B169" s="1991" t="s">
        <v>896</v>
      </c>
      <c r="C169" s="1992"/>
      <c r="D169" s="1992"/>
      <c r="E169" s="1992"/>
      <c r="F169" s="1992">
        <f>F168-F170-F171</f>
        <v>4517.8</v>
      </c>
      <c r="G169" s="1992">
        <f>G168*0.975-G170</f>
        <v>6300.9089999999987</v>
      </c>
      <c r="H169" s="1992">
        <f>H168*0.975-H170</f>
        <v>6284.915</v>
      </c>
      <c r="I169" s="1992">
        <f>I168*0.975-I170</f>
        <v>10900.575000000001</v>
      </c>
      <c r="J169" s="1992">
        <f>J168*0.975-J170</f>
        <v>5950.585</v>
      </c>
      <c r="K169" s="1992">
        <f>K168*0.98-K170</f>
        <v>8341.74</v>
      </c>
      <c r="L169" s="1992">
        <f>L168*0.98-L170</f>
        <v>8236.0049999999974</v>
      </c>
      <c r="M169" s="1992">
        <f>M168*0.98-M170</f>
        <v>12977.75</v>
      </c>
      <c r="N169" s="1992">
        <f>N168*0.98-N170</f>
        <v>7698.91</v>
      </c>
      <c r="O169" s="1992">
        <v>10320</v>
      </c>
      <c r="P169" s="1992">
        <v>11332</v>
      </c>
      <c r="Q169" s="1992">
        <v>19027</v>
      </c>
      <c r="R169" s="1992">
        <v>11726</v>
      </c>
      <c r="S169" s="1992">
        <v>15882</v>
      </c>
      <c r="T169" s="1992">
        <v>16645</v>
      </c>
      <c r="U169" s="1992">
        <v>27918</v>
      </c>
      <c r="V169" s="1992">
        <v>17086</v>
      </c>
      <c r="W169" s="1992">
        <v>26220</v>
      </c>
      <c r="X169" s="1992">
        <v>26272</v>
      </c>
      <c r="Y169" s="1992">
        <v>38800</v>
      </c>
      <c r="Z169" s="1992">
        <v>22993</v>
      </c>
      <c r="AA169" s="1992">
        <v>33053</v>
      </c>
      <c r="AB169" s="1992">
        <v>32920</v>
      </c>
      <c r="AC169" s="1992">
        <v>49592</v>
      </c>
      <c r="AD169" s="1992">
        <v>30119</v>
      </c>
      <c r="AE169" s="1992">
        <v>41954</v>
      </c>
      <c r="AF169" s="1992">
        <v>41301</v>
      </c>
      <c r="AG169" s="1992">
        <v>61235</v>
      </c>
      <c r="AH169" s="1992">
        <v>30906</v>
      </c>
      <c r="AI169" s="1992">
        <v>51434</v>
      </c>
      <c r="AJ169" s="1992">
        <f t="shared" ref="AJ169:AP170" si="149">AF169*(1+AJ456)</f>
        <v>49974.21</v>
      </c>
      <c r="AK169" s="1992">
        <f t="shared" si="149"/>
        <v>76543.75</v>
      </c>
      <c r="AL169" s="1992">
        <f t="shared" si="149"/>
        <v>41414.04</v>
      </c>
      <c r="AM169" s="1992">
        <f t="shared" si="149"/>
        <v>63263.82</v>
      </c>
      <c r="AN169" s="1992">
        <f t="shared" si="149"/>
        <v>60468.794099999999</v>
      </c>
      <c r="AO169" s="1992">
        <f t="shared" si="149"/>
        <v>94148.8125</v>
      </c>
      <c r="AP169" s="1992">
        <f t="shared" si="149"/>
        <v>49696.847999999998</v>
      </c>
      <c r="AQ169" s="1993">
        <v>9804</v>
      </c>
      <c r="AR169" s="1994">
        <v>19697</v>
      </c>
      <c r="AS169" s="1995">
        <v>29729</v>
      </c>
      <c r="AT169" s="1996">
        <v>37509</v>
      </c>
      <c r="AU169" s="1997">
        <f>SUM(O169:R169)</f>
        <v>52405</v>
      </c>
      <c r="AV169" s="1994">
        <f>SUM(S169:V169)</f>
        <v>77531</v>
      </c>
      <c r="AW169" s="1994">
        <f>SUM(W169:Z169)</f>
        <v>114285</v>
      </c>
      <c r="AX169" s="1993">
        <f>SUM(AA169:AD169)</f>
        <v>145684</v>
      </c>
      <c r="AY169" s="1994">
        <f>SUM(AE169:AH169)</f>
        <v>175396</v>
      </c>
      <c r="AZ169" s="1994">
        <f>SUM(AI169:AL169)</f>
        <v>219366</v>
      </c>
      <c r="BA169" s="1998">
        <f>SUM(AM169:AP169)</f>
        <v>267578.2746</v>
      </c>
      <c r="BB169" s="1993">
        <f>BA169*(1+BB456)</f>
        <v>321093.92952000001</v>
      </c>
      <c r="BC169" s="1998">
        <f>BB169*(1+BC456)</f>
        <v>382101.7761288</v>
      </c>
    </row>
    <row r="170" spans="1:59" s="1999" customFormat="1" x14ac:dyDescent="0.3">
      <c r="A170" s="2000"/>
      <c r="B170" s="2001" t="s">
        <v>897</v>
      </c>
      <c r="C170" s="1992"/>
      <c r="D170" s="1992"/>
      <c r="E170" s="1992"/>
      <c r="F170" s="1992">
        <f>0.3*F168</f>
        <v>2026.1999999999998</v>
      </c>
      <c r="G170" s="1992">
        <f>0.248*G168</f>
        <v>2149.4160000000002</v>
      </c>
      <c r="H170" s="1992">
        <f>0.248*H168</f>
        <v>2143.96</v>
      </c>
      <c r="I170" s="1992">
        <f>0.3*I168</f>
        <v>4844.7</v>
      </c>
      <c r="J170" s="1992">
        <f>0.34*J168</f>
        <v>3186.1400000000003</v>
      </c>
      <c r="K170" s="1992">
        <f>0.32*K168</f>
        <v>4044.48</v>
      </c>
      <c r="L170" s="1992">
        <f>0.335*L168</f>
        <v>4277.6150000000007</v>
      </c>
      <c r="M170" s="1992">
        <f>0.37*M168</f>
        <v>7871.75</v>
      </c>
      <c r="N170" s="1992">
        <f>0.39*N168</f>
        <v>5089.1100000000006</v>
      </c>
      <c r="O170" s="1992">
        <f>S170/1.37</f>
        <v>5055.4744525547439</v>
      </c>
      <c r="P170" s="1992">
        <f>T170/1.25</f>
        <v>5491.2</v>
      </c>
      <c r="Q170" s="1992">
        <f>U170/1.32</f>
        <v>9144.69696969697</v>
      </c>
      <c r="R170" s="1992">
        <f>0.332*R168</f>
        <v>6088.88</v>
      </c>
      <c r="S170" s="1992">
        <v>6926</v>
      </c>
      <c r="T170" s="1992">
        <v>6864</v>
      </c>
      <c r="U170" s="1992">
        <v>12071</v>
      </c>
      <c r="V170" s="1992">
        <v>8205</v>
      </c>
      <c r="W170" s="1992">
        <v>8878</v>
      </c>
      <c r="X170" s="1992">
        <v>10059</v>
      </c>
      <c r="Y170" s="1992">
        <v>16221</v>
      </c>
      <c r="Z170" s="1992">
        <v>11367</v>
      </c>
      <c r="AA170" s="1992">
        <v>13756</v>
      </c>
      <c r="AB170" s="1992">
        <v>13136</v>
      </c>
      <c r="AC170" s="1992">
        <v>20165</v>
      </c>
      <c r="AD170" s="1992">
        <v>14790</v>
      </c>
      <c r="AE170" s="1992">
        <v>16902</v>
      </c>
      <c r="AF170" s="1992">
        <v>16275</v>
      </c>
      <c r="AG170" s="1992">
        <v>23409</v>
      </c>
      <c r="AH170" s="1992">
        <v>14500</v>
      </c>
      <c r="AI170" s="1992">
        <v>19781</v>
      </c>
      <c r="AJ170" s="1992">
        <f t="shared" si="149"/>
        <v>18553.500000000004</v>
      </c>
      <c r="AK170" s="1992">
        <f t="shared" si="149"/>
        <v>26920.35</v>
      </c>
      <c r="AL170" s="1992">
        <f t="shared" si="149"/>
        <v>18850</v>
      </c>
      <c r="AM170" s="1992">
        <f t="shared" si="149"/>
        <v>22945.96</v>
      </c>
      <c r="AN170" s="1992">
        <f t="shared" si="149"/>
        <v>21336.525000000001</v>
      </c>
      <c r="AO170" s="1992">
        <f t="shared" si="149"/>
        <v>30958.402499999997</v>
      </c>
      <c r="AP170" s="1992">
        <f t="shared" si="149"/>
        <v>21300.499999999996</v>
      </c>
      <c r="AQ170" s="1993">
        <v>2915</v>
      </c>
      <c r="AR170" s="1994">
        <v>6161</v>
      </c>
      <c r="AS170" s="1995">
        <v>12023</v>
      </c>
      <c r="AT170" s="1996">
        <v>21201</v>
      </c>
      <c r="AU170" s="1997">
        <f>SUM(O170:R170)</f>
        <v>25780.251422251717</v>
      </c>
      <c r="AV170" s="1994">
        <f>SUM(S170:V170)</f>
        <v>34066</v>
      </c>
      <c r="AW170" s="1994">
        <f>SUM(W170:Z170)</f>
        <v>46525</v>
      </c>
      <c r="AX170" s="1993">
        <f>SUM(AA170:AD170)</f>
        <v>61847</v>
      </c>
      <c r="AY170" s="1994">
        <f>SUM(AE170:AH170)</f>
        <v>71086</v>
      </c>
      <c r="AZ170" s="1994">
        <f>SUM(AI170:AL170)</f>
        <v>84104.85</v>
      </c>
      <c r="BA170" s="1998">
        <f>SUM(AM170:AP170)</f>
        <v>96541.387499999997</v>
      </c>
      <c r="BB170" s="1993">
        <f>BA170*(1+BB457)</f>
        <v>110057.18175</v>
      </c>
      <c r="BC170" s="1998">
        <f>BB170*(1+BC457)</f>
        <v>124364.6153775</v>
      </c>
    </row>
    <row r="171" spans="1:59" s="1953" customFormat="1" x14ac:dyDescent="0.3">
      <c r="A171" s="1970"/>
      <c r="B171" s="2002" t="s">
        <v>898</v>
      </c>
      <c r="C171" s="1973"/>
      <c r="D171" s="1973"/>
      <c r="E171" s="1973"/>
      <c r="F171" s="2003">
        <v>210</v>
      </c>
      <c r="G171" s="2004">
        <v>216.67500000000101</v>
      </c>
      <c r="H171" s="2004">
        <v>216.125</v>
      </c>
      <c r="I171" s="2004">
        <v>403.72499999999945</v>
      </c>
      <c r="J171" s="2004">
        <v>234.27499999999964</v>
      </c>
      <c r="K171" s="2004">
        <v>252.7800000000002</v>
      </c>
      <c r="L171" s="2004">
        <v>255.38000000000193</v>
      </c>
      <c r="M171" s="2004">
        <v>425.5</v>
      </c>
      <c r="N171" s="2004">
        <v>260.97999999999956</v>
      </c>
      <c r="O171" s="2004">
        <f>O168-O169-O170</f>
        <v>336.52554744525605</v>
      </c>
      <c r="P171" s="2004">
        <f>P168-P169-P170</f>
        <v>443.80000000000018</v>
      </c>
      <c r="Q171" s="2004">
        <f>Q168-Q169-Q170</f>
        <v>542.30303030303003</v>
      </c>
      <c r="R171" s="2004">
        <f>R168-R169-R170</f>
        <v>525.11999999999989</v>
      </c>
      <c r="S171" s="1974">
        <v>575</v>
      </c>
      <c r="T171" s="1974">
        <v>600</v>
      </c>
      <c r="U171" s="1974">
        <v>813</v>
      </c>
      <c r="V171" s="2004">
        <v>524</v>
      </c>
      <c r="W171" s="1974">
        <v>1614</v>
      </c>
      <c r="X171" s="1974">
        <v>3226</v>
      </c>
      <c r="Y171" s="1974">
        <v>5084</v>
      </c>
      <c r="Z171" s="1974">
        <v>5825</v>
      </c>
      <c r="AA171" s="1974">
        <v>7159</v>
      </c>
      <c r="AB171" s="1974">
        <v>8095</v>
      </c>
      <c r="AC171" s="1974">
        <v>11298</v>
      </c>
      <c r="AD171" s="1974">
        <v>13532</v>
      </c>
      <c r="AE171" s="1974">
        <v>16745</v>
      </c>
      <c r="AF171" s="1974">
        <v>18210</v>
      </c>
      <c r="AG171" s="1974">
        <v>25814</v>
      </c>
      <c r="AH171" s="1974">
        <v>25499</v>
      </c>
      <c r="AI171" s="1974">
        <v>30106</v>
      </c>
      <c r="AJ171" s="1974">
        <f t="shared" ref="AJ171:AP171" si="150">AJ182+AJ180+AJ178+AJ176+AJ172+AJ174</f>
        <v>30343.15</v>
      </c>
      <c r="AK171" s="1974">
        <f t="shared" si="150"/>
        <v>36836.486999999994</v>
      </c>
      <c r="AL171" s="1974">
        <f t="shared" si="150"/>
        <v>37237.293783311317</v>
      </c>
      <c r="AM171" s="1974">
        <f t="shared" si="150"/>
        <v>43267.319788000023</v>
      </c>
      <c r="AN171" s="1974">
        <f t="shared" si="150"/>
        <v>40984.306579520031</v>
      </c>
      <c r="AO171" s="1974">
        <f t="shared" si="150"/>
        <v>49016.046242700802</v>
      </c>
      <c r="AP171" s="1974">
        <f t="shared" si="150"/>
        <v>47824.850227111136</v>
      </c>
      <c r="AQ171" s="1976">
        <v>703</v>
      </c>
      <c r="AR171" s="1974">
        <v>1112</v>
      </c>
      <c r="AS171" s="1948">
        <v>1080</v>
      </c>
      <c r="AT171" s="1981">
        <f>AT168-AT169-AT170</f>
        <v>1022</v>
      </c>
      <c r="AU171" s="1949">
        <v>1808</v>
      </c>
      <c r="AV171" s="1974">
        <f>SUM(S171:V171)</f>
        <v>2512</v>
      </c>
      <c r="AW171" s="1974">
        <f>SUM(W171:Z171)</f>
        <v>15749</v>
      </c>
      <c r="AX171" s="1976">
        <f>SUM(AA171:AD171)</f>
        <v>40084</v>
      </c>
      <c r="AY171" s="1974">
        <f>SUM(AE171:AH171)</f>
        <v>86268</v>
      </c>
      <c r="AZ171" s="1979">
        <f>AZ182+AZ180+AZ178+AZ176+AZ172+AZ174</f>
        <v>134522.93078331131</v>
      </c>
      <c r="BA171" s="1977">
        <f>BA182+BA180+BA178+BA176+BA172+BA174</f>
        <v>181092.52283733196</v>
      </c>
      <c r="BB171" s="1978">
        <f>BB182+BB180+BB178+BB176+BB172+BB174</f>
        <v>227425.4502512101</v>
      </c>
      <c r="BC171" s="1977">
        <f>BC182+BC180+BC178+BC176+BC172+BC174</f>
        <v>276670.3718461789</v>
      </c>
      <c r="BD171" s="2005"/>
      <c r="BE171" s="2005"/>
    </row>
    <row r="172" spans="1:59" s="1953" customFormat="1" outlineLevel="1" x14ac:dyDescent="0.3">
      <c r="A172" s="2006" t="s">
        <v>740</v>
      </c>
      <c r="B172" s="2007" t="s">
        <v>899</v>
      </c>
      <c r="C172" s="2003"/>
      <c r="D172" s="2003"/>
      <c r="E172" s="2003"/>
      <c r="F172" s="2003"/>
      <c r="G172" s="2004"/>
      <c r="H172" s="2004"/>
      <c r="I172" s="2004"/>
      <c r="J172" s="1974"/>
      <c r="K172" s="2004"/>
      <c r="L172" s="2004"/>
      <c r="M172" s="2004"/>
      <c r="N172" s="2004"/>
      <c r="O172" s="2004"/>
      <c r="P172" s="2004"/>
      <c r="Q172" s="2004"/>
      <c r="R172" s="2004"/>
      <c r="S172" s="2004">
        <v>50</v>
      </c>
      <c r="T172" s="2004">
        <v>80</v>
      </c>
      <c r="U172" s="2004">
        <v>130</v>
      </c>
      <c r="V172" s="2004">
        <v>180</v>
      </c>
      <c r="W172" s="2003">
        <v>300</v>
      </c>
      <c r="X172" s="2003">
        <v>600</v>
      </c>
      <c r="Y172" s="2003">
        <v>900</v>
      </c>
      <c r="Z172" s="2003">
        <v>1200</v>
      </c>
      <c r="AA172" s="2003">
        <f t="shared" ref="AA172:AP172" si="151">W172*(1+AA173)</f>
        <v>2100</v>
      </c>
      <c r="AB172" s="2003">
        <f t="shared" si="151"/>
        <v>3120</v>
      </c>
      <c r="AC172" s="2003">
        <f t="shared" si="151"/>
        <v>4320</v>
      </c>
      <c r="AD172" s="2003">
        <f t="shared" si="151"/>
        <v>4680</v>
      </c>
      <c r="AE172" s="2003">
        <f t="shared" si="151"/>
        <v>7455</v>
      </c>
      <c r="AF172" s="2003">
        <f t="shared" si="151"/>
        <v>6864.0000000000009</v>
      </c>
      <c r="AG172" s="2003">
        <f t="shared" si="151"/>
        <v>7776</v>
      </c>
      <c r="AH172" s="2003">
        <f t="shared" si="151"/>
        <v>7722</v>
      </c>
      <c r="AI172" s="2003">
        <f t="shared" si="151"/>
        <v>11928</v>
      </c>
      <c r="AJ172" s="2003">
        <f t="shared" si="151"/>
        <v>10296.000000000002</v>
      </c>
      <c r="AK172" s="2003">
        <f t="shared" si="151"/>
        <v>11352.96</v>
      </c>
      <c r="AL172" s="2003">
        <f t="shared" si="151"/>
        <v>11196.9</v>
      </c>
      <c r="AM172" s="2003">
        <f t="shared" si="151"/>
        <v>16699.2</v>
      </c>
      <c r="AN172" s="2003">
        <f t="shared" si="151"/>
        <v>13899.600000000004</v>
      </c>
      <c r="AO172" s="2003">
        <f t="shared" si="151"/>
        <v>15326.495999999999</v>
      </c>
      <c r="AP172" s="2003">
        <f t="shared" si="151"/>
        <v>14779.907999999999</v>
      </c>
      <c r="AQ172" s="1976"/>
      <c r="AR172" s="1974"/>
      <c r="AS172" s="1948"/>
      <c r="AT172" s="1981"/>
      <c r="AU172" s="1949"/>
      <c r="AV172" s="1948">
        <f>SUM(S172:V172)</f>
        <v>440</v>
      </c>
      <c r="AW172" s="1974">
        <f>SUM(W172:Z172)</f>
        <v>3000</v>
      </c>
      <c r="AX172" s="1976">
        <f>SUM(AA172:AD172)</f>
        <v>14220</v>
      </c>
      <c r="AY172" s="1974">
        <f>SUM(AE172:AH172)</f>
        <v>29817</v>
      </c>
      <c r="AZ172" s="1974">
        <f>SUM(AI172:AL172)</f>
        <v>44773.86</v>
      </c>
      <c r="BA172" s="1977">
        <f>SUM(AM172:AP172)</f>
        <v>60705.203999999998</v>
      </c>
      <c r="BB172" s="1978">
        <f>BA172*(1+BB173)</f>
        <v>78916.765199999994</v>
      </c>
      <c r="BC172" s="1977">
        <f>BB172*(1+BC173)</f>
        <v>99435.124151999989</v>
      </c>
      <c r="BD172" s="2008"/>
      <c r="BE172" s="2008"/>
      <c r="BF172" s="2008"/>
      <c r="BG172" s="2008"/>
    </row>
    <row r="173" spans="1:59" s="1953" customFormat="1" outlineLevel="1" x14ac:dyDescent="0.3">
      <c r="A173" s="2009" t="s">
        <v>900</v>
      </c>
      <c r="B173" s="2010" t="s">
        <v>901</v>
      </c>
      <c r="C173" s="2003"/>
      <c r="D173" s="2003"/>
      <c r="E173" s="2003"/>
      <c r="F173" s="2003"/>
      <c r="G173" s="2004"/>
      <c r="H173" s="2004"/>
      <c r="I173" s="2004"/>
      <c r="J173" s="1974"/>
      <c r="K173" s="2004"/>
      <c r="L173" s="2004"/>
      <c r="M173" s="2004"/>
      <c r="N173" s="2004"/>
      <c r="O173" s="2004"/>
      <c r="P173" s="2004"/>
      <c r="Q173" s="2004"/>
      <c r="R173" s="2004"/>
      <c r="S173" s="2004"/>
      <c r="T173" s="2004"/>
      <c r="U173" s="2004"/>
      <c r="V173" s="2004"/>
      <c r="W173" s="2011">
        <f>W172/S172-1</f>
        <v>5</v>
      </c>
      <c r="X173" s="2011">
        <f>X172/T172-1</f>
        <v>6.5</v>
      </c>
      <c r="Y173" s="2011">
        <f>Y172/U172-1</f>
        <v>5.9230769230769234</v>
      </c>
      <c r="Z173" s="2011">
        <f>Z172/V172-1</f>
        <v>5.666666666666667</v>
      </c>
      <c r="AA173" s="2011">
        <v>6</v>
      </c>
      <c r="AB173" s="2011">
        <v>4.2</v>
      </c>
      <c r="AC173" s="2011">
        <v>3.8</v>
      </c>
      <c r="AD173" s="2011">
        <v>2.9</v>
      </c>
      <c r="AE173" s="2011">
        <v>2.5499999999999998</v>
      </c>
      <c r="AF173" s="2011">
        <v>1.2</v>
      </c>
      <c r="AG173" s="2011">
        <v>0.8</v>
      </c>
      <c r="AH173" s="2011">
        <v>0.65</v>
      </c>
      <c r="AI173" s="2011">
        <v>0.6</v>
      </c>
      <c r="AJ173" s="2011">
        <v>0.5</v>
      </c>
      <c r="AK173" s="2011">
        <v>0.46</v>
      </c>
      <c r="AL173" s="2011">
        <v>0.45</v>
      </c>
      <c r="AM173" s="2011">
        <v>0.4</v>
      </c>
      <c r="AN173" s="2011">
        <v>0.35</v>
      </c>
      <c r="AO173" s="2011">
        <v>0.35</v>
      </c>
      <c r="AP173" s="2011">
        <v>0.32</v>
      </c>
      <c r="AQ173" s="1976"/>
      <c r="AR173" s="1974"/>
      <c r="AS173" s="1948"/>
      <c r="AT173" s="1981"/>
      <c r="AU173" s="1949"/>
      <c r="AV173" s="1948"/>
      <c r="AW173" s="2012">
        <f>AW172/AV172-1</f>
        <v>5.8181818181818183</v>
      </c>
      <c r="AX173" s="2013">
        <f>AX172/AW172-1</f>
        <v>3.74</v>
      </c>
      <c r="AY173" s="2012">
        <f>AY172/AX172-1</f>
        <v>1.0968354430379748</v>
      </c>
      <c r="AZ173" s="2012">
        <f>AZ172/AY172-1</f>
        <v>0.50162189355065911</v>
      </c>
      <c r="BA173" s="2014">
        <f>BA172/AZ172-1</f>
        <v>0.35581797057479525</v>
      </c>
      <c r="BB173" s="2015">
        <v>0.3</v>
      </c>
      <c r="BC173" s="2016">
        <v>0.26</v>
      </c>
      <c r="BD173" s="2008"/>
      <c r="BE173" s="2008"/>
      <c r="BF173" s="2008"/>
      <c r="BG173" s="2008"/>
    </row>
    <row r="174" spans="1:59" s="1953" customFormat="1" outlineLevel="1" x14ac:dyDescent="0.3">
      <c r="A174" s="2017" t="s">
        <v>902</v>
      </c>
      <c r="B174" s="2018" t="s">
        <v>903</v>
      </c>
      <c r="C174" s="2003"/>
      <c r="D174" s="2003"/>
      <c r="E174" s="2003"/>
      <c r="F174" s="2003"/>
      <c r="G174" s="2004"/>
      <c r="H174" s="2004"/>
      <c r="I174" s="2004"/>
      <c r="J174" s="1974"/>
      <c r="K174" s="2004"/>
      <c r="L174" s="2004"/>
      <c r="M174" s="2004"/>
      <c r="N174" s="2004"/>
      <c r="O174" s="2004"/>
      <c r="P174" s="2004"/>
      <c r="Q174" s="2004"/>
      <c r="R174" s="2004"/>
      <c r="S174" s="2004"/>
      <c r="T174" s="2004"/>
      <c r="U174" s="2004"/>
      <c r="V174" s="2004"/>
      <c r="W174" s="2011"/>
      <c r="X174" s="2011"/>
      <c r="Y174" s="2011"/>
      <c r="Z174" s="2011"/>
      <c r="AA174" s="2011"/>
      <c r="AB174" s="2011"/>
      <c r="AC174" s="2011"/>
      <c r="AD174" s="2011"/>
      <c r="AE174" s="2011"/>
      <c r="AF174" s="2003">
        <v>2000</v>
      </c>
      <c r="AG174" s="2003">
        <f>AG323-AC323*1.33</f>
        <v>5476.2599999999802</v>
      </c>
      <c r="AH174" s="2003">
        <v>3000</v>
      </c>
      <c r="AI174" s="2003">
        <v>4500</v>
      </c>
      <c r="AJ174" s="2003">
        <v>4500</v>
      </c>
      <c r="AK174" s="2003">
        <f t="shared" ref="AK174:AP174" si="152">AG174*(1+AK175)</f>
        <v>7119.1379999999745</v>
      </c>
      <c r="AL174" s="2003">
        <f t="shared" si="152"/>
        <v>4800</v>
      </c>
      <c r="AM174" s="2003">
        <f t="shared" si="152"/>
        <v>6075</v>
      </c>
      <c r="AN174" s="2003">
        <f t="shared" si="152"/>
        <v>5760</v>
      </c>
      <c r="AO174" s="2003">
        <f t="shared" si="152"/>
        <v>8898.9224999999678</v>
      </c>
      <c r="AP174" s="2003">
        <f t="shared" si="152"/>
        <v>5856</v>
      </c>
      <c r="AQ174" s="1976"/>
      <c r="AR174" s="1974"/>
      <c r="AS174" s="1948"/>
      <c r="AT174" s="1981"/>
      <c r="AU174" s="1949"/>
      <c r="AV174" s="1948"/>
      <c r="AW174" s="2012"/>
      <c r="AX174" s="2013"/>
      <c r="AY174" s="1974">
        <f>SUM(AE174:AH174)</f>
        <v>10476.25999999998</v>
      </c>
      <c r="AZ174" s="1974">
        <f>SUM(AI174:AL174)</f>
        <v>20919.137999999974</v>
      </c>
      <c r="BA174" s="1977">
        <f>SUM(AM174:AP174)</f>
        <v>26589.922499999968</v>
      </c>
      <c r="BB174" s="1978">
        <f>BA174*(1+BB175)</f>
        <v>30578.410874999961</v>
      </c>
      <c r="BC174" s="1977">
        <f>BB174*(1+BC175)</f>
        <v>34553.60428874995</v>
      </c>
      <c r="BD174" s="2008"/>
      <c r="BE174" s="2008"/>
      <c r="BF174" s="2008"/>
      <c r="BG174" s="2008"/>
    </row>
    <row r="175" spans="1:59" s="1953" customFormat="1" outlineLevel="1" x14ac:dyDescent="0.3">
      <c r="A175" s="2009" t="s">
        <v>900</v>
      </c>
      <c r="B175" s="2010" t="s">
        <v>901</v>
      </c>
      <c r="C175" s="2003"/>
      <c r="D175" s="2003"/>
      <c r="E175" s="2003"/>
      <c r="F175" s="2003"/>
      <c r="G175" s="2004"/>
      <c r="H175" s="2004"/>
      <c r="I175" s="2004"/>
      <c r="J175" s="1974"/>
      <c r="K175" s="2004"/>
      <c r="L175" s="2004"/>
      <c r="M175" s="2004"/>
      <c r="N175" s="2004"/>
      <c r="O175" s="2004"/>
      <c r="P175" s="2004"/>
      <c r="Q175" s="2004"/>
      <c r="R175" s="2004"/>
      <c r="S175" s="2004"/>
      <c r="T175" s="2004"/>
      <c r="U175" s="2004"/>
      <c r="V175" s="2004"/>
      <c r="W175" s="2011"/>
      <c r="X175" s="2011"/>
      <c r="Y175" s="2011"/>
      <c r="Z175" s="2011"/>
      <c r="AA175" s="2011"/>
      <c r="AB175" s="2011"/>
      <c r="AC175" s="2011"/>
      <c r="AD175" s="2003"/>
      <c r="AE175" s="2003"/>
      <c r="AF175" s="2003"/>
      <c r="AG175" s="2003"/>
      <c r="AH175" s="2003"/>
      <c r="AI175" s="2003"/>
      <c r="AJ175" s="2003"/>
      <c r="AK175" s="2011">
        <v>0.3</v>
      </c>
      <c r="AL175" s="2011">
        <v>0.6</v>
      </c>
      <c r="AM175" s="2011">
        <v>0.35</v>
      </c>
      <c r="AN175" s="2011">
        <v>0.28000000000000003</v>
      </c>
      <c r="AO175" s="2011">
        <v>0.25</v>
      </c>
      <c r="AP175" s="2011">
        <v>0.22</v>
      </c>
      <c r="AQ175" s="1976"/>
      <c r="AR175" s="1974"/>
      <c r="AS175" s="1948"/>
      <c r="AT175" s="1981"/>
      <c r="AU175" s="1949"/>
      <c r="AV175" s="1948"/>
      <c r="AW175" s="2012"/>
      <c r="AX175" s="2013"/>
      <c r="AY175" s="2012"/>
      <c r="AZ175" s="2019">
        <f>AZ174/AY174-1</f>
        <v>0.99681355751002876</v>
      </c>
      <c r="BA175" s="2016">
        <f>BA174/AZ174-1</f>
        <v>0.27108117456847425</v>
      </c>
      <c r="BB175" s="2015">
        <v>0.15</v>
      </c>
      <c r="BC175" s="2016">
        <v>0.13</v>
      </c>
      <c r="BD175" s="2008"/>
      <c r="BE175" s="2008"/>
      <c r="BF175" s="2008"/>
      <c r="BG175" s="2008"/>
    </row>
    <row r="176" spans="1:59" s="1953" customFormat="1" outlineLevel="1" x14ac:dyDescent="0.3">
      <c r="A176" s="2009" t="s">
        <v>740</v>
      </c>
      <c r="B176" s="2018" t="s">
        <v>904</v>
      </c>
      <c r="C176" s="2003"/>
      <c r="D176" s="2003"/>
      <c r="E176" s="2003"/>
      <c r="F176" s="2003"/>
      <c r="G176" s="2004"/>
      <c r="H176" s="2004"/>
      <c r="I176" s="2004"/>
      <c r="J176" s="2004"/>
      <c r="K176" s="2004"/>
      <c r="L176" s="2004"/>
      <c r="M176" s="2004"/>
      <c r="N176" s="2004"/>
      <c r="O176" s="2004"/>
      <c r="P176" s="2004"/>
      <c r="Q176" s="2004"/>
      <c r="R176" s="2004"/>
      <c r="S176" s="2004"/>
      <c r="T176" s="2004"/>
      <c r="U176" s="2004"/>
      <c r="V176" s="2004"/>
      <c r="W176" s="2003">
        <f>0.5*6000/4</f>
        <v>750</v>
      </c>
      <c r="X176" s="2003">
        <v>1700</v>
      </c>
      <c r="Y176" s="2003">
        <v>2300</v>
      </c>
      <c r="Z176" s="2003">
        <f>Y176*1.08</f>
        <v>2484</v>
      </c>
      <c r="AA176" s="2003">
        <f t="shared" ref="AA176:AG176" si="153">W176*(1+AA177)</f>
        <v>2250</v>
      </c>
      <c r="AB176" s="2003">
        <f t="shared" si="153"/>
        <v>1954.9999999999998</v>
      </c>
      <c r="AC176" s="2003">
        <f t="shared" si="153"/>
        <v>2645</v>
      </c>
      <c r="AD176" s="2003">
        <f t="shared" si="153"/>
        <v>2782.0800000000004</v>
      </c>
      <c r="AE176" s="2003">
        <f t="shared" si="153"/>
        <v>2475</v>
      </c>
      <c r="AF176" s="2003">
        <f t="shared" si="153"/>
        <v>2150.5</v>
      </c>
      <c r="AG176" s="2003">
        <f t="shared" si="153"/>
        <v>2777.25</v>
      </c>
      <c r="AH176" s="2003">
        <f>AH171-AH172-AH174-AH178-AH180-AH182</f>
        <v>1252.8822614542353</v>
      </c>
      <c r="AI176" s="2003">
        <f>AI171-AI172-AI174-AI178-AI180-AI182</f>
        <v>1174</v>
      </c>
      <c r="AJ176" s="2003">
        <f t="shared" ref="AJ176:AP176" si="154">AF176*(1+AJ177)</f>
        <v>2150.5</v>
      </c>
      <c r="AK176" s="2003">
        <f t="shared" si="154"/>
        <v>2777.25</v>
      </c>
      <c r="AL176" s="2003">
        <f t="shared" si="154"/>
        <v>3132.2056536355881</v>
      </c>
      <c r="AM176" s="2003">
        <f t="shared" si="154"/>
        <v>2582.8000000000002</v>
      </c>
      <c r="AN176" s="2003">
        <f t="shared" si="154"/>
        <v>2795.65</v>
      </c>
      <c r="AO176" s="2003">
        <f t="shared" si="154"/>
        <v>3471.5625</v>
      </c>
      <c r="AP176" s="2003">
        <f t="shared" si="154"/>
        <v>3758.6467843627056</v>
      </c>
      <c r="AQ176" s="1976"/>
      <c r="AR176" s="1974"/>
      <c r="AS176" s="1948"/>
      <c r="AT176" s="1981"/>
      <c r="AU176" s="1949"/>
      <c r="AV176" s="1948"/>
      <c r="AW176" s="1974">
        <f>SUM(W176:Z176)</f>
        <v>7234</v>
      </c>
      <c r="AX176" s="1976">
        <f>SUM(AA176:AD176)</f>
        <v>9632.08</v>
      </c>
      <c r="AY176" s="1974">
        <f>SUM(AE176:AH176)</f>
        <v>8655.632261454235</v>
      </c>
      <c r="AZ176" s="1974">
        <f>SUM(AI176:AL176)</f>
        <v>9233.9556536355885</v>
      </c>
      <c r="BA176" s="1977">
        <f>SUM(AM176:AP176)</f>
        <v>12608.659284362706</v>
      </c>
      <c r="BB176" s="1978">
        <f>BA176*(1+BB177)</f>
        <v>13869.525212798977</v>
      </c>
      <c r="BC176" s="1977">
        <f>BB176*(1+BC177)</f>
        <v>14979.087229822897</v>
      </c>
      <c r="BE176" s="2020"/>
      <c r="BF176" s="2020"/>
      <c r="BG176" s="2020"/>
    </row>
    <row r="177" spans="1:59" s="1953" customFormat="1" outlineLevel="1" x14ac:dyDescent="0.3">
      <c r="A177" s="2009" t="s">
        <v>905</v>
      </c>
      <c r="B177" s="2010" t="s">
        <v>906</v>
      </c>
      <c r="C177" s="2003"/>
      <c r="D177" s="2003"/>
      <c r="E177" s="2003"/>
      <c r="F177" s="2003"/>
      <c r="G177" s="2004"/>
      <c r="H177" s="2004"/>
      <c r="I177" s="2004"/>
      <c r="J177" s="1974"/>
      <c r="K177" s="2004"/>
      <c r="L177" s="2004"/>
      <c r="M177" s="2004"/>
      <c r="N177" s="2004"/>
      <c r="O177" s="2004"/>
      <c r="P177" s="2004"/>
      <c r="Q177" s="2004"/>
      <c r="R177" s="2004"/>
      <c r="S177" s="2004"/>
      <c r="T177" s="2004"/>
      <c r="U177" s="2004"/>
      <c r="V177" s="2004"/>
      <c r="W177" s="2011"/>
      <c r="X177" s="2011"/>
      <c r="Y177" s="2011"/>
      <c r="Z177" s="2011"/>
      <c r="AA177" s="2011">
        <v>2</v>
      </c>
      <c r="AB177" s="2011">
        <v>0.15</v>
      </c>
      <c r="AC177" s="2011">
        <v>0.15</v>
      </c>
      <c r="AD177" s="2011">
        <v>0.12</v>
      </c>
      <c r="AE177" s="2011">
        <v>0.1</v>
      </c>
      <c r="AF177" s="2011">
        <v>0.1</v>
      </c>
      <c r="AG177" s="2011">
        <v>0.05</v>
      </c>
      <c r="AH177" s="2011">
        <f>AH176/AD176-1</f>
        <v>-0.54965987266569072</v>
      </c>
      <c r="AI177" s="2011">
        <f>AI176/AE176-1</f>
        <v>-0.52565656565656571</v>
      </c>
      <c r="AJ177" s="2011">
        <v>0</v>
      </c>
      <c r="AK177" s="2011">
        <v>0</v>
      </c>
      <c r="AL177" s="2011">
        <v>1.5</v>
      </c>
      <c r="AM177" s="2011">
        <v>1.2</v>
      </c>
      <c r="AN177" s="2011">
        <v>0.3</v>
      </c>
      <c r="AO177" s="2011">
        <v>0.25</v>
      </c>
      <c r="AP177" s="2011">
        <v>0.2</v>
      </c>
      <c r="AQ177" s="1976"/>
      <c r="AR177" s="1974"/>
      <c r="AS177" s="1948"/>
      <c r="AT177" s="1981"/>
      <c r="AU177" s="1949"/>
      <c r="AV177" s="1948"/>
      <c r="AW177" s="2012"/>
      <c r="AX177" s="2013">
        <f>AX176/AW176-1</f>
        <v>0.3315012441249654</v>
      </c>
      <c r="AY177" s="2012">
        <f>AY176/AX176-1</f>
        <v>-0.10137454615677666</v>
      </c>
      <c r="AZ177" s="2012">
        <f>AZ176/AY176-1</f>
        <v>6.681469067912893E-2</v>
      </c>
      <c r="BA177" s="2014">
        <f>BA176/AZ176-1</f>
        <v>0.36546673574270749</v>
      </c>
      <c r="BB177" s="2015">
        <v>0.1</v>
      </c>
      <c r="BC177" s="2016">
        <v>0.08</v>
      </c>
      <c r="BD177" s="2008"/>
      <c r="BE177" s="2008"/>
      <c r="BF177" s="2008"/>
      <c r="BG177" s="2008"/>
    </row>
    <row r="178" spans="1:59" s="1953" customFormat="1" outlineLevel="1" x14ac:dyDescent="0.3">
      <c r="A178" s="2009" t="s">
        <v>740</v>
      </c>
      <c r="B178" s="2018" t="s">
        <v>603</v>
      </c>
      <c r="C178" s="2003"/>
      <c r="D178" s="2003"/>
      <c r="E178" s="2003"/>
      <c r="F178" s="2003"/>
      <c r="G178" s="2004"/>
      <c r="H178" s="2004"/>
      <c r="I178" s="2004"/>
      <c r="J178" s="2011"/>
      <c r="K178" s="2004"/>
      <c r="L178" s="2004"/>
      <c r="M178" s="2004"/>
      <c r="N178" s="2004"/>
      <c r="O178" s="2004"/>
      <c r="P178" s="2004"/>
      <c r="Q178" s="2004"/>
      <c r="R178" s="2004"/>
      <c r="S178" s="2004"/>
      <c r="T178" s="2011"/>
      <c r="U178" s="2004"/>
      <c r="V178" s="2004"/>
      <c r="W178" s="2003">
        <v>300</v>
      </c>
      <c r="X178" s="2003">
        <v>600</v>
      </c>
      <c r="Y178" s="2003">
        <v>1200</v>
      </c>
      <c r="Z178" s="2003">
        <f>Y178*(1+25%)</f>
        <v>1500</v>
      </c>
      <c r="AA178" s="2003">
        <f>W178*(1+AA179)</f>
        <v>2130</v>
      </c>
      <c r="AB178" s="2003">
        <f>X178*(1+AB179)</f>
        <v>2370</v>
      </c>
      <c r="AC178" s="2003">
        <f>Y178*(1+AC179)</f>
        <v>3600</v>
      </c>
      <c r="AD178" s="2003">
        <f>AX178-SUM(AA178:AC178)</f>
        <v>4370</v>
      </c>
      <c r="AE178" s="2003">
        <f>AA178*(1+AE179)</f>
        <v>6177</v>
      </c>
      <c r="AF178" s="2003">
        <f>AB178*(1+AF179)</f>
        <v>6636</v>
      </c>
      <c r="AG178" s="2003">
        <f>AC178*(1+AG179)</f>
        <v>9180</v>
      </c>
      <c r="AH178" s="2003">
        <f>AY178-SUM(AE178:AG178)</f>
        <v>13404</v>
      </c>
      <c r="AI178" s="2003">
        <f>AE178*(1+AI179)</f>
        <v>12354</v>
      </c>
      <c r="AJ178" s="2003">
        <f>AF178*(1+AJ179)</f>
        <v>12608.4</v>
      </c>
      <c r="AK178" s="2003">
        <f>AG178*(1+AK179)</f>
        <v>14688</v>
      </c>
      <c r="AL178" s="2003">
        <f>AZ178-SUM(AI178:AK178)</f>
        <v>17099.599999999999</v>
      </c>
      <c r="AM178" s="2003">
        <f>AI178*(1+AM179)</f>
        <v>16677.900000000001</v>
      </c>
      <c r="AN178" s="2003">
        <f>AJ178*(1+AN179)</f>
        <v>17021.34</v>
      </c>
      <c r="AO178" s="2003">
        <f>AK178*(1+AO179)</f>
        <v>19535.04</v>
      </c>
      <c r="AP178" s="2003">
        <f>BA178-SUM(AM178:AO178)</f>
        <v>21525.719999999994</v>
      </c>
      <c r="AQ178" s="1976"/>
      <c r="AR178" s="1974"/>
      <c r="AS178" s="1948"/>
      <c r="AT178" s="1981"/>
      <c r="AU178" s="1949"/>
      <c r="AV178" s="1948"/>
      <c r="AW178" s="1974">
        <f>SUM(W178:Z178)</f>
        <v>3600</v>
      </c>
      <c r="AX178" s="1976">
        <f>[35]Hema!D13*1000</f>
        <v>12470</v>
      </c>
      <c r="AY178" s="1974">
        <f>[35]Hema!E13*1000</f>
        <v>35397</v>
      </c>
      <c r="AZ178" s="1979">
        <f>[35]Hema!F13*1000</f>
        <v>56750</v>
      </c>
      <c r="BA178" s="1977">
        <f>[35]Hema!G13*1000</f>
        <v>74760</v>
      </c>
      <c r="BB178" s="1978">
        <f>[35]Hema!H13*1000</f>
        <v>92872.5</v>
      </c>
      <c r="BC178" s="1977">
        <f>[35]Hema!I13*1000</f>
        <v>110337.5</v>
      </c>
      <c r="BD178" s="2008"/>
      <c r="BE178" s="2008"/>
      <c r="BF178" s="2008"/>
      <c r="BG178" s="2008"/>
    </row>
    <row r="179" spans="1:59" s="1953" customFormat="1" outlineLevel="1" x14ac:dyDescent="0.3">
      <c r="A179" s="2009" t="s">
        <v>907</v>
      </c>
      <c r="B179" s="2010" t="s">
        <v>906</v>
      </c>
      <c r="C179" s="2003"/>
      <c r="D179" s="2003"/>
      <c r="E179" s="2003"/>
      <c r="F179" s="2003"/>
      <c r="G179" s="2004"/>
      <c r="H179" s="2004"/>
      <c r="I179" s="2004"/>
      <c r="J179" s="1974"/>
      <c r="K179" s="2004"/>
      <c r="L179" s="2004"/>
      <c r="M179" s="2004"/>
      <c r="N179" s="2004"/>
      <c r="O179" s="2004"/>
      <c r="P179" s="2004"/>
      <c r="Q179" s="2004"/>
      <c r="R179" s="2004"/>
      <c r="S179" s="2004"/>
      <c r="T179" s="2004"/>
      <c r="U179" s="2004"/>
      <c r="V179" s="2004"/>
      <c r="W179" s="2011"/>
      <c r="X179" s="2011"/>
      <c r="Y179" s="2011"/>
      <c r="Z179" s="2011"/>
      <c r="AA179" s="2011">
        <v>6.1</v>
      </c>
      <c r="AB179" s="2011">
        <v>2.95</v>
      </c>
      <c r="AC179" s="2011">
        <v>2</v>
      </c>
      <c r="AD179" s="2011">
        <f>AD178/Z178-1</f>
        <v>1.9133333333333336</v>
      </c>
      <c r="AE179" s="2011">
        <v>1.9</v>
      </c>
      <c r="AF179" s="2011">
        <v>1.8</v>
      </c>
      <c r="AG179" s="2011">
        <v>1.55</v>
      </c>
      <c r="AH179" s="2011">
        <f>AH178/AD178-1</f>
        <v>2.0672768878718535</v>
      </c>
      <c r="AI179" s="2011">
        <v>1</v>
      </c>
      <c r="AJ179" s="2011">
        <v>0.9</v>
      </c>
      <c r="AK179" s="2011">
        <v>0.6</v>
      </c>
      <c r="AL179" s="2011">
        <f>AL178/AH178-1</f>
        <v>0.2757087436586092</v>
      </c>
      <c r="AM179" s="2011">
        <v>0.35</v>
      </c>
      <c r="AN179" s="2011">
        <v>0.35</v>
      </c>
      <c r="AO179" s="2011">
        <v>0.33</v>
      </c>
      <c r="AP179" s="2011">
        <f>AP178/AL178-1</f>
        <v>0.25884348171887028</v>
      </c>
      <c r="AQ179" s="1976"/>
      <c r="AR179" s="1974"/>
      <c r="AS179" s="1948"/>
      <c r="AT179" s="1981"/>
      <c r="AU179" s="1949"/>
      <c r="AV179" s="1948"/>
      <c r="AW179" s="2012"/>
      <c r="AX179" s="2013">
        <f t="shared" ref="AX179:BC179" si="155">AX178/AW178-1</f>
        <v>2.463888888888889</v>
      </c>
      <c r="AY179" s="2012">
        <f t="shared" si="155"/>
        <v>1.8385725741780274</v>
      </c>
      <c r="AZ179" s="2019">
        <f t="shared" si="155"/>
        <v>0.60324321270164138</v>
      </c>
      <c r="BA179" s="2016">
        <f t="shared" si="155"/>
        <v>0.3173568281938326</v>
      </c>
      <c r="BB179" s="2015">
        <f t="shared" si="155"/>
        <v>0.2422752808988764</v>
      </c>
      <c r="BC179" s="2016">
        <f t="shared" si="155"/>
        <v>0.18805351422649341</v>
      </c>
      <c r="BD179" s="2008"/>
      <c r="BE179" s="2008"/>
      <c r="BF179" s="2008"/>
      <c r="BG179" s="2008"/>
    </row>
    <row r="180" spans="1:59" s="1953" customFormat="1" outlineLevel="1" x14ac:dyDescent="0.3">
      <c r="A180" s="2009" t="s">
        <v>740</v>
      </c>
      <c r="B180" s="2018" t="s">
        <v>908</v>
      </c>
      <c r="C180" s="2003"/>
      <c r="D180" s="2003"/>
      <c r="E180" s="2003"/>
      <c r="F180" s="2003"/>
      <c r="G180" s="2004"/>
      <c r="H180" s="2004"/>
      <c r="I180" s="2004"/>
      <c r="J180" s="1974"/>
      <c r="K180" s="2004"/>
      <c r="L180" s="2004"/>
      <c r="M180" s="2004"/>
      <c r="N180" s="2004"/>
      <c r="O180" s="2004"/>
      <c r="P180" s="2004"/>
      <c r="Q180" s="2004"/>
      <c r="R180" s="2004"/>
      <c r="S180" s="2004"/>
      <c r="T180" s="2004"/>
      <c r="U180" s="2004"/>
      <c r="V180" s="2004"/>
      <c r="W180" s="2011"/>
      <c r="X180" s="2011"/>
      <c r="Y180" s="2011"/>
      <c r="Z180" s="2011"/>
      <c r="AA180" s="2003">
        <v>2</v>
      </c>
      <c r="AB180" s="2003">
        <v>4</v>
      </c>
      <c r="AC180" s="2003">
        <v>9</v>
      </c>
      <c r="AD180" s="2003">
        <f>AX180-SUM(AA180:AC180)</f>
        <v>17.496586048909997</v>
      </c>
      <c r="AE180" s="2003">
        <v>30</v>
      </c>
      <c r="AF180" s="2003">
        <v>52</v>
      </c>
      <c r="AG180" s="2003">
        <v>78</v>
      </c>
      <c r="AH180" s="2003">
        <f>AY180-SUM(AE180:AG180)</f>
        <v>120.11773854576478</v>
      </c>
      <c r="AI180" s="2003">
        <v>150</v>
      </c>
      <c r="AJ180" s="2003">
        <v>230</v>
      </c>
      <c r="AK180" s="2003">
        <v>320</v>
      </c>
      <c r="AL180" s="2003">
        <f>AZ180-SUM(AI180:AK180)</f>
        <v>400.49217967571121</v>
      </c>
      <c r="AM180" s="2003">
        <v>600</v>
      </c>
      <c r="AN180" s="2003">
        <v>850</v>
      </c>
      <c r="AO180" s="2003">
        <v>1100</v>
      </c>
      <c r="AP180" s="2003">
        <f>BA180-SUM(AM180:AO180)</f>
        <v>1193.1891903395726</v>
      </c>
      <c r="AQ180" s="1976"/>
      <c r="AR180" s="1974"/>
      <c r="AS180" s="1948"/>
      <c r="AT180" s="1981"/>
      <c r="AU180" s="1949"/>
      <c r="AV180" s="1948"/>
      <c r="AW180" s="2012"/>
      <c r="AX180" s="1976">
        <f>[35]Hema!D58*1000</f>
        <v>32.496586048909997</v>
      </c>
      <c r="AY180" s="1974">
        <f>[35]Hema!E58*1000</f>
        <v>280.11773854576478</v>
      </c>
      <c r="AZ180" s="1979">
        <f>[35]Hema!F58*1000</f>
        <v>1100.4921796757112</v>
      </c>
      <c r="BA180" s="1977">
        <f>[35]Hema!G58*1000</f>
        <v>3743.1891903395726</v>
      </c>
      <c r="BB180" s="1978">
        <f>[35]Hema!H58*1000</f>
        <v>8234.1463145184443</v>
      </c>
      <c r="BC180" s="1977">
        <f>[35]Hema!I58*1000</f>
        <v>14115.543261824118</v>
      </c>
      <c r="BD180" s="2008"/>
      <c r="BE180" s="2008"/>
      <c r="BF180" s="2008"/>
      <c r="BG180" s="2008"/>
    </row>
    <row r="181" spans="1:59" s="1953" customFormat="1" outlineLevel="1" x14ac:dyDescent="0.3">
      <c r="A181" s="2009" t="s">
        <v>907</v>
      </c>
      <c r="B181" s="2010" t="s">
        <v>906</v>
      </c>
      <c r="C181" s="2003"/>
      <c r="D181" s="2003"/>
      <c r="E181" s="2003"/>
      <c r="F181" s="2003"/>
      <c r="G181" s="2004"/>
      <c r="H181" s="2004"/>
      <c r="I181" s="2004"/>
      <c r="J181" s="1974"/>
      <c r="K181" s="2004"/>
      <c r="L181" s="2004"/>
      <c r="M181" s="2004"/>
      <c r="N181" s="2004"/>
      <c r="O181" s="2004"/>
      <c r="P181" s="2004"/>
      <c r="Q181" s="2004"/>
      <c r="R181" s="2004"/>
      <c r="S181" s="2004"/>
      <c r="T181" s="2004"/>
      <c r="U181" s="2004"/>
      <c r="V181" s="2004"/>
      <c r="W181" s="2011"/>
      <c r="X181" s="2011"/>
      <c r="Y181" s="2011"/>
      <c r="Z181" s="2011"/>
      <c r="AA181" s="2011"/>
      <c r="AB181" s="2011"/>
      <c r="AC181" s="2011"/>
      <c r="AD181" s="2011"/>
      <c r="AE181" s="2011">
        <f t="shared" ref="AE181:AP181" si="156">AE180/AA180-1</f>
        <v>14</v>
      </c>
      <c r="AF181" s="2011">
        <f t="shared" si="156"/>
        <v>12</v>
      </c>
      <c r="AG181" s="2011">
        <f t="shared" si="156"/>
        <v>7.6666666666666661</v>
      </c>
      <c r="AH181" s="2011">
        <f t="shared" si="156"/>
        <v>5.8652100592645544</v>
      </c>
      <c r="AI181" s="2011">
        <f t="shared" si="156"/>
        <v>4</v>
      </c>
      <c r="AJ181" s="2011">
        <f t="shared" si="156"/>
        <v>3.4230769230769234</v>
      </c>
      <c r="AK181" s="2011">
        <f t="shared" si="156"/>
        <v>3.1025641025641022</v>
      </c>
      <c r="AL181" s="2011">
        <f t="shared" si="156"/>
        <v>2.3341635009480632</v>
      </c>
      <c r="AM181" s="2011">
        <f t="shared" si="156"/>
        <v>3</v>
      </c>
      <c r="AN181" s="2011">
        <f t="shared" si="156"/>
        <v>2.6956521739130435</v>
      </c>
      <c r="AO181" s="2011">
        <f t="shared" si="156"/>
        <v>2.4375</v>
      </c>
      <c r="AP181" s="2011">
        <f t="shared" si="156"/>
        <v>1.9793070898556087</v>
      </c>
      <c r="AQ181" s="1976"/>
      <c r="AR181" s="1974"/>
      <c r="AS181" s="1948"/>
      <c r="AT181" s="1981"/>
      <c r="AU181" s="1949"/>
      <c r="AV181" s="1948"/>
      <c r="AW181" s="2012"/>
      <c r="AX181" s="2013"/>
      <c r="AY181" s="2012">
        <f>AY180/AX180-1</f>
        <v>7.6199128155851472</v>
      </c>
      <c r="AZ181" s="2019">
        <f>AZ180/AY180-1</f>
        <v>2.9286772247588888</v>
      </c>
      <c r="BA181" s="2016">
        <f>BA180/AZ180-1</f>
        <v>2.4013773650282562</v>
      </c>
      <c r="BB181" s="2015">
        <f>BB180/BA180-1</f>
        <v>1.1997676034567366</v>
      </c>
      <c r="BC181" s="2016">
        <f>BC180/BB180-1</f>
        <v>0.71426918136438688</v>
      </c>
      <c r="BD181" s="2008"/>
      <c r="BE181" s="2008"/>
      <c r="BF181" s="2008"/>
      <c r="BG181" s="2008"/>
    </row>
    <row r="182" spans="1:59" s="1953" customFormat="1" outlineLevel="1" x14ac:dyDescent="0.3">
      <c r="A182" s="2021" t="s">
        <v>740</v>
      </c>
      <c r="B182" s="2018" t="s">
        <v>909</v>
      </c>
      <c r="C182" s="2003"/>
      <c r="D182" s="2003"/>
      <c r="E182" s="2003"/>
      <c r="F182" s="2003">
        <f t="shared" ref="F182:R182" si="157">F171</f>
        <v>210</v>
      </c>
      <c r="G182" s="2004">
        <f t="shared" si="157"/>
        <v>216.67500000000101</v>
      </c>
      <c r="H182" s="2004">
        <f t="shared" si="157"/>
        <v>216.125</v>
      </c>
      <c r="I182" s="2004">
        <f t="shared" si="157"/>
        <v>403.72499999999945</v>
      </c>
      <c r="J182" s="2004">
        <f t="shared" si="157"/>
        <v>234.27499999999964</v>
      </c>
      <c r="K182" s="2004">
        <f t="shared" si="157"/>
        <v>252.7800000000002</v>
      </c>
      <c r="L182" s="2004">
        <f t="shared" si="157"/>
        <v>255.38000000000193</v>
      </c>
      <c r="M182" s="2004">
        <f t="shared" si="157"/>
        <v>425.5</v>
      </c>
      <c r="N182" s="2004">
        <f t="shared" si="157"/>
        <v>260.97999999999956</v>
      </c>
      <c r="O182" s="2004">
        <f t="shared" si="157"/>
        <v>336.52554744525605</v>
      </c>
      <c r="P182" s="2004">
        <f t="shared" si="157"/>
        <v>443.80000000000018</v>
      </c>
      <c r="Q182" s="2004">
        <f t="shared" si="157"/>
        <v>542.30303030303003</v>
      </c>
      <c r="R182" s="2004">
        <f t="shared" si="157"/>
        <v>525.11999999999989</v>
      </c>
      <c r="S182" s="1974">
        <f>S171-S172</f>
        <v>525</v>
      </c>
      <c r="T182" s="1974">
        <f>T171-T172</f>
        <v>520</v>
      </c>
      <c r="U182" s="1974">
        <f>U171-U172</f>
        <v>683</v>
      </c>
      <c r="V182" s="1974">
        <f>V171-V172</f>
        <v>344</v>
      </c>
      <c r="W182" s="2003">
        <f>W171-W178-W176-W172</f>
        <v>264</v>
      </c>
      <c r="X182" s="2003">
        <f>X171-X178-X176-X172</f>
        <v>326</v>
      </c>
      <c r="Y182" s="2003">
        <f>Y171-Y178-Y176-Y172</f>
        <v>684</v>
      </c>
      <c r="Z182" s="2003">
        <f>Z171-Z178-Z176-Z172</f>
        <v>641</v>
      </c>
      <c r="AA182" s="2003">
        <f>AA171-AA178-AA176-AA172-AA180</f>
        <v>677</v>
      </c>
      <c r="AB182" s="2003">
        <f>AB171-AB178-AB176-AB172-AB180</f>
        <v>646</v>
      </c>
      <c r="AC182" s="2003">
        <f>AC171-AC178-AC176-AC172-AC180</f>
        <v>724</v>
      </c>
      <c r="AD182" s="2003">
        <f>AD171-AD178-AD176-AD172-AD180</f>
        <v>1682.42341395109</v>
      </c>
      <c r="AE182" s="2003">
        <f>AE171-AE178-AE176-AE172-AE180-AE174</f>
        <v>608</v>
      </c>
      <c r="AF182" s="2003">
        <f>AF171-AF178-AF176-AF172-AF180-AF174</f>
        <v>507.49999999999909</v>
      </c>
      <c r="AG182" s="2003">
        <f>AG171-AG178-AG176-AG172-AG180-AG174</f>
        <v>526.49000000001979</v>
      </c>
      <c r="AH182" s="2003">
        <v>0</v>
      </c>
      <c r="AI182" s="2003">
        <v>0</v>
      </c>
      <c r="AJ182" s="2003">
        <f>AF182*1.1</f>
        <v>558.24999999999909</v>
      </c>
      <c r="AK182" s="2003">
        <f>AG182*1.1</f>
        <v>579.13900000002184</v>
      </c>
      <c r="AL182" s="2003">
        <f>AK182*1.05</f>
        <v>608.09595000002298</v>
      </c>
      <c r="AM182" s="2003">
        <f>AL182*1.04</f>
        <v>632.41978800002391</v>
      </c>
      <c r="AN182" s="2003">
        <f>AM182*1.04</f>
        <v>657.71657952002488</v>
      </c>
      <c r="AO182" s="2003">
        <f>AN182*1.04</f>
        <v>684.02524270082586</v>
      </c>
      <c r="AP182" s="2003">
        <f>AO182*1.04</f>
        <v>711.38625240885892</v>
      </c>
      <c r="AQ182" s="1976">
        <v>703</v>
      </c>
      <c r="AR182" s="1974">
        <v>1112</v>
      </c>
      <c r="AS182" s="1948">
        <v>1080</v>
      </c>
      <c r="AT182" s="1981">
        <f>AT171</f>
        <v>1022</v>
      </c>
      <c r="AU182" s="1949">
        <v>1808</v>
      </c>
      <c r="AV182" s="1974">
        <f>SUM(S182:V182)</f>
        <v>2072</v>
      </c>
      <c r="AW182" s="1974">
        <f>SUM(W182:Z182)</f>
        <v>1915</v>
      </c>
      <c r="AX182" s="1976">
        <f>SUM(AA182:AD182)</f>
        <v>3729.42341395109</v>
      </c>
      <c r="AY182" s="1974">
        <f>SUM(AE182:AH182)</f>
        <v>1641.9900000000189</v>
      </c>
      <c r="AZ182" s="1974">
        <f>SUM(AI182:AL182)</f>
        <v>1745.4849500000441</v>
      </c>
      <c r="BA182" s="1977">
        <f>SUM(AM182:AP182)</f>
        <v>2685.5478626297336</v>
      </c>
      <c r="BB182" s="1978">
        <f>BA182*1.1</f>
        <v>2954.1026488927073</v>
      </c>
      <c r="BC182" s="1977">
        <f>BB182*1.1</f>
        <v>3249.5129137819781</v>
      </c>
      <c r="BD182" s="1950"/>
      <c r="BE182" s="1950"/>
      <c r="BF182" s="1950"/>
      <c r="BG182" s="1950"/>
    </row>
    <row r="183" spans="1:59" s="1953" customFormat="1" x14ac:dyDescent="0.3">
      <c r="A183" s="2009"/>
      <c r="B183" s="1982" t="s">
        <v>910</v>
      </c>
      <c r="C183" s="1973">
        <f t="shared" ref="C183:K183" si="158">C167-C168</f>
        <v>573</v>
      </c>
      <c r="D183" s="1973">
        <f t="shared" si="158"/>
        <v>552</v>
      </c>
      <c r="E183" s="1973">
        <f t="shared" si="158"/>
        <v>584</v>
      </c>
      <c r="F183" s="1973">
        <f t="shared" si="158"/>
        <v>488</v>
      </c>
      <c r="G183" s="1973">
        <f t="shared" si="158"/>
        <v>526</v>
      </c>
      <c r="H183" s="1973">
        <f t="shared" si="158"/>
        <v>568</v>
      </c>
      <c r="I183" s="1973">
        <f t="shared" si="158"/>
        <v>612</v>
      </c>
      <c r="J183" s="1973">
        <f t="shared" si="158"/>
        <v>594</v>
      </c>
      <c r="K183" s="1973">
        <f t="shared" si="158"/>
        <v>709</v>
      </c>
      <c r="L183" s="1973">
        <v>790</v>
      </c>
      <c r="M183" s="1973">
        <v>860</v>
      </c>
      <c r="N183" s="1973">
        <v>846</v>
      </c>
      <c r="O183" s="1973">
        <v>997</v>
      </c>
      <c r="P183" s="1973">
        <v>1046</v>
      </c>
      <c r="Q183" s="1973">
        <v>1162</v>
      </c>
      <c r="R183" s="1973">
        <v>1083</v>
      </c>
      <c r="S183" s="1973">
        <v>1261</v>
      </c>
      <c r="T183" s="1973">
        <v>1435</v>
      </c>
      <c r="U183" s="1973">
        <v>1514</v>
      </c>
      <c r="V183" s="1973">
        <v>1469</v>
      </c>
      <c r="W183" s="1973">
        <v>1641</v>
      </c>
      <c r="X183" s="1973">
        <v>1714</v>
      </c>
      <c r="Y183" s="1973">
        <v>1926</v>
      </c>
      <c r="Z183" s="1973">
        <v>1883</v>
      </c>
      <c r="AA183" s="1973">
        <v>2250</v>
      </c>
      <c r="AB183" s="1973">
        <v>2497</v>
      </c>
      <c r="AC183" s="1973">
        <v>2694</v>
      </c>
      <c r="AD183" s="1973">
        <v>2547</v>
      </c>
      <c r="AE183" s="1973">
        <v>2992</v>
      </c>
      <c r="AF183" s="1973">
        <v>3283</v>
      </c>
      <c r="AG183" s="1973">
        <v>3365</v>
      </c>
      <c r="AH183" s="1973">
        <v>2787</v>
      </c>
      <c r="AI183" s="1973">
        <v>3484</v>
      </c>
      <c r="AJ183" s="1973">
        <f t="shared" ref="AJ183:AP183" si="159">AF183*(1+AJ460)</f>
        <v>4038.09</v>
      </c>
      <c r="AK183" s="1973">
        <f t="shared" si="159"/>
        <v>4138.95</v>
      </c>
      <c r="AL183" s="1973">
        <f t="shared" si="159"/>
        <v>3623.1</v>
      </c>
      <c r="AM183" s="1973">
        <f t="shared" si="159"/>
        <v>4250.4799999999996</v>
      </c>
      <c r="AN183" s="1973">
        <f t="shared" si="159"/>
        <v>4926.4697999999999</v>
      </c>
      <c r="AO183" s="1973">
        <f t="shared" si="159"/>
        <v>5008.1295</v>
      </c>
      <c r="AP183" s="1973">
        <f t="shared" si="159"/>
        <v>4347.7199999999993</v>
      </c>
      <c r="AQ183" s="1976">
        <v>2215</v>
      </c>
      <c r="AR183" s="1974">
        <v>2197</v>
      </c>
      <c r="AS183" s="1948">
        <f>SUM(G183:J183)</f>
        <v>2300</v>
      </c>
      <c r="AT183" s="1977">
        <f>SUM(K183:N183)</f>
        <v>3205</v>
      </c>
      <c r="AU183" s="1978">
        <f>SUM(O183:R183)</f>
        <v>4288</v>
      </c>
      <c r="AV183" s="1974">
        <f>SUM(S183:V183)</f>
        <v>5679</v>
      </c>
      <c r="AW183" s="1948">
        <f>SUM(W183:Z183)</f>
        <v>7164</v>
      </c>
      <c r="AX183" s="1978">
        <f>SUM(AA183:AD183)</f>
        <v>9988</v>
      </c>
      <c r="AY183" s="1974">
        <f>SUM(AE183:AH183)</f>
        <v>12427</v>
      </c>
      <c r="AZ183" s="1979">
        <f>SUM(AI183:AL183)</f>
        <v>15284.140000000001</v>
      </c>
      <c r="BA183" s="1977">
        <f>SUM(AM183:AP183)</f>
        <v>18532.799299999999</v>
      </c>
      <c r="BB183" s="1978">
        <f>BA183*(1+BB460)</f>
        <v>21683.375180999996</v>
      </c>
      <c r="BC183" s="1977">
        <f>BB183*(1+BC460)</f>
        <v>24502.213954529994</v>
      </c>
    </row>
    <row r="184" spans="1:59" s="1999" customFormat="1" x14ac:dyDescent="0.3">
      <c r="A184" s="2009"/>
      <c r="B184" s="2022" t="s">
        <v>911</v>
      </c>
      <c r="C184" s="1992">
        <v>974</v>
      </c>
      <c r="D184" s="1992">
        <v>1049</v>
      </c>
      <c r="E184" s="1992">
        <v>1094</v>
      </c>
      <c r="F184" s="1992">
        <v>1043</v>
      </c>
      <c r="G184" s="1992">
        <v>1117</v>
      </c>
      <c r="H184" s="1992">
        <v>1176</v>
      </c>
      <c r="I184" s="1992">
        <v>1264</v>
      </c>
      <c r="J184" s="1992">
        <v>1294</v>
      </c>
      <c r="K184" s="1992">
        <v>1469</v>
      </c>
      <c r="L184" s="1992">
        <f>L185+L192</f>
        <v>1617</v>
      </c>
      <c r="M184" s="1992">
        <v>1763</v>
      </c>
      <c r="N184" s="1992">
        <v>1637</v>
      </c>
      <c r="O184" s="1992">
        <f t="shared" ref="O184:AP184" si="160">O185+O192</f>
        <v>1746</v>
      </c>
      <c r="P184" s="1992">
        <f t="shared" si="160"/>
        <v>1836</v>
      </c>
      <c r="Q184" s="1992">
        <f t="shared" si="160"/>
        <v>2062</v>
      </c>
      <c r="R184" s="1992">
        <f t="shared" si="160"/>
        <v>1985</v>
      </c>
      <c r="S184" s="1992">
        <f t="shared" si="160"/>
        <v>2549</v>
      </c>
      <c r="T184" s="1992">
        <f t="shared" si="160"/>
        <v>2844</v>
      </c>
      <c r="U184" s="1992">
        <f t="shared" si="160"/>
        <v>4006</v>
      </c>
      <c r="V184" s="1992">
        <f t="shared" si="160"/>
        <v>3938</v>
      </c>
      <c r="W184" s="1992">
        <f t="shared" si="160"/>
        <v>4247</v>
      </c>
      <c r="X184" s="1992">
        <f t="shared" si="160"/>
        <v>4529</v>
      </c>
      <c r="Y184" s="1992">
        <f t="shared" si="160"/>
        <v>6399</v>
      </c>
      <c r="Z184" s="1992">
        <f t="shared" si="160"/>
        <v>5666</v>
      </c>
      <c r="AA184" s="1992">
        <f t="shared" si="160"/>
        <v>6153</v>
      </c>
      <c r="AB184" s="1992">
        <f t="shared" si="160"/>
        <v>6486</v>
      </c>
      <c r="AC184" s="1992">
        <f t="shared" si="160"/>
        <v>8009</v>
      </c>
      <c r="AD184" s="1992">
        <f t="shared" si="160"/>
        <v>7077</v>
      </c>
      <c r="AE184" s="1992">
        <f t="shared" si="160"/>
        <v>7812</v>
      </c>
      <c r="AF184" s="1992">
        <f t="shared" si="160"/>
        <v>8441</v>
      </c>
      <c r="AG184" s="1992">
        <f t="shared" si="160"/>
        <v>9853</v>
      </c>
      <c r="AH184" s="1992">
        <f t="shared" si="160"/>
        <v>7811</v>
      </c>
      <c r="AI184" s="1992">
        <f t="shared" si="160"/>
        <v>10216</v>
      </c>
      <c r="AJ184" s="1992">
        <f t="shared" si="160"/>
        <v>10217.577541316501</v>
      </c>
      <c r="AK184" s="1992">
        <f t="shared" si="160"/>
        <v>13899.709950425598</v>
      </c>
      <c r="AL184" s="1992">
        <f t="shared" si="160"/>
        <v>10877.388594799999</v>
      </c>
      <c r="AM184" s="1992">
        <f t="shared" si="160"/>
        <v>13240.959023995734</v>
      </c>
      <c r="AN184" s="1992">
        <f t="shared" si="160"/>
        <v>12658.199274885119</v>
      </c>
      <c r="AO184" s="1992">
        <f t="shared" si="160"/>
        <v>18121.683998271998</v>
      </c>
      <c r="AP184" s="1992">
        <f t="shared" si="160"/>
        <v>13769.850149391998</v>
      </c>
      <c r="AQ184" s="1993">
        <v>3765</v>
      </c>
      <c r="AR184" s="1994">
        <v>4160</v>
      </c>
      <c r="AS184" s="1995">
        <f>SUM(G184:J184)</f>
        <v>4851</v>
      </c>
      <c r="AT184" s="2023">
        <f>SUM(K184:N184)</f>
        <v>6486</v>
      </c>
      <c r="AU184" s="2024">
        <f>SUM(O184:R184)</f>
        <v>7629</v>
      </c>
      <c r="AV184" s="1994">
        <f>SUM(S184:V184)</f>
        <v>13337</v>
      </c>
      <c r="AW184" s="1995">
        <f>SUM(W184:Z184)</f>
        <v>20841</v>
      </c>
      <c r="AX184" s="2024">
        <f>SUM(AA184:AD184)</f>
        <v>27725</v>
      </c>
      <c r="AY184" s="2025">
        <f>AY185+AY192</f>
        <v>33917</v>
      </c>
      <c r="AZ184" s="2025">
        <f>AZ185+AZ192</f>
        <v>45210.676086542109</v>
      </c>
      <c r="BA184" s="2023">
        <f>BA185+BA192</f>
        <v>57790.692446544846</v>
      </c>
      <c r="BB184" s="2024">
        <f>BB185+BB192</f>
        <v>71696.761428030964</v>
      </c>
      <c r="BC184" s="2023">
        <f>BC185+BC192</f>
        <v>86886.677064855001</v>
      </c>
      <c r="BD184" s="2026"/>
      <c r="BE184" s="2026"/>
      <c r="BF184" s="2027"/>
      <c r="BG184" s="2028"/>
    </row>
    <row r="185" spans="1:59" s="1953" customFormat="1" x14ac:dyDescent="0.3">
      <c r="A185" s="2009"/>
      <c r="B185" s="2029" t="s">
        <v>912</v>
      </c>
      <c r="C185" s="2030"/>
      <c r="D185" s="2030"/>
      <c r="E185" s="2030"/>
      <c r="F185" s="2030"/>
      <c r="G185" s="2030">
        <v>179</v>
      </c>
      <c r="H185" s="2030">
        <v>210</v>
      </c>
      <c r="I185" s="2030">
        <v>264</v>
      </c>
      <c r="J185" s="1948">
        <v>285</v>
      </c>
      <c r="K185" s="2030">
        <v>358</v>
      </c>
      <c r="L185" s="2030">
        <v>419</v>
      </c>
      <c r="M185" s="2030">
        <v>554</v>
      </c>
      <c r="N185" s="2030">
        <v>437</v>
      </c>
      <c r="O185" s="2030">
        <v>501</v>
      </c>
      <c r="P185" s="2030">
        <v>481</v>
      </c>
      <c r="Q185" s="2030">
        <v>632</v>
      </c>
      <c r="R185" s="2031">
        <v>590</v>
      </c>
      <c r="S185" s="2030">
        <v>1117</v>
      </c>
      <c r="T185" s="2030">
        <v>1338</v>
      </c>
      <c r="U185" s="2030">
        <v>2452</v>
      </c>
      <c r="V185" s="2030">
        <v>2429</v>
      </c>
      <c r="W185" s="2030">
        <v>2638</v>
      </c>
      <c r="X185" s="2030">
        <v>2878</v>
      </c>
      <c r="Y185" s="2030">
        <v>4733</v>
      </c>
      <c r="Z185" s="2030">
        <v>3967</v>
      </c>
      <c r="AA185" s="2030">
        <v>4316</v>
      </c>
      <c r="AB185" s="2030">
        <v>4464</v>
      </c>
      <c r="AC185" s="2030">
        <v>5834</v>
      </c>
      <c r="AD185" s="2030">
        <v>4944</v>
      </c>
      <c r="AE185" s="2030">
        <v>5567</v>
      </c>
      <c r="AF185" s="2030">
        <v>6007</v>
      </c>
      <c r="AG185" s="2030">
        <v>7396</v>
      </c>
      <c r="AH185" s="2030">
        <v>5353</v>
      </c>
      <c r="AI185" s="2030">
        <v>7012</v>
      </c>
      <c r="AJ185" s="2030">
        <f t="shared" ref="AJ185:AP185" si="161">AJ186+AJ189</f>
        <v>7053.3775413165013</v>
      </c>
      <c r="AK185" s="2030">
        <f t="shared" si="161"/>
        <v>10951.309950425599</v>
      </c>
      <c r="AL185" s="2030">
        <f t="shared" si="161"/>
        <v>8026.1085947999991</v>
      </c>
      <c r="AM185" s="2030">
        <f t="shared" si="161"/>
        <v>9556.3590239957339</v>
      </c>
      <c r="AN185" s="2030">
        <f t="shared" si="161"/>
        <v>9019.369274885119</v>
      </c>
      <c r="AO185" s="2030">
        <f t="shared" si="161"/>
        <v>14878.443998271998</v>
      </c>
      <c r="AP185" s="2030">
        <f t="shared" si="161"/>
        <v>10633.442149391998</v>
      </c>
      <c r="AQ185" s="2032">
        <v>223</v>
      </c>
      <c r="AR185" s="2031">
        <v>392</v>
      </c>
      <c r="AS185" s="1948">
        <v>938</v>
      </c>
      <c r="AT185" s="1981">
        <f>SUM(K185:N185)</f>
        <v>1768</v>
      </c>
      <c r="AU185" s="1949">
        <f>SUM(O185:R185)</f>
        <v>2204</v>
      </c>
      <c r="AV185" s="1948">
        <f>SUM(S185:V185)</f>
        <v>7336</v>
      </c>
      <c r="AW185" s="1948">
        <f>SUM(W185:Z185)</f>
        <v>14216</v>
      </c>
      <c r="AX185" s="1978">
        <f>SUM(AA185:AD185)</f>
        <v>19558</v>
      </c>
      <c r="AY185" s="1979">
        <f>AY186+AY189</f>
        <v>24323</v>
      </c>
      <c r="AZ185" s="1979">
        <f>AZ186+AZ189</f>
        <v>33042.796086542105</v>
      </c>
      <c r="BA185" s="1977">
        <f>BA186+BA189</f>
        <v>44087.614446544845</v>
      </c>
      <c r="BB185" s="1978">
        <f>BB186+BB189</f>
        <v>57445.560308030967</v>
      </c>
      <c r="BC185" s="1977">
        <f>BC186+BC189</f>
        <v>72065.427900055001</v>
      </c>
      <c r="BG185" s="2033"/>
    </row>
    <row r="186" spans="1:59" s="2039" customFormat="1" ht="10.15" outlineLevel="1" x14ac:dyDescent="0.3">
      <c r="A186" s="2006" t="s">
        <v>740</v>
      </c>
      <c r="B186" s="2034" t="s">
        <v>913</v>
      </c>
      <c r="C186" s="2035"/>
      <c r="D186" s="2035"/>
      <c r="E186" s="2035"/>
      <c r="F186" s="2035"/>
      <c r="G186" s="2035"/>
      <c r="H186" s="2035"/>
      <c r="I186" s="2035"/>
      <c r="J186" s="2036"/>
      <c r="K186" s="2037"/>
      <c r="L186" s="2037"/>
      <c r="M186" s="2037"/>
      <c r="N186" s="2037"/>
      <c r="O186" s="2037"/>
      <c r="P186" s="2037"/>
      <c r="Q186" s="2037"/>
      <c r="R186" s="2037"/>
      <c r="S186" s="2037">
        <f t="shared" ref="S186:AP186" si="162">S108</f>
        <v>515.80903420799996</v>
      </c>
      <c r="T186" s="2037">
        <f t="shared" si="162"/>
        <v>821.36414637500002</v>
      </c>
      <c r="U186" s="2037">
        <f t="shared" si="162"/>
        <v>1596.8899999999996</v>
      </c>
      <c r="V186" s="2037">
        <f t="shared" si="162"/>
        <v>1288.5350400000002</v>
      </c>
      <c r="W186" s="2037">
        <f t="shared" si="162"/>
        <v>1644.2582012999999</v>
      </c>
      <c r="X186" s="2037">
        <f t="shared" si="162"/>
        <v>2048.7298774374999</v>
      </c>
      <c r="Y186" s="2037">
        <f t="shared" si="162"/>
        <v>3166.4860839999997</v>
      </c>
      <c r="Z186" s="2037">
        <f t="shared" si="162"/>
        <v>2285.2336319999995</v>
      </c>
      <c r="AA186" s="2038">
        <f t="shared" si="162"/>
        <v>2999.1906079931246</v>
      </c>
      <c r="AB186" s="2038">
        <f t="shared" si="162"/>
        <v>3581.4385753749998</v>
      </c>
      <c r="AC186" s="2038">
        <f t="shared" si="162"/>
        <v>3928.1106599999985</v>
      </c>
      <c r="AD186" s="2038">
        <f t="shared" si="162"/>
        <v>3000.7117439999997</v>
      </c>
      <c r="AE186" s="2038">
        <f t="shared" si="162"/>
        <v>3668.9243768774986</v>
      </c>
      <c r="AF186" s="2038">
        <f t="shared" si="162"/>
        <v>4800.0261412950003</v>
      </c>
      <c r="AG186" s="2038">
        <f t="shared" si="162"/>
        <v>5057.9468074799988</v>
      </c>
      <c r="AH186" s="2038">
        <f t="shared" si="162"/>
        <v>3785.9692247999997</v>
      </c>
      <c r="AI186" s="2038">
        <f t="shared" si="162"/>
        <v>4515.3059938863571</v>
      </c>
      <c r="AJ186" s="2038">
        <f t="shared" si="162"/>
        <v>5484.3115250000019</v>
      </c>
      <c r="AK186" s="2038">
        <f t="shared" si="162"/>
        <v>7958.6018639999966</v>
      </c>
      <c r="AL186" s="2038">
        <f t="shared" si="162"/>
        <v>5675.5624319999988</v>
      </c>
      <c r="AM186" s="2038">
        <f t="shared" si="162"/>
        <v>6310.6568160479974</v>
      </c>
      <c r="AN186" s="2038">
        <f t="shared" si="162"/>
        <v>7010.964774</v>
      </c>
      <c r="AO186" s="2038">
        <f t="shared" si="162"/>
        <v>11137.558890239996</v>
      </c>
      <c r="AP186" s="2038">
        <f t="shared" si="162"/>
        <v>7718.764907519997</v>
      </c>
      <c r="AQ186" s="1978"/>
      <c r="AR186" s="1979"/>
      <c r="AS186" s="1979"/>
      <c r="AT186" s="1977"/>
      <c r="AU186" s="1978"/>
      <c r="AV186" s="1979">
        <f>SUM(S186:V186)</f>
        <v>4222.5982205830005</v>
      </c>
      <c r="AW186" s="1979">
        <f>SUM(W186:Z186)</f>
        <v>9144.7077947374983</v>
      </c>
      <c r="AX186" s="1978">
        <f>SUM(AA186:AD186)</f>
        <v>13509.451587368123</v>
      </c>
      <c r="AY186" s="1979">
        <f>AY108</f>
        <v>17312.866550452498</v>
      </c>
      <c r="AZ186" s="1979">
        <f>AZ108</f>
        <v>23633.781814886355</v>
      </c>
      <c r="BA186" s="1977">
        <f>BA108</f>
        <v>32177.945387807988</v>
      </c>
      <c r="BB186" s="1978">
        <f>BB108</f>
        <v>42796.667365784633</v>
      </c>
      <c r="BC186" s="1977">
        <f>BC108</f>
        <v>54779.734228204332</v>
      </c>
    </row>
    <row r="187" spans="1:59" s="2039" customFormat="1" ht="10.15" outlineLevel="1" x14ac:dyDescent="0.3">
      <c r="A187" s="1970"/>
      <c r="B187" s="2040" t="s">
        <v>914</v>
      </c>
      <c r="C187" s="2041"/>
      <c r="D187" s="2041"/>
      <c r="E187" s="2041"/>
      <c r="F187" s="2041"/>
      <c r="G187" s="2041"/>
      <c r="H187" s="2041"/>
      <c r="I187" s="2041"/>
      <c r="J187" s="2004"/>
      <c r="K187" s="2003"/>
      <c r="L187" s="2003"/>
      <c r="M187" s="2003"/>
      <c r="N187" s="2003"/>
      <c r="O187" s="2003"/>
      <c r="P187" s="2003"/>
      <c r="Q187" s="2003"/>
      <c r="R187" s="2003"/>
      <c r="S187" s="2003"/>
      <c r="T187" s="2003"/>
      <c r="U187" s="2003"/>
      <c r="V187" s="2003"/>
      <c r="W187" s="2011">
        <f t="shared" ref="W187:AP187" si="163">(W186-S186)/S186</f>
        <v>2.1877266434944853</v>
      </c>
      <c r="X187" s="2011">
        <f t="shared" si="163"/>
        <v>1.4943015670690558</v>
      </c>
      <c r="Y187" s="2011">
        <f t="shared" si="163"/>
        <v>0.982908080080657</v>
      </c>
      <c r="Z187" s="2012">
        <f t="shared" si="163"/>
        <v>0.77351299038014454</v>
      </c>
      <c r="AA187" s="2012">
        <f t="shared" si="163"/>
        <v>0.82403870974879401</v>
      </c>
      <c r="AB187" s="2012">
        <f t="shared" si="163"/>
        <v>0.74812629757446292</v>
      </c>
      <c r="AC187" s="2012">
        <f t="shared" si="163"/>
        <v>0.24052674030321078</v>
      </c>
      <c r="AD187" s="2012">
        <f t="shared" si="163"/>
        <v>0.31308751192053191</v>
      </c>
      <c r="AE187" s="2012">
        <f t="shared" si="163"/>
        <v>0.22330483667809264</v>
      </c>
      <c r="AF187" s="2012">
        <f t="shared" si="163"/>
        <v>0.34025086296291052</v>
      </c>
      <c r="AG187" s="2012">
        <f t="shared" si="163"/>
        <v>0.28762839066249746</v>
      </c>
      <c r="AH187" s="2012">
        <f t="shared" si="163"/>
        <v>0.26169040807406524</v>
      </c>
      <c r="AI187" s="2012">
        <f t="shared" si="163"/>
        <v>0.23068930565671297</v>
      </c>
      <c r="AJ187" s="2012">
        <f t="shared" si="163"/>
        <v>0.14255867854927723</v>
      </c>
      <c r="AK187" s="2012">
        <f t="shared" si="163"/>
        <v>0.57348468992009427</v>
      </c>
      <c r="AL187" s="2012">
        <f t="shared" si="163"/>
        <v>0.49910421744112832</v>
      </c>
      <c r="AM187" s="2012">
        <f t="shared" si="163"/>
        <v>0.39761443069251851</v>
      </c>
      <c r="AN187" s="2012">
        <f t="shared" si="163"/>
        <v>0.27836734693877507</v>
      </c>
      <c r="AO187" s="2012">
        <f t="shared" si="163"/>
        <v>0.39943661971830996</v>
      </c>
      <c r="AP187" s="2012">
        <f t="shared" si="163"/>
        <v>0.35999999999999976</v>
      </c>
      <c r="AQ187" s="1976"/>
      <c r="AR187" s="1974"/>
      <c r="AS187" s="1979"/>
      <c r="AT187" s="1977"/>
      <c r="AU187" s="1978"/>
      <c r="AV187" s="1979"/>
      <c r="AW187" s="2019">
        <f t="shared" ref="AW187:BC187" si="164">(AW186-AV186)/AV186</f>
        <v>1.165658989330725</v>
      </c>
      <c r="AX187" s="2015">
        <f t="shared" si="164"/>
        <v>0.47729724017451958</v>
      </c>
      <c r="AY187" s="2019">
        <f t="shared" si="164"/>
        <v>0.28153733247326784</v>
      </c>
      <c r="AZ187" s="2019">
        <f t="shared" si="164"/>
        <v>0.36509928878696585</v>
      </c>
      <c r="BA187" s="2016">
        <f t="shared" si="164"/>
        <v>0.3615233329919238</v>
      </c>
      <c r="BB187" s="2015">
        <f t="shared" si="164"/>
        <v>0.33000000000000029</v>
      </c>
      <c r="BC187" s="2016">
        <f t="shared" si="164"/>
        <v>0.28000000000000003</v>
      </c>
    </row>
    <row r="188" spans="1:59" s="2045" customFormat="1" ht="10.15" outlineLevel="1" x14ac:dyDescent="0.3">
      <c r="A188" s="2042"/>
      <c r="B188" s="2043" t="s">
        <v>915</v>
      </c>
      <c r="C188" s="2041"/>
      <c r="D188" s="2041"/>
      <c r="E188" s="2041"/>
      <c r="F188" s="2041"/>
      <c r="G188" s="2041"/>
      <c r="H188" s="2041"/>
      <c r="I188" s="2041"/>
      <c r="J188" s="2004"/>
      <c r="K188" s="2003"/>
      <c r="L188" s="2003"/>
      <c r="M188" s="2003"/>
      <c r="N188" s="2003"/>
      <c r="O188" s="2003"/>
      <c r="P188" s="2003"/>
      <c r="Q188" s="2003"/>
      <c r="R188" s="2003"/>
      <c r="S188" s="2003"/>
      <c r="T188" s="2011">
        <f t="shared" ref="T188:AP188" si="165">(T186-S186)/S186</f>
        <v>0.59238030337364156</v>
      </c>
      <c r="U188" s="2011">
        <f t="shared" si="165"/>
        <v>0.94419248398861499</v>
      </c>
      <c r="V188" s="2011">
        <f t="shared" si="165"/>
        <v>-0.19309718264877324</v>
      </c>
      <c r="W188" s="2011">
        <f t="shared" si="165"/>
        <v>0.27606789901499273</v>
      </c>
      <c r="X188" s="2011">
        <f t="shared" si="165"/>
        <v>0.24599036563583054</v>
      </c>
      <c r="Y188" s="2011">
        <f t="shared" si="165"/>
        <v>0.54558495918483951</v>
      </c>
      <c r="Z188" s="2012">
        <f t="shared" si="165"/>
        <v>-0.27830611871402128</v>
      </c>
      <c r="AA188" s="2012">
        <f t="shared" si="165"/>
        <v>0.31242187494338663</v>
      </c>
      <c r="AB188" s="2012">
        <f t="shared" si="165"/>
        <v>0.19413503290858866</v>
      </c>
      <c r="AC188" s="2012">
        <f t="shared" si="165"/>
        <v>9.6796881289161821E-2</v>
      </c>
      <c r="AD188" s="2012">
        <f t="shared" si="165"/>
        <v>-0.23609286913520891</v>
      </c>
      <c r="AE188" s="2012">
        <f t="shared" si="165"/>
        <v>0.22268471278975971</v>
      </c>
      <c r="AF188" s="2012">
        <f t="shared" si="165"/>
        <v>0.30829247164264134</v>
      </c>
      <c r="AG188" s="2012">
        <f t="shared" si="165"/>
        <v>5.3733179485437967E-2</v>
      </c>
      <c r="AH188" s="2012">
        <f t="shared" si="165"/>
        <v>-0.25148101217650637</v>
      </c>
      <c r="AI188" s="2012">
        <f t="shared" si="165"/>
        <v>0.19264202263157221</v>
      </c>
      <c r="AJ188" s="2012">
        <f t="shared" si="165"/>
        <v>0.21460462091066715</v>
      </c>
      <c r="AK188" s="2012">
        <f t="shared" si="165"/>
        <v>0.45115787601069834</v>
      </c>
      <c r="AL188" s="2012">
        <f t="shared" si="165"/>
        <v>-0.28686438535480918</v>
      </c>
      <c r="AM188" s="2012">
        <f t="shared" si="165"/>
        <v>0.1118998146275697</v>
      </c>
      <c r="AN188" s="2012">
        <f t="shared" si="165"/>
        <v>0.11097227727090464</v>
      </c>
      <c r="AO188" s="2012">
        <f t="shared" si="165"/>
        <v>0.58859147767271269</v>
      </c>
      <c r="AP188" s="2012">
        <f t="shared" si="165"/>
        <v>-0.30696079961614725</v>
      </c>
      <c r="AQ188" s="1976"/>
      <c r="AR188" s="1974"/>
      <c r="AS188" s="1948"/>
      <c r="AT188" s="1977"/>
      <c r="AU188" s="1978"/>
      <c r="AV188" s="1979"/>
      <c r="AW188" s="2044"/>
      <c r="AX188" s="1978"/>
      <c r="AY188" s="1979"/>
      <c r="AZ188" s="1979"/>
      <c r="BA188" s="1977"/>
      <c r="BB188" s="1978"/>
      <c r="BC188" s="1977"/>
    </row>
    <row r="189" spans="1:59" s="2045" customFormat="1" ht="10.15" outlineLevel="1" x14ac:dyDescent="0.3">
      <c r="A189" s="2009" t="s">
        <v>740</v>
      </c>
      <c r="B189" s="2046" t="s">
        <v>916</v>
      </c>
      <c r="C189" s="2041"/>
      <c r="D189" s="2041"/>
      <c r="E189" s="2041"/>
      <c r="F189" s="2041"/>
      <c r="G189" s="1973">
        <f t="shared" ref="G189:R189" si="166">G185</f>
        <v>179</v>
      </c>
      <c r="H189" s="1973">
        <f t="shared" si="166"/>
        <v>210</v>
      </c>
      <c r="I189" s="1973">
        <f t="shared" si="166"/>
        <v>264</v>
      </c>
      <c r="J189" s="1948">
        <f t="shared" si="166"/>
        <v>285</v>
      </c>
      <c r="K189" s="1973">
        <f t="shared" si="166"/>
        <v>358</v>
      </c>
      <c r="L189" s="1973">
        <f t="shared" si="166"/>
        <v>419</v>
      </c>
      <c r="M189" s="1973">
        <f t="shared" si="166"/>
        <v>554</v>
      </c>
      <c r="N189" s="1973">
        <f t="shared" si="166"/>
        <v>437</v>
      </c>
      <c r="O189" s="1973">
        <f t="shared" si="166"/>
        <v>501</v>
      </c>
      <c r="P189" s="1973">
        <f t="shared" si="166"/>
        <v>481</v>
      </c>
      <c r="Q189" s="1973">
        <f t="shared" si="166"/>
        <v>632</v>
      </c>
      <c r="R189" s="1974">
        <f t="shared" si="166"/>
        <v>590</v>
      </c>
      <c r="S189" s="2003">
        <f t="shared" ref="S189:AI189" si="167">S185-S186</f>
        <v>601.19096579200004</v>
      </c>
      <c r="T189" s="2003">
        <f t="shared" si="167"/>
        <v>516.63585362499998</v>
      </c>
      <c r="U189" s="2003">
        <f t="shared" si="167"/>
        <v>855.11000000000035</v>
      </c>
      <c r="V189" s="2003">
        <f t="shared" si="167"/>
        <v>1140.4649599999998</v>
      </c>
      <c r="W189" s="2003">
        <f t="shared" si="167"/>
        <v>993.74179870000012</v>
      </c>
      <c r="X189" s="2003">
        <f t="shared" si="167"/>
        <v>829.27012256250009</v>
      </c>
      <c r="Y189" s="2003">
        <f t="shared" si="167"/>
        <v>1566.5139160000003</v>
      </c>
      <c r="Z189" s="2003">
        <f t="shared" si="167"/>
        <v>1681.7663680000005</v>
      </c>
      <c r="AA189" s="1973">
        <f t="shared" si="167"/>
        <v>1316.8093920068754</v>
      </c>
      <c r="AB189" s="1973">
        <f t="shared" si="167"/>
        <v>882.5614246250002</v>
      </c>
      <c r="AC189" s="1973">
        <f t="shared" si="167"/>
        <v>1905.8893400000015</v>
      </c>
      <c r="AD189" s="1973">
        <f t="shared" si="167"/>
        <v>1943.2882560000003</v>
      </c>
      <c r="AE189" s="1973">
        <f t="shared" si="167"/>
        <v>1898.0756231225014</v>
      </c>
      <c r="AF189" s="1973">
        <f t="shared" si="167"/>
        <v>1206.9738587049997</v>
      </c>
      <c r="AG189" s="1973">
        <f t="shared" si="167"/>
        <v>2338.0531925200012</v>
      </c>
      <c r="AH189" s="1973">
        <f t="shared" si="167"/>
        <v>1567.0307752000003</v>
      </c>
      <c r="AI189" s="1973">
        <f t="shared" si="167"/>
        <v>2496.6940061136429</v>
      </c>
      <c r="AJ189" s="1973">
        <f t="shared" ref="AJ189:AP189" si="168">AF189*(1+AJ190)</f>
        <v>1569.0660163164996</v>
      </c>
      <c r="AK189" s="1973">
        <f t="shared" si="168"/>
        <v>2992.7080864256018</v>
      </c>
      <c r="AL189" s="1973">
        <f t="shared" si="168"/>
        <v>2350.5461628000003</v>
      </c>
      <c r="AM189" s="1973">
        <f t="shared" si="168"/>
        <v>3245.702207947736</v>
      </c>
      <c r="AN189" s="1973">
        <f t="shared" si="168"/>
        <v>2008.4045008851194</v>
      </c>
      <c r="AO189" s="1973">
        <f t="shared" si="168"/>
        <v>3740.8851080320023</v>
      </c>
      <c r="AP189" s="1973">
        <f t="shared" si="168"/>
        <v>2914.6772418720002</v>
      </c>
      <c r="AQ189" s="1976">
        <f>AQ185</f>
        <v>223</v>
      </c>
      <c r="AR189" s="1979">
        <f>AR185</f>
        <v>392</v>
      </c>
      <c r="AS189" s="1979">
        <f>AS185</f>
        <v>938</v>
      </c>
      <c r="AT189" s="1977">
        <f>AT185</f>
        <v>1768</v>
      </c>
      <c r="AU189" s="1978">
        <f>AU185</f>
        <v>2204</v>
      </c>
      <c r="AV189" s="1979">
        <f>SUM(S189:V189)</f>
        <v>3113.4017794170004</v>
      </c>
      <c r="AW189" s="1979">
        <f>SUM(W189:Z189)</f>
        <v>5071.2922052625008</v>
      </c>
      <c r="AX189" s="1978">
        <f>SUM(AA189:AD189)</f>
        <v>6048.548412631877</v>
      </c>
      <c r="AY189" s="1974">
        <f>SUM(AE189:AH189)</f>
        <v>7010.1334495475021</v>
      </c>
      <c r="AZ189" s="1974">
        <f>SUM(AI189:AL189)</f>
        <v>9409.0142716557457</v>
      </c>
      <c r="BA189" s="1977">
        <f>SUM(AM189:AP189)</f>
        <v>11909.669058736858</v>
      </c>
      <c r="BB189" s="1978">
        <f>BA189*(1+BB190)</f>
        <v>14648.892942246335</v>
      </c>
      <c r="BC189" s="1977">
        <f>BB189*(1+BC190)</f>
        <v>17285.693671850673</v>
      </c>
    </row>
    <row r="190" spans="1:59" s="2045" customFormat="1" ht="10.15" outlineLevel="1" x14ac:dyDescent="0.3">
      <c r="A190" s="1970" t="s">
        <v>917</v>
      </c>
      <c r="B190" s="2047" t="s">
        <v>918</v>
      </c>
      <c r="C190" s="2041"/>
      <c r="D190" s="2041"/>
      <c r="E190" s="2041"/>
      <c r="F190" s="2041"/>
      <c r="G190" s="2041"/>
      <c r="H190" s="2041"/>
      <c r="I190" s="2041"/>
      <c r="J190" s="2004"/>
      <c r="K190" s="2011">
        <f t="shared" ref="K190:AI190" si="169">(K189-G189)/G189</f>
        <v>1</v>
      </c>
      <c r="L190" s="2011">
        <f t="shared" si="169"/>
        <v>0.99523809523809526</v>
      </c>
      <c r="M190" s="2011">
        <f t="shared" si="169"/>
        <v>1.0984848484848484</v>
      </c>
      <c r="N190" s="2011">
        <f t="shared" si="169"/>
        <v>0.53333333333333333</v>
      </c>
      <c r="O190" s="2011">
        <f t="shared" si="169"/>
        <v>0.3994413407821229</v>
      </c>
      <c r="P190" s="2011">
        <f t="shared" si="169"/>
        <v>0.14797136038186157</v>
      </c>
      <c r="Q190" s="2011">
        <f t="shared" si="169"/>
        <v>0.1407942238267148</v>
      </c>
      <c r="R190" s="2011">
        <f t="shared" si="169"/>
        <v>0.35011441647597252</v>
      </c>
      <c r="S190" s="2011">
        <f t="shared" si="169"/>
        <v>0.19998196764870269</v>
      </c>
      <c r="T190" s="2011">
        <f t="shared" si="169"/>
        <v>7.4087013773388735E-2</v>
      </c>
      <c r="U190" s="2011">
        <f t="shared" si="169"/>
        <v>0.35302215189873476</v>
      </c>
      <c r="V190" s="2011">
        <f t="shared" si="169"/>
        <v>0.93299145762711833</v>
      </c>
      <c r="W190" s="2011">
        <f t="shared" si="169"/>
        <v>0.65295530911855848</v>
      </c>
      <c r="X190" s="2011">
        <f t="shared" si="169"/>
        <v>0.60513467414986188</v>
      </c>
      <c r="Y190" s="2011">
        <f t="shared" si="169"/>
        <v>0.83194432996924339</v>
      </c>
      <c r="Z190" s="2012">
        <f t="shared" si="169"/>
        <v>0.47463221316330562</v>
      </c>
      <c r="AA190" s="2012">
        <f t="shared" si="169"/>
        <v>0.32510214799207204</v>
      </c>
      <c r="AB190" s="2012">
        <f t="shared" si="169"/>
        <v>6.4262898918661659E-2</v>
      </c>
      <c r="AC190" s="2012">
        <f t="shared" si="169"/>
        <v>0.21664373392007655</v>
      </c>
      <c r="AD190" s="2012">
        <f t="shared" si="169"/>
        <v>0.15550429178281658</v>
      </c>
      <c r="AE190" s="2012">
        <f t="shared" si="169"/>
        <v>0.441420174129948</v>
      </c>
      <c r="AF190" s="2012">
        <f t="shared" si="169"/>
        <v>0.36758057289648943</v>
      </c>
      <c r="AG190" s="2012">
        <f t="shared" si="169"/>
        <v>0.22675180738457737</v>
      </c>
      <c r="AH190" s="2012">
        <f t="shared" si="169"/>
        <v>-0.19361897527980526</v>
      </c>
      <c r="AI190" s="2012">
        <f t="shared" si="169"/>
        <v>0.31538173489966725</v>
      </c>
      <c r="AJ190" s="2012">
        <v>0.3</v>
      </c>
      <c r="AK190" s="2012">
        <v>0.28000000000000003</v>
      </c>
      <c r="AL190" s="2012">
        <v>0.5</v>
      </c>
      <c r="AM190" s="2012">
        <v>0.3</v>
      </c>
      <c r="AN190" s="2012">
        <v>0.28000000000000003</v>
      </c>
      <c r="AO190" s="2012">
        <v>0.25</v>
      </c>
      <c r="AP190" s="2012">
        <v>0.24</v>
      </c>
      <c r="AQ190" s="1976"/>
      <c r="AR190" s="2012">
        <f t="shared" ref="AR190:BA190" si="170">(AR189-AQ189)/AQ189</f>
        <v>0.75784753363228696</v>
      </c>
      <c r="AS190" s="2012">
        <f t="shared" si="170"/>
        <v>1.3928571428571428</v>
      </c>
      <c r="AT190" s="2014">
        <f t="shared" si="170"/>
        <v>0.88486140724946694</v>
      </c>
      <c r="AU190" s="2013">
        <f t="shared" si="170"/>
        <v>0.24660633484162897</v>
      </c>
      <c r="AV190" s="2012">
        <f t="shared" si="170"/>
        <v>0.4126142374850274</v>
      </c>
      <c r="AW190" s="2012">
        <f t="shared" si="170"/>
        <v>0.62885890243569043</v>
      </c>
      <c r="AX190" s="2013">
        <f t="shared" si="170"/>
        <v>0.19270358871359716</v>
      </c>
      <c r="AY190" s="2012">
        <f t="shared" si="170"/>
        <v>0.15897781935702734</v>
      </c>
      <c r="AZ190" s="2012">
        <f t="shared" si="170"/>
        <v>0.3422018766651424</v>
      </c>
      <c r="BA190" s="2014">
        <f t="shared" si="170"/>
        <v>0.26577223871518907</v>
      </c>
      <c r="BB190" s="2013">
        <v>0.23</v>
      </c>
      <c r="BC190" s="2014">
        <v>0.18</v>
      </c>
    </row>
    <row r="191" spans="1:59" s="2045" customFormat="1" ht="10.15" outlineLevel="1" x14ac:dyDescent="0.3">
      <c r="A191" s="2048"/>
      <c r="B191" s="2047" t="s">
        <v>919</v>
      </c>
      <c r="C191" s="2041"/>
      <c r="D191" s="2041"/>
      <c r="E191" s="2041"/>
      <c r="F191" s="2041"/>
      <c r="G191" s="2011"/>
      <c r="H191" s="2011">
        <f t="shared" ref="H191:AP191" si="171">H189/G189-1</f>
        <v>0.17318435754189943</v>
      </c>
      <c r="I191" s="2011">
        <f t="shared" si="171"/>
        <v>0.25714285714285712</v>
      </c>
      <c r="J191" s="2011">
        <f t="shared" si="171"/>
        <v>7.9545454545454586E-2</v>
      </c>
      <c r="K191" s="2011">
        <f t="shared" si="171"/>
        <v>0.25614035087719289</v>
      </c>
      <c r="L191" s="2011">
        <f t="shared" si="171"/>
        <v>0.17039106145251393</v>
      </c>
      <c r="M191" s="2011">
        <f t="shared" si="171"/>
        <v>0.32219570405727915</v>
      </c>
      <c r="N191" s="2011">
        <f t="shared" si="171"/>
        <v>-0.21119133574007221</v>
      </c>
      <c r="O191" s="2011">
        <f t="shared" si="171"/>
        <v>0.14645308924485123</v>
      </c>
      <c r="P191" s="2011">
        <f t="shared" si="171"/>
        <v>-3.9920159680638667E-2</v>
      </c>
      <c r="Q191" s="2011">
        <f t="shared" si="171"/>
        <v>0.313929313929314</v>
      </c>
      <c r="R191" s="2011">
        <f t="shared" si="171"/>
        <v>-6.6455696202531667E-2</v>
      </c>
      <c r="S191" s="2011">
        <f t="shared" si="171"/>
        <v>1.8967738630508491E-2</v>
      </c>
      <c r="T191" s="2011">
        <f t="shared" si="171"/>
        <v>-0.1406460126286303</v>
      </c>
      <c r="U191" s="2011">
        <f t="shared" si="171"/>
        <v>0.65515032299845322</v>
      </c>
      <c r="V191" s="2011">
        <f t="shared" si="171"/>
        <v>0.33370555834921745</v>
      </c>
      <c r="W191" s="2011">
        <f t="shared" si="171"/>
        <v>-0.12865205547393554</v>
      </c>
      <c r="X191" s="2011">
        <f t="shared" si="171"/>
        <v>-0.16550745510821796</v>
      </c>
      <c r="Y191" s="2011">
        <f t="shared" si="171"/>
        <v>0.88902731857668726</v>
      </c>
      <c r="Z191" s="2011">
        <f t="shared" si="171"/>
        <v>7.3572568250328985E-2</v>
      </c>
      <c r="AA191" s="2012">
        <f t="shared" si="171"/>
        <v>-0.21700813081851622</v>
      </c>
      <c r="AB191" s="2012">
        <f t="shared" si="171"/>
        <v>-0.32977283577850414</v>
      </c>
      <c r="AC191" s="2012">
        <f t="shared" si="171"/>
        <v>1.1594976698758535</v>
      </c>
      <c r="AD191" s="2012">
        <f t="shared" si="171"/>
        <v>1.9622816086477979E-2</v>
      </c>
      <c r="AE191" s="2012">
        <f t="shared" si="171"/>
        <v>-2.326604544534383E-2</v>
      </c>
      <c r="AF191" s="2012">
        <f t="shared" si="171"/>
        <v>-0.36410654875835691</v>
      </c>
      <c r="AG191" s="2012">
        <f t="shared" si="171"/>
        <v>0.937119992829482</v>
      </c>
      <c r="AH191" s="2012">
        <f t="shared" si="171"/>
        <v>-0.32977111888929145</v>
      </c>
      <c r="AI191" s="2012">
        <f t="shared" si="171"/>
        <v>0.59326418193349739</v>
      </c>
      <c r="AJ191" s="2012">
        <f t="shared" si="171"/>
        <v>-0.37154252284247291</v>
      </c>
      <c r="AK191" s="2012">
        <f t="shared" si="171"/>
        <v>0.90731814678595168</v>
      </c>
      <c r="AL191" s="2012">
        <f t="shared" si="171"/>
        <v>-0.21457552994838858</v>
      </c>
      <c r="AM191" s="2012">
        <f t="shared" si="171"/>
        <v>0.38082895767569802</v>
      </c>
      <c r="AN191" s="2012">
        <f t="shared" si="171"/>
        <v>-0.38121109941412723</v>
      </c>
      <c r="AO191" s="2012">
        <f t="shared" si="171"/>
        <v>0.862615377720656</v>
      </c>
      <c r="AP191" s="2012">
        <f t="shared" si="171"/>
        <v>-0.22085892570880161</v>
      </c>
      <c r="AQ191" s="1976"/>
      <c r="AR191" s="1974"/>
      <c r="AS191" s="1948"/>
      <c r="AT191" s="1977"/>
      <c r="AU191" s="1978"/>
      <c r="AV191" s="1979"/>
      <c r="AW191" s="2049"/>
      <c r="AX191" s="1978"/>
      <c r="AY191" s="1979"/>
      <c r="AZ191" s="1979"/>
      <c r="BA191" s="1977"/>
      <c r="BB191" s="1978"/>
      <c r="BC191" s="1977"/>
    </row>
    <row r="192" spans="1:59" s="1953" customFormat="1" x14ac:dyDescent="0.3">
      <c r="A192" s="1970"/>
      <c r="B192" s="2050" t="s">
        <v>920</v>
      </c>
      <c r="C192" s="2030"/>
      <c r="D192" s="2030"/>
      <c r="E192" s="2030"/>
      <c r="F192" s="2030"/>
      <c r="G192" s="2030">
        <v>938</v>
      </c>
      <c r="H192" s="2030">
        <v>966</v>
      </c>
      <c r="I192" s="2030">
        <v>1000</v>
      </c>
      <c r="J192" s="1948">
        <v>1009</v>
      </c>
      <c r="K192" s="2030">
        <v>1111</v>
      </c>
      <c r="L192" s="2030">
        <v>1198</v>
      </c>
      <c r="M192" s="2030">
        <v>1209</v>
      </c>
      <c r="N192" s="2030">
        <v>1200</v>
      </c>
      <c r="O192" s="2030">
        <v>1245</v>
      </c>
      <c r="P192" s="2030">
        <v>1355</v>
      </c>
      <c r="Q192" s="2030">
        <v>1430</v>
      </c>
      <c r="R192" s="2030">
        <v>1395</v>
      </c>
      <c r="S192" s="2030">
        <v>1432</v>
      </c>
      <c r="T192" s="2030">
        <v>1506</v>
      </c>
      <c r="U192" s="2030">
        <v>1554</v>
      </c>
      <c r="V192" s="2030">
        <v>1509</v>
      </c>
      <c r="W192" s="2030">
        <v>1609</v>
      </c>
      <c r="X192" s="2030">
        <v>1651</v>
      </c>
      <c r="Y192" s="2030">
        <v>1666</v>
      </c>
      <c r="Z192" s="2030">
        <v>1699</v>
      </c>
      <c r="AA192" s="2030">
        <v>1837</v>
      </c>
      <c r="AB192" s="2030">
        <v>2022</v>
      </c>
      <c r="AC192" s="2030">
        <v>2175</v>
      </c>
      <c r="AD192" s="2030">
        <v>2133</v>
      </c>
      <c r="AE192" s="2030">
        <v>2245</v>
      </c>
      <c r="AF192" s="2030">
        <v>2434</v>
      </c>
      <c r="AG192" s="2030">
        <v>2457</v>
      </c>
      <c r="AH192" s="2030">
        <v>2458</v>
      </c>
      <c r="AI192" s="2030">
        <v>3204</v>
      </c>
      <c r="AJ192" s="2030">
        <f t="shared" ref="AJ192:AP192" si="172">AF192*(1+AJ193)</f>
        <v>3164.2000000000003</v>
      </c>
      <c r="AK192" s="2030">
        <f t="shared" si="172"/>
        <v>2948.4</v>
      </c>
      <c r="AL192" s="2030">
        <f t="shared" si="172"/>
        <v>2851.2799999999997</v>
      </c>
      <c r="AM192" s="2030">
        <f t="shared" si="172"/>
        <v>3684.6</v>
      </c>
      <c r="AN192" s="2030">
        <f t="shared" si="172"/>
        <v>3638.83</v>
      </c>
      <c r="AO192" s="2030">
        <f t="shared" si="172"/>
        <v>3243.2400000000002</v>
      </c>
      <c r="AP192" s="2030">
        <f t="shared" si="172"/>
        <v>3136.4079999999999</v>
      </c>
      <c r="AQ192" s="2032">
        <v>3542</v>
      </c>
      <c r="AR192" s="2031">
        <v>3768</v>
      </c>
      <c r="AS192" s="1948">
        <v>3913</v>
      </c>
      <c r="AT192" s="1981">
        <f>SUM(K192:N192)</f>
        <v>4718</v>
      </c>
      <c r="AU192" s="1949">
        <f>SUM(O192:R192)</f>
        <v>5425</v>
      </c>
      <c r="AV192" s="1948">
        <f>SUM(S192:V192)</f>
        <v>6001</v>
      </c>
      <c r="AW192" s="1948">
        <f>SUM(W192:Z192)</f>
        <v>6625</v>
      </c>
      <c r="AX192" s="1978">
        <f>SUM(AA192:AD192)</f>
        <v>8167</v>
      </c>
      <c r="AY192" s="1974">
        <f>SUM(AE192:AH192)</f>
        <v>9594</v>
      </c>
      <c r="AZ192" s="1974">
        <f>SUM(AI192:AL192)</f>
        <v>12167.880000000001</v>
      </c>
      <c r="BA192" s="1977">
        <f>SUM(AM192:AP192)</f>
        <v>13703.078</v>
      </c>
      <c r="BB192" s="1978">
        <f>BA192*(1+BB193)</f>
        <v>14251.20112</v>
      </c>
      <c r="BC192" s="1977">
        <f>BB192*(1+BC193)</f>
        <v>14821.2491648</v>
      </c>
    </row>
    <row r="193" spans="1:71" s="2055" customFormat="1" hidden="1" outlineLevel="1" x14ac:dyDescent="0.3">
      <c r="A193" s="1970" t="s">
        <v>921</v>
      </c>
      <c r="B193" s="2051" t="s">
        <v>906</v>
      </c>
      <c r="C193" s="2003"/>
      <c r="D193" s="2003"/>
      <c r="E193" s="2003"/>
      <c r="F193" s="2003"/>
      <c r="G193" s="2003"/>
      <c r="H193" s="2003"/>
      <c r="I193" s="2003"/>
      <c r="J193" s="2052"/>
      <c r="K193" s="2053">
        <f t="shared" ref="K193:AI193" si="173">(K192-G192)/G192</f>
        <v>0.18443496801705758</v>
      </c>
      <c r="L193" s="2053">
        <f t="shared" si="173"/>
        <v>0.2401656314699793</v>
      </c>
      <c r="M193" s="2053">
        <f t="shared" si="173"/>
        <v>0.20899999999999999</v>
      </c>
      <c r="N193" s="2011">
        <f t="shared" si="173"/>
        <v>0.18929633300297324</v>
      </c>
      <c r="O193" s="2053">
        <f t="shared" si="173"/>
        <v>0.12061206120612061</v>
      </c>
      <c r="P193" s="2053">
        <f t="shared" si="173"/>
        <v>0.1310517529215359</v>
      </c>
      <c r="Q193" s="2053">
        <f t="shared" si="173"/>
        <v>0.18279569892473119</v>
      </c>
      <c r="R193" s="2053">
        <f t="shared" si="173"/>
        <v>0.16250000000000001</v>
      </c>
      <c r="S193" s="2053">
        <f t="shared" si="173"/>
        <v>0.1502008032128514</v>
      </c>
      <c r="T193" s="2053">
        <f t="shared" si="173"/>
        <v>0.11143911439114391</v>
      </c>
      <c r="U193" s="2053">
        <f t="shared" si="173"/>
        <v>8.6713286713286708E-2</v>
      </c>
      <c r="V193" s="2053">
        <f t="shared" si="173"/>
        <v>8.1720430107526887E-2</v>
      </c>
      <c r="W193" s="2053">
        <f t="shared" si="173"/>
        <v>0.12360335195530726</v>
      </c>
      <c r="X193" s="2053">
        <f t="shared" si="173"/>
        <v>9.6281540504648072E-2</v>
      </c>
      <c r="Y193" s="2053">
        <f t="shared" si="173"/>
        <v>7.2072072072072071E-2</v>
      </c>
      <c r="Z193" s="2012">
        <f t="shared" si="173"/>
        <v>0.12591119946984758</v>
      </c>
      <c r="AA193" s="2054">
        <f t="shared" si="173"/>
        <v>0.14170292106898694</v>
      </c>
      <c r="AB193" s="2054">
        <f t="shared" si="173"/>
        <v>0.2247122955784373</v>
      </c>
      <c r="AC193" s="2054">
        <f t="shared" si="173"/>
        <v>0.30552220888355341</v>
      </c>
      <c r="AD193" s="2054">
        <f t="shared" si="173"/>
        <v>0.25544437904649792</v>
      </c>
      <c r="AE193" s="2054">
        <f t="shared" si="173"/>
        <v>0.22210125204137179</v>
      </c>
      <c r="AF193" s="2054">
        <f t="shared" si="173"/>
        <v>0.20375865479723046</v>
      </c>
      <c r="AG193" s="2054">
        <f t="shared" si="173"/>
        <v>0.1296551724137931</v>
      </c>
      <c r="AH193" s="2054">
        <f t="shared" si="173"/>
        <v>0.15236755743084857</v>
      </c>
      <c r="AI193" s="2054">
        <f t="shared" si="173"/>
        <v>0.42717149220489975</v>
      </c>
      <c r="AJ193" s="2054">
        <v>0.3</v>
      </c>
      <c r="AK193" s="2054">
        <v>0.2</v>
      </c>
      <c r="AL193" s="2054">
        <v>0.16</v>
      </c>
      <c r="AM193" s="2054">
        <v>0.15</v>
      </c>
      <c r="AN193" s="2054">
        <v>0.15</v>
      </c>
      <c r="AO193" s="2054">
        <v>0.1</v>
      </c>
      <c r="AP193" s="2054">
        <v>0.1</v>
      </c>
      <c r="AQ193" s="1976"/>
      <c r="AR193" s="1974"/>
      <c r="AS193" s="1948"/>
      <c r="AT193" s="1977"/>
      <c r="AU193" s="1978"/>
      <c r="AV193" s="2044">
        <f t="shared" ref="AV193:BA193" si="174">(AV192-AU192)/AU192</f>
        <v>0.10617511520737327</v>
      </c>
      <c r="AW193" s="2044">
        <f t="shared" si="174"/>
        <v>0.10398266955507415</v>
      </c>
      <c r="AX193" s="2015">
        <f t="shared" si="174"/>
        <v>0.23275471698113206</v>
      </c>
      <c r="AY193" s="2019">
        <f t="shared" si="174"/>
        <v>0.17472756214032081</v>
      </c>
      <c r="AZ193" s="2012">
        <f t="shared" si="174"/>
        <v>0.26828017510944352</v>
      </c>
      <c r="BA193" s="2014">
        <f t="shared" si="174"/>
        <v>0.12616807529331309</v>
      </c>
      <c r="BB193" s="2015">
        <v>0.04</v>
      </c>
      <c r="BC193" s="2016">
        <v>0.04</v>
      </c>
    </row>
    <row r="194" spans="1:71" s="2055" customFormat="1" hidden="1" outlineLevel="1" x14ac:dyDescent="0.3">
      <c r="A194" s="2042"/>
      <c r="B194" s="2051" t="s">
        <v>922</v>
      </c>
      <c r="C194" s="2003"/>
      <c r="D194" s="2003"/>
      <c r="E194" s="2003"/>
      <c r="F194" s="2003"/>
      <c r="G194" s="2003"/>
      <c r="H194" s="2053">
        <f t="shared" ref="H194:AP194" si="175">(H192-G192)/G192</f>
        <v>2.9850746268656716E-2</v>
      </c>
      <c r="I194" s="2053">
        <f t="shared" si="175"/>
        <v>3.5196687370600416E-2</v>
      </c>
      <c r="J194" s="2056">
        <f t="shared" si="175"/>
        <v>8.9999999999999993E-3</v>
      </c>
      <c r="K194" s="2053">
        <f t="shared" si="175"/>
        <v>0.10109018830525272</v>
      </c>
      <c r="L194" s="2053">
        <f t="shared" si="175"/>
        <v>7.8307830783078305E-2</v>
      </c>
      <c r="M194" s="2053">
        <f t="shared" si="175"/>
        <v>9.1819699499165273E-3</v>
      </c>
      <c r="N194" s="2011">
        <f t="shared" si="175"/>
        <v>-7.4441687344913151E-3</v>
      </c>
      <c r="O194" s="2053">
        <f t="shared" si="175"/>
        <v>3.7499999999999999E-2</v>
      </c>
      <c r="P194" s="2053">
        <f t="shared" si="175"/>
        <v>8.8353413654618476E-2</v>
      </c>
      <c r="Q194" s="2053">
        <f t="shared" si="175"/>
        <v>5.5350553505535055E-2</v>
      </c>
      <c r="R194" s="2053">
        <f t="shared" si="175"/>
        <v>-2.4475524475524476E-2</v>
      </c>
      <c r="S194" s="2053">
        <f t="shared" si="175"/>
        <v>2.6523297491039426E-2</v>
      </c>
      <c r="T194" s="2053">
        <f t="shared" si="175"/>
        <v>5.1675977653631286E-2</v>
      </c>
      <c r="U194" s="2053">
        <f t="shared" si="175"/>
        <v>3.1872509960159362E-2</v>
      </c>
      <c r="V194" s="2053">
        <f t="shared" si="175"/>
        <v>-2.8957528957528959E-2</v>
      </c>
      <c r="W194" s="2053">
        <f t="shared" si="175"/>
        <v>6.6269052352551358E-2</v>
      </c>
      <c r="X194" s="2053">
        <f t="shared" si="175"/>
        <v>2.610316967060286E-2</v>
      </c>
      <c r="Y194" s="2053">
        <f t="shared" si="175"/>
        <v>9.085402786190187E-3</v>
      </c>
      <c r="Z194" s="2053">
        <f t="shared" si="175"/>
        <v>1.9807923169267706E-2</v>
      </c>
      <c r="AA194" s="2054">
        <f t="shared" si="175"/>
        <v>8.122424955856386E-2</v>
      </c>
      <c r="AB194" s="2054">
        <f t="shared" si="175"/>
        <v>0.10070767555797495</v>
      </c>
      <c r="AC194" s="2054">
        <f t="shared" si="175"/>
        <v>7.5667655786350152E-2</v>
      </c>
      <c r="AD194" s="2054">
        <f t="shared" si="175"/>
        <v>-1.9310344827586208E-2</v>
      </c>
      <c r="AE194" s="2054">
        <f t="shared" si="175"/>
        <v>5.2508204406938583E-2</v>
      </c>
      <c r="AF194" s="2054">
        <f t="shared" si="175"/>
        <v>8.4187082405345212E-2</v>
      </c>
      <c r="AG194" s="2054">
        <f t="shared" si="175"/>
        <v>9.4494658997534928E-3</v>
      </c>
      <c r="AH194" s="2054">
        <f t="shared" si="175"/>
        <v>4.0700040700040698E-4</v>
      </c>
      <c r="AI194" s="2054">
        <f t="shared" si="175"/>
        <v>0.30349877949552484</v>
      </c>
      <c r="AJ194" s="2054">
        <f t="shared" si="175"/>
        <v>-1.2421972534332E-2</v>
      </c>
      <c r="AK194" s="2054">
        <f t="shared" si="175"/>
        <v>-6.8200493015612207E-2</v>
      </c>
      <c r="AL194" s="2054">
        <f t="shared" si="175"/>
        <v>-3.2939899606566389E-2</v>
      </c>
      <c r="AM194" s="2054">
        <f t="shared" si="175"/>
        <v>0.29226172105159798</v>
      </c>
      <c r="AN194" s="2054">
        <f t="shared" si="175"/>
        <v>-1.242197253433208E-2</v>
      </c>
      <c r="AO194" s="2054">
        <f t="shared" si="175"/>
        <v>-0.10871351505841155</v>
      </c>
      <c r="AP194" s="2054">
        <f t="shared" si="175"/>
        <v>-3.2939899606566375E-2</v>
      </c>
      <c r="AQ194" s="1976"/>
      <c r="AR194" s="1974"/>
      <c r="AS194" s="1948"/>
      <c r="AT194" s="1977"/>
      <c r="AU194" s="1978"/>
      <c r="AV194" s="1948"/>
      <c r="AW194" s="1948"/>
      <c r="AX194" s="1978"/>
      <c r="AY194" s="1979"/>
      <c r="AZ194" s="1979"/>
      <c r="BA194" s="1977"/>
      <c r="BB194" s="1978"/>
      <c r="BC194" s="1977"/>
    </row>
    <row r="195" spans="1:71" s="1953" customFormat="1" collapsed="1" x14ac:dyDescent="0.3">
      <c r="A195" s="2042"/>
      <c r="B195" s="1980" t="s">
        <v>923</v>
      </c>
      <c r="C195" s="2003"/>
      <c r="D195" s="2003"/>
      <c r="E195" s="2003"/>
      <c r="F195" s="2003"/>
      <c r="G195" s="2057"/>
      <c r="H195" s="2057"/>
      <c r="I195" s="2057"/>
      <c r="J195" s="2057"/>
      <c r="K195" s="2057"/>
      <c r="L195" s="2057"/>
      <c r="M195" s="2057"/>
      <c r="N195" s="2057"/>
      <c r="O195" s="2057"/>
      <c r="P195" s="2057"/>
      <c r="Q195" s="2057"/>
      <c r="R195" s="2057"/>
      <c r="S195" s="2057"/>
      <c r="T195" s="2057"/>
      <c r="U195" s="2057"/>
      <c r="V195" s="2057"/>
      <c r="W195" s="2003"/>
      <c r="X195" s="2003"/>
      <c r="Y195" s="1973">
        <v>3907</v>
      </c>
      <c r="Z195" s="1973">
        <v>2852</v>
      </c>
      <c r="AA195" s="1973">
        <v>3327</v>
      </c>
      <c r="AB195" s="1973">
        <v>3206</v>
      </c>
      <c r="AC195" s="1973">
        <v>4491</v>
      </c>
      <c r="AD195" s="1973">
        <v>3861</v>
      </c>
      <c r="AE195" s="1973">
        <v>5005</v>
      </c>
      <c r="AF195" s="1973">
        <v>4759</v>
      </c>
      <c r="AG195" s="2030">
        <v>7518</v>
      </c>
      <c r="AH195" s="1973">
        <v>4951</v>
      </c>
      <c r="AI195" s="1973">
        <v>7713</v>
      </c>
      <c r="AJ195" s="1973">
        <f t="shared" ref="AJ195:AP195" si="176">AF195*(1+AJ462)</f>
        <v>7138.5</v>
      </c>
      <c r="AK195" s="1973">
        <f t="shared" si="176"/>
        <v>10675.56</v>
      </c>
      <c r="AL195" s="1973">
        <f t="shared" si="176"/>
        <v>7426.5</v>
      </c>
      <c r="AM195" s="1973">
        <f t="shared" si="176"/>
        <v>10798.199999999999</v>
      </c>
      <c r="AN195" s="1973">
        <f t="shared" si="176"/>
        <v>9280.0500000000011</v>
      </c>
      <c r="AO195" s="1973">
        <f t="shared" si="176"/>
        <v>14305.250400000001</v>
      </c>
      <c r="AP195" s="1973">
        <f t="shared" si="176"/>
        <v>9654.4500000000007</v>
      </c>
      <c r="AQ195" s="1976"/>
      <c r="AR195" s="1974"/>
      <c r="AS195" s="1948"/>
      <c r="AT195" s="1981"/>
      <c r="AU195" s="1949"/>
      <c r="AV195" s="1948"/>
      <c r="AW195" s="1974">
        <f>SUM(W195:Z195)</f>
        <v>6759</v>
      </c>
      <c r="AX195" s="1976">
        <f t="shared" ref="AX195:AX200" si="177">SUM(AA195:AD195)</f>
        <v>14885</v>
      </c>
      <c r="AY195" s="1974">
        <f t="shared" ref="AY195:AY200" si="178">SUM(AE195:AH195)</f>
        <v>22233</v>
      </c>
      <c r="AZ195" s="1974">
        <f t="shared" ref="AZ195:AZ200" si="179">SUM(AI195:AL195)</f>
        <v>32953.56</v>
      </c>
      <c r="BA195" s="1977">
        <f>SUM(AM195:AP195)</f>
        <v>44037.950400000002</v>
      </c>
      <c r="BB195" s="1978">
        <f>BA195*(1+BB462)</f>
        <v>57249.335520000001</v>
      </c>
      <c r="BC195" s="1977">
        <f>BB195*(1+BC462)</f>
        <v>72134.162755199999</v>
      </c>
    </row>
    <row r="196" spans="1:71" s="1953" customFormat="1" x14ac:dyDescent="0.3">
      <c r="A196" s="1970"/>
      <c r="B196" s="1980" t="s">
        <v>924</v>
      </c>
      <c r="C196" s="2003"/>
      <c r="D196" s="2003"/>
      <c r="E196" s="2003"/>
      <c r="F196" s="2003"/>
      <c r="G196" s="2057"/>
      <c r="H196" s="2057"/>
      <c r="I196" s="2057"/>
      <c r="J196" s="2057"/>
      <c r="K196" s="2057"/>
      <c r="L196" s="2057"/>
      <c r="M196" s="2057"/>
      <c r="N196" s="2057"/>
      <c r="O196" s="2057"/>
      <c r="P196" s="2057"/>
      <c r="Q196" s="2057"/>
      <c r="R196" s="2057"/>
      <c r="S196" s="2057"/>
      <c r="T196" s="2057"/>
      <c r="U196" s="2057"/>
      <c r="V196" s="2057"/>
      <c r="W196" s="2003"/>
      <c r="X196" s="2003"/>
      <c r="Y196" s="1973"/>
      <c r="Z196" s="1973"/>
      <c r="AA196" s="1973">
        <v>2612</v>
      </c>
      <c r="AB196" s="1973">
        <v>5021</v>
      </c>
      <c r="AC196" s="1973">
        <v>5159</v>
      </c>
      <c r="AD196" s="1973">
        <v>5266</v>
      </c>
      <c r="AE196" s="1973">
        <v>6180</v>
      </c>
      <c r="AF196" s="1973">
        <v>6835</v>
      </c>
      <c r="AG196" s="1973">
        <v>7584</v>
      </c>
      <c r="AH196" s="1973">
        <v>4841</v>
      </c>
      <c r="AI196" s="1973">
        <v>7101</v>
      </c>
      <c r="AJ196" s="1973">
        <f>[35]Eleme!Q64</f>
        <v>8764.1688643760808</v>
      </c>
      <c r="AK196" s="1973">
        <f>[35]Eleme!R64</f>
        <v>9442.5082181272228</v>
      </c>
      <c r="AL196" s="1973">
        <f>[35]Eleme!S64</f>
        <v>7250.9436545363196</v>
      </c>
      <c r="AM196" s="1973">
        <f>[35]Eleme!T64</f>
        <v>9446.4239493750665</v>
      </c>
      <c r="AN196" s="1973">
        <f>[35]Eleme!U64</f>
        <v>11163.709109519794</v>
      </c>
      <c r="AO196" s="1973">
        <f>[35]Eleme!V64</f>
        <v>11966.716958554487</v>
      </c>
      <c r="AP196" s="1973">
        <f>[35]Eleme!W64</f>
        <v>9419.0221108526093</v>
      </c>
      <c r="AQ196" s="1976"/>
      <c r="AR196" s="1974"/>
      <c r="AS196" s="1948"/>
      <c r="AT196" s="1981"/>
      <c r="AU196" s="1949"/>
      <c r="AV196" s="1948"/>
      <c r="AW196" s="1974"/>
      <c r="AX196" s="1976">
        <f t="shared" si="177"/>
        <v>18058</v>
      </c>
      <c r="AY196" s="1974">
        <f t="shared" si="178"/>
        <v>25440</v>
      </c>
      <c r="AZ196" s="1974">
        <f t="shared" si="179"/>
        <v>32558.620737039622</v>
      </c>
      <c r="BA196" s="1977">
        <f>SUM(AM196:AP196)</f>
        <v>41995.872128301955</v>
      </c>
      <c r="BB196" s="1978">
        <f>BA196*(1+BB463)</f>
        <v>50395.046553962347</v>
      </c>
      <c r="BC196" s="1977">
        <f>BB196*(1+BC463)</f>
        <v>57954.303537056694</v>
      </c>
    </row>
    <row r="197" spans="1:71" s="1953" customFormat="1" x14ac:dyDescent="0.3">
      <c r="A197" s="1970"/>
      <c r="B197" s="1980" t="s">
        <v>925</v>
      </c>
      <c r="C197" s="1972"/>
      <c r="D197" s="1972"/>
      <c r="E197" s="1972"/>
      <c r="F197" s="1972"/>
      <c r="G197" s="1972"/>
      <c r="H197" s="1972"/>
      <c r="I197" s="1972"/>
      <c r="J197" s="1973"/>
      <c r="K197" s="1973"/>
      <c r="L197" s="1973"/>
      <c r="M197" s="1973"/>
      <c r="N197" s="1973"/>
      <c r="O197" s="1974">
        <v>83</v>
      </c>
      <c r="P197" s="1974">
        <v>82</v>
      </c>
      <c r="Q197" s="1975">
        <v>173</v>
      </c>
      <c r="R197" s="1974">
        <v>47</v>
      </c>
      <c r="S197" s="1973">
        <v>48</v>
      </c>
      <c r="T197" s="1973">
        <v>105</v>
      </c>
      <c r="U197" s="1973">
        <v>254</v>
      </c>
      <c r="V197" s="1973">
        <v>348</v>
      </c>
      <c r="W197" s="1973">
        <v>427</v>
      </c>
      <c r="X197" s="1973">
        <v>662</v>
      </c>
      <c r="Y197" s="1973">
        <v>907</v>
      </c>
      <c r="Z197" s="1973">
        <v>701</v>
      </c>
      <c r="AA197" s="1973">
        <v>878</v>
      </c>
      <c r="AB197" s="1973">
        <v>1114</v>
      </c>
      <c r="AC197" s="1973">
        <v>1435</v>
      </c>
      <c r="AD197" s="1973">
        <v>1702</v>
      </c>
      <c r="AE197" s="1973">
        <v>1954</v>
      </c>
      <c r="AF197" s="1973">
        <v>2116</v>
      </c>
      <c r="AG197" s="1973">
        <v>2697</v>
      </c>
      <c r="AH197" s="1973">
        <v>2570</v>
      </c>
      <c r="AI197" s="1973">
        <v>3483</v>
      </c>
      <c r="AJ197" s="1973">
        <f>AF197*120%</f>
        <v>2539.1999999999998</v>
      </c>
      <c r="AK197" s="1973">
        <f>AG197*120%</f>
        <v>3236.4</v>
      </c>
      <c r="AL197" s="1973">
        <f>AH197*120%</f>
        <v>3084</v>
      </c>
      <c r="AM197" s="1973">
        <f>AI197*110%</f>
        <v>3831.3</v>
      </c>
      <c r="AN197" s="1973">
        <f>AJ197*110%</f>
        <v>2793.12</v>
      </c>
      <c r="AO197" s="1973">
        <f>AK197*110%</f>
        <v>3560.0400000000004</v>
      </c>
      <c r="AP197" s="1973">
        <f>AL197*110%</f>
        <v>3392.4</v>
      </c>
      <c r="AQ197" s="1976"/>
      <c r="AR197" s="1974"/>
      <c r="AS197" s="1948"/>
      <c r="AT197" s="1977"/>
      <c r="AU197" s="1978">
        <f>SUM(O197:R197)</f>
        <v>385</v>
      </c>
      <c r="AV197" s="1979">
        <f>SUM(S197:V197)</f>
        <v>755</v>
      </c>
      <c r="AW197" s="1979">
        <f>SUM(W197:Z197)</f>
        <v>2697</v>
      </c>
      <c r="AX197" s="1978">
        <f t="shared" si="177"/>
        <v>5129</v>
      </c>
      <c r="AY197" s="1974">
        <f t="shared" si="178"/>
        <v>9337</v>
      </c>
      <c r="AZ197" s="1974">
        <f t="shared" si="179"/>
        <v>12342.6</v>
      </c>
      <c r="BA197" s="1977">
        <f>SUM(AM197:AP197)</f>
        <v>13576.86</v>
      </c>
      <c r="BB197" s="1978">
        <f>BA197*1.1</f>
        <v>14934.546000000002</v>
      </c>
      <c r="BC197" s="1977">
        <f>BB197*1.1</f>
        <v>16428.000600000003</v>
      </c>
    </row>
    <row r="198" spans="1:71" s="1999" customFormat="1" x14ac:dyDescent="0.35">
      <c r="A198" s="1970"/>
      <c r="B198" s="1980" t="s">
        <v>926</v>
      </c>
      <c r="C198" s="2058"/>
      <c r="D198" s="2058"/>
      <c r="E198" s="2058"/>
      <c r="F198" s="2058"/>
      <c r="G198" s="2058"/>
      <c r="H198" s="2058"/>
      <c r="I198" s="2058"/>
      <c r="J198" s="1992"/>
      <c r="K198" s="1992"/>
      <c r="L198" s="1992"/>
      <c r="M198" s="1992"/>
      <c r="N198" s="1992"/>
      <c r="O198" s="1992">
        <v>10963</v>
      </c>
      <c r="P198" s="1992">
        <v>10529</v>
      </c>
      <c r="Q198" s="1992">
        <v>18928</v>
      </c>
      <c r="R198" s="1992">
        <v>10733</v>
      </c>
      <c r="S198" s="1992">
        <v>14682</v>
      </c>
      <c r="T198" s="1992">
        <v>15559</v>
      </c>
      <c r="U198" s="1992">
        <v>27439</v>
      </c>
      <c r="V198" s="1992">
        <v>16500</v>
      </c>
      <c r="W198" s="1994">
        <v>24808</v>
      </c>
      <c r="X198" s="1994">
        <v>23836</v>
      </c>
      <c r="Y198" s="1994">
        <f t="shared" ref="Y198:AP198" si="180">Y227-Y199-Y200</f>
        <v>35439</v>
      </c>
      <c r="Z198" s="1994">
        <f t="shared" si="180"/>
        <v>18660</v>
      </c>
      <c r="AA198" s="1994">
        <f t="shared" si="180"/>
        <v>23022</v>
      </c>
      <c r="AB198" s="1994">
        <f t="shared" si="180"/>
        <v>24290</v>
      </c>
      <c r="AC198" s="1994">
        <f t="shared" si="180"/>
        <v>40368</v>
      </c>
      <c r="AD198" s="1994">
        <f t="shared" si="180"/>
        <v>21632</v>
      </c>
      <c r="AE198" s="1994">
        <f t="shared" si="180"/>
        <v>35049</v>
      </c>
      <c r="AF198" s="1994">
        <f t="shared" si="180"/>
        <v>32069</v>
      </c>
      <c r="AG198" s="1994">
        <f t="shared" si="180"/>
        <v>51347</v>
      </c>
      <c r="AH198" s="1994">
        <f t="shared" si="180"/>
        <v>20166</v>
      </c>
      <c r="AI198" s="1994">
        <f t="shared" si="180"/>
        <v>45192</v>
      </c>
      <c r="AJ198" s="1994">
        <f t="shared" si="180"/>
        <v>41981.678245372619</v>
      </c>
      <c r="AK198" s="1994">
        <f t="shared" si="180"/>
        <v>66888.050191665767</v>
      </c>
      <c r="AL198" s="1994">
        <f t="shared" si="180"/>
        <v>35563.020749163778</v>
      </c>
      <c r="AM198" s="1994">
        <f t="shared" si="180"/>
        <v>58516.320924529093</v>
      </c>
      <c r="AN198" s="1994">
        <f t="shared" si="180"/>
        <v>55330.36511761482</v>
      </c>
      <c r="AO198" s="1994">
        <f t="shared" si="180"/>
        <v>84494.679151944263</v>
      </c>
      <c r="AP198" s="1994">
        <f t="shared" si="180"/>
        <v>45121.354151853615</v>
      </c>
      <c r="AQ198" s="2059"/>
      <c r="AR198" s="2058"/>
      <c r="AS198" s="2060"/>
      <c r="AT198" s="2061"/>
      <c r="AU198" s="1993">
        <f>SUM(O198:R198)</f>
        <v>51153</v>
      </c>
      <c r="AV198" s="1992">
        <f>SUM(S198:V198)</f>
        <v>74180</v>
      </c>
      <c r="AW198" s="1992">
        <f>SUM(W198:Z198)</f>
        <v>102743</v>
      </c>
      <c r="AX198" s="2062">
        <f t="shared" si="177"/>
        <v>109312</v>
      </c>
      <c r="AY198" s="2063">
        <f t="shared" si="178"/>
        <v>138631</v>
      </c>
      <c r="AZ198" s="2064">
        <f t="shared" si="179"/>
        <v>189624.74918620216</v>
      </c>
      <c r="BA198" s="1998">
        <f>BA227-BA199-BA200</f>
        <v>243462.71934594179</v>
      </c>
      <c r="BB198" s="1993">
        <f>BB227-BB199-BB200</f>
        <v>305715.14513738203</v>
      </c>
      <c r="BC198" s="1998">
        <f>BC227-BC199-BC200</f>
        <v>379993.75040817744</v>
      </c>
    </row>
    <row r="199" spans="1:71" s="1953" customFormat="1" x14ac:dyDescent="0.3">
      <c r="A199" s="2042"/>
      <c r="B199" s="2065" t="s">
        <v>927</v>
      </c>
      <c r="C199" s="1972"/>
      <c r="D199" s="1972"/>
      <c r="E199" s="1972"/>
      <c r="F199" s="1972"/>
      <c r="G199" s="1972"/>
      <c r="H199" s="1972"/>
      <c r="I199" s="1972"/>
      <c r="J199" s="1973"/>
      <c r="K199" s="1973"/>
      <c r="L199" s="1973"/>
      <c r="M199" s="1973"/>
      <c r="N199" s="1973"/>
      <c r="O199" s="1973">
        <v>961</v>
      </c>
      <c r="P199" s="1973">
        <v>1868</v>
      </c>
      <c r="Q199" s="1973">
        <v>1625</v>
      </c>
      <c r="R199" s="2066">
        <v>1770</v>
      </c>
      <c r="S199" s="1973">
        <v>1456</v>
      </c>
      <c r="T199" s="1973">
        <v>1471</v>
      </c>
      <c r="U199" s="1973">
        <v>1590</v>
      </c>
      <c r="V199" s="1973">
        <v>1477</v>
      </c>
      <c r="W199" s="1973">
        <v>1560</v>
      </c>
      <c r="X199" s="1973">
        <v>1987</v>
      </c>
      <c r="Y199" s="1973">
        <f>5773-X199-W199</f>
        <v>2226</v>
      </c>
      <c r="Z199" s="1973">
        <v>2693</v>
      </c>
      <c r="AA199" s="1973">
        <v>8095</v>
      </c>
      <c r="AB199" s="1973">
        <v>3292</v>
      </c>
      <c r="AC199" s="1973">
        <v>3253</v>
      </c>
      <c r="AD199" s="1973">
        <v>3054</v>
      </c>
      <c r="AE199" s="1973">
        <v>3310</v>
      </c>
      <c r="AF199" s="1973">
        <v>3901</v>
      </c>
      <c r="AG199" s="1973">
        <v>3863</v>
      </c>
      <c r="AH199" s="1974">
        <v>4353</v>
      </c>
      <c r="AI199" s="1973">
        <v>3425</v>
      </c>
      <c r="AJ199" s="1973">
        <f t="shared" ref="AJ199:AP199" si="181">AF199*1.02</f>
        <v>3979.02</v>
      </c>
      <c r="AK199" s="1973">
        <f t="shared" si="181"/>
        <v>3940.26</v>
      </c>
      <c r="AL199" s="1973">
        <f t="shared" si="181"/>
        <v>4440.0600000000004</v>
      </c>
      <c r="AM199" s="1973">
        <f t="shared" si="181"/>
        <v>3493.5</v>
      </c>
      <c r="AN199" s="1973">
        <f t="shared" si="181"/>
        <v>4058.6004000000003</v>
      </c>
      <c r="AO199" s="1973">
        <f t="shared" si="181"/>
        <v>4019.0652000000005</v>
      </c>
      <c r="AP199" s="1973">
        <f t="shared" si="181"/>
        <v>4528.8612000000003</v>
      </c>
      <c r="AQ199" s="2067"/>
      <c r="AR199" s="1972"/>
      <c r="AS199" s="2068"/>
      <c r="AT199" s="2069"/>
      <c r="AU199" s="2070"/>
      <c r="AV199" s="1973">
        <f>SUM(S199:V199)</f>
        <v>5994</v>
      </c>
      <c r="AW199" s="1974">
        <f>SUM(W199:Z199)</f>
        <v>8466</v>
      </c>
      <c r="AX199" s="1978">
        <f t="shared" si="177"/>
        <v>17694</v>
      </c>
      <c r="AY199" s="1974">
        <f t="shared" si="178"/>
        <v>15427</v>
      </c>
      <c r="AZ199" s="1974">
        <f t="shared" si="179"/>
        <v>15784.34</v>
      </c>
      <c r="BA199" s="1977">
        <f>SUM(AM199:AP199)</f>
        <v>16100.0268</v>
      </c>
      <c r="BB199" s="1978">
        <f>BA199*1.05</f>
        <v>16905.028139999999</v>
      </c>
      <c r="BC199" s="1977">
        <f>BB199*1.05</f>
        <v>17750.279546999998</v>
      </c>
    </row>
    <row r="200" spans="1:71" s="1953" customFormat="1" x14ac:dyDescent="0.35">
      <c r="A200" s="2042"/>
      <c r="B200" s="2071" t="s">
        <v>928</v>
      </c>
      <c r="C200" s="2072"/>
      <c r="D200" s="2072"/>
      <c r="E200" s="2072"/>
      <c r="F200" s="2072"/>
      <c r="G200" s="2072"/>
      <c r="H200" s="2072"/>
      <c r="I200" s="2072"/>
      <c r="J200" s="2073"/>
      <c r="K200" s="2073"/>
      <c r="L200" s="2073"/>
      <c r="M200" s="2073"/>
      <c r="N200" s="2073"/>
      <c r="O200" s="2073">
        <v>99</v>
      </c>
      <c r="P200" s="2073">
        <v>179</v>
      </c>
      <c r="Q200" s="2073">
        <v>191</v>
      </c>
      <c r="R200" s="2074">
        <v>190</v>
      </c>
      <c r="S200" s="2073">
        <v>486</v>
      </c>
      <c r="T200" s="2073">
        <v>569</v>
      </c>
      <c r="U200" s="2073">
        <v>601</v>
      </c>
      <c r="V200" s="2073">
        <v>602</v>
      </c>
      <c r="W200" s="2073">
        <v>602</v>
      </c>
      <c r="X200" s="2073">
        <v>591</v>
      </c>
      <c r="Y200" s="2073">
        <f>2058-X200-W200</f>
        <v>865</v>
      </c>
      <c r="Z200" s="2073">
        <v>833</v>
      </c>
      <c r="AA200" s="2073">
        <v>1680</v>
      </c>
      <c r="AB200" s="2073">
        <v>2225</v>
      </c>
      <c r="AC200" s="2073">
        <v>2458</v>
      </c>
      <c r="AD200" s="2073">
        <v>2798</v>
      </c>
      <c r="AE200" s="2073">
        <v>2666</v>
      </c>
      <c r="AF200" s="2073">
        <v>2604</v>
      </c>
      <c r="AG200" s="2073">
        <v>2865</v>
      </c>
      <c r="AH200" s="2073">
        <v>3607</v>
      </c>
      <c r="AI200" s="2073">
        <v>2620</v>
      </c>
      <c r="AJ200" s="2073">
        <f t="shared" ref="AJ200:AP200" si="182">AF200*1.01</f>
        <v>2630.04</v>
      </c>
      <c r="AK200" s="2073">
        <f t="shared" si="182"/>
        <v>2893.65</v>
      </c>
      <c r="AL200" s="2073">
        <f t="shared" si="182"/>
        <v>3643.07</v>
      </c>
      <c r="AM200" s="2073">
        <f t="shared" si="182"/>
        <v>2646.2</v>
      </c>
      <c r="AN200" s="2073">
        <f t="shared" si="182"/>
        <v>2656.3404</v>
      </c>
      <c r="AO200" s="2073">
        <f t="shared" si="182"/>
        <v>2922.5865000000003</v>
      </c>
      <c r="AP200" s="2073">
        <f t="shared" si="182"/>
        <v>3679.5007000000001</v>
      </c>
      <c r="AQ200" s="2075"/>
      <c r="AR200" s="2072"/>
      <c r="AS200" s="2076"/>
      <c r="AT200" s="2077"/>
      <c r="AU200" s="2078"/>
      <c r="AV200" s="2073">
        <f>SUM(S200:V200)</f>
        <v>2258</v>
      </c>
      <c r="AW200" s="2079">
        <f>SUM(W200:Z200)</f>
        <v>2891</v>
      </c>
      <c r="AX200" s="2080">
        <f t="shared" si="177"/>
        <v>9161</v>
      </c>
      <c r="AY200" s="2079">
        <f t="shared" si="178"/>
        <v>11742</v>
      </c>
      <c r="AZ200" s="2079">
        <f t="shared" si="179"/>
        <v>11786.76</v>
      </c>
      <c r="BA200" s="2081">
        <f>SUM(AM200:AP200)</f>
        <v>11904.6276</v>
      </c>
      <c r="BB200" s="2080">
        <f>BA200*1.02</f>
        <v>12142.720152</v>
      </c>
      <c r="BC200" s="2081">
        <f>BB200*1.02</f>
        <v>12385.574555040001</v>
      </c>
    </row>
    <row r="201" spans="1:71" s="2095" customFormat="1" ht="13.5" x14ac:dyDescent="0.4">
      <c r="A201" s="2009" t="s">
        <v>929</v>
      </c>
      <c r="B201" s="2082" t="s">
        <v>930</v>
      </c>
      <c r="C201" s="2083"/>
      <c r="D201" s="2083"/>
      <c r="E201" s="2083"/>
      <c r="F201" s="2083"/>
      <c r="G201" s="2083"/>
      <c r="H201" s="2083"/>
      <c r="I201" s="2083"/>
      <c r="J201" s="2084"/>
      <c r="K201" s="2084"/>
      <c r="L201" s="2084"/>
      <c r="M201" s="2084"/>
      <c r="N201" s="2084"/>
      <c r="O201" s="2085"/>
      <c r="P201" s="2085"/>
      <c r="Q201" s="2085"/>
      <c r="R201" s="2085"/>
      <c r="S201" s="2086">
        <f t="shared" ref="S201:BC201" si="183">S165-S171-S186-S195-S196</f>
        <v>26150.190965792</v>
      </c>
      <c r="T201" s="2086">
        <f t="shared" si="183"/>
        <v>27071.635853625001</v>
      </c>
      <c r="U201" s="2086">
        <f t="shared" si="183"/>
        <v>44166.11</v>
      </c>
      <c r="V201" s="2086">
        <f t="shared" si="183"/>
        <v>29757.464960000001</v>
      </c>
      <c r="W201" s="2086">
        <f t="shared" si="183"/>
        <v>39768.741798700001</v>
      </c>
      <c r="X201" s="2086">
        <f t="shared" si="183"/>
        <v>41187.270122562499</v>
      </c>
      <c r="Y201" s="2086">
        <f t="shared" si="183"/>
        <v>61086.513916000004</v>
      </c>
      <c r="Z201" s="2086">
        <f t="shared" si="183"/>
        <v>40324.766367999997</v>
      </c>
      <c r="AA201" s="2086">
        <f t="shared" si="183"/>
        <v>53090.809392006879</v>
      </c>
      <c r="AB201" s="2086">
        <f t="shared" si="183"/>
        <v>52571.561424624997</v>
      </c>
      <c r="AC201" s="2086">
        <f t="shared" si="183"/>
        <v>77966.889339999994</v>
      </c>
      <c r="AD201" s="2086">
        <f t="shared" si="183"/>
        <v>53234.288256</v>
      </c>
      <c r="AE201" s="2086">
        <f t="shared" si="183"/>
        <v>67945.075623122495</v>
      </c>
      <c r="AF201" s="2086">
        <f t="shared" si="183"/>
        <v>66615.973858704994</v>
      </c>
      <c r="AG201" s="2086">
        <f t="shared" si="183"/>
        <v>95501.053192520005</v>
      </c>
      <c r="AH201" s="2086">
        <f t="shared" si="183"/>
        <v>54788.030775200001</v>
      </c>
      <c r="AI201" s="2086">
        <f t="shared" si="183"/>
        <v>83882.694006113641</v>
      </c>
      <c r="AJ201" s="2086">
        <f t="shared" si="183"/>
        <v>79838.266016316513</v>
      </c>
      <c r="AK201" s="2086">
        <f t="shared" si="183"/>
        <v>116780.55808642562</v>
      </c>
      <c r="AL201" s="2086">
        <f t="shared" si="183"/>
        <v>72172.966162799989</v>
      </c>
      <c r="AM201" s="2086">
        <f t="shared" si="183"/>
        <v>101221.86220794776</v>
      </c>
      <c r="AN201" s="2086">
        <f t="shared" si="183"/>
        <v>95172.143400885107</v>
      </c>
      <c r="AO201" s="2086">
        <f t="shared" si="183"/>
        <v>140659.50960803201</v>
      </c>
      <c r="AP201" s="2086">
        <f t="shared" si="183"/>
        <v>84788.553241872025</v>
      </c>
      <c r="AQ201" s="2087">
        <f t="shared" si="183"/>
        <v>18699</v>
      </c>
      <c r="AR201" s="2088">
        <f t="shared" si="183"/>
        <v>32215</v>
      </c>
      <c r="AS201" s="2089">
        <f t="shared" si="183"/>
        <v>48903</v>
      </c>
      <c r="AT201" s="2090">
        <f t="shared" si="183"/>
        <v>68401</v>
      </c>
      <c r="AU201" s="2091">
        <f t="shared" si="183"/>
        <v>90527</v>
      </c>
      <c r="AV201" s="2086">
        <f t="shared" si="183"/>
        <v>127145.40177941701</v>
      </c>
      <c r="AW201" s="2086">
        <f t="shared" si="183"/>
        <v>182367.29220526249</v>
      </c>
      <c r="AX201" s="2092">
        <f t="shared" si="183"/>
        <v>236863.54841263185</v>
      </c>
      <c r="AY201" s="2086">
        <f t="shared" si="183"/>
        <v>284850.13344954752</v>
      </c>
      <c r="AZ201" s="2086">
        <f t="shared" si="183"/>
        <v>352674.48427165567</v>
      </c>
      <c r="BA201" s="2093">
        <f t="shared" si="183"/>
        <v>421842.06845873682</v>
      </c>
      <c r="BB201" s="2092">
        <f t="shared" si="183"/>
        <v>496669.12651324639</v>
      </c>
      <c r="BC201" s="2093">
        <f t="shared" si="183"/>
        <v>579503.54889748071</v>
      </c>
      <c r="BD201" s="2094">
        <f>(BC201/AZ201)^(1/3)-1</f>
        <v>0.18003263955432036</v>
      </c>
    </row>
    <row r="202" spans="1:71" s="2108" customFormat="1" x14ac:dyDescent="0.35">
      <c r="A202" s="2096"/>
      <c r="B202" s="2097" t="s">
        <v>761</v>
      </c>
      <c r="C202" s="2098"/>
      <c r="D202" s="2098"/>
      <c r="E202" s="2098"/>
      <c r="F202" s="2098"/>
      <c r="G202" s="2098"/>
      <c r="H202" s="2098"/>
      <c r="I202" s="2098"/>
      <c r="J202" s="2099"/>
      <c r="K202" s="2099"/>
      <c r="L202" s="2099"/>
      <c r="M202" s="2099"/>
      <c r="N202" s="2099"/>
      <c r="O202" s="2100"/>
      <c r="P202" s="2100"/>
      <c r="Q202" s="2100"/>
      <c r="R202" s="2100"/>
      <c r="S202" s="2101"/>
      <c r="T202" s="2101"/>
      <c r="U202" s="2101"/>
      <c r="V202" s="2101"/>
      <c r="W202" s="2102">
        <f t="shared" ref="W202:AP202" si="184">W201/S201-1</f>
        <v>0.52078207959257017</v>
      </c>
      <c r="X202" s="2102">
        <f t="shared" si="184"/>
        <v>0.52141785392135276</v>
      </c>
      <c r="Y202" s="2102">
        <f t="shared" si="184"/>
        <v>0.38310831350100805</v>
      </c>
      <c r="Z202" s="2102">
        <f t="shared" si="184"/>
        <v>0.35511430231723584</v>
      </c>
      <c r="AA202" s="2102">
        <f t="shared" si="184"/>
        <v>0.33498841026301629</v>
      </c>
      <c r="AB202" s="2102">
        <f t="shared" si="184"/>
        <v>0.27640315243486246</v>
      </c>
      <c r="AC202" s="2102">
        <f t="shared" si="184"/>
        <v>0.27633555005630495</v>
      </c>
      <c r="AD202" s="2102">
        <f t="shared" si="184"/>
        <v>0.32013878940274387</v>
      </c>
      <c r="AE202" s="2102">
        <f t="shared" si="184"/>
        <v>0.27978978661704135</v>
      </c>
      <c r="AF202" s="2102">
        <f t="shared" si="184"/>
        <v>0.26714847445070311</v>
      </c>
      <c r="AG202" s="2102">
        <f t="shared" si="184"/>
        <v>0.22489243832797512</v>
      </c>
      <c r="AH202" s="2102">
        <f t="shared" si="184"/>
        <v>2.9186875040540849E-2</v>
      </c>
      <c r="AI202" s="2102">
        <f t="shared" si="184"/>
        <v>0.23456620272812523</v>
      </c>
      <c r="AJ202" s="2102">
        <f t="shared" si="184"/>
        <v>0.19848530902897998</v>
      </c>
      <c r="AK202" s="2102">
        <f t="shared" si="184"/>
        <v>0.2228195834763036</v>
      </c>
      <c r="AL202" s="2102">
        <f t="shared" si="184"/>
        <v>0.31731265281155796</v>
      </c>
      <c r="AM202" s="2102">
        <f t="shared" si="184"/>
        <v>0.20670733584892242</v>
      </c>
      <c r="AN202" s="2102">
        <f t="shared" si="184"/>
        <v>0.19206175371387468</v>
      </c>
      <c r="AO202" s="2102">
        <f t="shared" si="184"/>
        <v>0.20447711428073778</v>
      </c>
      <c r="AP202" s="2102">
        <f t="shared" si="184"/>
        <v>0.17479657203800048</v>
      </c>
      <c r="AQ202" s="2103"/>
      <c r="AR202" s="2102">
        <f t="shared" ref="AR202:BC202" si="185">AR201/AQ201-1</f>
        <v>0.72281940210706463</v>
      </c>
      <c r="AS202" s="2104">
        <f t="shared" si="185"/>
        <v>0.51801955610740347</v>
      </c>
      <c r="AT202" s="2105">
        <f t="shared" si="185"/>
        <v>0.39870764574770456</v>
      </c>
      <c r="AU202" s="2106">
        <f t="shared" si="185"/>
        <v>0.32347480299995612</v>
      </c>
      <c r="AV202" s="2102">
        <f t="shared" si="185"/>
        <v>0.40450254376503159</v>
      </c>
      <c r="AW202" s="2102">
        <f t="shared" si="185"/>
        <v>0.43432078276530417</v>
      </c>
      <c r="AX202" s="2103">
        <f t="shared" si="185"/>
        <v>0.29882691982963361</v>
      </c>
      <c r="AY202" s="2102">
        <f t="shared" si="185"/>
        <v>0.20259168351780277</v>
      </c>
      <c r="AZ202" s="2102">
        <f t="shared" si="185"/>
        <v>0.23810538545568627</v>
      </c>
      <c r="BA202" s="2107">
        <f t="shared" si="185"/>
        <v>0.19612301788695108</v>
      </c>
      <c r="BB202" s="2103">
        <f t="shared" si="185"/>
        <v>0.17738168772000718</v>
      </c>
      <c r="BC202" s="2107">
        <f t="shared" si="185"/>
        <v>0.16677989019723194</v>
      </c>
    </row>
    <row r="203" spans="1:71" s="2118" customFormat="1" ht="13.5" x14ac:dyDescent="0.4">
      <c r="A203" s="1970" t="s">
        <v>931</v>
      </c>
      <c r="B203" s="2109" t="s">
        <v>932</v>
      </c>
      <c r="C203" s="2110"/>
      <c r="D203" s="2110"/>
      <c r="E203" s="2110"/>
      <c r="F203" s="2110"/>
      <c r="G203" s="2110"/>
      <c r="H203" s="2110"/>
      <c r="I203" s="2110"/>
      <c r="J203" s="2110"/>
      <c r="K203" s="2110"/>
      <c r="L203" s="2110"/>
      <c r="M203" s="2110"/>
      <c r="N203" s="2110"/>
      <c r="O203" s="2110"/>
      <c r="P203" s="2110"/>
      <c r="Q203" s="2110"/>
      <c r="R203" s="2110"/>
      <c r="S203" s="2110">
        <f>S227-S208-S219-S215-S211-S221-S223</f>
        <v>17258.128931391679</v>
      </c>
      <c r="T203" s="2110">
        <f>T227-T208-T219-T215-T211-T221-T223</f>
        <v>18107.818487824999</v>
      </c>
      <c r="U203" s="2110">
        <f>U227-U208-U219-U215-U211-U221-U223</f>
        <v>30374.6005</v>
      </c>
      <c r="V203" s="2110">
        <f>V227-V208-V219-V215-V211-V221-V223</f>
        <v>19225.726118400002</v>
      </c>
      <c r="W203" s="2111">
        <f>56348-X203</f>
        <v>28384</v>
      </c>
      <c r="X203" s="2111">
        <v>27964</v>
      </c>
      <c r="Y203" s="2111">
        <v>41435</v>
      </c>
      <c r="Z203" s="2111">
        <v>25100</v>
      </c>
      <c r="AA203" s="2111">
        <f>72598-AB203</f>
        <v>36956</v>
      </c>
      <c r="AB203" s="2111">
        <v>35642</v>
      </c>
      <c r="AC203" s="2110">
        <v>54303</v>
      </c>
      <c r="AD203" s="2110">
        <v>34688</v>
      </c>
      <c r="AE203" s="2110">
        <v>46800</v>
      </c>
      <c r="AF203" s="2110">
        <v>45610</v>
      </c>
      <c r="AG203" s="2110">
        <v>66371</v>
      </c>
      <c r="AH203" s="2110">
        <v>33990</v>
      </c>
      <c r="AI203" s="2110">
        <v>55476</v>
      </c>
      <c r="AJ203" s="2110">
        <f t="shared" ref="AJ203:AP203" si="186">AJ201*AJ204</f>
        <v>53810.99129499733</v>
      </c>
      <c r="AK203" s="2110">
        <f t="shared" si="186"/>
        <v>78359.754475991591</v>
      </c>
      <c r="AL203" s="2110">
        <f t="shared" si="186"/>
        <v>46623.736141168796</v>
      </c>
      <c r="AM203" s="2110">
        <f t="shared" si="186"/>
        <v>66502.763470621678</v>
      </c>
      <c r="AN203" s="2110">
        <f t="shared" si="186"/>
        <v>63765.336078593027</v>
      </c>
      <c r="AO203" s="2110">
        <f t="shared" si="186"/>
        <v>93538.573889341293</v>
      </c>
      <c r="AP203" s="2110">
        <f t="shared" si="186"/>
        <v>54942.982500733073</v>
      </c>
      <c r="AQ203" s="2112"/>
      <c r="AR203" s="2110"/>
      <c r="AS203" s="2113"/>
      <c r="AT203" s="2114"/>
      <c r="AU203" s="2115"/>
      <c r="AV203" s="2110">
        <f>SUM(S203:V203)</f>
        <v>84966.274037616677</v>
      </c>
      <c r="AW203" s="2110">
        <f>SUM(W203:Z203)</f>
        <v>122883</v>
      </c>
      <c r="AX203" s="2115">
        <f>SUM(AA203:AD203)</f>
        <v>161589</v>
      </c>
      <c r="AY203" s="2110">
        <f>SUM(AE203:AH203)</f>
        <v>192771</v>
      </c>
      <c r="AZ203" s="2110">
        <f>SUM(AI203:AL203)</f>
        <v>234270.48191215773</v>
      </c>
      <c r="BA203" s="2116">
        <f>SUM(AM203:AP203)</f>
        <v>278749.65593928908</v>
      </c>
      <c r="BB203" s="2112">
        <f>BB201*BB204</f>
        <v>330284.96913130884</v>
      </c>
      <c r="BC203" s="2116">
        <f>BC201*BC204</f>
        <v>389426.38485910709</v>
      </c>
      <c r="BD203" s="2094">
        <f>(BC203/AZ203)^(1/3)-1</f>
        <v>0.184593287430729</v>
      </c>
      <c r="BE203" s="2117"/>
      <c r="BF203" s="2117"/>
      <c r="BG203" s="2117"/>
      <c r="BH203" s="2117"/>
      <c r="BI203" s="2117"/>
      <c r="BJ203" s="2117"/>
      <c r="BK203" s="2117"/>
      <c r="BL203" s="2117"/>
      <c r="BM203" s="2117"/>
      <c r="BN203" s="2117"/>
      <c r="BO203" s="2117"/>
      <c r="BP203" s="2117"/>
      <c r="BQ203" s="2117"/>
      <c r="BR203" s="2117"/>
      <c r="BS203" s="2117"/>
    </row>
    <row r="204" spans="1:71" s="2130" customFormat="1" ht="13.5" x14ac:dyDescent="0.4">
      <c r="A204" s="1970" t="s">
        <v>933</v>
      </c>
      <c r="B204" s="2119" t="s">
        <v>934</v>
      </c>
      <c r="C204" s="2120"/>
      <c r="D204" s="2120"/>
      <c r="E204" s="2120"/>
      <c r="F204" s="2120"/>
      <c r="G204" s="2120"/>
      <c r="H204" s="2120"/>
      <c r="I204" s="2120"/>
      <c r="J204" s="2121"/>
      <c r="K204" s="2121"/>
      <c r="L204" s="2121"/>
      <c r="M204" s="2121"/>
      <c r="N204" s="2121"/>
      <c r="O204" s="2122"/>
      <c r="P204" s="2122"/>
      <c r="Q204" s="2122"/>
      <c r="R204" s="2122"/>
      <c r="S204" s="2122">
        <f t="shared" ref="S204:AI204" si="187">S203/S201</f>
        <v>0.65996187002869899</v>
      </c>
      <c r="T204" s="2122">
        <f t="shared" si="187"/>
        <v>0.66888527112779883</v>
      </c>
      <c r="U204" s="2122">
        <f t="shared" si="187"/>
        <v>0.68773547183575823</v>
      </c>
      <c r="V204" s="2122">
        <f t="shared" si="187"/>
        <v>0.64608077819274023</v>
      </c>
      <c r="W204" s="2122">
        <f t="shared" si="187"/>
        <v>0.71372637695386787</v>
      </c>
      <c r="X204" s="2122">
        <f t="shared" si="187"/>
        <v>0.67894764369637706</v>
      </c>
      <c r="Y204" s="2122">
        <f t="shared" si="187"/>
        <v>0.67830028829239175</v>
      </c>
      <c r="Z204" s="2122">
        <f t="shared" si="187"/>
        <v>0.62244625972385748</v>
      </c>
      <c r="AA204" s="2122">
        <f t="shared" si="187"/>
        <v>0.69609034827719041</v>
      </c>
      <c r="AB204" s="2122">
        <f t="shared" si="187"/>
        <v>0.67797111278694044</v>
      </c>
      <c r="AC204" s="2122">
        <f t="shared" si="187"/>
        <v>0.69648796379696643</v>
      </c>
      <c r="AD204" s="2122">
        <f t="shared" si="187"/>
        <v>0.6516101019926821</v>
      </c>
      <c r="AE204" s="2122">
        <f t="shared" si="187"/>
        <v>0.6887916389936789</v>
      </c>
      <c r="AF204" s="2122">
        <f t="shared" si="187"/>
        <v>0.68467061814243746</v>
      </c>
      <c r="AG204" s="2122">
        <f t="shared" si="187"/>
        <v>0.69497662885667966</v>
      </c>
      <c r="AH204" s="2122">
        <f t="shared" si="187"/>
        <v>0.62039097808541233</v>
      </c>
      <c r="AI204" s="2122">
        <f t="shared" si="187"/>
        <v>0.66135214965743383</v>
      </c>
      <c r="AJ204" s="2122">
        <v>0.67400000000000004</v>
      </c>
      <c r="AK204" s="2122">
        <v>0.67100000000000004</v>
      </c>
      <c r="AL204" s="2122">
        <v>0.64600000000000002</v>
      </c>
      <c r="AM204" s="2122">
        <v>0.65700000000000003</v>
      </c>
      <c r="AN204" s="2122">
        <v>0.67</v>
      </c>
      <c r="AO204" s="2122">
        <v>0.66500000000000004</v>
      </c>
      <c r="AP204" s="2122">
        <v>0.64800000000000002</v>
      </c>
      <c r="AQ204" s="2123"/>
      <c r="AR204" s="2124"/>
      <c r="AS204" s="2125"/>
      <c r="AT204" s="2126"/>
      <c r="AU204" s="2127"/>
      <c r="AV204" s="2122">
        <f t="shared" ref="AV204:BA204" si="188">AV203/AV201</f>
        <v>0.66826069089799744</v>
      </c>
      <c r="AW204" s="2122">
        <f t="shared" si="188"/>
        <v>0.67382148692370625</v>
      </c>
      <c r="AX204" s="2128">
        <f t="shared" si="188"/>
        <v>0.68220290155622154</v>
      </c>
      <c r="AY204" s="2122">
        <f t="shared" si="188"/>
        <v>0.6767453385593849</v>
      </c>
      <c r="AZ204" s="2122">
        <f t="shared" si="188"/>
        <v>0.66426830508017554</v>
      </c>
      <c r="BA204" s="2129">
        <f t="shared" si="188"/>
        <v>0.66079150654116292</v>
      </c>
      <c r="BB204" s="2128">
        <v>0.66500000000000004</v>
      </c>
      <c r="BC204" s="2129">
        <v>0.67200000000000004</v>
      </c>
    </row>
    <row r="205" spans="1:71" s="2108" customFormat="1" x14ac:dyDescent="0.35">
      <c r="A205" s="2131"/>
      <c r="B205" s="2132" t="s">
        <v>761</v>
      </c>
      <c r="C205" s="2098"/>
      <c r="D205" s="2098"/>
      <c r="E205" s="2098"/>
      <c r="F205" s="2098"/>
      <c r="G205" s="2098"/>
      <c r="H205" s="2098"/>
      <c r="I205" s="2098"/>
      <c r="J205" s="2099"/>
      <c r="K205" s="2099"/>
      <c r="L205" s="2099"/>
      <c r="M205" s="2099"/>
      <c r="N205" s="2099"/>
      <c r="O205" s="2100"/>
      <c r="P205" s="2100"/>
      <c r="Q205" s="2100"/>
      <c r="R205" s="2100"/>
      <c r="S205" s="2100"/>
      <c r="T205" s="2100"/>
      <c r="U205" s="2100"/>
      <c r="V205" s="2100"/>
      <c r="W205" s="2102">
        <f t="shared" ref="W205:AP205" si="189">W203/S203-1</f>
        <v>0.64467423512933175</v>
      </c>
      <c r="X205" s="2102">
        <f t="shared" si="189"/>
        <v>0.54430529656578552</v>
      </c>
      <c r="Y205" s="2102">
        <f t="shared" si="189"/>
        <v>0.36413316777614901</v>
      </c>
      <c r="Z205" s="2102">
        <f t="shared" si="189"/>
        <v>0.30554236783691713</v>
      </c>
      <c r="AA205" s="2102">
        <f t="shared" si="189"/>
        <v>0.30200112739571594</v>
      </c>
      <c r="AB205" s="2102">
        <f t="shared" si="189"/>
        <v>0.27456730081533398</v>
      </c>
      <c r="AC205" s="2102">
        <f t="shared" si="189"/>
        <v>0.31055870640762651</v>
      </c>
      <c r="AD205" s="2102">
        <f t="shared" si="189"/>
        <v>0.38199203187250985</v>
      </c>
      <c r="AE205" s="2102">
        <f t="shared" si="189"/>
        <v>0.26637081935274387</v>
      </c>
      <c r="AF205" s="2102">
        <f t="shared" si="189"/>
        <v>0.27967005218562369</v>
      </c>
      <c r="AG205" s="2102">
        <f t="shared" si="189"/>
        <v>0.22223449901478731</v>
      </c>
      <c r="AH205" s="2102">
        <f t="shared" si="189"/>
        <v>-2.0122232472324697E-2</v>
      </c>
      <c r="AI205" s="2102">
        <f t="shared" si="189"/>
        <v>0.18538461538461548</v>
      </c>
      <c r="AJ205" s="2102">
        <f t="shared" si="189"/>
        <v>0.17980686899796816</v>
      </c>
      <c r="AK205" s="2102">
        <f t="shared" si="189"/>
        <v>0.18063242193113838</v>
      </c>
      <c r="AL205" s="2102">
        <f t="shared" si="189"/>
        <v>0.37168979526827872</v>
      </c>
      <c r="AM205" s="2102">
        <f t="shared" si="189"/>
        <v>0.1987663759215097</v>
      </c>
      <c r="AN205" s="2102">
        <f t="shared" si="189"/>
        <v>0.18498720324673013</v>
      </c>
      <c r="AO205" s="2102">
        <f t="shared" si="189"/>
        <v>0.19370682711876408</v>
      </c>
      <c r="AP205" s="2102">
        <f t="shared" si="189"/>
        <v>0.17843371312790124</v>
      </c>
      <c r="AQ205" s="2133"/>
      <c r="AR205" s="2134"/>
      <c r="AS205" s="2135"/>
      <c r="AT205" s="2136"/>
      <c r="AU205" s="2137"/>
      <c r="AV205" s="2134">
        <f>AV201/AV6</f>
        <v>18471.8447494504</v>
      </c>
      <c r="AW205" s="2102">
        <f t="shared" ref="AW205:BC205" si="190">AW203/AV203-1</f>
        <v>0.44625619272885442</v>
      </c>
      <c r="AX205" s="2103">
        <f t="shared" si="190"/>
        <v>0.31498254437147533</v>
      </c>
      <c r="AY205" s="2102">
        <f t="shared" si="190"/>
        <v>0.19297105619813237</v>
      </c>
      <c r="AZ205" s="2102">
        <f t="shared" si="190"/>
        <v>0.21527865660373058</v>
      </c>
      <c r="BA205" s="2107">
        <f t="shared" si="190"/>
        <v>0.18986247718485205</v>
      </c>
      <c r="BB205" s="2103">
        <f t="shared" si="190"/>
        <v>0.18488027552308095</v>
      </c>
      <c r="BC205" s="2107">
        <f t="shared" si="190"/>
        <v>0.17906178377825555</v>
      </c>
    </row>
    <row r="206" spans="1:71" s="2108" customFormat="1" ht="13.5" x14ac:dyDescent="0.35">
      <c r="A206" s="2009" t="s">
        <v>740</v>
      </c>
      <c r="B206" s="2138" t="s">
        <v>935</v>
      </c>
      <c r="C206" s="2098"/>
      <c r="D206" s="2098"/>
      <c r="E206" s="2098"/>
      <c r="F206" s="2098"/>
      <c r="G206" s="2098"/>
      <c r="H206" s="2098"/>
      <c r="I206" s="2098"/>
      <c r="J206" s="2099"/>
      <c r="K206" s="2099"/>
      <c r="L206" s="2099"/>
      <c r="M206" s="2099"/>
      <c r="N206" s="2099"/>
      <c r="O206" s="2100"/>
      <c r="P206" s="2100"/>
      <c r="Q206" s="2100"/>
      <c r="R206" s="2100"/>
      <c r="S206" s="2101"/>
      <c r="T206" s="2101"/>
      <c r="U206" s="2101"/>
      <c r="V206" s="2101"/>
      <c r="W206" s="2102"/>
      <c r="X206" s="2102"/>
      <c r="Y206" s="2102"/>
      <c r="Z206" s="2102"/>
      <c r="AA206" s="2102"/>
      <c r="AB206" s="2102"/>
      <c r="AC206" s="2102"/>
      <c r="AD206" s="2102"/>
      <c r="AE206" s="2101"/>
      <c r="AF206" s="2102"/>
      <c r="AG206" s="2102"/>
      <c r="AH206" s="2102"/>
      <c r="AI206" s="2102"/>
      <c r="AJ206" s="2102"/>
      <c r="AK206" s="2102"/>
      <c r="AL206" s="2102"/>
      <c r="AM206" s="2102"/>
      <c r="AN206" s="2102"/>
      <c r="AO206" s="2102"/>
      <c r="AP206" s="2102"/>
      <c r="AQ206" s="2103"/>
      <c r="AR206" s="2102"/>
      <c r="AS206" s="2104"/>
      <c r="AT206" s="2105"/>
      <c r="AU206" s="2139"/>
      <c r="AV206" s="2101">
        <f t="shared" ref="AV206:BC206" si="191">AV203-AV346-AV347+AV352-AV200</f>
        <v>63044.274037616677</v>
      </c>
      <c r="AW206" s="2101">
        <f t="shared" si="191"/>
        <v>74864</v>
      </c>
      <c r="AX206" s="2140">
        <f t="shared" si="191"/>
        <v>96959</v>
      </c>
      <c r="AY206" s="2101">
        <f t="shared" si="191"/>
        <v>92691</v>
      </c>
      <c r="AZ206" s="2101">
        <f t="shared" si="191"/>
        <v>156302.03325190491</v>
      </c>
      <c r="BA206" s="2141">
        <f t="shared" si="191"/>
        <v>209298.78483643735</v>
      </c>
      <c r="BB206" s="2140">
        <f t="shared" si="191"/>
        <v>247066.86885464258</v>
      </c>
      <c r="BC206" s="2141">
        <f t="shared" si="191"/>
        <v>290151.45719878044</v>
      </c>
      <c r="BD206" s="2094">
        <f>(BC206/AZ206)^(1/3)-1</f>
        <v>0.22900422576225288</v>
      </c>
    </row>
    <row r="207" spans="1:71" s="2108" customFormat="1" ht="13.5" x14ac:dyDescent="0.35">
      <c r="A207" s="2009" t="s">
        <v>740</v>
      </c>
      <c r="B207" s="2142" t="s">
        <v>936</v>
      </c>
      <c r="C207" s="2098"/>
      <c r="D207" s="2098"/>
      <c r="E207" s="2098"/>
      <c r="F207" s="2098"/>
      <c r="G207" s="2098"/>
      <c r="H207" s="2098"/>
      <c r="I207" s="2098"/>
      <c r="J207" s="2099"/>
      <c r="K207" s="2099"/>
      <c r="L207" s="2099"/>
      <c r="M207" s="2099"/>
      <c r="N207" s="2099"/>
      <c r="O207" s="2100"/>
      <c r="P207" s="2100"/>
      <c r="Q207" s="2100"/>
      <c r="R207" s="2100"/>
      <c r="S207" s="2101"/>
      <c r="T207" s="2101"/>
      <c r="U207" s="2101"/>
      <c r="V207" s="2101"/>
      <c r="W207" s="2102"/>
      <c r="X207" s="2102"/>
      <c r="Y207" s="2102"/>
      <c r="Z207" s="2102"/>
      <c r="AA207" s="2102"/>
      <c r="AB207" s="2102"/>
      <c r="AC207" s="2102"/>
      <c r="AD207" s="2102"/>
      <c r="AE207" s="2101"/>
      <c r="AF207" s="2102"/>
      <c r="AG207" s="2102"/>
      <c r="AH207" s="2100"/>
      <c r="AI207" s="2102"/>
      <c r="AJ207" s="2102"/>
      <c r="AK207" s="2102"/>
      <c r="AL207" s="2102"/>
      <c r="AM207" s="2102"/>
      <c r="AN207" s="2102"/>
      <c r="AO207" s="2102"/>
      <c r="AP207" s="2102"/>
      <c r="AQ207" s="2103"/>
      <c r="AR207" s="2102"/>
      <c r="AS207" s="2104"/>
      <c r="AT207" s="2105"/>
      <c r="AU207" s="2139"/>
      <c r="AV207" s="2101">
        <f t="shared" ref="AV207:BC207" si="192">AV206/AV6</f>
        <v>9159.1518534426832</v>
      </c>
      <c r="AW207" s="2101">
        <f t="shared" si="192"/>
        <v>11935.082740809234</v>
      </c>
      <c r="AX207" s="2140">
        <f t="shared" si="192"/>
        <v>14447.341757062821</v>
      </c>
      <c r="AY207" s="2101">
        <f t="shared" si="192"/>
        <v>13090.470003389448</v>
      </c>
      <c r="AZ207" s="2101">
        <f t="shared" si="192"/>
        <v>21708.615729431236</v>
      </c>
      <c r="BA207" s="2141">
        <f t="shared" si="192"/>
        <v>29069.27567172741</v>
      </c>
      <c r="BB207" s="2140">
        <f t="shared" si="192"/>
        <v>34314.842896478134</v>
      </c>
      <c r="BC207" s="2141">
        <f t="shared" si="192"/>
        <v>40298.813499830612</v>
      </c>
      <c r="BD207" s="2094"/>
    </row>
    <row r="208" spans="1:71" s="2154" customFormat="1" ht="12.75" outlineLevel="1" x14ac:dyDescent="0.35">
      <c r="A208" s="2006" t="s">
        <v>740</v>
      </c>
      <c r="B208" s="2143" t="s">
        <v>937</v>
      </c>
      <c r="C208" s="2144"/>
      <c r="D208" s="2144"/>
      <c r="E208" s="2144"/>
      <c r="F208" s="2144"/>
      <c r="G208" s="2144"/>
      <c r="H208" s="2144"/>
      <c r="I208" s="2144"/>
      <c r="J208" s="2144"/>
      <c r="K208" s="2144"/>
      <c r="L208" s="2144"/>
      <c r="M208" s="2144"/>
      <c r="N208" s="2144"/>
      <c r="O208" s="2144"/>
      <c r="P208" s="2144"/>
      <c r="Q208" s="2144"/>
      <c r="R208" s="2145"/>
      <c r="S208" s="2146">
        <f>S209*S186</f>
        <v>-624.12893139167988</v>
      </c>
      <c r="T208" s="2146">
        <f>T209*T186</f>
        <v>-492.81848782499998</v>
      </c>
      <c r="U208" s="2146">
        <f>U209*U186</f>
        <v>-718.6004999999999</v>
      </c>
      <c r="V208" s="2146">
        <f>V209*V186</f>
        <v>-592.72611840000013</v>
      </c>
      <c r="W208" s="2147">
        <f t="shared" ref="W208:AI208" si="193">W227-W203-W210-W221-W223</f>
        <v>-1159</v>
      </c>
      <c r="X208" s="2147">
        <f t="shared" si="193"/>
        <v>-1060</v>
      </c>
      <c r="Y208" s="2147">
        <f t="shared" si="193"/>
        <v>-1111.74</v>
      </c>
      <c r="Z208" s="2147">
        <f t="shared" si="193"/>
        <v>-1216.83</v>
      </c>
      <c r="AA208" s="2147">
        <f t="shared" si="193"/>
        <v>-1598.6</v>
      </c>
      <c r="AB208" s="2147">
        <f t="shared" si="193"/>
        <v>-1721.1100000000006</v>
      </c>
      <c r="AC208" s="2147">
        <f t="shared" si="193"/>
        <v>-2236.64</v>
      </c>
      <c r="AD208" s="2147">
        <f t="shared" si="193"/>
        <v>-1765.1423123476598</v>
      </c>
      <c r="AE208" s="2147">
        <f t="shared" si="193"/>
        <v>-1801.8842896735293</v>
      </c>
      <c r="AF208" s="2147">
        <f t="shared" si="193"/>
        <v>-2289.9334116362502</v>
      </c>
      <c r="AG208" s="2147">
        <f t="shared" si="193"/>
        <v>-2794.708870766226</v>
      </c>
      <c r="AH208" s="2147">
        <f t="shared" si="193"/>
        <v>-1791.4590342909994</v>
      </c>
      <c r="AI208" s="2147">
        <f t="shared" si="193"/>
        <v>-1059.412313873778</v>
      </c>
      <c r="AJ208" s="2147">
        <f t="shared" ref="AJ208:AP208" si="194">AJ209*AJ186</f>
        <v>-2193.7246100000007</v>
      </c>
      <c r="AK208" s="2147">
        <f t="shared" si="194"/>
        <v>-1830.4784287199993</v>
      </c>
      <c r="AL208" s="2147">
        <f t="shared" si="194"/>
        <v>-1418.8906079999997</v>
      </c>
      <c r="AM208" s="2147">
        <f t="shared" si="194"/>
        <v>-1262.1313632095996</v>
      </c>
      <c r="AN208" s="2147">
        <f t="shared" si="194"/>
        <v>-911.42542062000007</v>
      </c>
      <c r="AO208" s="2147">
        <f t="shared" si="194"/>
        <v>-1670.6338335359994</v>
      </c>
      <c r="AP208" s="2147">
        <f t="shared" si="194"/>
        <v>-771.87649075199977</v>
      </c>
      <c r="AQ208" s="2148"/>
      <c r="AR208" s="2145"/>
      <c r="AS208" s="2149"/>
      <c r="AT208" s="2150"/>
      <c r="AU208" s="2151"/>
      <c r="AV208" s="2146">
        <f>SUM(S208:V208)</f>
        <v>-2428.2740376166803</v>
      </c>
      <c r="AW208" s="2146">
        <f>SUM(W208:Z208)</f>
        <v>-4547.57</v>
      </c>
      <c r="AX208" s="2152">
        <f>SUM(AA208:AD208)</f>
        <v>-7321.4923123476601</v>
      </c>
      <c r="AY208" s="2146">
        <f>SUM(AE208:AH208)</f>
        <v>-8677.9856063670049</v>
      </c>
      <c r="AZ208" s="2146">
        <f>SUM(AI208:AL208)</f>
        <v>-6502.5059605937777</v>
      </c>
      <c r="BA208" s="2153">
        <f>SUM(AM208:AP208)</f>
        <v>-4616.0671081175988</v>
      </c>
      <c r="BB208" s="2152">
        <f>BB209*BB186</f>
        <v>-1711.8666946313854</v>
      </c>
      <c r="BC208" s="2153">
        <f>BC209*BC186</f>
        <v>-547.79734228204336</v>
      </c>
    </row>
    <row r="209" spans="1:55" s="2166" customFormat="1" ht="12.75" outlineLevel="1" x14ac:dyDescent="0.35">
      <c r="A209" s="1970" t="s">
        <v>938</v>
      </c>
      <c r="B209" s="2155" t="s">
        <v>939</v>
      </c>
      <c r="C209" s="2156"/>
      <c r="D209" s="2156"/>
      <c r="E209" s="2156"/>
      <c r="F209" s="2156"/>
      <c r="G209" s="2156"/>
      <c r="H209" s="2156"/>
      <c r="I209" s="2156"/>
      <c r="J209" s="2157"/>
      <c r="K209" s="2157"/>
      <c r="L209" s="2157"/>
      <c r="M209" s="2157"/>
      <c r="N209" s="2157"/>
      <c r="O209" s="2157"/>
      <c r="P209" s="2157"/>
      <c r="Q209" s="2157"/>
      <c r="R209" s="2158"/>
      <c r="S209" s="2011">
        <v>-1.21</v>
      </c>
      <c r="T209" s="2011">
        <v>-0.6</v>
      </c>
      <c r="U209" s="2011">
        <v>-0.45</v>
      </c>
      <c r="V209" s="2011">
        <v>-0.46</v>
      </c>
      <c r="W209" s="2011">
        <f t="shared" ref="W209:AI209" si="195">W208/W186</f>
        <v>-0.70487712883758757</v>
      </c>
      <c r="X209" s="2011">
        <f t="shared" si="195"/>
        <v>-0.51739373339242822</v>
      </c>
      <c r="Y209" s="2011">
        <f t="shared" si="195"/>
        <v>-0.35109581110036553</v>
      </c>
      <c r="Z209" s="2011">
        <f t="shared" si="195"/>
        <v>-0.53247509705826013</v>
      </c>
      <c r="AA209" s="2011">
        <f t="shared" si="195"/>
        <v>-0.53301047147172997</v>
      </c>
      <c r="AB209" s="2011">
        <f t="shared" si="195"/>
        <v>-0.48056387504001497</v>
      </c>
      <c r="AC209" s="2011">
        <f t="shared" si="195"/>
        <v>-0.5693933276309483</v>
      </c>
      <c r="AD209" s="2011">
        <f t="shared" si="195"/>
        <v>-0.58824121173155242</v>
      </c>
      <c r="AE209" s="2011">
        <f t="shared" si="195"/>
        <v>-0.49112058592143948</v>
      </c>
      <c r="AF209" s="2011">
        <f t="shared" si="195"/>
        <v>-0.47706686260222081</v>
      </c>
      <c r="AG209" s="2011">
        <f t="shared" si="195"/>
        <v>-0.55253820910754559</v>
      </c>
      <c r="AH209" s="2011">
        <f t="shared" si="195"/>
        <v>-0.47318372863573299</v>
      </c>
      <c r="AI209" s="2011">
        <f t="shared" si="195"/>
        <v>-0.23462691461181218</v>
      </c>
      <c r="AJ209" s="2011">
        <v>-0.4</v>
      </c>
      <c r="AK209" s="2011">
        <v>-0.23</v>
      </c>
      <c r="AL209" s="2011">
        <v>-0.25</v>
      </c>
      <c r="AM209" s="2011">
        <v>-0.2</v>
      </c>
      <c r="AN209" s="2011">
        <v>-0.13</v>
      </c>
      <c r="AO209" s="2011">
        <v>-0.15</v>
      </c>
      <c r="AP209" s="2011">
        <v>-0.1</v>
      </c>
      <c r="AQ209" s="2159"/>
      <c r="AR209" s="2160"/>
      <c r="AS209" s="2161"/>
      <c r="AT209" s="2162"/>
      <c r="AU209" s="2163"/>
      <c r="AV209" s="2012">
        <f t="shared" ref="AV209:BA209" si="196">AV208/AV186</f>
        <v>-0.57506632427875559</v>
      </c>
      <c r="AW209" s="2012">
        <f t="shared" si="196"/>
        <v>-0.49728980980857457</v>
      </c>
      <c r="AX209" s="2013">
        <f t="shared" si="196"/>
        <v>-0.54195333282022695</v>
      </c>
      <c r="AY209" s="2011">
        <f t="shared" si="196"/>
        <v>-0.50124487363649162</v>
      </c>
      <c r="AZ209" s="2011">
        <f t="shared" si="196"/>
        <v>-0.2751360747731878</v>
      </c>
      <c r="BA209" s="2164">
        <f t="shared" si="196"/>
        <v>-0.14345437698040833</v>
      </c>
      <c r="BB209" s="2165">
        <v>-0.04</v>
      </c>
      <c r="BC209" s="2164">
        <v>-0.01</v>
      </c>
    </row>
    <row r="210" spans="1:55" s="2178" customFormat="1" outlineLevel="1" x14ac:dyDescent="0.3">
      <c r="A210" s="2131"/>
      <c r="B210" s="2167" t="s">
        <v>940</v>
      </c>
      <c r="C210" s="2168"/>
      <c r="D210" s="2168"/>
      <c r="E210" s="2168"/>
      <c r="F210" s="2168"/>
      <c r="G210" s="2168"/>
      <c r="H210" s="2168"/>
      <c r="I210" s="2168"/>
      <c r="J210" s="2168"/>
      <c r="K210" s="2168"/>
      <c r="L210" s="2168"/>
      <c r="M210" s="2168"/>
      <c r="N210" s="2168"/>
      <c r="O210" s="2168"/>
      <c r="P210" s="2168"/>
      <c r="Q210" s="2168"/>
      <c r="R210" s="2169"/>
      <c r="S210" s="2170">
        <f t="shared" ref="S210:Z210" si="197">S211+S219+S215</f>
        <v>-10</v>
      </c>
      <c r="T210" s="2170">
        <f t="shared" si="197"/>
        <v>-16</v>
      </c>
      <c r="U210" s="2170">
        <f t="shared" si="197"/>
        <v>-26</v>
      </c>
      <c r="V210" s="2170">
        <f t="shared" si="197"/>
        <v>-54</v>
      </c>
      <c r="W210" s="2171">
        <f t="shared" si="197"/>
        <v>-255</v>
      </c>
      <c r="X210" s="2171">
        <f t="shared" si="197"/>
        <v>-490</v>
      </c>
      <c r="Y210" s="2171">
        <f t="shared" si="197"/>
        <v>-1090</v>
      </c>
      <c r="Z210" s="2171">
        <f t="shared" si="197"/>
        <v>-898.61000000000013</v>
      </c>
      <c r="AA210" s="2171">
        <f>AA211+AA215+AA217+AA219</f>
        <v>-980.8</v>
      </c>
      <c r="AB210" s="2171">
        <f>AB211+AB215+AB217+AB219</f>
        <v>-1336.0499999999997</v>
      </c>
      <c r="AC210" s="2171">
        <f>AC211+AC215+AC217+AC219</f>
        <v>-2175.25</v>
      </c>
      <c r="AD210" s="2171">
        <f>AD211+AD215+AD217+AD219</f>
        <v>-2134.9591413951098</v>
      </c>
      <c r="AE210" s="2171">
        <f>AE211+AE215+AE217+AE219</f>
        <v>-1679.6999999999998</v>
      </c>
      <c r="AF210" s="2171">
        <f t="shared" ref="AF210:AP210" si="198">AF211+AF213+AF215+AF217+AF219</f>
        <v>-1985.5049999999999</v>
      </c>
      <c r="AG210" s="2171">
        <f t="shared" si="198"/>
        <v>-2489.4932999999987</v>
      </c>
      <c r="AH210" s="2171">
        <f t="shared" si="198"/>
        <v>-1796.0486784362702</v>
      </c>
      <c r="AI210" s="2171">
        <f t="shared" si="198"/>
        <v>-1543.17</v>
      </c>
      <c r="AJ210" s="2171">
        <f t="shared" si="198"/>
        <v>-1188.1850000000002</v>
      </c>
      <c r="AK210" s="2171">
        <f t="shared" si="198"/>
        <v>-1357.6544599999997</v>
      </c>
      <c r="AL210" s="2171">
        <f t="shared" si="198"/>
        <v>-815.15871601952108</v>
      </c>
      <c r="AM210" s="2171">
        <f t="shared" si="198"/>
        <v>-963.80400000000009</v>
      </c>
      <c r="AN210" s="2171">
        <f t="shared" si="198"/>
        <v>-580.85570000000007</v>
      </c>
      <c r="AO210" s="2171">
        <f t="shared" si="198"/>
        <v>-831.34456000000046</v>
      </c>
      <c r="AP210" s="2171">
        <f t="shared" si="198"/>
        <v>-402.60236476070145</v>
      </c>
      <c r="AQ210" s="2172"/>
      <c r="AR210" s="2168"/>
      <c r="AS210" s="2173"/>
      <c r="AT210" s="2174"/>
      <c r="AU210" s="2175"/>
      <c r="AV210" s="2171">
        <f t="shared" ref="AV210:BC210" si="199">AV211+AV213+AV215+AV217+AV219</f>
        <v>-106</v>
      </c>
      <c r="AW210" s="2171">
        <f t="shared" si="199"/>
        <v>-2733.61</v>
      </c>
      <c r="AX210" s="2176">
        <f t="shared" si="199"/>
        <v>-6627.0591413951097</v>
      </c>
      <c r="AY210" s="2171">
        <f t="shared" si="199"/>
        <v>-7956.7528653635572</v>
      </c>
      <c r="AZ210" s="2171">
        <f t="shared" si="199"/>
        <v>-4904.1681760195206</v>
      </c>
      <c r="BA210" s="2177">
        <f t="shared" si="199"/>
        <v>-2778.6066247607014</v>
      </c>
      <c r="BB210" s="2176">
        <f t="shared" si="199"/>
        <v>601.94322002537729</v>
      </c>
      <c r="BC210" s="2177">
        <f t="shared" si="199"/>
        <v>7237.2315522518702</v>
      </c>
    </row>
    <row r="211" spans="1:55" s="2188" customFormat="1" outlineLevel="1" x14ac:dyDescent="0.3">
      <c r="A211" s="2009" t="s">
        <v>740</v>
      </c>
      <c r="B211" s="2179" t="s">
        <v>941</v>
      </c>
      <c r="C211" s="2180"/>
      <c r="D211" s="2180"/>
      <c r="E211" s="2180"/>
      <c r="F211" s="2180"/>
      <c r="G211" s="2180"/>
      <c r="H211" s="2180"/>
      <c r="I211" s="2180"/>
      <c r="J211" s="2180"/>
      <c r="K211" s="2180"/>
      <c r="L211" s="2180"/>
      <c r="M211" s="2180"/>
      <c r="N211" s="2180"/>
      <c r="O211" s="2180"/>
      <c r="P211" s="2180"/>
      <c r="Q211" s="2180"/>
      <c r="R211" s="2181"/>
      <c r="S211" s="2180">
        <f t="shared" ref="S211:AP211" si="200">S212*S172</f>
        <v>-10</v>
      </c>
      <c r="T211" s="2180">
        <f t="shared" si="200"/>
        <v>-16</v>
      </c>
      <c r="U211" s="2180">
        <f t="shared" si="200"/>
        <v>-26</v>
      </c>
      <c r="V211" s="2180">
        <f t="shared" si="200"/>
        <v>-54</v>
      </c>
      <c r="W211" s="2181">
        <f t="shared" si="200"/>
        <v>-90</v>
      </c>
      <c r="X211" s="2181">
        <f t="shared" si="200"/>
        <v>-180</v>
      </c>
      <c r="Y211" s="2181">
        <f t="shared" si="200"/>
        <v>-360</v>
      </c>
      <c r="Z211" s="2181">
        <f t="shared" si="200"/>
        <v>-240</v>
      </c>
      <c r="AA211" s="2181">
        <f t="shared" si="200"/>
        <v>-399</v>
      </c>
      <c r="AB211" s="2181">
        <f t="shared" si="200"/>
        <v>-405.6</v>
      </c>
      <c r="AC211" s="2181">
        <f t="shared" si="200"/>
        <v>-1080</v>
      </c>
      <c r="AD211" s="2181">
        <f t="shared" si="200"/>
        <v>-702</v>
      </c>
      <c r="AE211" s="2181">
        <f t="shared" si="200"/>
        <v>-820.05</v>
      </c>
      <c r="AF211" s="2181">
        <f t="shared" si="200"/>
        <v>-755.04000000000008</v>
      </c>
      <c r="AG211" s="2181">
        <f t="shared" si="200"/>
        <v>-1010.88</v>
      </c>
      <c r="AH211" s="2181">
        <f t="shared" si="200"/>
        <v>-308.88</v>
      </c>
      <c r="AI211" s="2181">
        <f t="shared" si="200"/>
        <v>-238.56</v>
      </c>
      <c r="AJ211" s="2181">
        <f t="shared" si="200"/>
        <v>-205.92000000000004</v>
      </c>
      <c r="AK211" s="2181">
        <f t="shared" si="200"/>
        <v>-227.05919999999998</v>
      </c>
      <c r="AL211" s="2181">
        <f t="shared" si="200"/>
        <v>-223.93799999999999</v>
      </c>
      <c r="AM211" s="2181">
        <f t="shared" si="200"/>
        <v>-166.99200000000002</v>
      </c>
      <c r="AN211" s="2181">
        <f t="shared" si="200"/>
        <v>-138.99600000000004</v>
      </c>
      <c r="AO211" s="2181">
        <f t="shared" si="200"/>
        <v>-153.26496</v>
      </c>
      <c r="AP211" s="2181">
        <f t="shared" si="200"/>
        <v>-147.79908</v>
      </c>
      <c r="AQ211" s="2182"/>
      <c r="AR211" s="2180"/>
      <c r="AS211" s="2183"/>
      <c r="AT211" s="2184"/>
      <c r="AU211" s="2185"/>
      <c r="AV211" s="2181">
        <f>SUM(S211:V211)</f>
        <v>-106</v>
      </c>
      <c r="AW211" s="2181">
        <f>SUM(W211:Z211)</f>
        <v>-870</v>
      </c>
      <c r="AX211" s="2182">
        <f>SUM(AA211:AD211)</f>
        <v>-2586.6</v>
      </c>
      <c r="AY211" s="2169">
        <f>SUM(AE211:AH211)</f>
        <v>-2894.8500000000004</v>
      </c>
      <c r="AZ211" s="2181">
        <f>SUM(AI211:AL211)</f>
        <v>-895.47719999999993</v>
      </c>
      <c r="BA211" s="2186">
        <f>SUM(AM211:AP211)</f>
        <v>-607.05204000000003</v>
      </c>
      <c r="BB211" s="2187">
        <f>BB172*BB212</f>
        <v>0</v>
      </c>
      <c r="BC211" s="2186">
        <f>BC172*BC212</f>
        <v>1988.7024830399998</v>
      </c>
    </row>
    <row r="212" spans="1:55" s="1953" customFormat="1" outlineLevel="1" x14ac:dyDescent="0.3">
      <c r="A212" s="1970" t="s">
        <v>942</v>
      </c>
      <c r="B212" s="2189" t="s">
        <v>943</v>
      </c>
      <c r="C212" s="1972"/>
      <c r="D212" s="1972"/>
      <c r="E212" s="1972"/>
      <c r="F212" s="1972"/>
      <c r="G212" s="1972"/>
      <c r="H212" s="1972"/>
      <c r="I212" s="1972"/>
      <c r="J212" s="1973"/>
      <c r="K212" s="1973"/>
      <c r="L212" s="1973"/>
      <c r="M212" s="1973"/>
      <c r="N212" s="1973"/>
      <c r="O212" s="1973"/>
      <c r="P212" s="1973"/>
      <c r="Q212" s="1973"/>
      <c r="R212" s="2066"/>
      <c r="S212" s="2012">
        <v>-0.2</v>
      </c>
      <c r="T212" s="2012">
        <v>-0.2</v>
      </c>
      <c r="U212" s="2012">
        <v>-0.2</v>
      </c>
      <c r="V212" s="2012">
        <v>-0.3</v>
      </c>
      <c r="W212" s="2012">
        <v>-0.3</v>
      </c>
      <c r="X212" s="2012">
        <v>-0.3</v>
      </c>
      <c r="Y212" s="2012">
        <v>-0.4</v>
      </c>
      <c r="Z212" s="2012">
        <v>-0.2</v>
      </c>
      <c r="AA212" s="2012">
        <v>-0.19</v>
      </c>
      <c r="AB212" s="2012">
        <v>-0.13</v>
      </c>
      <c r="AC212" s="2012">
        <v>-0.25</v>
      </c>
      <c r="AD212" s="2012">
        <v>-0.15</v>
      </c>
      <c r="AE212" s="2012">
        <v>-0.11</v>
      </c>
      <c r="AF212" s="2012">
        <v>-0.11</v>
      </c>
      <c r="AG212" s="2012">
        <v>-0.13</v>
      </c>
      <c r="AH212" s="2012">
        <v>-0.04</v>
      </c>
      <c r="AI212" s="2012">
        <v>-0.02</v>
      </c>
      <c r="AJ212" s="2012">
        <v>-0.02</v>
      </c>
      <c r="AK212" s="2012">
        <v>-0.02</v>
      </c>
      <c r="AL212" s="2012">
        <v>-0.02</v>
      </c>
      <c r="AM212" s="2012">
        <v>-0.01</v>
      </c>
      <c r="AN212" s="2012">
        <v>-0.01</v>
      </c>
      <c r="AO212" s="2012">
        <v>-0.01</v>
      </c>
      <c r="AP212" s="2012">
        <v>-0.01</v>
      </c>
      <c r="AQ212" s="2067"/>
      <c r="AR212" s="1972"/>
      <c r="AS212" s="2068"/>
      <c r="AT212" s="2069"/>
      <c r="AU212" s="2070"/>
      <c r="AV212" s="2012">
        <f t="shared" ref="AV212:BA212" si="201">AV211/AV172</f>
        <v>-0.24090909090909091</v>
      </c>
      <c r="AW212" s="2012">
        <f t="shared" si="201"/>
        <v>-0.28999999999999998</v>
      </c>
      <c r="AX212" s="2013">
        <f t="shared" si="201"/>
        <v>-0.18189873417721519</v>
      </c>
      <c r="AY212" s="2012">
        <f t="shared" si="201"/>
        <v>-9.7087232115907043E-2</v>
      </c>
      <c r="AZ212" s="2012">
        <f t="shared" si="201"/>
        <v>-1.9999999999999997E-2</v>
      </c>
      <c r="BA212" s="2014">
        <f t="shared" si="201"/>
        <v>-0.01</v>
      </c>
      <c r="BB212" s="2013">
        <v>0</v>
      </c>
      <c r="BC212" s="2014">
        <v>0.02</v>
      </c>
    </row>
    <row r="213" spans="1:55" s="1953" customFormat="1" outlineLevel="1" x14ac:dyDescent="0.3">
      <c r="A213" s="2009" t="s">
        <v>740</v>
      </c>
      <c r="B213" s="2190" t="s">
        <v>944</v>
      </c>
      <c r="C213" s="1972"/>
      <c r="D213" s="1972"/>
      <c r="E213" s="1972"/>
      <c r="F213" s="1972"/>
      <c r="G213" s="1972"/>
      <c r="H213" s="1972"/>
      <c r="I213" s="1972"/>
      <c r="J213" s="1973"/>
      <c r="K213" s="1973"/>
      <c r="L213" s="1973"/>
      <c r="M213" s="1973"/>
      <c r="N213" s="1973"/>
      <c r="O213" s="1973"/>
      <c r="P213" s="1973"/>
      <c r="Q213" s="1973"/>
      <c r="R213" s="2066"/>
      <c r="S213" s="2012"/>
      <c r="T213" s="2012"/>
      <c r="U213" s="2012"/>
      <c r="V213" s="2012"/>
      <c r="W213" s="2012"/>
      <c r="X213" s="2012"/>
      <c r="Y213" s="2012"/>
      <c r="Z213" s="2012"/>
      <c r="AA213" s="2012"/>
      <c r="AB213" s="2012"/>
      <c r="AC213" s="2012"/>
      <c r="AD213" s="2012"/>
      <c r="AE213" s="2012"/>
      <c r="AF213" s="2181">
        <v>-300</v>
      </c>
      <c r="AG213" s="2181">
        <f t="shared" ref="AG213:AP213" si="202">AG174*AG214</f>
        <v>-438.1007999999984</v>
      </c>
      <c r="AH213" s="2181">
        <f t="shared" si="202"/>
        <v>-150</v>
      </c>
      <c r="AI213" s="2181">
        <f t="shared" si="202"/>
        <v>-90</v>
      </c>
      <c r="AJ213" s="2181">
        <f t="shared" si="202"/>
        <v>-90</v>
      </c>
      <c r="AK213" s="2181">
        <f t="shared" si="202"/>
        <v>-142.38275999999948</v>
      </c>
      <c r="AL213" s="2181">
        <f t="shared" si="202"/>
        <v>-96</v>
      </c>
      <c r="AM213" s="2181">
        <f t="shared" si="202"/>
        <v>0</v>
      </c>
      <c r="AN213" s="2181">
        <f t="shared" si="202"/>
        <v>288</v>
      </c>
      <c r="AO213" s="2181">
        <f t="shared" si="202"/>
        <v>88.989224999999678</v>
      </c>
      <c r="AP213" s="2181">
        <f t="shared" si="202"/>
        <v>292.8</v>
      </c>
      <c r="AQ213" s="2067"/>
      <c r="AR213" s="1972"/>
      <c r="AS213" s="2068"/>
      <c r="AT213" s="2069"/>
      <c r="AU213" s="2070"/>
      <c r="AV213" s="2012"/>
      <c r="AW213" s="2012"/>
      <c r="AX213" s="2013"/>
      <c r="AY213" s="2169">
        <f>AF213+AG213+AH213</f>
        <v>-888.10079999999834</v>
      </c>
      <c r="AZ213" s="2181">
        <f>SUM(AI213:AL213)</f>
        <v>-418.38275999999951</v>
      </c>
      <c r="BA213" s="2186">
        <f>SUM(AM213:AP213)</f>
        <v>669.78922499999976</v>
      </c>
      <c r="BB213" s="2187">
        <f>BB174*BB214</f>
        <v>1528.9205437499982</v>
      </c>
      <c r="BC213" s="2186">
        <f>BC174*BC214</f>
        <v>2764.2883430999959</v>
      </c>
    </row>
    <row r="214" spans="1:55" s="1953" customFormat="1" outlineLevel="1" x14ac:dyDescent="0.3">
      <c r="A214" s="1970" t="s">
        <v>945</v>
      </c>
      <c r="B214" s="2189" t="s">
        <v>946</v>
      </c>
      <c r="C214" s="1972"/>
      <c r="D214" s="1972"/>
      <c r="E214" s="1972"/>
      <c r="F214" s="1972"/>
      <c r="G214" s="1972"/>
      <c r="H214" s="1972"/>
      <c r="I214" s="1972"/>
      <c r="J214" s="1973"/>
      <c r="K214" s="1973"/>
      <c r="L214" s="1973"/>
      <c r="M214" s="1973"/>
      <c r="N214" s="1973"/>
      <c r="O214" s="1973"/>
      <c r="P214" s="1973"/>
      <c r="Q214" s="1973"/>
      <c r="R214" s="2066"/>
      <c r="S214" s="2012"/>
      <c r="T214" s="2012"/>
      <c r="U214" s="2012"/>
      <c r="V214" s="2012"/>
      <c r="W214" s="2012"/>
      <c r="X214" s="2012"/>
      <c r="Y214" s="2012"/>
      <c r="Z214" s="2012"/>
      <c r="AA214" s="2012"/>
      <c r="AB214" s="2012"/>
      <c r="AC214" s="2012"/>
      <c r="AD214" s="2012"/>
      <c r="AE214" s="2012"/>
      <c r="AF214" s="2012"/>
      <c r="AG214" s="2012">
        <v>-0.08</v>
      </c>
      <c r="AH214" s="2012">
        <v>-0.05</v>
      </c>
      <c r="AI214" s="2012">
        <v>-0.02</v>
      </c>
      <c r="AJ214" s="2012">
        <v>-0.02</v>
      </c>
      <c r="AK214" s="2012">
        <v>-0.02</v>
      </c>
      <c r="AL214" s="2012">
        <v>-0.02</v>
      </c>
      <c r="AM214" s="2012">
        <v>0</v>
      </c>
      <c r="AN214" s="2012">
        <v>0.05</v>
      </c>
      <c r="AO214" s="2012">
        <v>0.01</v>
      </c>
      <c r="AP214" s="2012">
        <v>0.05</v>
      </c>
      <c r="AQ214" s="2067"/>
      <c r="AR214" s="1972"/>
      <c r="AS214" s="2068"/>
      <c r="AT214" s="2069"/>
      <c r="AU214" s="2070"/>
      <c r="AV214" s="2012"/>
      <c r="AW214" s="2012"/>
      <c r="AX214" s="2013"/>
      <c r="AY214" s="2012">
        <f>AY213/AY174</f>
        <v>-8.4772695599383746E-2</v>
      </c>
      <c r="AZ214" s="2012">
        <f>AZ213/AZ174</f>
        <v>-0.02</v>
      </c>
      <c r="BA214" s="2014">
        <f>BA213/BA174</f>
        <v>2.5189589213733158E-2</v>
      </c>
      <c r="BB214" s="2013">
        <v>0.05</v>
      </c>
      <c r="BC214" s="2014">
        <v>0.08</v>
      </c>
    </row>
    <row r="215" spans="1:55" s="2055" customFormat="1" outlineLevel="1" x14ac:dyDescent="0.3">
      <c r="A215" s="2009" t="s">
        <v>740</v>
      </c>
      <c r="B215" s="2155" t="s">
        <v>947</v>
      </c>
      <c r="C215" s="2041"/>
      <c r="D215" s="2041"/>
      <c r="E215" s="2041"/>
      <c r="F215" s="2041"/>
      <c r="G215" s="2041"/>
      <c r="H215" s="2041"/>
      <c r="I215" s="2041"/>
      <c r="J215" s="2003"/>
      <c r="K215" s="2003"/>
      <c r="L215" s="2003"/>
      <c r="M215" s="2003"/>
      <c r="N215" s="2003"/>
      <c r="O215" s="2003"/>
      <c r="P215" s="2003"/>
      <c r="Q215" s="2003"/>
      <c r="R215" s="2191"/>
      <c r="S215" s="2003"/>
      <c r="T215" s="2003"/>
      <c r="U215" s="2003"/>
      <c r="V215" s="2003"/>
      <c r="W215" s="2004">
        <f>W178*W216</f>
        <v>-240</v>
      </c>
      <c r="X215" s="2004">
        <f>X178*X216</f>
        <v>-480</v>
      </c>
      <c r="Y215" s="2004">
        <f>Y178*Y216</f>
        <v>-960</v>
      </c>
      <c r="Z215" s="2004">
        <f>AW215-SUM(W215:Y215)</f>
        <v>-956.69</v>
      </c>
      <c r="AA215" s="2181">
        <f>AA178*AA216</f>
        <v>-852</v>
      </c>
      <c r="AB215" s="2004">
        <f>AB178*AB216</f>
        <v>-1185</v>
      </c>
      <c r="AC215" s="2004">
        <f>AC178*AC216</f>
        <v>-1440</v>
      </c>
      <c r="AD215" s="2004">
        <f>AX215-SUM(AA215:AC215)</f>
        <v>-1824.2000000000007</v>
      </c>
      <c r="AE215" s="2004">
        <f>AE178*AE216</f>
        <v>-1235.4000000000001</v>
      </c>
      <c r="AF215" s="2004">
        <f>AF178*AF216</f>
        <v>-1260.8399999999999</v>
      </c>
      <c r="AG215" s="2004">
        <f>AG178*AG216</f>
        <v>-1468.8</v>
      </c>
      <c r="AH215" s="2181">
        <f>AY215-SUM(AE215:AG215)</f>
        <v>-1235.9039999999995</v>
      </c>
      <c r="AI215" s="2004">
        <f>AI178*AI216</f>
        <v>-1420.71</v>
      </c>
      <c r="AJ215" s="2004">
        <f>AJ178*AJ216</f>
        <v>-1260.8400000000001</v>
      </c>
      <c r="AK215" s="2004">
        <f>AK178*AK216</f>
        <v>-1468.8000000000002</v>
      </c>
      <c r="AL215" s="2181">
        <f>AZ215-SUM(AI215:AK215)</f>
        <v>-1045.1500000000015</v>
      </c>
      <c r="AM215" s="2004">
        <f>AM178*AM216</f>
        <v>-1334.2320000000002</v>
      </c>
      <c r="AN215" s="2004">
        <f>AN178*AN216</f>
        <v>-1361.7072000000001</v>
      </c>
      <c r="AO215" s="2004">
        <f>AO178*AO216</f>
        <v>-1562.8032000000001</v>
      </c>
      <c r="AP215" s="2181">
        <f>BA215-SUM(AM215:AO215)</f>
        <v>-1409.6976000000004</v>
      </c>
      <c r="AQ215" s="2067"/>
      <c r="AR215" s="1972"/>
      <c r="AS215" s="2068"/>
      <c r="AT215" s="2069"/>
      <c r="AU215" s="2070"/>
      <c r="AV215" s="2012"/>
      <c r="AW215" s="2004">
        <f>[35]Hema!C17*1000</f>
        <v>-2636.69</v>
      </c>
      <c r="AX215" s="2192">
        <f>[35]Hema!D17*1000</f>
        <v>-5301.2000000000007</v>
      </c>
      <c r="AY215" s="2169">
        <f>[35]Hema!E17*1000</f>
        <v>-5200.9439999999995</v>
      </c>
      <c r="AZ215" s="2004">
        <f>[35]Hema!F17*1000</f>
        <v>-5195.5000000000018</v>
      </c>
      <c r="BA215" s="2193">
        <f>[35]Hema!G17*1000</f>
        <v>-5668.4400000000005</v>
      </c>
      <c r="BB215" s="2194">
        <f>[35]Hema!H17*1000</f>
        <v>-5477.6500000000005</v>
      </c>
      <c r="BC215" s="2193">
        <f>[35]Hema!I17*1000</f>
        <v>-4703.0625</v>
      </c>
    </row>
    <row r="216" spans="1:55" s="1953" customFormat="1" outlineLevel="1" x14ac:dyDescent="0.3">
      <c r="A216" s="1970" t="s">
        <v>948</v>
      </c>
      <c r="B216" s="2189" t="s">
        <v>949</v>
      </c>
      <c r="C216" s="1972"/>
      <c r="D216" s="1972"/>
      <c r="E216" s="1972"/>
      <c r="F216" s="1972"/>
      <c r="G216" s="1972"/>
      <c r="H216" s="1972"/>
      <c r="I216" s="1972"/>
      <c r="J216" s="1973"/>
      <c r="K216" s="1973"/>
      <c r="L216" s="1973"/>
      <c r="M216" s="1973"/>
      <c r="N216" s="1973"/>
      <c r="O216" s="1973"/>
      <c r="P216" s="1973"/>
      <c r="Q216" s="1973"/>
      <c r="R216" s="2066"/>
      <c r="S216" s="1973"/>
      <c r="T216" s="1973"/>
      <c r="U216" s="1973"/>
      <c r="V216" s="1973"/>
      <c r="W216" s="2012">
        <v>-0.8</v>
      </c>
      <c r="X216" s="2012">
        <v>-0.8</v>
      </c>
      <c r="Y216" s="2012">
        <v>-0.8</v>
      </c>
      <c r="Z216" s="2012">
        <f>Z215/Z178</f>
        <v>-0.63779333333333332</v>
      </c>
      <c r="AA216" s="2012">
        <v>-0.4</v>
      </c>
      <c r="AB216" s="2012">
        <v>-0.5</v>
      </c>
      <c r="AC216" s="2012">
        <v>-0.4</v>
      </c>
      <c r="AD216" s="2012">
        <f>AD215/AD178</f>
        <v>-0.41743707093821525</v>
      </c>
      <c r="AE216" s="2012">
        <v>-0.2</v>
      </c>
      <c r="AF216" s="2012">
        <v>-0.19</v>
      </c>
      <c r="AG216" s="2012">
        <v>-0.16</v>
      </c>
      <c r="AH216" s="2012">
        <f>AH215/AH178</f>
        <v>-9.2204118173679461E-2</v>
      </c>
      <c r="AI216" s="2012">
        <v>-0.115</v>
      </c>
      <c r="AJ216" s="2012">
        <v>-0.1</v>
      </c>
      <c r="AK216" s="2012">
        <v>-0.1</v>
      </c>
      <c r="AL216" s="2012">
        <f>AL215/AL178</f>
        <v>-6.1121312779246387E-2</v>
      </c>
      <c r="AM216" s="2012">
        <v>-0.08</v>
      </c>
      <c r="AN216" s="2012">
        <v>-0.08</v>
      </c>
      <c r="AO216" s="2012">
        <v>-0.08</v>
      </c>
      <c r="AP216" s="2012">
        <f>AP215/AP178</f>
        <v>-6.5488987127956727E-2</v>
      </c>
      <c r="AQ216" s="2067"/>
      <c r="AR216" s="1972"/>
      <c r="AS216" s="2068"/>
      <c r="AT216" s="2069"/>
      <c r="AU216" s="2070"/>
      <c r="AV216" s="1973"/>
      <c r="AW216" s="2012">
        <f t="shared" ref="AW216:BC216" si="203">AW215/AW178</f>
        <v>-0.73241388888888892</v>
      </c>
      <c r="AX216" s="2013">
        <f t="shared" si="203"/>
        <v>-0.42511627906976751</v>
      </c>
      <c r="AY216" s="2012">
        <f t="shared" si="203"/>
        <v>-0.14693177387914227</v>
      </c>
      <c r="AZ216" s="2012">
        <f t="shared" si="203"/>
        <v>-9.1550660792951571E-2</v>
      </c>
      <c r="BA216" s="2014">
        <f t="shared" si="203"/>
        <v>-7.5821829855537731E-2</v>
      </c>
      <c r="BB216" s="2013">
        <f t="shared" si="203"/>
        <v>-5.8980322485127468E-2</v>
      </c>
      <c r="BC216" s="2014">
        <f t="shared" si="203"/>
        <v>-4.2624334428458137E-2</v>
      </c>
    </row>
    <row r="217" spans="1:55" s="1953" customFormat="1" outlineLevel="1" x14ac:dyDescent="0.3">
      <c r="A217" s="2009" t="s">
        <v>740</v>
      </c>
      <c r="B217" s="2155" t="s">
        <v>950</v>
      </c>
      <c r="C217" s="1972"/>
      <c r="D217" s="1972"/>
      <c r="E217" s="1972"/>
      <c r="F217" s="1972"/>
      <c r="G217" s="1972"/>
      <c r="H217" s="1972"/>
      <c r="I217" s="1972"/>
      <c r="J217" s="1973"/>
      <c r="K217" s="1973"/>
      <c r="L217" s="1973"/>
      <c r="M217" s="1973"/>
      <c r="N217" s="1973"/>
      <c r="O217" s="1973"/>
      <c r="P217" s="1973"/>
      <c r="Q217" s="1973"/>
      <c r="R217" s="2066"/>
      <c r="S217" s="1973"/>
      <c r="T217" s="1973"/>
      <c r="U217" s="1973"/>
      <c r="V217" s="1973"/>
      <c r="W217" s="2012"/>
      <c r="X217" s="2012"/>
      <c r="Y217" s="2012"/>
      <c r="Z217" s="2012"/>
      <c r="AA217" s="2181">
        <f t="shared" ref="AA217:AP217" si="204">AA218*AA180</f>
        <v>0.2</v>
      </c>
      <c r="AB217" s="2181">
        <f t="shared" si="204"/>
        <v>0.4</v>
      </c>
      <c r="AC217" s="2181">
        <f t="shared" si="204"/>
        <v>0.9</v>
      </c>
      <c r="AD217" s="2181">
        <f t="shared" si="204"/>
        <v>1.7496586048909997</v>
      </c>
      <c r="AE217" s="2195">
        <f t="shared" si="204"/>
        <v>4.5000000000000009</v>
      </c>
      <c r="AF217" s="2195">
        <f t="shared" si="204"/>
        <v>7.8000000000000007</v>
      </c>
      <c r="AG217" s="2195">
        <f t="shared" si="204"/>
        <v>11.700000000000001</v>
      </c>
      <c r="AH217" s="2195">
        <f t="shared" si="204"/>
        <v>24.023547709152957</v>
      </c>
      <c r="AI217" s="2195">
        <f t="shared" si="204"/>
        <v>30</v>
      </c>
      <c r="AJ217" s="2195">
        <f t="shared" si="204"/>
        <v>46</v>
      </c>
      <c r="AK217" s="2195">
        <f t="shared" si="204"/>
        <v>64</v>
      </c>
      <c r="AL217" s="2195">
        <f t="shared" si="204"/>
        <v>80.098435935142248</v>
      </c>
      <c r="AM217" s="2195">
        <f t="shared" si="204"/>
        <v>150</v>
      </c>
      <c r="AN217" s="2195">
        <f t="shared" si="204"/>
        <v>212.5</v>
      </c>
      <c r="AO217" s="2195">
        <f t="shared" si="204"/>
        <v>275</v>
      </c>
      <c r="AP217" s="2195">
        <f t="shared" si="204"/>
        <v>298.29729758489316</v>
      </c>
      <c r="AQ217" s="2067"/>
      <c r="AR217" s="1972"/>
      <c r="AS217" s="2068"/>
      <c r="AT217" s="2069"/>
      <c r="AU217" s="2070"/>
      <c r="AV217" s="1973"/>
      <c r="AW217" s="2012"/>
      <c r="AX217" s="2196">
        <f>[35]Hema!D60*1000</f>
        <v>3.2496586048909997</v>
      </c>
      <c r="AY217" s="2169">
        <f>[35]Hema!E60*1000</f>
        <v>42.01766078186472</v>
      </c>
      <c r="AZ217" s="2004">
        <f>[35]Hema!F60*1000</f>
        <v>220.09843593514225</v>
      </c>
      <c r="BA217" s="2193">
        <f>[35]Hema!G60*1000</f>
        <v>935.79729758489316</v>
      </c>
      <c r="BB217" s="2194">
        <f>[35]Hema!H60*1000</f>
        <v>2470.243894355533</v>
      </c>
      <c r="BC217" s="2193">
        <f>[35]Hema!I60*1000</f>
        <v>4940.4401416384399</v>
      </c>
    </row>
    <row r="218" spans="1:55" s="1953" customFormat="1" outlineLevel="1" x14ac:dyDescent="0.3">
      <c r="A218" s="1970" t="s">
        <v>951</v>
      </c>
      <c r="B218" s="2189" t="s">
        <v>952</v>
      </c>
      <c r="C218" s="1972"/>
      <c r="D218" s="1972"/>
      <c r="E218" s="1972"/>
      <c r="F218" s="1972"/>
      <c r="G218" s="1972"/>
      <c r="H218" s="1972"/>
      <c r="I218" s="1972"/>
      <c r="J218" s="1973"/>
      <c r="K218" s="1973"/>
      <c r="L218" s="1973"/>
      <c r="M218" s="1973"/>
      <c r="N218" s="1973"/>
      <c r="O218" s="1973"/>
      <c r="P218" s="1973"/>
      <c r="Q218" s="1973"/>
      <c r="R218" s="2066"/>
      <c r="S218" s="1973"/>
      <c r="T218" s="1973"/>
      <c r="U218" s="1973"/>
      <c r="V218" s="1973"/>
      <c r="W218" s="2012"/>
      <c r="X218" s="2012"/>
      <c r="Y218" s="2012"/>
      <c r="Z218" s="2012"/>
      <c r="AA218" s="2012">
        <f>AX218</f>
        <v>0.1</v>
      </c>
      <c r="AB218" s="2012">
        <f>AA218</f>
        <v>0.1</v>
      </c>
      <c r="AC218" s="2012">
        <f>AB218</f>
        <v>0.1</v>
      </c>
      <c r="AD218" s="2012">
        <f>AC218</f>
        <v>0.1</v>
      </c>
      <c r="AE218" s="2012">
        <f>AY218</f>
        <v>0.15000000000000002</v>
      </c>
      <c r="AF218" s="2012">
        <f>AE218</f>
        <v>0.15000000000000002</v>
      </c>
      <c r="AG218" s="2012">
        <f>AF218</f>
        <v>0.15000000000000002</v>
      </c>
      <c r="AH218" s="2012">
        <v>0.2</v>
      </c>
      <c r="AI218" s="2012">
        <v>0.2</v>
      </c>
      <c r="AJ218" s="2012">
        <f>AI218</f>
        <v>0.2</v>
      </c>
      <c r="AK218" s="2012">
        <f>AJ218</f>
        <v>0.2</v>
      </c>
      <c r="AL218" s="2012">
        <f>AK218</f>
        <v>0.2</v>
      </c>
      <c r="AM218" s="2012">
        <v>0.25</v>
      </c>
      <c r="AN218" s="2012">
        <v>0.25</v>
      </c>
      <c r="AO218" s="2012">
        <v>0.25</v>
      </c>
      <c r="AP218" s="2012">
        <v>0.25</v>
      </c>
      <c r="AQ218" s="2067"/>
      <c r="AR218" s="1972"/>
      <c r="AS218" s="2068"/>
      <c r="AT218" s="2069"/>
      <c r="AU218" s="2070"/>
      <c r="AV218" s="1973"/>
      <c r="AW218" s="2012"/>
      <c r="AX218" s="2013">
        <f t="shared" ref="AX218:BC218" si="205">AX217/AX180</f>
        <v>0.1</v>
      </c>
      <c r="AY218" s="2012">
        <f t="shared" si="205"/>
        <v>0.15000000000000002</v>
      </c>
      <c r="AZ218" s="2012">
        <f t="shared" si="205"/>
        <v>0.2</v>
      </c>
      <c r="BA218" s="2014">
        <f t="shared" si="205"/>
        <v>0.25</v>
      </c>
      <c r="BB218" s="2013">
        <f t="shared" si="205"/>
        <v>0.3</v>
      </c>
      <c r="BC218" s="2014">
        <f t="shared" si="205"/>
        <v>0.34999999999999992</v>
      </c>
    </row>
    <row r="219" spans="1:55" s="2055" customFormat="1" outlineLevel="1" x14ac:dyDescent="0.3">
      <c r="A219" s="2009" t="s">
        <v>740</v>
      </c>
      <c r="B219" s="2155" t="s">
        <v>953</v>
      </c>
      <c r="C219" s="2041"/>
      <c r="D219" s="2041"/>
      <c r="E219" s="2041"/>
      <c r="F219" s="2041"/>
      <c r="G219" s="2041"/>
      <c r="H219" s="2041"/>
      <c r="I219" s="2041"/>
      <c r="J219" s="2003"/>
      <c r="K219" s="2003"/>
      <c r="L219" s="2003"/>
      <c r="M219" s="2003"/>
      <c r="N219" s="2003"/>
      <c r="O219" s="2003"/>
      <c r="P219" s="2003"/>
      <c r="Q219" s="2003"/>
      <c r="R219" s="2191"/>
      <c r="S219" s="2003"/>
      <c r="T219" s="2003"/>
      <c r="U219" s="2003"/>
      <c r="V219" s="2003"/>
      <c r="W219" s="2004">
        <f t="shared" ref="W219:AP219" si="206">W220*W176</f>
        <v>75</v>
      </c>
      <c r="X219" s="2004">
        <f t="shared" si="206"/>
        <v>170</v>
      </c>
      <c r="Y219" s="2004">
        <f t="shared" si="206"/>
        <v>230</v>
      </c>
      <c r="Z219" s="2004">
        <f t="shared" si="206"/>
        <v>298.08</v>
      </c>
      <c r="AA219" s="2004">
        <f t="shared" si="206"/>
        <v>270</v>
      </c>
      <c r="AB219" s="2004">
        <f t="shared" si="206"/>
        <v>254.14999999999998</v>
      </c>
      <c r="AC219" s="2004">
        <f t="shared" si="206"/>
        <v>343.85</v>
      </c>
      <c r="AD219" s="2004">
        <f t="shared" si="206"/>
        <v>389.49120000000011</v>
      </c>
      <c r="AE219" s="2004">
        <f t="shared" si="206"/>
        <v>371.25</v>
      </c>
      <c r="AF219" s="2004">
        <f t="shared" si="206"/>
        <v>322.57499999999999</v>
      </c>
      <c r="AG219" s="2004">
        <f t="shared" si="206"/>
        <v>416.58749999999998</v>
      </c>
      <c r="AH219" s="2004">
        <f t="shared" si="206"/>
        <v>-125.28822614542354</v>
      </c>
      <c r="AI219" s="2004">
        <f t="shared" si="206"/>
        <v>176.1</v>
      </c>
      <c r="AJ219" s="2004">
        <f t="shared" si="206"/>
        <v>322.57499999999999</v>
      </c>
      <c r="AK219" s="2004">
        <f t="shared" si="206"/>
        <v>416.58749999999998</v>
      </c>
      <c r="AL219" s="2004">
        <f t="shared" si="206"/>
        <v>469.8308480453382</v>
      </c>
      <c r="AM219" s="2004">
        <f t="shared" si="206"/>
        <v>387.42</v>
      </c>
      <c r="AN219" s="2004">
        <f t="shared" si="206"/>
        <v>419.34750000000003</v>
      </c>
      <c r="AO219" s="2004">
        <f t="shared" si="206"/>
        <v>520.734375</v>
      </c>
      <c r="AP219" s="2004">
        <f t="shared" si="206"/>
        <v>563.79701765440586</v>
      </c>
      <c r="AQ219" s="2197"/>
      <c r="AR219" s="2041"/>
      <c r="AS219" s="2198"/>
      <c r="AT219" s="2199"/>
      <c r="AU219" s="2200"/>
      <c r="AV219" s="2003"/>
      <c r="AW219" s="2003">
        <f>SUM(W219:Z219)</f>
        <v>773.07999999999993</v>
      </c>
      <c r="AX219" s="2201">
        <f>SUM(AA219:AD219)</f>
        <v>1257.4912000000002</v>
      </c>
      <c r="AY219" s="2169">
        <f>SUM(AE219:AH219)</f>
        <v>985.12427385457636</v>
      </c>
      <c r="AZ219" s="2181">
        <f>SUM(AI219:AL219)</f>
        <v>1385.0933480453382</v>
      </c>
      <c r="BA219" s="2186">
        <f>SUM(AM219:AP219)</f>
        <v>1891.2988926544058</v>
      </c>
      <c r="BB219" s="2194">
        <f>BB220*BB176</f>
        <v>2080.4287819198466</v>
      </c>
      <c r="BC219" s="2193">
        <f>BC220*BC176</f>
        <v>2246.8630844734344</v>
      </c>
    </row>
    <row r="220" spans="1:55" s="2055" customFormat="1" outlineLevel="1" x14ac:dyDescent="0.3">
      <c r="A220" s="1970" t="s">
        <v>954</v>
      </c>
      <c r="B220" s="2189" t="s">
        <v>955</v>
      </c>
      <c r="C220" s="2041"/>
      <c r="D220" s="2041"/>
      <c r="E220" s="2041"/>
      <c r="F220" s="2041"/>
      <c r="G220" s="2041"/>
      <c r="H220" s="2041"/>
      <c r="I220" s="2041"/>
      <c r="J220" s="2003"/>
      <c r="K220" s="2003"/>
      <c r="L220" s="2003"/>
      <c r="M220" s="2003"/>
      <c r="N220" s="2003"/>
      <c r="O220" s="2003"/>
      <c r="P220" s="2003"/>
      <c r="Q220" s="2003"/>
      <c r="R220" s="2191"/>
      <c r="S220" s="2003"/>
      <c r="T220" s="2003"/>
      <c r="U220" s="2003"/>
      <c r="V220" s="2003"/>
      <c r="W220" s="2011">
        <v>0.1</v>
      </c>
      <c r="X220" s="2011">
        <v>0.1</v>
      </c>
      <c r="Y220" s="2011">
        <v>0.1</v>
      </c>
      <c r="Z220" s="2011">
        <v>0.12</v>
      </c>
      <c r="AA220" s="2011">
        <v>0.12</v>
      </c>
      <c r="AB220" s="2011">
        <v>0.13</v>
      </c>
      <c r="AC220" s="2011">
        <v>0.13</v>
      </c>
      <c r="AD220" s="2011">
        <v>0.14000000000000001</v>
      </c>
      <c r="AE220" s="2011">
        <v>0.15</v>
      </c>
      <c r="AF220" s="2011">
        <v>0.15</v>
      </c>
      <c r="AG220" s="2011">
        <v>0.15</v>
      </c>
      <c r="AH220" s="2011">
        <v>-0.1</v>
      </c>
      <c r="AI220" s="2011">
        <v>0.15</v>
      </c>
      <c r="AJ220" s="2011">
        <v>0.15</v>
      </c>
      <c r="AK220" s="2011">
        <v>0.15</v>
      </c>
      <c r="AL220" s="2011">
        <v>0.15</v>
      </c>
      <c r="AM220" s="2011">
        <v>0.15</v>
      </c>
      <c r="AN220" s="2011">
        <v>0.15</v>
      </c>
      <c r="AO220" s="2011">
        <v>0.15</v>
      </c>
      <c r="AP220" s="2011">
        <v>0.15</v>
      </c>
      <c r="AQ220" s="2197"/>
      <c r="AR220" s="2041"/>
      <c r="AS220" s="2198"/>
      <c r="AT220" s="2199"/>
      <c r="AU220" s="2200"/>
      <c r="AV220" s="2003"/>
      <c r="AW220" s="2012">
        <f>AW219/AW176</f>
        <v>0.10686756980923416</v>
      </c>
      <c r="AX220" s="2013">
        <f>AX219/AX176</f>
        <v>0.13055240404980026</v>
      </c>
      <c r="AY220" s="2202">
        <f>AY219/AY176</f>
        <v>0.11381309234238024</v>
      </c>
      <c r="AZ220" s="2202">
        <f>AZ219/AZ176</f>
        <v>0.15</v>
      </c>
      <c r="BA220" s="2203">
        <f>BA219/BA176</f>
        <v>0.15</v>
      </c>
      <c r="BB220" s="2204">
        <v>0.15</v>
      </c>
      <c r="BC220" s="2203">
        <v>0.15</v>
      </c>
    </row>
    <row r="221" spans="1:55" s="1999" customFormat="1" outlineLevel="1" x14ac:dyDescent="0.3">
      <c r="A221" s="2009" t="s">
        <v>740</v>
      </c>
      <c r="B221" s="2205" t="s">
        <v>956</v>
      </c>
      <c r="C221" s="2058"/>
      <c r="D221" s="2058"/>
      <c r="E221" s="2058"/>
      <c r="F221" s="2058"/>
      <c r="G221" s="2058"/>
      <c r="H221" s="2058"/>
      <c r="I221" s="2058"/>
      <c r="J221" s="1992"/>
      <c r="K221" s="1992"/>
      <c r="L221" s="1992"/>
      <c r="M221" s="1992"/>
      <c r="N221" s="1992"/>
      <c r="O221" s="1992"/>
      <c r="P221" s="1992"/>
      <c r="Q221" s="1992"/>
      <c r="R221" s="2206"/>
      <c r="S221" s="1992"/>
      <c r="T221" s="1992"/>
      <c r="U221" s="1992"/>
      <c r="V221" s="1992"/>
      <c r="W221" s="1994"/>
      <c r="X221" s="1994"/>
      <c r="Y221" s="1994">
        <f t="shared" ref="Y221:AP221" si="207">Y195*Y222</f>
        <v>-703.26</v>
      </c>
      <c r="Z221" s="1994">
        <f t="shared" si="207"/>
        <v>-798.56000000000006</v>
      </c>
      <c r="AA221" s="1994">
        <f t="shared" si="207"/>
        <v>-665.40000000000009</v>
      </c>
      <c r="AB221" s="1994">
        <f t="shared" si="207"/>
        <v>-769.43999999999994</v>
      </c>
      <c r="AC221" s="1994">
        <f t="shared" si="207"/>
        <v>-1077.8399999999999</v>
      </c>
      <c r="AD221" s="1994">
        <f t="shared" si="207"/>
        <v>-1081.0800000000002</v>
      </c>
      <c r="AE221" s="1994">
        <f t="shared" si="207"/>
        <v>-400.40000000000003</v>
      </c>
      <c r="AF221" s="1994">
        <f t="shared" si="207"/>
        <v>-333.13000000000005</v>
      </c>
      <c r="AG221" s="1994">
        <f t="shared" si="207"/>
        <v>-300.72000000000003</v>
      </c>
      <c r="AH221" s="1994">
        <f t="shared" si="207"/>
        <v>-396.08</v>
      </c>
      <c r="AI221" s="1994">
        <f t="shared" si="207"/>
        <v>-231.39</v>
      </c>
      <c r="AJ221" s="1994">
        <f t="shared" si="207"/>
        <v>-142.77000000000001</v>
      </c>
      <c r="AK221" s="1994">
        <f t="shared" si="207"/>
        <v>266.88900000000001</v>
      </c>
      <c r="AL221" s="1994">
        <f t="shared" si="207"/>
        <v>74.265000000000001</v>
      </c>
      <c r="AM221" s="1994">
        <f t="shared" si="207"/>
        <v>431.92799999999994</v>
      </c>
      <c r="AN221" s="1994">
        <f t="shared" si="207"/>
        <v>185.60100000000003</v>
      </c>
      <c r="AO221" s="1994">
        <f t="shared" si="207"/>
        <v>572.210016</v>
      </c>
      <c r="AP221" s="1994">
        <f t="shared" si="207"/>
        <v>193.08900000000003</v>
      </c>
      <c r="AQ221" s="2059"/>
      <c r="AR221" s="2058"/>
      <c r="AS221" s="2207"/>
      <c r="AT221" s="2208"/>
      <c r="AU221" s="2209"/>
      <c r="AV221" s="1992"/>
      <c r="AW221" s="1994">
        <f>SUM(W221:Z221)</f>
        <v>-1501.8200000000002</v>
      </c>
      <c r="AX221" s="2210">
        <f>SUM(AA221:AD221)</f>
        <v>-3593.76</v>
      </c>
      <c r="AY221" s="2171">
        <f>SUM(AE221:AH221)</f>
        <v>-1430.33</v>
      </c>
      <c r="AZ221" s="1994">
        <f>SUM(AI221:AL221)</f>
        <v>-33.005999999999958</v>
      </c>
      <c r="BA221" s="1998">
        <f>SUM(AM221:AP221)</f>
        <v>1382.8280159999999</v>
      </c>
      <c r="BB221" s="1993">
        <f>BB195*BB222</f>
        <v>4579.9468416</v>
      </c>
      <c r="BC221" s="1998">
        <f>BC195*BC222</f>
        <v>9377.4411581759996</v>
      </c>
    </row>
    <row r="222" spans="1:55" s="1953" customFormat="1" outlineLevel="1" x14ac:dyDescent="0.3">
      <c r="A222" s="1970" t="s">
        <v>957</v>
      </c>
      <c r="B222" s="2155" t="s">
        <v>958</v>
      </c>
      <c r="C222" s="1972"/>
      <c r="D222" s="1972"/>
      <c r="E222" s="1972"/>
      <c r="F222" s="1972"/>
      <c r="G222" s="1972"/>
      <c r="H222" s="1972"/>
      <c r="I222" s="1972"/>
      <c r="J222" s="1973"/>
      <c r="K222" s="1973"/>
      <c r="L222" s="1973"/>
      <c r="M222" s="1973"/>
      <c r="N222" s="1973"/>
      <c r="O222" s="1973"/>
      <c r="P222" s="1973"/>
      <c r="Q222" s="1973"/>
      <c r="R222" s="2066"/>
      <c r="S222" s="1973"/>
      <c r="T222" s="1973"/>
      <c r="U222" s="1973"/>
      <c r="V222" s="1973"/>
      <c r="W222" s="1974"/>
      <c r="X222" s="1974"/>
      <c r="Y222" s="2012">
        <v>-0.18</v>
      </c>
      <c r="Z222" s="2012">
        <v>-0.28000000000000003</v>
      </c>
      <c r="AA222" s="2012">
        <v>-0.2</v>
      </c>
      <c r="AB222" s="2012">
        <v>-0.24</v>
      </c>
      <c r="AC222" s="2012">
        <v>-0.24</v>
      </c>
      <c r="AD222" s="2012">
        <v>-0.28000000000000003</v>
      </c>
      <c r="AE222" s="2012">
        <v>-0.08</v>
      </c>
      <c r="AF222" s="2012">
        <v>-7.0000000000000007E-2</v>
      </c>
      <c r="AG222" s="2012">
        <v>-0.04</v>
      </c>
      <c r="AH222" s="2012">
        <v>-0.08</v>
      </c>
      <c r="AI222" s="2012">
        <v>-0.03</v>
      </c>
      <c r="AJ222" s="2012">
        <v>-0.02</v>
      </c>
      <c r="AK222" s="2012">
        <v>2.5000000000000001E-2</v>
      </c>
      <c r="AL222" s="2012">
        <v>0.01</v>
      </c>
      <c r="AM222" s="2012">
        <v>0.04</v>
      </c>
      <c r="AN222" s="2012">
        <v>0.02</v>
      </c>
      <c r="AO222" s="2012">
        <v>0.04</v>
      </c>
      <c r="AP222" s="2012">
        <v>0.02</v>
      </c>
      <c r="AQ222" s="2067"/>
      <c r="AR222" s="1972"/>
      <c r="AS222" s="2068"/>
      <c r="AT222" s="2069"/>
      <c r="AU222" s="2070"/>
      <c r="AV222" s="1973"/>
      <c r="AW222" s="2012">
        <f>AW221/AW195</f>
        <v>-0.22219559106376685</v>
      </c>
      <c r="AX222" s="2013">
        <f>AX221/AX195</f>
        <v>-0.24143500167954318</v>
      </c>
      <c r="AY222" s="2012">
        <f>AY221/AY195</f>
        <v>-6.4333648180632391E-2</v>
      </c>
      <c r="AZ222" s="2012">
        <f>AZ221/AZ195</f>
        <v>-1.0015913303448841E-3</v>
      </c>
      <c r="BA222" s="2014">
        <f>BA221/BA195</f>
        <v>3.1400825956695751E-2</v>
      </c>
      <c r="BB222" s="2013">
        <v>0.08</v>
      </c>
      <c r="BC222" s="2014">
        <v>0.13</v>
      </c>
    </row>
    <row r="223" spans="1:55" s="1999" customFormat="1" outlineLevel="1" x14ac:dyDescent="0.3">
      <c r="A223" s="2009" t="s">
        <v>959</v>
      </c>
      <c r="B223" s="2205" t="s">
        <v>960</v>
      </c>
      <c r="C223" s="2058"/>
      <c r="D223" s="2058"/>
      <c r="E223" s="2058"/>
      <c r="F223" s="2058"/>
      <c r="G223" s="2058"/>
      <c r="H223" s="2058"/>
      <c r="I223" s="2058"/>
      <c r="J223" s="1992"/>
      <c r="K223" s="1992"/>
      <c r="L223" s="1992"/>
      <c r="M223" s="1992"/>
      <c r="N223" s="1992"/>
      <c r="O223" s="1992"/>
      <c r="P223" s="1992"/>
      <c r="Q223" s="1992"/>
      <c r="R223" s="2206"/>
      <c r="S223" s="1992"/>
      <c r="T223" s="1992"/>
      <c r="U223" s="1992"/>
      <c r="V223" s="1992"/>
      <c r="W223" s="1994"/>
      <c r="X223" s="1994"/>
      <c r="Y223" s="1994"/>
      <c r="Z223" s="1994"/>
      <c r="AA223" s="1994">
        <f>AA196*AA224</f>
        <v>-914.19999999999993</v>
      </c>
      <c r="AB223" s="1994">
        <f>AB196*AB224</f>
        <v>-2008.4</v>
      </c>
      <c r="AC223" s="1994">
        <f>AC196*AC224</f>
        <v>-2734.27</v>
      </c>
      <c r="AD223" s="1994">
        <f>[35]Eleme!K66</f>
        <v>-2222.818546257231</v>
      </c>
      <c r="AE223" s="1994">
        <f>[35]Eleme!L66</f>
        <v>-1893.0157103264708</v>
      </c>
      <c r="AF223" s="1994">
        <f>[35]Eleme!M66</f>
        <v>-2427.4315883637496</v>
      </c>
      <c r="AG223" s="1994">
        <f>[35]Eleme!N66</f>
        <v>-2711.0778292337754</v>
      </c>
      <c r="AH223" s="1994">
        <f>[35]Eleme!O66</f>
        <v>-1880.4122872727305</v>
      </c>
      <c r="AI223" s="1994">
        <f>[35]Eleme!P66</f>
        <v>-1405.0276861262221</v>
      </c>
      <c r="AJ223" s="1994">
        <f>[35]Eleme!Q66</f>
        <v>-1695.5734396247133</v>
      </c>
      <c r="AK223" s="1994">
        <f>[35]Eleme!R66</f>
        <v>-1716.5503956058349</v>
      </c>
      <c r="AL223" s="1994">
        <f>[35]Eleme!S66</f>
        <v>-817.80106798550241</v>
      </c>
      <c r="AM223" s="1994">
        <f>[35]Eleme!T66</f>
        <v>-52.735182882989122</v>
      </c>
      <c r="AN223" s="1994">
        <f>[35]Eleme!U66</f>
        <v>-413.35004035820094</v>
      </c>
      <c r="AO223" s="1994">
        <f>[35]Eleme!V66</f>
        <v>-172.4746598610256</v>
      </c>
      <c r="AP223" s="1994">
        <f>[35]Eleme!W66</f>
        <v>-631.87659336675972</v>
      </c>
      <c r="AQ223" s="2059"/>
      <c r="AR223" s="2058"/>
      <c r="AS223" s="2207"/>
      <c r="AT223" s="2208"/>
      <c r="AU223" s="2209"/>
      <c r="AV223" s="1992"/>
      <c r="AW223" s="1992"/>
      <c r="AX223" s="2210">
        <f>SUM(AA223:AD223)</f>
        <v>-7879.6885462572309</v>
      </c>
      <c r="AY223" s="2171">
        <f>SUM(AE223:AH223)</f>
        <v>-8911.9374151967259</v>
      </c>
      <c r="AZ223" s="1994">
        <f>SUM(AI223:AL223)</f>
        <v>-5634.9525893422724</v>
      </c>
      <c r="BA223" s="1998">
        <f>SUM(AM223:AP223)</f>
        <v>-1270.4364764689753</v>
      </c>
      <c r="BB223" s="1993">
        <f>BB196*BB224</f>
        <v>1007.900931079247</v>
      </c>
      <c r="BC223" s="1998">
        <f>BC196*BC224</f>
        <v>4636.3442829645355</v>
      </c>
    </row>
    <row r="224" spans="1:55" s="1953" customFormat="1" outlineLevel="1" x14ac:dyDescent="0.3">
      <c r="A224" s="2048" t="s">
        <v>961</v>
      </c>
      <c r="B224" s="2211" t="s">
        <v>962</v>
      </c>
      <c r="C224" s="2072"/>
      <c r="D224" s="2072"/>
      <c r="E224" s="2072"/>
      <c r="F224" s="2072"/>
      <c r="G224" s="2072"/>
      <c r="H224" s="2072"/>
      <c r="I224" s="2072"/>
      <c r="J224" s="2073"/>
      <c r="K224" s="2073"/>
      <c r="L224" s="2073"/>
      <c r="M224" s="2073"/>
      <c r="N224" s="2073"/>
      <c r="O224" s="2073"/>
      <c r="P224" s="2073"/>
      <c r="Q224" s="2073"/>
      <c r="R224" s="2074"/>
      <c r="S224" s="2212"/>
      <c r="T224" s="2212"/>
      <c r="U224" s="2212"/>
      <c r="V224" s="2212"/>
      <c r="W224" s="2212"/>
      <c r="X224" s="2212"/>
      <c r="Y224" s="2212"/>
      <c r="Z224" s="2212"/>
      <c r="AA224" s="2212">
        <v>-0.35</v>
      </c>
      <c r="AB224" s="2212">
        <v>-0.4</v>
      </c>
      <c r="AC224" s="2212">
        <v>-0.53</v>
      </c>
      <c r="AD224" s="2212">
        <f t="shared" ref="AD224:AP224" si="208">AD223/AD196</f>
        <v>-0.42210758569259987</v>
      </c>
      <c r="AE224" s="2212">
        <f t="shared" si="208"/>
        <v>-0.30631322173567488</v>
      </c>
      <c r="AF224" s="2212">
        <f t="shared" si="208"/>
        <v>-0.35514726969476951</v>
      </c>
      <c r="AG224" s="2212">
        <f t="shared" si="208"/>
        <v>-0.35747334246225942</v>
      </c>
      <c r="AH224" s="2212">
        <f t="shared" si="208"/>
        <v>-0.38843468028769479</v>
      </c>
      <c r="AI224" s="2212">
        <f t="shared" si="208"/>
        <v>-0.19786335531984539</v>
      </c>
      <c r="AJ224" s="2212">
        <f t="shared" si="208"/>
        <v>-0.19346654153558698</v>
      </c>
      <c r="AK224" s="2212">
        <f t="shared" si="208"/>
        <v>-0.18178966392748203</v>
      </c>
      <c r="AL224" s="2212">
        <f t="shared" si="208"/>
        <v>-0.11278546723692598</v>
      </c>
      <c r="AM224" s="2212">
        <f t="shared" si="208"/>
        <v>-5.5825551727940233E-3</v>
      </c>
      <c r="AN224" s="2212">
        <f t="shared" si="208"/>
        <v>-3.7026228138255492E-2</v>
      </c>
      <c r="AO224" s="2212">
        <f t="shared" si="208"/>
        <v>-1.4412863649936247E-2</v>
      </c>
      <c r="AP224" s="2212">
        <f t="shared" si="208"/>
        <v>-6.7085158727752711E-2</v>
      </c>
      <c r="AQ224" s="2213"/>
      <c r="AR224" s="2072"/>
      <c r="AS224" s="2076"/>
      <c r="AT224" s="2077"/>
      <c r="AU224" s="2078"/>
      <c r="AV224" s="2212"/>
      <c r="AW224" s="2212"/>
      <c r="AX224" s="2214">
        <f>AX223/AX196</f>
        <v>-0.43635444380646976</v>
      </c>
      <c r="AY224" s="2215">
        <f>AY223/AY196</f>
        <v>-0.35031200531433671</v>
      </c>
      <c r="AZ224" s="2215">
        <f>AZ223/AZ196</f>
        <v>-0.1730709858643302</v>
      </c>
      <c r="BA224" s="2216">
        <f>BA223/BA196</f>
        <v>-3.025146072898912E-2</v>
      </c>
      <c r="BB224" s="2214">
        <v>0.02</v>
      </c>
      <c r="BC224" s="2217">
        <v>0.08</v>
      </c>
    </row>
    <row r="225" spans="1:55" s="2095" customFormat="1" ht="13.5" x14ac:dyDescent="0.4">
      <c r="A225" s="2131"/>
      <c r="B225" s="2138" t="s">
        <v>963</v>
      </c>
      <c r="C225" s="2083"/>
      <c r="D225" s="2083"/>
      <c r="E225" s="2083"/>
      <c r="F225" s="2083"/>
      <c r="G225" s="2083"/>
      <c r="H225" s="2083"/>
      <c r="I225" s="2083"/>
      <c r="J225" s="2084"/>
      <c r="K225" s="2084"/>
      <c r="L225" s="2084"/>
      <c r="M225" s="2084"/>
      <c r="N225" s="2084"/>
      <c r="O225" s="2084"/>
      <c r="P225" s="2084"/>
      <c r="Q225" s="2084"/>
      <c r="R225" s="2084"/>
      <c r="S225" s="2084"/>
      <c r="T225" s="2084"/>
      <c r="U225" s="2084"/>
      <c r="V225" s="2084"/>
      <c r="W225" s="2110">
        <f t="shared" ref="W225:AP225" si="209">W208+W210+W221+W223</f>
        <v>-1414</v>
      </c>
      <c r="X225" s="2110">
        <f t="shared" si="209"/>
        <v>-1550</v>
      </c>
      <c r="Y225" s="2110">
        <f t="shared" si="209"/>
        <v>-2905</v>
      </c>
      <c r="Z225" s="2110">
        <f t="shared" si="209"/>
        <v>-2914</v>
      </c>
      <c r="AA225" s="2110">
        <f t="shared" si="209"/>
        <v>-4159</v>
      </c>
      <c r="AB225" s="2110">
        <f t="shared" si="209"/>
        <v>-5835</v>
      </c>
      <c r="AC225" s="2110">
        <f t="shared" si="209"/>
        <v>-8224</v>
      </c>
      <c r="AD225" s="2110">
        <f t="shared" si="209"/>
        <v>-7204.0000000000009</v>
      </c>
      <c r="AE225" s="2110">
        <f t="shared" si="209"/>
        <v>-5775</v>
      </c>
      <c r="AF225" s="2110">
        <f t="shared" si="209"/>
        <v>-7036</v>
      </c>
      <c r="AG225" s="2110">
        <f t="shared" si="209"/>
        <v>-8296</v>
      </c>
      <c r="AH225" s="2110">
        <f t="shared" si="209"/>
        <v>-5864</v>
      </c>
      <c r="AI225" s="2110">
        <f t="shared" si="209"/>
        <v>-4239</v>
      </c>
      <c r="AJ225" s="2110">
        <f t="shared" si="209"/>
        <v>-5220.2530496247136</v>
      </c>
      <c r="AK225" s="2110">
        <f t="shared" si="209"/>
        <v>-4637.7942843258334</v>
      </c>
      <c r="AL225" s="2110">
        <f t="shared" si="209"/>
        <v>-2977.5853920050236</v>
      </c>
      <c r="AM225" s="2110">
        <f t="shared" si="209"/>
        <v>-1846.7425460925892</v>
      </c>
      <c r="AN225" s="2110">
        <f t="shared" si="209"/>
        <v>-1720.0301609782009</v>
      </c>
      <c r="AO225" s="2110">
        <f t="shared" si="209"/>
        <v>-2102.2430373970255</v>
      </c>
      <c r="AP225" s="2110">
        <f t="shared" si="209"/>
        <v>-1613.2664488794608</v>
      </c>
      <c r="AQ225" s="2218"/>
      <c r="AR225" s="2083"/>
      <c r="AS225" s="2219"/>
      <c r="AT225" s="2220"/>
      <c r="AU225" s="2221"/>
      <c r="AV225" s="2110">
        <f t="shared" ref="AV225:BC225" si="210">AV208+AV210+AV221+AV223</f>
        <v>-2534.2740376166803</v>
      </c>
      <c r="AW225" s="2110">
        <f t="shared" si="210"/>
        <v>-8783</v>
      </c>
      <c r="AX225" s="2112">
        <f t="shared" si="210"/>
        <v>-25422</v>
      </c>
      <c r="AY225" s="2110">
        <f t="shared" si="210"/>
        <v>-26977.005886927291</v>
      </c>
      <c r="AZ225" s="2110">
        <f t="shared" si="210"/>
        <v>-17074.632725955569</v>
      </c>
      <c r="BA225" s="2116">
        <f t="shared" si="210"/>
        <v>-7282.282193347276</v>
      </c>
      <c r="BB225" s="2112">
        <f t="shared" si="210"/>
        <v>4477.9242980732388</v>
      </c>
      <c r="BC225" s="2116">
        <f t="shared" si="210"/>
        <v>20703.219651110361</v>
      </c>
    </row>
    <row r="226" spans="1:55" s="1953" customFormat="1" x14ac:dyDescent="0.35">
      <c r="A226" s="2131"/>
      <c r="B226" s="2222" t="s">
        <v>964</v>
      </c>
      <c r="C226" s="2223"/>
      <c r="D226" s="2223"/>
      <c r="E226" s="2223"/>
      <c r="F226" s="2223"/>
      <c r="G226" s="2223"/>
      <c r="H226" s="2223"/>
      <c r="I226" s="2223"/>
      <c r="J226" s="1983"/>
      <c r="K226" s="1983"/>
      <c r="L226" s="1983"/>
      <c r="M226" s="1983"/>
      <c r="N226" s="1983"/>
      <c r="O226" s="1983"/>
      <c r="P226" s="1983"/>
      <c r="Q226" s="1983"/>
      <c r="R226" s="2224"/>
      <c r="S226" s="2225"/>
      <c r="T226" s="2225"/>
      <c r="U226" s="2225"/>
      <c r="V226" s="2225"/>
      <c r="W226" s="2226">
        <f t="shared" ref="W226:AP226" si="211">W225/W203</f>
        <v>-4.9816798196166856E-2</v>
      </c>
      <c r="X226" s="2226">
        <f t="shared" si="211"/>
        <v>-5.5428407953082535E-2</v>
      </c>
      <c r="Y226" s="2226">
        <f t="shared" si="211"/>
        <v>-7.0109810546639312E-2</v>
      </c>
      <c r="Z226" s="2226">
        <f t="shared" si="211"/>
        <v>-0.11609561752988048</v>
      </c>
      <c r="AA226" s="2226">
        <f t="shared" si="211"/>
        <v>-0.1125392358480355</v>
      </c>
      <c r="AB226" s="2226">
        <f t="shared" si="211"/>
        <v>-0.16371135177599461</v>
      </c>
      <c r="AC226" s="2226">
        <f t="shared" si="211"/>
        <v>-0.15144651308399168</v>
      </c>
      <c r="AD226" s="2226">
        <f t="shared" si="211"/>
        <v>-0.20767988929889303</v>
      </c>
      <c r="AE226" s="2226">
        <f t="shared" si="211"/>
        <v>-0.1233974358974359</v>
      </c>
      <c r="AF226" s="2226">
        <f t="shared" si="211"/>
        <v>-0.15426441569831179</v>
      </c>
      <c r="AG226" s="2226">
        <f t="shared" si="211"/>
        <v>-0.12499434994199274</v>
      </c>
      <c r="AH226" s="2226">
        <f t="shared" si="211"/>
        <v>-0.17252132980288321</v>
      </c>
      <c r="AI226" s="2226">
        <f t="shared" si="211"/>
        <v>-7.6411421155094097E-2</v>
      </c>
      <c r="AJ226" s="2226">
        <f t="shared" si="211"/>
        <v>-9.7010906582388631E-2</v>
      </c>
      <c r="AK226" s="2226">
        <f t="shared" si="211"/>
        <v>-5.9185921591252473E-2</v>
      </c>
      <c r="AL226" s="2226">
        <f t="shared" si="211"/>
        <v>-6.3864152434918511E-2</v>
      </c>
      <c r="AM226" s="2226">
        <f t="shared" si="211"/>
        <v>-2.7769410618679147E-2</v>
      </c>
      <c r="AN226" s="2226">
        <f t="shared" si="211"/>
        <v>-2.6974376154125543E-2</v>
      </c>
      <c r="AO226" s="2226">
        <f t="shared" si="211"/>
        <v>-2.2474610740634521E-2</v>
      </c>
      <c r="AP226" s="2226">
        <f t="shared" si="211"/>
        <v>-2.9362556880816144E-2</v>
      </c>
      <c r="AQ226" s="2227"/>
      <c r="AR226" s="2223"/>
      <c r="AS226" s="2228"/>
      <c r="AT226" s="2229"/>
      <c r="AU226" s="2230"/>
      <c r="AV226" s="2226">
        <f t="shared" ref="AV226:BC226" si="212">AV225/AV203</f>
        <v>-2.982682324629999E-2</v>
      </c>
      <c r="AW226" s="2226">
        <f t="shared" si="212"/>
        <v>-7.1474491996451908E-2</v>
      </c>
      <c r="AX226" s="2231">
        <f t="shared" si="212"/>
        <v>-0.15732506544381114</v>
      </c>
      <c r="AY226" s="2232">
        <f t="shared" si="212"/>
        <v>-0.13994327926361999</v>
      </c>
      <c r="AZ226" s="2226">
        <f t="shared" si="212"/>
        <v>-7.2884268588126647E-2</v>
      </c>
      <c r="BA226" s="2233">
        <f t="shared" si="212"/>
        <v>-2.6124811414774757E-2</v>
      </c>
      <c r="BB226" s="2231">
        <f t="shared" si="212"/>
        <v>1.3557759863704198E-2</v>
      </c>
      <c r="BC226" s="2233">
        <f t="shared" si="212"/>
        <v>5.3163371707853603E-2</v>
      </c>
    </row>
    <row r="227" spans="1:55" s="2095" customFormat="1" ht="13.5" x14ac:dyDescent="0.4">
      <c r="A227" s="1970" t="s">
        <v>965</v>
      </c>
      <c r="B227" s="2234" t="s">
        <v>966</v>
      </c>
      <c r="C227" s="2083"/>
      <c r="D227" s="2083"/>
      <c r="E227" s="2083"/>
      <c r="F227" s="2083"/>
      <c r="G227" s="2083"/>
      <c r="H227" s="2083"/>
      <c r="I227" s="2083"/>
      <c r="J227" s="2084"/>
      <c r="K227" s="2084"/>
      <c r="L227" s="2084"/>
      <c r="M227" s="2084"/>
      <c r="N227" s="2084"/>
      <c r="O227" s="2084">
        <f>SUM(O198:O200)</f>
        <v>12023</v>
      </c>
      <c r="P227" s="2084">
        <f>SUM(P198:P200)</f>
        <v>12576</v>
      </c>
      <c r="Q227" s="2084">
        <f>SUM(Q198:Q200)</f>
        <v>20744</v>
      </c>
      <c r="R227" s="2084">
        <f>SUM(R198:R200)</f>
        <v>12693</v>
      </c>
      <c r="S227" s="2084">
        <v>16624</v>
      </c>
      <c r="T227" s="2084">
        <v>17599</v>
      </c>
      <c r="U227" s="2084">
        <f>U198+U199+U200</f>
        <v>29630</v>
      </c>
      <c r="V227" s="2084">
        <f>V198+V199+V200</f>
        <v>18579</v>
      </c>
      <c r="W227" s="2084">
        <f>W198+W199+W200</f>
        <v>26970</v>
      </c>
      <c r="X227" s="2084">
        <f>X198+X199+X200</f>
        <v>26414</v>
      </c>
      <c r="Y227" s="2084">
        <v>38530</v>
      </c>
      <c r="Z227" s="2084">
        <v>22186</v>
      </c>
      <c r="AA227" s="2084">
        <v>32797</v>
      </c>
      <c r="AB227" s="2084">
        <v>29807</v>
      </c>
      <c r="AC227" s="2084">
        <v>46079</v>
      </c>
      <c r="AD227" s="2084">
        <v>27484</v>
      </c>
      <c r="AE227" s="2084">
        <v>41025</v>
      </c>
      <c r="AF227" s="2084">
        <v>38574</v>
      </c>
      <c r="AG227" s="2084">
        <v>58075</v>
      </c>
      <c r="AH227" s="2084">
        <v>28126</v>
      </c>
      <c r="AI227" s="2084">
        <v>51237</v>
      </c>
      <c r="AJ227" s="2084">
        <f t="shared" ref="AJ227:AP227" si="213">AJ203+AJ225</f>
        <v>48590.738245372617</v>
      </c>
      <c r="AK227" s="2084">
        <f t="shared" si="213"/>
        <v>73721.960191665756</v>
      </c>
      <c r="AL227" s="2084">
        <f t="shared" si="213"/>
        <v>43646.150749163775</v>
      </c>
      <c r="AM227" s="2084">
        <f t="shared" si="213"/>
        <v>64656.02092452909</v>
      </c>
      <c r="AN227" s="2084">
        <f t="shared" si="213"/>
        <v>62045.305917614824</v>
      </c>
      <c r="AO227" s="2084">
        <f t="shared" si="213"/>
        <v>91436.330851944265</v>
      </c>
      <c r="AP227" s="2084">
        <f t="shared" si="213"/>
        <v>53329.716051853611</v>
      </c>
      <c r="AQ227" s="2218"/>
      <c r="AR227" s="2083"/>
      <c r="AS227" s="2219"/>
      <c r="AT227" s="2220"/>
      <c r="AU227" s="2221"/>
      <c r="AV227" s="2084">
        <f t="shared" ref="AV227:BC227" si="214">AV203+AV225</f>
        <v>82432</v>
      </c>
      <c r="AW227" s="2084">
        <f t="shared" si="214"/>
        <v>114100</v>
      </c>
      <c r="AX227" s="2235">
        <f t="shared" si="214"/>
        <v>136167</v>
      </c>
      <c r="AY227" s="2084">
        <f t="shared" si="214"/>
        <v>165793.99411307269</v>
      </c>
      <c r="AZ227" s="2084">
        <f t="shared" si="214"/>
        <v>217195.84918620216</v>
      </c>
      <c r="BA227" s="2236">
        <f t="shared" si="214"/>
        <v>271467.37374594179</v>
      </c>
      <c r="BB227" s="2237">
        <f t="shared" si="214"/>
        <v>334762.89342938206</v>
      </c>
      <c r="BC227" s="2236">
        <f t="shared" si="214"/>
        <v>410129.60451021744</v>
      </c>
    </row>
    <row r="228" spans="1:55" s="1953" customFormat="1" x14ac:dyDescent="0.3">
      <c r="A228" s="2131"/>
      <c r="B228" s="2238" t="s">
        <v>967</v>
      </c>
      <c r="C228" s="1972"/>
      <c r="D228" s="1972"/>
      <c r="E228" s="1972"/>
      <c r="F228" s="1972"/>
      <c r="G228" s="1972"/>
      <c r="H228" s="1972"/>
      <c r="I228" s="1972"/>
      <c r="J228" s="1973"/>
      <c r="K228" s="1973"/>
      <c r="L228" s="1973"/>
      <c r="M228" s="1973"/>
      <c r="N228" s="1973"/>
      <c r="O228" s="1973"/>
      <c r="P228" s="1973"/>
      <c r="Q228" s="1973"/>
      <c r="R228" s="1973"/>
      <c r="S228" s="1973">
        <f t="shared" ref="S228:AP228" si="215">S227/S$6</f>
        <v>2501.3918355677938</v>
      </c>
      <c r="T228" s="1973">
        <f t="shared" si="215"/>
        <v>2639.1242408337707</v>
      </c>
      <c r="U228" s="1973">
        <f t="shared" si="215"/>
        <v>4267.6076623937779</v>
      </c>
      <c r="V228" s="1973">
        <f t="shared" si="215"/>
        <v>2699.1806136680611</v>
      </c>
      <c r="W228" s="1973">
        <f t="shared" si="215"/>
        <v>3978.286843774431</v>
      </c>
      <c r="X228" s="1973">
        <f t="shared" si="215"/>
        <v>3970.0599702403319</v>
      </c>
      <c r="Y228" s="1973">
        <f t="shared" si="215"/>
        <v>5921.9525690484606</v>
      </c>
      <c r="Z228" s="1973">
        <f t="shared" si="215"/>
        <v>3536.9703153397318</v>
      </c>
      <c r="AA228" s="1973">
        <f t="shared" si="215"/>
        <v>4956.4008402472382</v>
      </c>
      <c r="AB228" s="1973">
        <f t="shared" si="215"/>
        <v>4339.9825276645306</v>
      </c>
      <c r="AC228" s="1973">
        <f t="shared" si="215"/>
        <v>6701.9125881754053</v>
      </c>
      <c r="AD228" s="1973">
        <f t="shared" si="215"/>
        <v>4095.2437716056743</v>
      </c>
      <c r="AE228" s="1973">
        <f t="shared" si="215"/>
        <v>5975.9650400582668</v>
      </c>
      <c r="AF228" s="1973">
        <f t="shared" si="215"/>
        <v>5396.701036697119</v>
      </c>
      <c r="AG228" s="1973">
        <f t="shared" si="215"/>
        <v>8341.9517940762453</v>
      </c>
      <c r="AH228" s="1973">
        <f t="shared" si="215"/>
        <v>3972.1500395435546</v>
      </c>
      <c r="AI228" s="1973">
        <f t="shared" si="215"/>
        <v>7252.1266507197352</v>
      </c>
      <c r="AJ228" s="1973">
        <f t="shared" si="215"/>
        <v>6941.5340350532306</v>
      </c>
      <c r="AK228" s="1973">
        <f t="shared" si="215"/>
        <v>10383.374674882501</v>
      </c>
      <c r="AL228" s="1973">
        <f t="shared" si="215"/>
        <v>6061.9653818283023</v>
      </c>
      <c r="AM228" s="1973">
        <f t="shared" si="215"/>
        <v>8980.0029061845962</v>
      </c>
      <c r="AN228" s="1973">
        <f t="shared" si="215"/>
        <v>8617.4035996687253</v>
      </c>
      <c r="AO228" s="1973">
        <f t="shared" si="215"/>
        <v>12699.490396103371</v>
      </c>
      <c r="AP228" s="1973">
        <f t="shared" si="215"/>
        <v>7406.9050072018899</v>
      </c>
      <c r="AQ228" s="2067"/>
      <c r="AR228" s="1972"/>
      <c r="AS228" s="2068"/>
      <c r="AT228" s="2069"/>
      <c r="AU228" s="2070"/>
      <c r="AV228" s="1973">
        <f>SUM(S228:V228)</f>
        <v>12107.304352463403</v>
      </c>
      <c r="AW228" s="1948">
        <f>AW227/AW$6</f>
        <v>18190.224149475496</v>
      </c>
      <c r="AX228" s="1949">
        <f>SUM(AA228:AD228)</f>
        <v>20093.539727692849</v>
      </c>
      <c r="AY228" s="1948">
        <f>AY227/AY$6</f>
        <v>23414.585091101668</v>
      </c>
      <c r="AZ228" s="1948">
        <f>AZ227/AZ$6</f>
        <v>30166.090164750298</v>
      </c>
      <c r="BA228" s="1981">
        <f>BA227/BA$6</f>
        <v>37703.801909158581</v>
      </c>
      <c r="BB228" s="1949">
        <f>BB227/BB$6</f>
        <v>46494.846309636399</v>
      </c>
      <c r="BC228" s="1981">
        <f>BC227/BC$6</f>
        <v>56962.445070863534</v>
      </c>
    </row>
    <row r="229" spans="1:55" s="2055" customFormat="1" x14ac:dyDescent="0.3">
      <c r="A229" s="2096"/>
      <c r="B229" s="2239" t="s">
        <v>761</v>
      </c>
      <c r="C229" s="2041"/>
      <c r="D229" s="2041"/>
      <c r="E229" s="2041"/>
      <c r="F229" s="2041"/>
      <c r="G229" s="2041"/>
      <c r="H229" s="2041"/>
      <c r="I229" s="2041"/>
      <c r="J229" s="2003"/>
      <c r="K229" s="2003"/>
      <c r="L229" s="2003"/>
      <c r="M229" s="2003"/>
      <c r="N229" s="2003"/>
      <c r="O229" s="2003"/>
      <c r="P229" s="2003"/>
      <c r="Q229" s="2003"/>
      <c r="R229" s="2191"/>
      <c r="S229" s="2011">
        <f t="shared" ref="S229:AP229" si="216">S227/O227-1</f>
        <v>0.38268319055144318</v>
      </c>
      <c r="T229" s="2011">
        <f t="shared" si="216"/>
        <v>0.39941157760814239</v>
      </c>
      <c r="U229" s="2011">
        <f t="shared" si="216"/>
        <v>0.42836482838411105</v>
      </c>
      <c r="V229" s="2011">
        <f t="shared" si="216"/>
        <v>0.46372016071850619</v>
      </c>
      <c r="W229" s="2011">
        <f t="shared" si="216"/>
        <v>0.62235322425409056</v>
      </c>
      <c r="X229" s="2011">
        <f t="shared" si="216"/>
        <v>0.50088073185976478</v>
      </c>
      <c r="Y229" s="2011">
        <f t="shared" si="216"/>
        <v>0.30037124535943294</v>
      </c>
      <c r="Z229" s="2011">
        <f t="shared" si="216"/>
        <v>0.19414392593788676</v>
      </c>
      <c r="AA229" s="2011">
        <f t="shared" si="216"/>
        <v>0.2160548757879126</v>
      </c>
      <c r="AB229" s="2011">
        <f t="shared" si="216"/>
        <v>0.12845460740516401</v>
      </c>
      <c r="AC229" s="2011">
        <f t="shared" si="216"/>
        <v>0.19592525304957187</v>
      </c>
      <c r="AD229" s="2011">
        <f t="shared" si="216"/>
        <v>0.23879924276570819</v>
      </c>
      <c r="AE229" s="2011">
        <f t="shared" si="216"/>
        <v>0.25087660456749084</v>
      </c>
      <c r="AF229" s="2011">
        <f t="shared" si="216"/>
        <v>0.29412554098030674</v>
      </c>
      <c r="AG229" s="2011">
        <f t="shared" si="216"/>
        <v>0.26033551075327166</v>
      </c>
      <c r="AH229" s="2011">
        <f t="shared" si="216"/>
        <v>2.3359045262698386E-2</v>
      </c>
      <c r="AI229" s="2011">
        <f t="shared" si="216"/>
        <v>0.24892138939670927</v>
      </c>
      <c r="AJ229" s="2011">
        <f t="shared" si="216"/>
        <v>0.25967590204211688</v>
      </c>
      <c r="AK229" s="2011">
        <f t="shared" si="216"/>
        <v>0.26942677902136469</v>
      </c>
      <c r="AL229" s="2011">
        <f t="shared" si="216"/>
        <v>0.55180796235382834</v>
      </c>
      <c r="AM229" s="2011">
        <f t="shared" si="216"/>
        <v>0.2619009880463159</v>
      </c>
      <c r="AN229" s="2011">
        <f t="shared" si="216"/>
        <v>0.27689572453704203</v>
      </c>
      <c r="AO229" s="2011">
        <f t="shared" si="216"/>
        <v>0.24028621341895784</v>
      </c>
      <c r="AP229" s="2011">
        <f t="shared" si="216"/>
        <v>0.22186527646714338</v>
      </c>
      <c r="AQ229" s="2197"/>
      <c r="AR229" s="2041"/>
      <c r="AS229" s="2198"/>
      <c r="AT229" s="2199"/>
      <c r="AU229" s="2200"/>
      <c r="AV229" s="2011"/>
      <c r="AW229" s="2011">
        <f t="shared" ref="AW229:BC229" si="217">AW227/AV227-1</f>
        <v>0.38417119565217384</v>
      </c>
      <c r="AX229" s="2204">
        <f t="shared" si="217"/>
        <v>0.19340052585451351</v>
      </c>
      <c r="AY229" s="2202">
        <f t="shared" si="217"/>
        <v>0.2175783715075803</v>
      </c>
      <c r="AZ229" s="2202">
        <f t="shared" si="217"/>
        <v>0.31003448193710215</v>
      </c>
      <c r="BA229" s="2203">
        <f t="shared" si="217"/>
        <v>0.24987367283070228</v>
      </c>
      <c r="BB229" s="2204">
        <f t="shared" si="217"/>
        <v>0.23316068818891167</v>
      </c>
      <c r="BC229" s="2203">
        <f t="shared" si="217"/>
        <v>0.22513460290883147</v>
      </c>
    </row>
    <row r="230" spans="1:55" s="2130" customFormat="1" ht="13.5" x14ac:dyDescent="0.4">
      <c r="A230" s="1970" t="s">
        <v>965</v>
      </c>
      <c r="B230" s="2240" t="s">
        <v>968</v>
      </c>
      <c r="C230" s="2120"/>
      <c r="D230" s="2120"/>
      <c r="E230" s="2120"/>
      <c r="F230" s="2120"/>
      <c r="G230" s="2120"/>
      <c r="H230" s="2120"/>
      <c r="I230" s="2120"/>
      <c r="J230" s="2121"/>
      <c r="K230" s="2121"/>
      <c r="L230" s="2121"/>
      <c r="M230" s="2121"/>
      <c r="N230" s="2121"/>
      <c r="O230" s="2122">
        <f>O227/O165</f>
        <v>0.64855971517963107</v>
      </c>
      <c r="P230" s="2122">
        <v>0.62</v>
      </c>
      <c r="Q230" s="2122">
        <v>0.65</v>
      </c>
      <c r="R230" s="2122">
        <f t="shared" ref="R230:AP230" si="218">R227/R165</f>
        <v>0.591610347238406</v>
      </c>
      <c r="S230" s="2122">
        <f t="shared" si="218"/>
        <v>0.61025659850959946</v>
      </c>
      <c r="T230" s="2122">
        <f t="shared" si="218"/>
        <v>0.6176604780121433</v>
      </c>
      <c r="U230" s="2122">
        <f t="shared" si="218"/>
        <v>0.63616454826520097</v>
      </c>
      <c r="V230" s="2122">
        <f t="shared" si="218"/>
        <v>0.58850174216027873</v>
      </c>
      <c r="W230" s="2122">
        <f t="shared" si="218"/>
        <v>0.62681572036163336</v>
      </c>
      <c r="X230" s="2122">
        <f t="shared" si="218"/>
        <v>0.56850759760664626</v>
      </c>
      <c r="Y230" s="2122">
        <f t="shared" si="218"/>
        <v>0.52604991535142809</v>
      </c>
      <c r="Z230" s="2122">
        <f t="shared" si="218"/>
        <v>0.43258525552284205</v>
      </c>
      <c r="AA230" s="2122">
        <f t="shared" si="218"/>
        <v>0.47402728796901195</v>
      </c>
      <c r="AB230" s="2122">
        <f t="shared" si="218"/>
        <v>0.41127285270783026</v>
      </c>
      <c r="AC230" s="2122">
        <f t="shared" si="218"/>
        <v>0.44805188491195319</v>
      </c>
      <c r="AD230" s="2122">
        <f t="shared" si="218"/>
        <v>0.34836616219230865</v>
      </c>
      <c r="AE230" s="2122">
        <f t="shared" si="218"/>
        <v>0.41212930965201316</v>
      </c>
      <c r="AF230" s="2122">
        <f t="shared" si="218"/>
        <v>0.3810906935388263</v>
      </c>
      <c r="AG230" s="2122">
        <f t="shared" si="218"/>
        <v>0.41049655416151265</v>
      </c>
      <c r="AH230" s="2122">
        <f t="shared" si="218"/>
        <v>0.29964310445853087</v>
      </c>
      <c r="AI230" s="2122">
        <f t="shared" si="218"/>
        <v>0.38432169699515445</v>
      </c>
      <c r="AJ230" s="2122">
        <f t="shared" si="218"/>
        <v>0.36931922538253442</v>
      </c>
      <c r="AK230" s="2122">
        <f t="shared" si="218"/>
        <v>0.4057485429436879</v>
      </c>
      <c r="AL230" s="2122">
        <f t="shared" si="218"/>
        <v>0.33635212863849062</v>
      </c>
      <c r="AM230" s="2122">
        <f t="shared" si="218"/>
        <v>0.37800709757399514</v>
      </c>
      <c r="AN230" s="2122">
        <f t="shared" si="218"/>
        <v>0.37922413520006754</v>
      </c>
      <c r="AO230" s="2122">
        <f t="shared" si="218"/>
        <v>0.40265230109598027</v>
      </c>
      <c r="AP230" s="2122">
        <f t="shared" si="218"/>
        <v>0.33455350694496777</v>
      </c>
      <c r="AQ230" s="2241"/>
      <c r="AR230" s="2120"/>
      <c r="AS230" s="2242"/>
      <c r="AT230" s="2243"/>
      <c r="AU230" s="2244"/>
      <c r="AV230" s="2122">
        <f t="shared" ref="AV230:BC230" si="219">AV227/AV165</f>
        <v>0.61571556617866752</v>
      </c>
      <c r="AW230" s="2122">
        <f t="shared" si="219"/>
        <v>0.53312774507055416</v>
      </c>
      <c r="AX230" s="2128">
        <f t="shared" si="219"/>
        <v>0.42104823747680892</v>
      </c>
      <c r="AY230" s="2122">
        <f t="shared" si="219"/>
        <v>0.38017077145147188</v>
      </c>
      <c r="AZ230" s="2122">
        <f t="shared" si="219"/>
        <v>0.37685147019134335</v>
      </c>
      <c r="BA230" s="2129">
        <f t="shared" si="219"/>
        <v>0.37643866640678625</v>
      </c>
      <c r="BB230" s="2128">
        <f t="shared" si="219"/>
        <v>0.38278931515045583</v>
      </c>
      <c r="BC230" s="2129">
        <f t="shared" si="219"/>
        <v>0.39396062477491661</v>
      </c>
    </row>
    <row r="231" spans="1:55" s="2055" customFormat="1" x14ac:dyDescent="0.3">
      <c r="A231" s="2042"/>
      <c r="B231" s="2239" t="s">
        <v>969</v>
      </c>
      <c r="C231" s="2041"/>
      <c r="D231" s="2041"/>
      <c r="E231" s="2041"/>
      <c r="F231" s="2041"/>
      <c r="G231" s="2041"/>
      <c r="H231" s="2041"/>
      <c r="I231" s="2041"/>
      <c r="J231" s="2003"/>
      <c r="K231" s="2003"/>
      <c r="L231" s="2003"/>
      <c r="M231" s="2003"/>
      <c r="N231" s="2003"/>
      <c r="O231" s="2003"/>
      <c r="P231" s="2003"/>
      <c r="Q231" s="2003"/>
      <c r="R231" s="2191"/>
      <c r="S231" s="2003"/>
      <c r="T231" s="2003"/>
      <c r="U231" s="2245"/>
      <c r="V231" s="2003"/>
      <c r="W231" s="2011">
        <f t="shared" ref="W231:AP231" si="220">W232/W227</f>
        <v>0.17252502780867632</v>
      </c>
      <c r="X231" s="2011">
        <f t="shared" si="220"/>
        <v>0.1029378359960627</v>
      </c>
      <c r="Y231" s="2011">
        <f t="shared" si="220"/>
        <v>0.17293018427199586</v>
      </c>
      <c r="Z231" s="2011">
        <f t="shared" si="220"/>
        <v>0.18768592806274226</v>
      </c>
      <c r="AA231" s="2011">
        <f t="shared" si="220"/>
        <v>0.17272921303777786</v>
      </c>
      <c r="AB231" s="2011">
        <f t="shared" si="220"/>
        <v>9.2931190659912098E-3</v>
      </c>
      <c r="AC231" s="2011">
        <f t="shared" si="220"/>
        <v>0.12122658911868747</v>
      </c>
      <c r="AD231" s="2011">
        <f t="shared" si="220"/>
        <v>0.18283364866831611</v>
      </c>
      <c r="AE231" s="2011">
        <f t="shared" si="220"/>
        <v>0.16360755636806826</v>
      </c>
      <c r="AF231" s="2011">
        <f t="shared" si="220"/>
        <v>7.2976616373723227E-2</v>
      </c>
      <c r="AG231" s="2011">
        <f t="shared" si="220"/>
        <v>0.14476108480413258</v>
      </c>
      <c r="AH231" s="2011">
        <f t="shared" si="220"/>
        <v>9.3436677807011301E-2</v>
      </c>
      <c r="AI231" s="2011">
        <f t="shared" si="220"/>
        <v>0.21710873001932199</v>
      </c>
      <c r="AJ231" s="2011">
        <f t="shared" si="220"/>
        <v>0.20014830074561682</v>
      </c>
      <c r="AK231" s="2011">
        <f t="shared" si="220"/>
        <v>0.19936541353553694</v>
      </c>
      <c r="AL231" s="2011">
        <f t="shared" si="220"/>
        <v>0.17079916006905629</v>
      </c>
      <c r="AM231" s="2011">
        <f t="shared" si="220"/>
        <v>0.22207436430499009</v>
      </c>
      <c r="AN231" s="2011">
        <f t="shared" si="220"/>
        <v>0.20594288429629942</v>
      </c>
      <c r="AO231" s="2011">
        <f t="shared" si="220"/>
        <v>0.19809082030798714</v>
      </c>
      <c r="AP231" s="2011">
        <f t="shared" si="220"/>
        <v>0.17353011417526812</v>
      </c>
      <c r="AQ231" s="2197"/>
      <c r="AR231" s="2041"/>
      <c r="AS231" s="2198"/>
      <c r="AT231" s="2199"/>
      <c r="AU231" s="2200"/>
      <c r="AV231" s="2003"/>
      <c r="AW231" s="2011">
        <f t="shared" ref="AW231:BC231" si="221">AW232/AW227</f>
        <v>0.15950043821209464</v>
      </c>
      <c r="AX231" s="2165">
        <f t="shared" si="221"/>
        <v>0.12156396189972607</v>
      </c>
      <c r="AY231" s="2011">
        <f t="shared" si="221"/>
        <v>0.12402138032802665</v>
      </c>
      <c r="AZ231" s="2011">
        <f t="shared" si="221"/>
        <v>0.1979857756093093</v>
      </c>
      <c r="BA231" s="2164">
        <f t="shared" si="221"/>
        <v>0.20077272178519573</v>
      </c>
      <c r="BB231" s="2165">
        <f t="shared" si="221"/>
        <v>0.20647294392933352</v>
      </c>
      <c r="BC231" s="2164">
        <f t="shared" si="221"/>
        <v>0.21077893952211157</v>
      </c>
    </row>
    <row r="232" spans="1:55" s="1953" customFormat="1" x14ac:dyDescent="0.3">
      <c r="A232" s="2042"/>
      <c r="B232" s="2239" t="s">
        <v>970</v>
      </c>
      <c r="C232" s="1972"/>
      <c r="D232" s="1972"/>
      <c r="E232" s="1972"/>
      <c r="F232" s="1972"/>
      <c r="G232" s="1972"/>
      <c r="H232" s="1972"/>
      <c r="I232" s="1972"/>
      <c r="J232" s="1973"/>
      <c r="K232" s="1973"/>
      <c r="L232" s="1973"/>
      <c r="M232" s="1973"/>
      <c r="N232" s="1973"/>
      <c r="O232" s="1973"/>
      <c r="P232" s="1973"/>
      <c r="Q232" s="1973"/>
      <c r="R232" s="2066"/>
      <c r="S232" s="1973"/>
      <c r="T232" s="1973"/>
      <c r="U232" s="1973"/>
      <c r="V232" s="1973"/>
      <c r="W232" s="1974">
        <f t="shared" ref="W232:AP232" si="222">-W352</f>
        <v>4653</v>
      </c>
      <c r="X232" s="1974">
        <f t="shared" si="222"/>
        <v>2719</v>
      </c>
      <c r="Y232" s="1974">
        <f t="shared" si="222"/>
        <v>6663</v>
      </c>
      <c r="Z232" s="1974">
        <f t="shared" si="222"/>
        <v>4164</v>
      </c>
      <c r="AA232" s="1974">
        <f t="shared" si="222"/>
        <v>5665</v>
      </c>
      <c r="AB232" s="1974">
        <f t="shared" si="222"/>
        <v>277</v>
      </c>
      <c r="AC232" s="1974">
        <f t="shared" si="222"/>
        <v>5586</v>
      </c>
      <c r="AD232" s="1974">
        <f t="shared" si="222"/>
        <v>5025</v>
      </c>
      <c r="AE232" s="1974">
        <f t="shared" si="222"/>
        <v>6712</v>
      </c>
      <c r="AF232" s="1974">
        <f t="shared" si="222"/>
        <v>2815</v>
      </c>
      <c r="AG232" s="1974">
        <f t="shared" si="222"/>
        <v>8407</v>
      </c>
      <c r="AH232" s="1974">
        <f t="shared" si="222"/>
        <v>2628</v>
      </c>
      <c r="AI232" s="1974">
        <f t="shared" si="222"/>
        <v>11124</v>
      </c>
      <c r="AJ232" s="1974">
        <f t="shared" si="222"/>
        <v>9725.3536917863839</v>
      </c>
      <c r="AK232" s="1974">
        <f t="shared" si="222"/>
        <v>14697.609080261835</v>
      </c>
      <c r="AL232" s="1974">
        <f t="shared" si="222"/>
        <v>7454.7258882045844</v>
      </c>
      <c r="AM232" s="1974">
        <f t="shared" si="222"/>
        <v>14358.444745304934</v>
      </c>
      <c r="AN232" s="1974">
        <f t="shared" si="222"/>
        <v>12777.789257719851</v>
      </c>
      <c r="AO232" s="1974">
        <f t="shared" si="222"/>
        <v>18112.697784414151</v>
      </c>
      <c r="AP232" s="1974">
        <f t="shared" si="222"/>
        <v>9254.3117154127867</v>
      </c>
      <c r="AQ232" s="2067"/>
      <c r="AR232" s="1972"/>
      <c r="AS232" s="2068"/>
      <c r="AT232" s="2069"/>
      <c r="AU232" s="2070"/>
      <c r="AV232" s="1973"/>
      <c r="AW232" s="1974">
        <f t="shared" ref="AW232:BC232" si="223">-AW352</f>
        <v>18199</v>
      </c>
      <c r="AX232" s="1976">
        <f t="shared" si="223"/>
        <v>16553</v>
      </c>
      <c r="AY232" s="1974">
        <f t="shared" si="223"/>
        <v>20562</v>
      </c>
      <c r="AZ232" s="1974">
        <f t="shared" si="223"/>
        <v>43001.688660252803</v>
      </c>
      <c r="BA232" s="2246">
        <f t="shared" si="223"/>
        <v>54503.243502851721</v>
      </c>
      <c r="BB232" s="1976">
        <f t="shared" si="223"/>
        <v>69119.480124666254</v>
      </c>
      <c r="BC232" s="2246">
        <f t="shared" si="223"/>
        <v>86446.683105286662</v>
      </c>
    </row>
    <row r="233" spans="1:55" s="1953" customFormat="1" x14ac:dyDescent="0.3">
      <c r="A233" s="2247"/>
      <c r="B233" s="2238"/>
      <c r="C233" s="2248"/>
      <c r="D233" s="2248"/>
      <c r="E233" s="2248"/>
      <c r="F233" s="2248"/>
      <c r="G233" s="2248"/>
      <c r="H233" s="2248"/>
      <c r="I233" s="2248"/>
      <c r="J233" s="1973"/>
      <c r="K233" s="1973"/>
      <c r="L233" s="1973"/>
      <c r="M233" s="1973"/>
      <c r="N233" s="1973"/>
      <c r="O233" s="1973"/>
      <c r="P233" s="1973"/>
      <c r="Q233" s="1973"/>
      <c r="R233" s="1973"/>
      <c r="S233" s="1973"/>
      <c r="T233" s="1973"/>
      <c r="U233" s="1973"/>
      <c r="V233" s="1973"/>
      <c r="W233" s="2012"/>
      <c r="X233" s="1973"/>
      <c r="Y233" s="1973"/>
      <c r="Z233" s="1973"/>
      <c r="AA233" s="1973"/>
      <c r="AB233" s="1973"/>
      <c r="AC233" s="1973"/>
      <c r="AD233" s="1973"/>
      <c r="AE233" s="1973"/>
      <c r="AF233" s="1973"/>
      <c r="AG233" s="1973"/>
      <c r="AH233" s="1973"/>
      <c r="AI233" s="1973"/>
      <c r="AJ233" s="1973"/>
      <c r="AK233" s="1973"/>
      <c r="AL233" s="1973"/>
      <c r="AM233" s="1973"/>
      <c r="AN233" s="1973"/>
      <c r="AO233" s="1973"/>
      <c r="AP233" s="1973"/>
      <c r="AQ233" s="2067"/>
      <c r="AR233" s="1972"/>
      <c r="AS233" s="2068"/>
      <c r="AT233" s="2069"/>
      <c r="AU233" s="2070"/>
      <c r="AV233" s="2038"/>
      <c r="AW233" s="2044"/>
      <c r="AX233" s="1949"/>
      <c r="AY233" s="1948"/>
      <c r="AZ233" s="1948"/>
      <c r="BA233" s="1981"/>
      <c r="BB233" s="1949"/>
      <c r="BC233" s="1981"/>
    </row>
    <row r="234" spans="1:55" s="1999" customFormat="1" hidden="1" outlineLevel="1" x14ac:dyDescent="0.3">
      <c r="A234" s="2006" t="s">
        <v>740</v>
      </c>
      <c r="B234" s="2249" t="s">
        <v>971</v>
      </c>
      <c r="C234" s="2250"/>
      <c r="D234" s="2250"/>
      <c r="E234" s="2250"/>
      <c r="F234" s="2250"/>
      <c r="G234" s="2250"/>
      <c r="H234" s="2250"/>
      <c r="I234" s="2250"/>
      <c r="J234" s="2251"/>
      <c r="K234" s="2251"/>
      <c r="L234" s="2251"/>
      <c r="M234" s="2251"/>
      <c r="N234" s="2251"/>
      <c r="O234" s="2251"/>
      <c r="P234" s="2251"/>
      <c r="Q234" s="2251"/>
      <c r="R234" s="2251"/>
      <c r="S234" s="2252">
        <f t="shared" ref="S234:AP234" si="224">S230-S204</f>
        <v>-4.9705271519099536E-2</v>
      </c>
      <c r="T234" s="2252">
        <f t="shared" si="224"/>
        <v>-5.1224793115655531E-2</v>
      </c>
      <c r="U234" s="2252">
        <f t="shared" si="224"/>
        <v>-5.1570923570557259E-2</v>
      </c>
      <c r="V234" s="2252">
        <f t="shared" si="224"/>
        <v>-5.7579036032461506E-2</v>
      </c>
      <c r="W234" s="2252">
        <f t="shared" si="224"/>
        <v>-8.6910656592234514E-2</v>
      </c>
      <c r="X234" s="2252">
        <f t="shared" si="224"/>
        <v>-0.11044004608973079</v>
      </c>
      <c r="Y234" s="2252">
        <f t="shared" si="224"/>
        <v>-0.15225037294096366</v>
      </c>
      <c r="Z234" s="2252">
        <f t="shared" si="224"/>
        <v>-0.18986100420101543</v>
      </c>
      <c r="AA234" s="2252">
        <f t="shared" si="224"/>
        <v>-0.22206306030817846</v>
      </c>
      <c r="AB234" s="2252">
        <f t="shared" si="224"/>
        <v>-0.26669826007911018</v>
      </c>
      <c r="AC234" s="2252">
        <f t="shared" si="224"/>
        <v>-0.24843607888501323</v>
      </c>
      <c r="AD234" s="2252">
        <f t="shared" si="224"/>
        <v>-0.30324393980037345</v>
      </c>
      <c r="AE234" s="2252">
        <f t="shared" si="224"/>
        <v>-0.27666232934166574</v>
      </c>
      <c r="AF234" s="2252">
        <f t="shared" si="224"/>
        <v>-0.30357992460361116</v>
      </c>
      <c r="AG234" s="2252">
        <f t="shared" si="224"/>
        <v>-0.28448007469516701</v>
      </c>
      <c r="AH234" s="2252">
        <f t="shared" si="224"/>
        <v>-0.32074787362688145</v>
      </c>
      <c r="AI234" s="2252">
        <f t="shared" si="224"/>
        <v>-0.27703045266227938</v>
      </c>
      <c r="AJ234" s="2252">
        <f t="shared" si="224"/>
        <v>-0.30468077461746562</v>
      </c>
      <c r="AK234" s="2252">
        <f t="shared" si="224"/>
        <v>-0.26525145705631215</v>
      </c>
      <c r="AL234" s="2252">
        <f t="shared" si="224"/>
        <v>-0.3096478713615094</v>
      </c>
      <c r="AM234" s="2252">
        <f t="shared" si="224"/>
        <v>-0.27899290242600489</v>
      </c>
      <c r="AN234" s="2252">
        <f t="shared" si="224"/>
        <v>-0.2907758647999325</v>
      </c>
      <c r="AO234" s="2252">
        <f t="shared" si="224"/>
        <v>-0.26234769890401977</v>
      </c>
      <c r="AP234" s="2252">
        <f t="shared" si="224"/>
        <v>-0.31344649305503225</v>
      </c>
      <c r="AQ234" s="2253"/>
      <c r="AR234" s="2254"/>
      <c r="AS234" s="2255"/>
      <c r="AT234" s="2256"/>
      <c r="AU234" s="2257"/>
      <c r="AV234" s="2252">
        <f t="shared" ref="AV234:BC234" si="225">AV230-AV204</f>
        <v>-5.2545124719329928E-2</v>
      </c>
      <c r="AW234" s="2252">
        <f t="shared" si="225"/>
        <v>-0.14069374185315209</v>
      </c>
      <c r="AX234" s="2258">
        <f t="shared" si="225"/>
        <v>-0.26115466407941262</v>
      </c>
      <c r="AY234" s="2259">
        <f t="shared" si="225"/>
        <v>-0.29657456710791302</v>
      </c>
      <c r="AZ234" s="2259">
        <f t="shared" si="225"/>
        <v>-0.28741683488883218</v>
      </c>
      <c r="BA234" s="2260">
        <f t="shared" si="225"/>
        <v>-0.28435284013437667</v>
      </c>
      <c r="BB234" s="2258">
        <f t="shared" si="225"/>
        <v>-0.2822106848495442</v>
      </c>
      <c r="BC234" s="2260">
        <f t="shared" si="225"/>
        <v>-0.27803937522508343</v>
      </c>
    </row>
    <row r="235" spans="1:55" s="1999" customFormat="1" hidden="1" outlineLevel="1" x14ac:dyDescent="0.3">
      <c r="A235" s="2009" t="s">
        <v>740</v>
      </c>
      <c r="B235" s="1971" t="s">
        <v>972</v>
      </c>
      <c r="C235" s="1994"/>
      <c r="D235" s="1994"/>
      <c r="E235" s="1994"/>
      <c r="F235" s="1994"/>
      <c r="G235" s="1994"/>
      <c r="H235" s="1994"/>
      <c r="I235" s="1994"/>
      <c r="J235" s="1992"/>
      <c r="K235" s="1992"/>
      <c r="L235" s="1992"/>
      <c r="M235" s="1992"/>
      <c r="N235" s="1992"/>
      <c r="O235" s="1992"/>
      <c r="P235" s="1992"/>
      <c r="Q235" s="1992"/>
      <c r="R235" s="1992"/>
      <c r="S235" s="2261">
        <f t="shared" ref="S235:AP235" si="226">(S208-S186*S$204)/S$165</f>
        <v>-3.5407776006214482E-2</v>
      </c>
      <c r="T235" s="2261">
        <f t="shared" si="226"/>
        <v>-3.657799696654248E-2</v>
      </c>
      <c r="U235" s="2261">
        <f t="shared" si="226"/>
        <v>-3.9008038423647452E-2</v>
      </c>
      <c r="V235" s="2261">
        <f t="shared" si="226"/>
        <v>-4.5144879308578204E-2</v>
      </c>
      <c r="W235" s="2261">
        <f t="shared" si="226"/>
        <v>-5.4211319608397812E-2</v>
      </c>
      <c r="X235" s="2261">
        <f t="shared" si="226"/>
        <v>-5.2752363713498299E-2</v>
      </c>
      <c r="Y235" s="2261">
        <f t="shared" si="226"/>
        <v>-4.4502872913153926E-2</v>
      </c>
      <c r="Z235" s="2261">
        <f t="shared" si="226"/>
        <v>-5.1460704015317056E-2</v>
      </c>
      <c r="AA235" s="2261">
        <f t="shared" si="226"/>
        <v>-5.3279580777990582E-2</v>
      </c>
      <c r="AB235" s="2261">
        <f t="shared" si="226"/>
        <v>-5.7250388359090215E-2</v>
      </c>
      <c r="AC235" s="2261">
        <f t="shared" si="226"/>
        <v>-4.8350610106206122E-2</v>
      </c>
      <c r="AD235" s="2261">
        <f t="shared" si="226"/>
        <v>-4.7157406113343708E-2</v>
      </c>
      <c r="AE235" s="2261">
        <f t="shared" si="226"/>
        <v>-4.3488394323784894E-2</v>
      </c>
      <c r="AF235" s="2261">
        <f t="shared" si="226"/>
        <v>-5.5091585426759106E-2</v>
      </c>
      <c r="AG235" s="2261">
        <f t="shared" si="226"/>
        <v>-4.4600556225234712E-2</v>
      </c>
      <c r="AH235" s="2261">
        <f t="shared" si="226"/>
        <v>-4.4108455597570352E-2</v>
      </c>
      <c r="AI235" s="2261">
        <f t="shared" si="226"/>
        <v>-3.0345637042947061E-2</v>
      </c>
      <c r="AJ235" s="2261">
        <f t="shared" si="226"/>
        <v>-4.476873427633532E-2</v>
      </c>
      <c r="AK235" s="2261">
        <f t="shared" si="226"/>
        <v>-3.9465868551435114E-2</v>
      </c>
      <c r="AL235" s="2261">
        <f t="shared" si="226"/>
        <v>-3.9189087131889601E-2</v>
      </c>
      <c r="AM235" s="2261">
        <f t="shared" si="226"/>
        <v>-3.1618871514702697E-2</v>
      </c>
      <c r="AN235" s="2261">
        <f t="shared" si="226"/>
        <v>-3.4281104931529943E-2</v>
      </c>
      <c r="AO235" s="2261">
        <f t="shared" si="226"/>
        <v>-3.9972288851485467E-2</v>
      </c>
      <c r="AP235" s="2261">
        <f t="shared" si="226"/>
        <v>-3.6219773234956072E-2</v>
      </c>
      <c r="AQ235" s="2059"/>
      <c r="AR235" s="2058"/>
      <c r="AS235" s="2207"/>
      <c r="AT235" s="2208"/>
      <c r="AU235" s="2209"/>
      <c r="AV235" s="2261">
        <f t="shared" ref="AV235:BC235" si="227">(AV208-AV186*AV$204)/AV$165</f>
        <v>-3.9214747847984247E-2</v>
      </c>
      <c r="AW235" s="2261">
        <f t="shared" si="227"/>
        <v>-5.0039578561502797E-2</v>
      </c>
      <c r="AX235" s="2262">
        <f t="shared" si="227"/>
        <v>-5.1136918316893938E-2</v>
      </c>
      <c r="AY235" s="2263">
        <f t="shared" si="227"/>
        <v>-4.6764962810445281E-2</v>
      </c>
      <c r="AZ235" s="2263">
        <f t="shared" si="227"/>
        <v>-3.8521615779796695E-2</v>
      </c>
      <c r="BA235" s="2264">
        <f t="shared" si="227"/>
        <v>-3.5885891660880284E-2</v>
      </c>
      <c r="BB235" s="2262">
        <f t="shared" si="227"/>
        <v>-3.450019597695967E-2</v>
      </c>
      <c r="BC235" s="2264">
        <f t="shared" si="227"/>
        <v>-3.5886904074803411E-2</v>
      </c>
    </row>
    <row r="236" spans="1:55" s="1953" customFormat="1" hidden="1" outlineLevel="1" x14ac:dyDescent="0.3">
      <c r="A236" s="2009" t="s">
        <v>740</v>
      </c>
      <c r="B236" s="1971" t="s">
        <v>973</v>
      </c>
      <c r="C236" s="1974"/>
      <c r="D236" s="1974"/>
      <c r="E236" s="1974"/>
      <c r="F236" s="1974"/>
      <c r="G236" s="1974"/>
      <c r="H236" s="1974"/>
      <c r="I236" s="1974"/>
      <c r="J236" s="1973"/>
      <c r="K236" s="1973"/>
      <c r="L236" s="1973"/>
      <c r="M236" s="1973"/>
      <c r="N236" s="1973"/>
      <c r="O236" s="1973"/>
      <c r="P236" s="1973"/>
      <c r="Q236" s="1973"/>
      <c r="R236" s="1973"/>
      <c r="S236" s="2261">
        <f t="shared" ref="S236:Z236" si="228">S237+S239+S240</f>
        <v>-1.5784330054489538E-3</v>
      </c>
      <c r="T236" s="2261">
        <f t="shared" si="228"/>
        <v>-2.4395753936133054E-3</v>
      </c>
      <c r="U236" s="2261">
        <f t="shared" si="228"/>
        <v>-2.4777913805103182E-3</v>
      </c>
      <c r="V236" s="2261">
        <f t="shared" si="228"/>
        <v>-5.3941887891888899E-3</v>
      </c>
      <c r="W236" s="2261">
        <f t="shared" si="228"/>
        <v>-2.8320138724236443E-2</v>
      </c>
      <c r="X236" s="2261">
        <f t="shared" si="228"/>
        <v>-5.2923855338114882E-2</v>
      </c>
      <c r="Y236" s="2261">
        <f t="shared" si="228"/>
        <v>-5.5629420409678929E-2</v>
      </c>
      <c r="Z236" s="2261">
        <f t="shared" si="228"/>
        <v>-8.0436980334363029E-2</v>
      </c>
      <c r="AA236" s="2261">
        <f t="shared" ref="AA236:AF236" si="229">AA237+AA239+AA240+AA241</f>
        <v>-7.9390322563634569E-2</v>
      </c>
      <c r="AB236" s="2261">
        <f t="shared" si="229"/>
        <v>-8.8116686017936097E-2</v>
      </c>
      <c r="AC236" s="2261">
        <f t="shared" si="229"/>
        <v>-9.2761916019458046E-2</v>
      </c>
      <c r="AD236" s="2261">
        <f t="shared" si="229"/>
        <v>-0.12493045034097064</v>
      </c>
      <c r="AE236" s="2261">
        <f t="shared" si="229"/>
        <v>-0.12853341917585187</v>
      </c>
      <c r="AF236" s="2261">
        <f t="shared" si="229"/>
        <v>-0.12286648272457641</v>
      </c>
      <c r="AG236" s="2261">
        <f t="shared" ref="AG236:AP236" si="230">AG237+AG238+AG239+AG240+AG241</f>
        <v>-0.14181814279540245</v>
      </c>
      <c r="AH236" s="2261">
        <f t="shared" si="230"/>
        <v>-0.18766737579114898</v>
      </c>
      <c r="AI236" s="2261">
        <f t="shared" si="230"/>
        <v>-0.16092228969521521</v>
      </c>
      <c r="AJ236" s="2261">
        <f t="shared" si="230"/>
        <v>-0.16161333709985085</v>
      </c>
      <c r="AK236" s="2261">
        <f t="shared" si="230"/>
        <v>-0.14137162060983449</v>
      </c>
      <c r="AL236" s="2261">
        <f t="shared" si="230"/>
        <v>-0.18863289484545037</v>
      </c>
      <c r="AM236" s="2261">
        <f t="shared" si="230"/>
        <v>-0.16940000764844274</v>
      </c>
      <c r="AN236" s="2261">
        <f t="shared" si="230"/>
        <v>-0.16869062392373393</v>
      </c>
      <c r="AO236" s="2261">
        <f t="shared" si="230"/>
        <v>-0.14519729002079002</v>
      </c>
      <c r="AP236" s="2261">
        <f t="shared" si="230"/>
        <v>-0.19404662799759176</v>
      </c>
      <c r="AQ236" s="2067"/>
      <c r="AR236" s="1972"/>
      <c r="AS236" s="2068"/>
      <c r="AT236" s="2069"/>
      <c r="AU236" s="2070"/>
      <c r="AV236" s="2261">
        <f>AV237+AV239+AV240</f>
        <v>-2.9880094412542491E-3</v>
      </c>
      <c r="AW236" s="2263">
        <f>AW237+AW239+AW240</f>
        <v>-5.6327709793956418E-2</v>
      </c>
      <c r="AX236" s="2262">
        <f>AX237+AX239+AX240+AX241</f>
        <v>-9.7180756874599719E-2</v>
      </c>
      <c r="AY236" s="2263">
        <f>AY237+AY238+AY239+AY240+AY241</f>
        <v>-0.14956755877896888</v>
      </c>
      <c r="AZ236" s="2263">
        <f>AZ237+AZ238+AZ239+AZ240+AZ241</f>
        <v>-0.16154261624238103</v>
      </c>
      <c r="BA236" s="2264">
        <f>BA237+BA238+BA239+BA240+BA241</f>
        <v>-0.16732861346976891</v>
      </c>
      <c r="BB236" s="2262">
        <f>BB237+BB238+BB239+BB240+BB241</f>
        <v>-0.17000051053472004</v>
      </c>
      <c r="BC236" s="2264">
        <f>BC237+BC238+BC239+BC240+BC241</f>
        <v>-0.16954317413784936</v>
      </c>
    </row>
    <row r="237" spans="1:55" s="2055" customFormat="1" hidden="1" outlineLevel="1" x14ac:dyDescent="0.3">
      <c r="A237" s="2009" t="s">
        <v>740</v>
      </c>
      <c r="B237" s="2239" t="s">
        <v>974</v>
      </c>
      <c r="C237" s="2004"/>
      <c r="D237" s="2004"/>
      <c r="E237" s="2004"/>
      <c r="F237" s="2004"/>
      <c r="G237" s="2004"/>
      <c r="H237" s="2004"/>
      <c r="I237" s="2004"/>
      <c r="J237" s="2003"/>
      <c r="K237" s="2003"/>
      <c r="L237" s="2003"/>
      <c r="M237" s="2003"/>
      <c r="N237" s="2003"/>
      <c r="O237" s="2003"/>
      <c r="P237" s="2003"/>
      <c r="Q237" s="2003"/>
      <c r="R237" s="2003"/>
      <c r="S237" s="2245">
        <f t="shared" ref="S237:AP237" si="231">(S211-S172*S$204)/S$165</f>
        <v>-1.5784330054489538E-3</v>
      </c>
      <c r="T237" s="2245">
        <f t="shared" si="231"/>
        <v>-2.4395753936133054E-3</v>
      </c>
      <c r="U237" s="2245">
        <f t="shared" si="231"/>
        <v>-2.4777913805103182E-3</v>
      </c>
      <c r="V237" s="2245">
        <f t="shared" si="231"/>
        <v>-5.3941887891888899E-3</v>
      </c>
      <c r="W237" s="2245">
        <f t="shared" si="231"/>
        <v>-7.0680715152383463E-3</v>
      </c>
      <c r="X237" s="2245">
        <f t="shared" si="231"/>
        <v>-1.2641913525414883E-2</v>
      </c>
      <c r="Y237" s="2245">
        <f t="shared" si="231"/>
        <v>-1.3249826053508173E-2</v>
      </c>
      <c r="Z237" s="2245">
        <f t="shared" si="231"/>
        <v>-1.9243385490838399E-2</v>
      </c>
      <c r="AA237" s="2245">
        <f t="shared" si="231"/>
        <v>-2.6894688838846333E-2</v>
      </c>
      <c r="AB237" s="2245">
        <f t="shared" si="231"/>
        <v>-3.4782612927150798E-2</v>
      </c>
      <c r="AC237" s="2245">
        <f t="shared" si="231"/>
        <v>-3.9757961199137472E-2</v>
      </c>
      <c r="AD237" s="2245">
        <f t="shared" si="231"/>
        <v>-4.7551591722130353E-2</v>
      </c>
      <c r="AE237" s="2245">
        <f t="shared" si="231"/>
        <v>-5.9822708236537375E-2</v>
      </c>
      <c r="AF237" s="2245">
        <f t="shared" si="231"/>
        <v>-5.3888748497625871E-2</v>
      </c>
      <c r="AG237" s="2245">
        <f t="shared" si="231"/>
        <v>-4.5343829411482885E-2</v>
      </c>
      <c r="AH237" s="2245">
        <f t="shared" si="231"/>
        <v>-5.4328441195073289E-2</v>
      </c>
      <c r="AI237" s="2245">
        <f t="shared" si="231"/>
        <v>-6.0960773797340731E-2</v>
      </c>
      <c r="AJ237" s="2245">
        <f t="shared" si="231"/>
        <v>-5.4309577339279935E-2</v>
      </c>
      <c r="AK237" s="2245">
        <f t="shared" si="231"/>
        <v>-4.3176481656079749E-2</v>
      </c>
      <c r="AL237" s="2245">
        <f t="shared" si="231"/>
        <v>-5.7467229578853474E-2</v>
      </c>
      <c r="AM237" s="2245">
        <f t="shared" si="231"/>
        <v>-6.5119713436964419E-2</v>
      </c>
      <c r="AN237" s="2245">
        <f t="shared" si="231"/>
        <v>-5.7769452885051635E-2</v>
      </c>
      <c r="AO237" s="2245">
        <f t="shared" si="231"/>
        <v>-4.5557306998553981E-2</v>
      </c>
      <c r="AP237" s="2245">
        <f t="shared" si="231"/>
        <v>-6.1009004664244693E-2</v>
      </c>
      <c r="AQ237" s="2197"/>
      <c r="AR237" s="2041"/>
      <c r="AS237" s="2198"/>
      <c r="AT237" s="2199"/>
      <c r="AU237" s="2200"/>
      <c r="AV237" s="2245">
        <f t="shared" ref="AV237:BC237" si="232">(AV211-AV172*AV$204)/AV$165</f>
        <v>-2.9880094412542491E-3</v>
      </c>
      <c r="AW237" s="2245">
        <f t="shared" si="232"/>
        <v>-1.3510253531310714E-2</v>
      </c>
      <c r="AX237" s="2265">
        <f t="shared" si="232"/>
        <v>-3.7994821459893233E-2</v>
      </c>
      <c r="AY237" s="2266">
        <f t="shared" si="232"/>
        <v>-5.2907943425937805E-2</v>
      </c>
      <c r="AZ237" s="2266">
        <f t="shared" si="232"/>
        <v>-5.3158124972841975E-2</v>
      </c>
      <c r="BA237" s="2267">
        <f t="shared" si="232"/>
        <v>-5.646639510256151E-2</v>
      </c>
      <c r="BB237" s="2265">
        <f t="shared" si="232"/>
        <v>-6.0008588884800949E-2</v>
      </c>
      <c r="BC237" s="2267">
        <f t="shared" si="232"/>
        <v>-6.2275771193945464E-2</v>
      </c>
    </row>
    <row r="238" spans="1:55" s="2055" customFormat="1" hidden="1" outlineLevel="1" x14ac:dyDescent="0.3">
      <c r="A238" s="2009" t="s">
        <v>740</v>
      </c>
      <c r="B238" s="2239" t="s">
        <v>975</v>
      </c>
      <c r="C238" s="2004"/>
      <c r="D238" s="2004"/>
      <c r="E238" s="2004"/>
      <c r="F238" s="2004"/>
      <c r="G238" s="2004"/>
      <c r="H238" s="2004"/>
      <c r="I238" s="2004"/>
      <c r="J238" s="2003"/>
      <c r="K238" s="2003"/>
      <c r="L238" s="2003"/>
      <c r="M238" s="2003"/>
      <c r="N238" s="2003"/>
      <c r="O238" s="2003"/>
      <c r="P238" s="2003"/>
      <c r="Q238" s="2003"/>
      <c r="R238" s="2003"/>
      <c r="S238" s="2245"/>
      <c r="T238" s="2245"/>
      <c r="U238" s="2245"/>
      <c r="V238" s="2245"/>
      <c r="W238" s="2245"/>
      <c r="X238" s="2245"/>
      <c r="Y238" s="2245"/>
      <c r="Z238" s="2245"/>
      <c r="AA238" s="2245"/>
      <c r="AB238" s="2245"/>
      <c r="AC238" s="2245"/>
      <c r="AD238" s="2245"/>
      <c r="AE238" s="2245"/>
      <c r="AF238" s="2245"/>
      <c r="AG238" s="2245">
        <f t="shared" ref="AG238:AP238" si="233">(AG213-AG174*AG$204)/AG$165</f>
        <v>-2.9998045686818627E-2</v>
      </c>
      <c r="AH238" s="2245">
        <f t="shared" si="233"/>
        <v>-2.1426228458490779E-2</v>
      </c>
      <c r="AI238" s="2245">
        <f t="shared" si="233"/>
        <v>-2.29982798531215E-2</v>
      </c>
      <c r="AJ238" s="2245">
        <f t="shared" si="233"/>
        <v>-2.3736703382552411E-2</v>
      </c>
      <c r="AK238" s="2245">
        <f t="shared" si="233"/>
        <v>-2.7074818484703476E-2</v>
      </c>
      <c r="AL238" s="2245">
        <f t="shared" si="233"/>
        <v>-2.4635631467504103E-2</v>
      </c>
      <c r="AM238" s="2245">
        <f t="shared" si="233"/>
        <v>-2.333472206912857E-2</v>
      </c>
      <c r="AN238" s="2245">
        <f t="shared" si="233"/>
        <v>-2.1827360049199083E-2</v>
      </c>
      <c r="AO238" s="2245">
        <f t="shared" si="233"/>
        <v>-2.5667887047487004E-2</v>
      </c>
      <c r="AP238" s="2245">
        <f t="shared" si="233"/>
        <v>-2.1968407073260206E-2</v>
      </c>
      <c r="AQ238" s="2197"/>
      <c r="AR238" s="2041"/>
      <c r="AS238" s="2198"/>
      <c r="AT238" s="2199"/>
      <c r="AU238" s="2200"/>
      <c r="AV238" s="2245"/>
      <c r="AW238" s="2245"/>
      <c r="AX238" s="2265"/>
      <c r="AY238" s="2245">
        <f>(AY213-AY174*AY$204)/AY$165</f>
        <v>-1.8293482565021477E-2</v>
      </c>
      <c r="AZ238" s="2266">
        <f>(AZ213-AZ174*AZ$204)/AZ$165</f>
        <v>-2.4836414643011034E-2</v>
      </c>
      <c r="BA238" s="2267">
        <f>(BA213-BA174*BA$204)/BA$165</f>
        <v>-2.3435749909423279E-2</v>
      </c>
      <c r="BB238" s="2265">
        <f>(BB213-BB174*BB$204)/BB$165</f>
        <v>-2.150366677427256E-2</v>
      </c>
      <c r="BC238" s="2267">
        <f>(BC213-BC174*BC$204)/BC$165</f>
        <v>-1.9649285385399107E-2</v>
      </c>
    </row>
    <row r="239" spans="1:55" s="2055" customFormat="1" hidden="1" outlineLevel="1" x14ac:dyDescent="0.3">
      <c r="A239" s="2009" t="s">
        <v>740</v>
      </c>
      <c r="B239" s="2239" t="s">
        <v>976</v>
      </c>
      <c r="C239" s="2004"/>
      <c r="D239" s="2004"/>
      <c r="E239" s="2004"/>
      <c r="F239" s="2004"/>
      <c r="G239" s="2004"/>
      <c r="H239" s="2004"/>
      <c r="I239" s="2004"/>
      <c r="J239" s="2003"/>
      <c r="K239" s="2003"/>
      <c r="L239" s="2003"/>
      <c r="M239" s="2003"/>
      <c r="N239" s="2003"/>
      <c r="O239" s="2003"/>
      <c r="P239" s="2003"/>
      <c r="Q239" s="2003"/>
      <c r="R239" s="2003"/>
      <c r="S239" s="2003"/>
      <c r="T239" s="2003"/>
      <c r="U239" s="2003"/>
      <c r="V239" s="2003"/>
      <c r="W239" s="2245">
        <f t="shared" ref="W239:AP239" si="234">(W219-W176*W$204)/W$165</f>
        <v>-1.0697812599423638E-2</v>
      </c>
      <c r="X239" s="2245">
        <f t="shared" si="234"/>
        <v>-2.1183138786187446E-2</v>
      </c>
      <c r="Y239" s="2245">
        <f t="shared" si="234"/>
        <v>-1.8159721793901219E-2</v>
      </c>
      <c r="Z239" s="2245">
        <f t="shared" si="234"/>
        <v>-2.4335143587148049E-2</v>
      </c>
      <c r="AA239" s="2245">
        <f t="shared" si="234"/>
        <v>-1.8734510083015528E-2</v>
      </c>
      <c r="AB239" s="2245">
        <f t="shared" si="234"/>
        <v>-1.4781421531541475E-2</v>
      </c>
      <c r="AC239" s="2245">
        <f t="shared" si="234"/>
        <v>-1.4569398639119593E-2</v>
      </c>
      <c r="AD239" s="2245">
        <f t="shared" si="234"/>
        <v>-1.8041172111336743E-2</v>
      </c>
      <c r="AE239" s="2245">
        <f t="shared" si="234"/>
        <v>-1.3396179644271431E-2</v>
      </c>
      <c r="AF239" s="2245">
        <f t="shared" si="234"/>
        <v>-1.1359505673931158E-2</v>
      </c>
      <c r="AG239" s="2245">
        <f t="shared" si="234"/>
        <v>-1.0698260063560441E-2</v>
      </c>
      <c r="AH239" s="2245">
        <f t="shared" si="234"/>
        <v>-9.6155657354166073E-3</v>
      </c>
      <c r="AI239" s="2245">
        <f t="shared" si="234"/>
        <v>-4.5029735196884689E-3</v>
      </c>
      <c r="AJ239" s="2245">
        <f t="shared" si="234"/>
        <v>-8.564837991376811E-3</v>
      </c>
      <c r="AK239" s="2245">
        <f t="shared" si="234"/>
        <v>-7.9636615314828182E-3</v>
      </c>
      <c r="AL239" s="2245">
        <f t="shared" si="234"/>
        <v>-1.1972371316643513E-2</v>
      </c>
      <c r="AM239" s="2245">
        <f t="shared" si="234"/>
        <v>-7.6557848109172271E-3</v>
      </c>
      <c r="AN239" s="2245">
        <f t="shared" si="234"/>
        <v>-8.8853222287193605E-3</v>
      </c>
      <c r="AO239" s="2245">
        <f t="shared" si="234"/>
        <v>-7.8730609292794306E-3</v>
      </c>
      <c r="AP239" s="2245">
        <f t="shared" si="234"/>
        <v>-1.1742408191390826E-2</v>
      </c>
      <c r="AQ239" s="2197"/>
      <c r="AR239" s="2041"/>
      <c r="AS239" s="2198"/>
      <c r="AT239" s="2199"/>
      <c r="AU239" s="2200"/>
      <c r="AV239" s="2245"/>
      <c r="AW239" s="2245">
        <f t="shared" ref="AW239:BC239" si="235">(AW219-AW176*AW$204)/AW$165</f>
        <v>-1.9163370883123497E-2</v>
      </c>
      <c r="AX239" s="2265">
        <f t="shared" si="235"/>
        <v>-1.6430246518310605E-2</v>
      </c>
      <c r="AY239" s="2266">
        <f t="shared" si="235"/>
        <v>-1.1172872781191653E-2</v>
      </c>
      <c r="AZ239" s="2266">
        <f t="shared" si="235"/>
        <v>-8.2394123151002009E-3</v>
      </c>
      <c r="BA239" s="2267">
        <f t="shared" si="235"/>
        <v>-8.9307752705840501E-3</v>
      </c>
      <c r="BB239" s="2265">
        <f t="shared" si="235"/>
        <v>-8.1675408874922542E-3</v>
      </c>
      <c r="BC239" s="2267">
        <f t="shared" si="235"/>
        <v>-7.5108234088289974E-3</v>
      </c>
    </row>
    <row r="240" spans="1:55" s="2055" customFormat="1" hidden="1" outlineLevel="1" x14ac:dyDescent="0.3">
      <c r="A240" s="2009" t="s">
        <v>740</v>
      </c>
      <c r="B240" s="2239" t="s">
        <v>977</v>
      </c>
      <c r="C240" s="2004"/>
      <c r="D240" s="2004"/>
      <c r="E240" s="2004"/>
      <c r="F240" s="2004"/>
      <c r="G240" s="2004"/>
      <c r="H240" s="2004"/>
      <c r="I240" s="2004"/>
      <c r="J240" s="2003"/>
      <c r="K240" s="2003"/>
      <c r="L240" s="2003"/>
      <c r="M240" s="2003"/>
      <c r="N240" s="2003"/>
      <c r="O240" s="2003"/>
      <c r="P240" s="2003"/>
      <c r="Q240" s="2003"/>
      <c r="R240" s="2003"/>
      <c r="S240" s="2003"/>
      <c r="T240" s="2003"/>
      <c r="U240" s="2003"/>
      <c r="V240" s="2003"/>
      <c r="W240" s="2245">
        <f t="shared" ref="W240:AP240" si="236">(W215-W178*W$204)/W$165</f>
        <v>-1.0554254609574461E-2</v>
      </c>
      <c r="X240" s="2245">
        <f t="shared" si="236"/>
        <v>-1.9098803026512554E-2</v>
      </c>
      <c r="Y240" s="2245">
        <f t="shared" si="236"/>
        <v>-2.421987256226954E-2</v>
      </c>
      <c r="Z240" s="2245">
        <f t="shared" si="236"/>
        <v>-3.6858451256376587E-2</v>
      </c>
      <c r="AA240" s="2245">
        <f t="shared" si="236"/>
        <v>-3.3743892608984444E-2</v>
      </c>
      <c r="AB240" s="2245">
        <f t="shared" si="236"/>
        <v>-3.852075249817246E-2</v>
      </c>
      <c r="AC240" s="2245">
        <f t="shared" si="236"/>
        <v>-3.8382356306886023E-2</v>
      </c>
      <c r="AD240" s="2245">
        <f t="shared" si="236"/>
        <v>-5.9215354091667574E-2</v>
      </c>
      <c r="AE240" s="2245">
        <f t="shared" si="236"/>
        <v>-5.5152153359960973E-2</v>
      </c>
      <c r="AF240" s="2245">
        <f t="shared" si="236"/>
        <v>-5.7343550898964778E-2</v>
      </c>
      <c r="AG240" s="2245">
        <f t="shared" si="236"/>
        <v>-5.5477543402751857E-2</v>
      </c>
      <c r="AH240" s="2245">
        <f t="shared" si="236"/>
        <v>-0.10175917189854437</v>
      </c>
      <c r="AI240" s="2245">
        <f t="shared" si="236"/>
        <v>-7.1941181662400711E-2</v>
      </c>
      <c r="AJ240" s="2245">
        <f t="shared" si="236"/>
        <v>-7.4173599941952023E-2</v>
      </c>
      <c r="AK240" s="2245">
        <f t="shared" si="236"/>
        <v>-6.2327131070519341E-2</v>
      </c>
      <c r="AL240" s="2245">
        <f t="shared" si="236"/>
        <v>-9.3181159581463197E-2</v>
      </c>
      <c r="AM240" s="2245">
        <f t="shared" si="236"/>
        <v>-7.186208838077611E-2</v>
      </c>
      <c r="AN240" s="2245">
        <f t="shared" si="236"/>
        <v>-7.8026486202082149E-2</v>
      </c>
      <c r="AO240" s="2245">
        <f t="shared" si="236"/>
        <v>-6.4088775297099512E-2</v>
      </c>
      <c r="AP240" s="2245">
        <f t="shared" si="236"/>
        <v>-9.634768326292846E-2</v>
      </c>
      <c r="AQ240" s="2197"/>
      <c r="AR240" s="2041"/>
      <c r="AS240" s="2198"/>
      <c r="AT240" s="2199"/>
      <c r="AU240" s="2200"/>
      <c r="AV240" s="2245"/>
      <c r="AW240" s="2245">
        <f t="shared" ref="AW240:BC240" si="237">(AW215-AW178*AW$204)/AW$165</f>
        <v>-2.3654085379522207E-2</v>
      </c>
      <c r="AX240" s="2265">
        <f t="shared" si="237"/>
        <v>-4.2697186711212379E-2</v>
      </c>
      <c r="AY240" s="2266">
        <f t="shared" si="237"/>
        <v>-6.6854921644806165E-2</v>
      </c>
      <c r="AZ240" s="2266">
        <f t="shared" si="237"/>
        <v>-7.4422172579478904E-2</v>
      </c>
      <c r="BA240" s="2267">
        <f t="shared" si="237"/>
        <v>-7.6363434863871579E-2</v>
      </c>
      <c r="BB240" s="2265">
        <f t="shared" si="237"/>
        <v>-7.6884074799601146E-2</v>
      </c>
      <c r="BC240" s="2267">
        <f t="shared" si="237"/>
        <v>-7.5741279713306797E-2</v>
      </c>
    </row>
    <row r="241" spans="1:55" s="2055" customFormat="1" hidden="1" outlineLevel="1" x14ac:dyDescent="0.3">
      <c r="A241" s="2009" t="s">
        <v>740</v>
      </c>
      <c r="B241" s="2239" t="s">
        <v>978</v>
      </c>
      <c r="C241" s="2004"/>
      <c r="D241" s="2004"/>
      <c r="E241" s="2004"/>
      <c r="F241" s="2004"/>
      <c r="G241" s="2004"/>
      <c r="H241" s="2004"/>
      <c r="I241" s="2004"/>
      <c r="J241" s="2003"/>
      <c r="K241" s="2003"/>
      <c r="L241" s="2003"/>
      <c r="M241" s="2003"/>
      <c r="N241" s="2003"/>
      <c r="O241" s="2003"/>
      <c r="P241" s="2003"/>
      <c r="Q241" s="2003"/>
      <c r="R241" s="2003"/>
      <c r="S241" s="2003"/>
      <c r="T241" s="2003"/>
      <c r="U241" s="2003"/>
      <c r="V241" s="2003"/>
      <c r="W241" s="2245"/>
      <c r="X241" s="2245"/>
      <c r="Y241" s="2245"/>
      <c r="Z241" s="2245"/>
      <c r="AA241" s="2245">
        <f t="shared" ref="AA241:AP241" si="238">(AA217-AA180*AA204)/AA165</f>
        <v>-1.7231032788263585E-5</v>
      </c>
      <c r="AB241" s="2245">
        <f t="shared" si="238"/>
        <v>-3.189906107137305E-5</v>
      </c>
      <c r="AC241" s="2245">
        <f t="shared" si="238"/>
        <v>-5.2199874314952861E-5</v>
      </c>
      <c r="AD241" s="2245">
        <f t="shared" si="238"/>
        <v>-1.2233241583596956E-4</v>
      </c>
      <c r="AE241" s="2245">
        <f t="shared" si="238"/>
        <v>-1.6237793508207794E-4</v>
      </c>
      <c r="AF241" s="2245">
        <f t="shared" si="238"/>
        <v>-2.7467765405460136E-4</v>
      </c>
      <c r="AG241" s="2245">
        <f t="shared" si="238"/>
        <v>-3.0046423078862705E-4</v>
      </c>
      <c r="AH241" s="2245">
        <f t="shared" si="238"/>
        <v>-5.379685036239481E-4</v>
      </c>
      <c r="AI241" s="2245">
        <f t="shared" si="238"/>
        <v>-5.1908086266381939E-4</v>
      </c>
      <c r="AJ241" s="2245">
        <f t="shared" si="238"/>
        <v>-8.2861844468967792E-4</v>
      </c>
      <c r="AK241" s="2245">
        <f t="shared" si="238"/>
        <v>-8.2952786704912037E-4</v>
      </c>
      <c r="AL241" s="2245">
        <f t="shared" si="238"/>
        <v>-1.3765029009860745E-3</v>
      </c>
      <c r="AM241" s="2245">
        <f t="shared" si="238"/>
        <v>-1.4276989506564189E-3</v>
      </c>
      <c r="AN241" s="2245">
        <f t="shared" si="238"/>
        <v>-2.1820025586816961E-3</v>
      </c>
      <c r="AO241" s="2245">
        <f t="shared" si="238"/>
        <v>-2.0102597483701032E-3</v>
      </c>
      <c r="AP241" s="2245">
        <f t="shared" si="238"/>
        <v>-2.9791248057675773E-3</v>
      </c>
      <c r="AQ241" s="2197"/>
      <c r="AR241" s="2041"/>
      <c r="AS241" s="2198"/>
      <c r="AT241" s="2199"/>
      <c r="AU241" s="2200"/>
      <c r="AV241" s="2245"/>
      <c r="AW241" s="2245"/>
      <c r="AX241" s="2265">
        <f t="shared" ref="AX241:BC241" si="239">(AX217-AX180*AX204)/AX165</f>
        <v>-5.8502185183509054E-5</v>
      </c>
      <c r="AY241" s="2266">
        <f t="shared" si="239"/>
        <v>-3.383383620117636E-4</v>
      </c>
      <c r="AZ241" s="2245">
        <f t="shared" si="239"/>
        <v>-8.8649173194892952E-4</v>
      </c>
      <c r="BA241" s="2268">
        <f t="shared" si="239"/>
        <v>-2.1322583233284675E-3</v>
      </c>
      <c r="BB241" s="2269">
        <f t="shared" si="239"/>
        <v>-3.4366391885531475E-3</v>
      </c>
      <c r="BC241" s="2268">
        <f t="shared" si="239"/>
        <v>-4.36601443636901E-3</v>
      </c>
    </row>
    <row r="242" spans="1:55" s="1953" customFormat="1" hidden="1" outlineLevel="1" x14ac:dyDescent="0.3">
      <c r="A242" s="2009" t="s">
        <v>740</v>
      </c>
      <c r="B242" s="1971" t="s">
        <v>979</v>
      </c>
      <c r="C242" s="1974"/>
      <c r="D242" s="1974"/>
      <c r="E242" s="1974"/>
      <c r="F242" s="1974"/>
      <c r="G242" s="1974"/>
      <c r="H242" s="1974"/>
      <c r="I242" s="1974"/>
      <c r="J242" s="1973"/>
      <c r="K242" s="1973"/>
      <c r="L242" s="1973"/>
      <c r="M242" s="1973"/>
      <c r="N242" s="1973"/>
      <c r="O242" s="1973"/>
      <c r="P242" s="1973"/>
      <c r="Q242" s="1973"/>
      <c r="R242" s="1973"/>
      <c r="S242" s="1973"/>
      <c r="T242" s="1973"/>
      <c r="U242" s="1973"/>
      <c r="V242" s="1973"/>
      <c r="W242" s="2261"/>
      <c r="X242" s="2261"/>
      <c r="Y242" s="2261">
        <f t="shared" ref="Y242:AP242" si="240">(Y221-Y195*Y$204)/Y$165</f>
        <v>-4.5783671377291994E-2</v>
      </c>
      <c r="Z242" s="2261">
        <f t="shared" si="240"/>
        <v>-5.0183803551239914E-2</v>
      </c>
      <c r="AA242" s="2261">
        <f t="shared" si="240"/>
        <v>-4.3089735051139111E-2</v>
      </c>
      <c r="AB242" s="2261">
        <f t="shared" si="240"/>
        <v>-4.0607318214486807E-2</v>
      </c>
      <c r="AC242" s="2261">
        <f t="shared" si="240"/>
        <v>-4.0895028785743089E-2</v>
      </c>
      <c r="AD242" s="2261">
        <f t="shared" si="240"/>
        <v>-4.5592143937355764E-2</v>
      </c>
      <c r="AE242" s="2261">
        <f t="shared" si="240"/>
        <v>-3.8654285071559942E-2</v>
      </c>
      <c r="AF242" s="2261">
        <f t="shared" si="240"/>
        <v>-3.5481895591186127E-2</v>
      </c>
      <c r="AG242" s="2261">
        <f t="shared" si="240"/>
        <v>-3.9056754166775176E-2</v>
      </c>
      <c r="AH242" s="2261">
        <f t="shared" si="240"/>
        <v>-3.6942797981152464E-2</v>
      </c>
      <c r="AI242" s="2261">
        <f t="shared" si="240"/>
        <v>-3.9997593200526468E-2</v>
      </c>
      <c r="AJ242" s="2261">
        <f t="shared" si="240"/>
        <v>-3.7654323799188982E-2</v>
      </c>
      <c r="AK242" s="2261">
        <f t="shared" si="240"/>
        <v>-3.7956248258792923E-2</v>
      </c>
      <c r="AL242" s="2261">
        <f t="shared" si="240"/>
        <v>-3.639900677909616E-2</v>
      </c>
      <c r="AM242" s="2261">
        <f t="shared" si="240"/>
        <v>-3.8951798219244514E-2</v>
      </c>
      <c r="AN242" s="2261">
        <f t="shared" si="240"/>
        <v>-3.6868096215829552E-2</v>
      </c>
      <c r="AO242" s="2261">
        <f t="shared" si="240"/>
        <v>-3.9371945604429526E-2</v>
      </c>
      <c r="AP242" s="2261">
        <f t="shared" si="240"/>
        <v>-3.8035006675193057E-2</v>
      </c>
      <c r="AQ242" s="2067"/>
      <c r="AR242" s="1972"/>
      <c r="AS242" s="2068"/>
      <c r="AT242" s="2069"/>
      <c r="AU242" s="2070"/>
      <c r="AV242" s="2261"/>
      <c r="AW242" s="2261">
        <f t="shared" ref="AW242:BC242" si="241">(AW221-AW195*AW$204)/AW$165</f>
        <v>-2.8297259275382351E-2</v>
      </c>
      <c r="AX242" s="2262">
        <f t="shared" si="241"/>
        <v>-4.2511905348374637E-2</v>
      </c>
      <c r="AY242" s="2263">
        <f t="shared" si="241"/>
        <v>-3.7780917194501322E-2</v>
      </c>
      <c r="AZ242" s="2263">
        <f t="shared" si="241"/>
        <v>-3.8038107661767767E-2</v>
      </c>
      <c r="BA242" s="2264">
        <f t="shared" si="241"/>
        <v>-3.8434743821047251E-2</v>
      </c>
      <c r="BB242" s="2262">
        <f t="shared" si="241"/>
        <v>-3.8295593999483221E-2</v>
      </c>
      <c r="BC242" s="2264">
        <f t="shared" si="241"/>
        <v>-3.7555364393751803E-2</v>
      </c>
    </row>
    <row r="243" spans="1:55" s="1953" customFormat="1" hidden="1" outlineLevel="1" x14ac:dyDescent="0.3">
      <c r="A243" s="2009" t="s">
        <v>740</v>
      </c>
      <c r="B243" s="1971" t="s">
        <v>980</v>
      </c>
      <c r="C243" s="1974"/>
      <c r="D243" s="1974"/>
      <c r="E243" s="1974"/>
      <c r="F243" s="1974"/>
      <c r="G243" s="1974"/>
      <c r="H243" s="1974"/>
      <c r="I243" s="1974"/>
      <c r="J243" s="1973"/>
      <c r="K243" s="1973"/>
      <c r="L243" s="1973"/>
      <c r="M243" s="1973"/>
      <c r="N243" s="1973"/>
      <c r="O243" s="1973"/>
      <c r="P243" s="1973"/>
      <c r="Q243" s="1973"/>
      <c r="R243" s="1973"/>
      <c r="S243" s="1973"/>
      <c r="T243" s="1973"/>
      <c r="U243" s="1973"/>
      <c r="V243" s="1973"/>
      <c r="W243" s="2012"/>
      <c r="X243" s="1973"/>
      <c r="Y243" s="1973"/>
      <c r="Z243" s="1973"/>
      <c r="AA243" s="2261">
        <f t="shared" ref="AA243:AP243" si="242">(AA223-AA196*AA$204)/AA$165</f>
        <v>-3.9492223936232022E-2</v>
      </c>
      <c r="AB243" s="2261">
        <f t="shared" si="242"/>
        <v>-7.4680827282555748E-2</v>
      </c>
      <c r="AC243" s="2261">
        <f t="shared" si="242"/>
        <v>-6.1525348397348877E-2</v>
      </c>
      <c r="AD243" s="2261">
        <f t="shared" si="242"/>
        <v>-7.1668280773578411E-2</v>
      </c>
      <c r="AE243" s="2261">
        <f t="shared" si="242"/>
        <v>-6.1779193515504767E-2</v>
      </c>
      <c r="AF243" s="2261">
        <f t="shared" si="242"/>
        <v>-7.0214930481795196E-2</v>
      </c>
      <c r="AG243" s="2261">
        <f t="shared" si="242"/>
        <v>-5.6418311238613419E-2</v>
      </c>
      <c r="AH243" s="2261">
        <f t="shared" si="242"/>
        <v>-5.2029244257009659E-2</v>
      </c>
      <c r="AI243" s="2261">
        <f t="shared" si="242"/>
        <v>-4.5764932723590661E-2</v>
      </c>
      <c r="AJ243" s="2261">
        <f t="shared" si="242"/>
        <v>-5.7784570321670718E-2</v>
      </c>
      <c r="AK243" s="2261">
        <f t="shared" si="242"/>
        <v>-4.4318943021772209E-2</v>
      </c>
      <c r="AL243" s="2261">
        <f t="shared" si="242"/>
        <v>-4.2399600727001732E-2</v>
      </c>
      <c r="AM243" s="2261">
        <f t="shared" si="242"/>
        <v>-3.65930332767017E-2</v>
      </c>
      <c r="AN243" s="2261">
        <f t="shared" si="242"/>
        <v>-4.8242641118760532E-2</v>
      </c>
      <c r="AO243" s="2261">
        <f t="shared" si="242"/>
        <v>-3.5803062720502168E-2</v>
      </c>
      <c r="AP243" s="2261">
        <f t="shared" si="242"/>
        <v>-4.225322830865267E-2</v>
      </c>
      <c r="AQ243" s="2067"/>
      <c r="AR243" s="1972"/>
      <c r="AS243" s="2068"/>
      <c r="AT243" s="2069"/>
      <c r="AU243" s="2070"/>
      <c r="AV243" s="2261"/>
      <c r="AW243" s="2261"/>
      <c r="AX243" s="2262">
        <f t="shared" ref="AX243:BC243" si="243">(AX223-AX196*AX$204)/AX$165</f>
        <v>-6.2457973229930359E-2</v>
      </c>
      <c r="AY243" s="2263">
        <f t="shared" si="243"/>
        <v>-5.9913091437243125E-2</v>
      </c>
      <c r="AZ243" s="2263">
        <f t="shared" si="243"/>
        <v>-4.7302725183178691E-2</v>
      </c>
      <c r="BA243" s="2264">
        <f t="shared" si="243"/>
        <v>-4.0242804692717016E-2</v>
      </c>
      <c r="BB243" s="2262">
        <f t="shared" si="243"/>
        <v>-3.7168074179422701E-2</v>
      </c>
      <c r="BC243" s="2264">
        <f t="shared" si="243"/>
        <v>-3.2956349213110386E-2</v>
      </c>
    </row>
    <row r="244" spans="1:55" s="1953" customFormat="1" hidden="1" outlineLevel="1" x14ac:dyDescent="0.3">
      <c r="A244" s="2009"/>
      <c r="B244" s="1971"/>
      <c r="C244" s="1974"/>
      <c r="D244" s="1974"/>
      <c r="E244" s="1974"/>
      <c r="F244" s="1974"/>
      <c r="G244" s="1974"/>
      <c r="H244" s="1974"/>
      <c r="I244" s="1974"/>
      <c r="J244" s="1973"/>
      <c r="K244" s="1973"/>
      <c r="L244" s="1973"/>
      <c r="M244" s="1973"/>
      <c r="N244" s="1973"/>
      <c r="O244" s="1973"/>
      <c r="P244" s="1973"/>
      <c r="Q244" s="1973"/>
      <c r="R244" s="1973"/>
      <c r="S244" s="1973"/>
      <c r="T244" s="1973"/>
      <c r="U244" s="1973"/>
      <c r="V244" s="1973"/>
      <c r="W244" s="2012"/>
      <c r="X244" s="1973"/>
      <c r="Y244" s="1973"/>
      <c r="Z244" s="1973"/>
      <c r="AA244" s="2261"/>
      <c r="AB244" s="2261"/>
      <c r="AC244" s="2261"/>
      <c r="AD244" s="2261"/>
      <c r="AE244" s="2261"/>
      <c r="AF244" s="2261"/>
      <c r="AG244" s="2261"/>
      <c r="AH244" s="2261"/>
      <c r="AI244" s="2261"/>
      <c r="AJ244" s="2261"/>
      <c r="AK244" s="2261"/>
      <c r="AL244" s="2261"/>
      <c r="AM244" s="2261"/>
      <c r="AN244" s="2261"/>
      <c r="AO244" s="2261"/>
      <c r="AP244" s="2261"/>
      <c r="AQ244" s="2067"/>
      <c r="AR244" s="1972"/>
      <c r="AS244" s="2068"/>
      <c r="AT244" s="2069"/>
      <c r="AU244" s="2070"/>
      <c r="AV244" s="2261"/>
      <c r="AW244" s="2261"/>
      <c r="AX244" s="2262"/>
      <c r="AY244" s="2263"/>
      <c r="AZ244" s="2263"/>
      <c r="BA244" s="2264"/>
      <c r="BB244" s="2262"/>
      <c r="BC244" s="2264"/>
    </row>
    <row r="245" spans="1:55" s="1953" customFormat="1" hidden="1" outlineLevel="1" x14ac:dyDescent="0.3">
      <c r="A245" s="2009" t="s">
        <v>740</v>
      </c>
      <c r="B245" s="1980" t="s">
        <v>981</v>
      </c>
      <c r="C245" s="1974"/>
      <c r="D245" s="1974"/>
      <c r="E245" s="1974"/>
      <c r="F245" s="1974"/>
      <c r="G245" s="1974"/>
      <c r="H245" s="1974"/>
      <c r="I245" s="1974"/>
      <c r="J245" s="1973"/>
      <c r="K245" s="1973"/>
      <c r="L245" s="1973"/>
      <c r="M245" s="1973"/>
      <c r="N245" s="1973"/>
      <c r="O245" s="1973"/>
      <c r="P245" s="1973"/>
      <c r="Q245" s="1973"/>
      <c r="R245" s="1973"/>
      <c r="S245" s="1973"/>
      <c r="T245" s="1973"/>
      <c r="U245" s="1973"/>
      <c r="V245" s="1973"/>
      <c r="W245" s="2012"/>
      <c r="X245" s="1973"/>
      <c r="Y245" s="1973"/>
      <c r="Z245" s="1973"/>
      <c r="AA245" s="2261"/>
      <c r="AB245" s="2261"/>
      <c r="AC245" s="2261"/>
      <c r="AD245" s="2261"/>
      <c r="AE245" s="2261"/>
      <c r="AF245" s="2261"/>
      <c r="AG245" s="2261"/>
      <c r="AH245" s="2261"/>
      <c r="AI245" s="2261"/>
      <c r="AJ245" s="2261"/>
      <c r="AK245" s="2261"/>
      <c r="AL245" s="2261"/>
      <c r="AM245" s="2261"/>
      <c r="AN245" s="2261"/>
      <c r="AO245" s="2261"/>
      <c r="AP245" s="2261"/>
      <c r="AQ245" s="2067"/>
      <c r="AR245" s="1972"/>
      <c r="AS245" s="2068"/>
      <c r="AT245" s="2069"/>
      <c r="AU245" s="2070"/>
      <c r="AV245" s="2261"/>
      <c r="AW245" s="2261"/>
      <c r="AX245" s="2262"/>
      <c r="AY245" s="2263"/>
      <c r="AZ245" s="2263"/>
      <c r="BA245" s="2264"/>
      <c r="BB245" s="2262"/>
      <c r="BC245" s="2264"/>
    </row>
    <row r="246" spans="1:55" s="1953" customFormat="1" hidden="1" outlineLevel="1" x14ac:dyDescent="0.3">
      <c r="A246" s="2009" t="s">
        <v>740</v>
      </c>
      <c r="B246" s="1971" t="s">
        <v>612</v>
      </c>
      <c r="C246" s="1974"/>
      <c r="D246" s="1974"/>
      <c r="E246" s="1974"/>
      <c r="F246" s="1974"/>
      <c r="G246" s="1974"/>
      <c r="H246" s="1974"/>
      <c r="I246" s="1974"/>
      <c r="J246" s="1973"/>
      <c r="K246" s="1973"/>
      <c r="L246" s="1973"/>
      <c r="M246" s="1973"/>
      <c r="N246" s="1973"/>
      <c r="O246" s="1973"/>
      <c r="P246" s="1973"/>
      <c r="Q246" s="1973"/>
      <c r="R246" s="1973"/>
      <c r="S246" s="1973"/>
      <c r="T246" s="1973"/>
      <c r="U246" s="1973"/>
      <c r="V246" s="1973"/>
      <c r="W246" s="2261">
        <f t="shared" ref="W246:AP247" si="244">W235-S235</f>
        <v>-1.880354360218333E-2</v>
      </c>
      <c r="X246" s="2261">
        <f t="shared" si="244"/>
        <v>-1.6174366746955819E-2</v>
      </c>
      <c r="Y246" s="2261">
        <f t="shared" si="244"/>
        <v>-5.4948344895064741E-3</v>
      </c>
      <c r="Z246" s="2261">
        <f t="shared" si="244"/>
        <v>-6.3158247067388526E-3</v>
      </c>
      <c r="AA246" s="2261">
        <f t="shared" si="244"/>
        <v>9.3173883040723049E-4</v>
      </c>
      <c r="AB246" s="2261">
        <f t="shared" si="244"/>
        <v>-4.4980246455919165E-3</v>
      </c>
      <c r="AC246" s="2261">
        <f t="shared" si="244"/>
        <v>-3.8477371930521961E-3</v>
      </c>
      <c r="AD246" s="2261">
        <f t="shared" si="244"/>
        <v>4.3032979019733478E-3</v>
      </c>
      <c r="AE246" s="2261">
        <f t="shared" si="244"/>
        <v>9.7911864542056873E-3</v>
      </c>
      <c r="AF246" s="2261">
        <f t="shared" si="244"/>
        <v>2.1588029323311095E-3</v>
      </c>
      <c r="AG246" s="2261">
        <f t="shared" si="244"/>
        <v>3.7500538809714101E-3</v>
      </c>
      <c r="AH246" s="2261">
        <f t="shared" si="244"/>
        <v>3.0489505157733562E-3</v>
      </c>
      <c r="AI246" s="2261">
        <f t="shared" si="244"/>
        <v>1.3142757280837834E-2</v>
      </c>
      <c r="AJ246" s="2261">
        <f t="shared" si="244"/>
        <v>1.0322851150423785E-2</v>
      </c>
      <c r="AK246" s="2261">
        <f t="shared" si="244"/>
        <v>5.1346876737995983E-3</v>
      </c>
      <c r="AL246" s="2261">
        <f t="shared" si="244"/>
        <v>4.9193684656807513E-3</v>
      </c>
      <c r="AM246" s="2261">
        <f t="shared" si="244"/>
        <v>-1.2732344717556361E-3</v>
      </c>
      <c r="AN246" s="2261">
        <f t="shared" si="244"/>
        <v>1.0487629344805377E-2</v>
      </c>
      <c r="AO246" s="2261">
        <f t="shared" si="244"/>
        <v>-5.064203000503531E-4</v>
      </c>
      <c r="AP246" s="2261">
        <f t="shared" si="244"/>
        <v>2.9693138969335287E-3</v>
      </c>
      <c r="AQ246" s="2067"/>
      <c r="AR246" s="1972"/>
      <c r="AS246" s="2068"/>
      <c r="AT246" s="2069"/>
      <c r="AU246" s="2070"/>
      <c r="AV246" s="2261"/>
      <c r="AW246" s="2261">
        <f t="shared" ref="AW246:BC247" si="245">AW235-AV235</f>
        <v>-1.082483071351855E-2</v>
      </c>
      <c r="AX246" s="2262">
        <f t="shared" si="245"/>
        <v>-1.0973397553911413E-3</v>
      </c>
      <c r="AY246" s="2263">
        <f t="shared" si="245"/>
        <v>4.3719555064486576E-3</v>
      </c>
      <c r="AZ246" s="2263">
        <f t="shared" si="245"/>
        <v>8.2433470306485859E-3</v>
      </c>
      <c r="BA246" s="2264">
        <f t="shared" si="245"/>
        <v>2.6357241189164105E-3</v>
      </c>
      <c r="BB246" s="2262">
        <f t="shared" si="245"/>
        <v>1.3856956839206139E-3</v>
      </c>
      <c r="BC246" s="2264">
        <f t="shared" si="245"/>
        <v>-1.3867080978437404E-3</v>
      </c>
    </row>
    <row r="247" spans="1:55" s="1953" customFormat="1" hidden="1" outlineLevel="1" x14ac:dyDescent="0.3">
      <c r="A247" s="2009" t="s">
        <v>740</v>
      </c>
      <c r="B247" s="1971" t="s">
        <v>829</v>
      </c>
      <c r="C247" s="1974"/>
      <c r="D247" s="1974"/>
      <c r="E247" s="1974"/>
      <c r="F247" s="1974"/>
      <c r="G247" s="1974"/>
      <c r="H247" s="1974"/>
      <c r="I247" s="1974"/>
      <c r="J247" s="1973"/>
      <c r="K247" s="1973"/>
      <c r="L247" s="1973"/>
      <c r="M247" s="1973"/>
      <c r="N247" s="1973"/>
      <c r="O247" s="1973"/>
      <c r="P247" s="1973"/>
      <c r="Q247" s="1973"/>
      <c r="R247" s="1973"/>
      <c r="S247" s="1973"/>
      <c r="T247" s="1973"/>
      <c r="U247" s="1973"/>
      <c r="V247" s="1973"/>
      <c r="W247" s="2261">
        <f t="shared" si="244"/>
        <v>-2.6741705718787489E-2</v>
      </c>
      <c r="X247" s="2261">
        <f t="shared" si="244"/>
        <v>-5.0484279944501574E-2</v>
      </c>
      <c r="Y247" s="2261">
        <f t="shared" si="244"/>
        <v>-5.3151629029168611E-2</v>
      </c>
      <c r="Z247" s="2261">
        <f t="shared" si="244"/>
        <v>-7.504279154517414E-2</v>
      </c>
      <c r="AA247" s="2261">
        <f t="shared" si="244"/>
        <v>-5.1070183839398126E-2</v>
      </c>
      <c r="AB247" s="2261">
        <f t="shared" si="244"/>
        <v>-3.5192830679821215E-2</v>
      </c>
      <c r="AC247" s="2261">
        <f t="shared" si="244"/>
        <v>-3.7132495609779118E-2</v>
      </c>
      <c r="AD247" s="2261">
        <f t="shared" si="244"/>
        <v>-4.4493470006607611E-2</v>
      </c>
      <c r="AE247" s="2261">
        <f t="shared" si="244"/>
        <v>-4.9143096612217302E-2</v>
      </c>
      <c r="AF247" s="2261">
        <f t="shared" si="244"/>
        <v>-3.4749796706640315E-2</v>
      </c>
      <c r="AG247" s="2261">
        <f t="shared" si="244"/>
        <v>-4.90562267759444E-2</v>
      </c>
      <c r="AH247" s="2261">
        <f t="shared" si="244"/>
        <v>-6.2736925450178338E-2</v>
      </c>
      <c r="AI247" s="2261">
        <f t="shared" si="244"/>
        <v>-3.2388870519363344E-2</v>
      </c>
      <c r="AJ247" s="2261">
        <f t="shared" si="244"/>
        <v>-3.8746854375274434E-2</v>
      </c>
      <c r="AK247" s="2261">
        <f t="shared" si="244"/>
        <v>4.4652218556795464E-4</v>
      </c>
      <c r="AL247" s="2261">
        <f t="shared" si="244"/>
        <v>-9.6551905430139473E-4</v>
      </c>
      <c r="AM247" s="2261">
        <f t="shared" si="244"/>
        <v>-8.4777179532275204E-3</v>
      </c>
      <c r="AN247" s="2261">
        <f t="shared" si="244"/>
        <v>-7.0772868238830888E-3</v>
      </c>
      <c r="AO247" s="2261">
        <f t="shared" si="244"/>
        <v>-3.8256694109555234E-3</v>
      </c>
      <c r="AP247" s="2261">
        <f t="shared" si="244"/>
        <v>-5.4137331521413867E-3</v>
      </c>
      <c r="AQ247" s="2067"/>
      <c r="AR247" s="1972"/>
      <c r="AS247" s="2068"/>
      <c r="AT247" s="2069"/>
      <c r="AU247" s="2070"/>
      <c r="AV247" s="2261"/>
      <c r="AW247" s="2261">
        <f t="shared" si="245"/>
        <v>-5.333970035270217E-2</v>
      </c>
      <c r="AX247" s="2262">
        <f t="shared" si="245"/>
        <v>-4.0853047080643301E-2</v>
      </c>
      <c r="AY247" s="2263">
        <f t="shared" si="245"/>
        <v>-5.238680190436916E-2</v>
      </c>
      <c r="AZ247" s="2263">
        <f t="shared" si="245"/>
        <v>-1.1975057463412153E-2</v>
      </c>
      <c r="BA247" s="2264">
        <f t="shared" si="245"/>
        <v>-5.7859972273878735E-3</v>
      </c>
      <c r="BB247" s="2262">
        <f t="shared" si="245"/>
        <v>-2.6718970649511342E-3</v>
      </c>
      <c r="BC247" s="2264">
        <f t="shared" si="245"/>
        <v>4.5733639687067784E-4</v>
      </c>
    </row>
    <row r="248" spans="1:55" s="1953" customFormat="1" hidden="1" outlineLevel="1" x14ac:dyDescent="0.3">
      <c r="A248" s="2009" t="s">
        <v>740</v>
      </c>
      <c r="B248" s="1971" t="s">
        <v>524</v>
      </c>
      <c r="C248" s="1974"/>
      <c r="D248" s="1974"/>
      <c r="E248" s="1974"/>
      <c r="F248" s="1974"/>
      <c r="G248" s="1974"/>
      <c r="H248" s="1974"/>
      <c r="I248" s="1974"/>
      <c r="J248" s="1973"/>
      <c r="K248" s="1973"/>
      <c r="L248" s="1973"/>
      <c r="M248" s="1973"/>
      <c r="N248" s="1973"/>
      <c r="O248" s="1973"/>
      <c r="P248" s="1973"/>
      <c r="Q248" s="1973"/>
      <c r="R248" s="1973"/>
      <c r="S248" s="1973"/>
      <c r="T248" s="1973"/>
      <c r="U248" s="1973"/>
      <c r="V248" s="1973"/>
      <c r="W248" s="2012"/>
      <c r="X248" s="1973"/>
      <c r="Y248" s="1973"/>
      <c r="Z248" s="1973"/>
      <c r="AA248" s="2261"/>
      <c r="AB248" s="2261"/>
      <c r="AC248" s="2261">
        <f t="shared" ref="AC248:AP249" si="246">AC242-Y242</f>
        <v>4.8886425915489057E-3</v>
      </c>
      <c r="AD248" s="2261">
        <f t="shared" si="246"/>
        <v>4.5916596138841498E-3</v>
      </c>
      <c r="AE248" s="2261">
        <f t="shared" si="246"/>
        <v>4.4354499795791688E-3</v>
      </c>
      <c r="AF248" s="2261">
        <f t="shared" si="246"/>
        <v>5.1254226233006794E-3</v>
      </c>
      <c r="AG248" s="2261">
        <f t="shared" si="246"/>
        <v>1.8382746189679125E-3</v>
      </c>
      <c r="AH248" s="2261">
        <f t="shared" si="246"/>
        <v>8.6493459562032998E-3</v>
      </c>
      <c r="AI248" s="2261">
        <f t="shared" si="246"/>
        <v>-1.3433081289665263E-3</v>
      </c>
      <c r="AJ248" s="2261">
        <f t="shared" si="246"/>
        <v>-2.1724282080028551E-3</v>
      </c>
      <c r="AK248" s="2261">
        <f t="shared" si="246"/>
        <v>1.1005059079822535E-3</v>
      </c>
      <c r="AL248" s="2261">
        <f t="shared" si="246"/>
        <v>5.4379120205630405E-4</v>
      </c>
      <c r="AM248" s="2261">
        <f t="shared" si="246"/>
        <v>1.0457949812819542E-3</v>
      </c>
      <c r="AN248" s="2261">
        <f t="shared" si="246"/>
        <v>7.8622758335943066E-4</v>
      </c>
      <c r="AO248" s="2261">
        <f t="shared" si="246"/>
        <v>-1.4156973456366032E-3</v>
      </c>
      <c r="AP248" s="2261">
        <f t="shared" si="246"/>
        <v>-1.6359998960968972E-3</v>
      </c>
      <c r="AQ248" s="2067"/>
      <c r="AR248" s="1972"/>
      <c r="AS248" s="2068"/>
      <c r="AT248" s="2069"/>
      <c r="AU248" s="2070"/>
      <c r="AV248" s="2261"/>
      <c r="AW248" s="2261"/>
      <c r="AX248" s="2262">
        <f t="shared" ref="AX248:BC248" si="247">AX242-AW242</f>
        <v>-1.4214646072992287E-2</v>
      </c>
      <c r="AY248" s="2263">
        <f t="shared" si="247"/>
        <v>4.7309881538733153E-3</v>
      </c>
      <c r="AZ248" s="2263">
        <f t="shared" si="247"/>
        <v>-2.5719046726644518E-4</v>
      </c>
      <c r="BA248" s="2264">
        <f t="shared" si="247"/>
        <v>-3.9663615927948426E-4</v>
      </c>
      <c r="BB248" s="2262">
        <f t="shared" si="247"/>
        <v>1.3914982156403022E-4</v>
      </c>
      <c r="BC248" s="2264">
        <f t="shared" si="247"/>
        <v>7.4022960573141838E-4</v>
      </c>
    </row>
    <row r="249" spans="1:55" s="1953" customFormat="1" hidden="1" outlineLevel="1" x14ac:dyDescent="0.3">
      <c r="A249" s="2021" t="s">
        <v>740</v>
      </c>
      <c r="B249" s="2270" t="s">
        <v>924</v>
      </c>
      <c r="C249" s="2079"/>
      <c r="D249" s="2079"/>
      <c r="E249" s="2079"/>
      <c r="F249" s="2079"/>
      <c r="G249" s="2079"/>
      <c r="H249" s="2079"/>
      <c r="I249" s="2079"/>
      <c r="J249" s="2073"/>
      <c r="K249" s="2073"/>
      <c r="L249" s="2073"/>
      <c r="M249" s="2073"/>
      <c r="N249" s="2073"/>
      <c r="O249" s="2073"/>
      <c r="P249" s="2073"/>
      <c r="Q249" s="2073"/>
      <c r="R249" s="2073"/>
      <c r="S249" s="2073"/>
      <c r="T249" s="2073"/>
      <c r="U249" s="2073"/>
      <c r="V249" s="2073"/>
      <c r="W249" s="2212"/>
      <c r="X249" s="2073"/>
      <c r="Y249" s="2073"/>
      <c r="Z249" s="2073"/>
      <c r="AA249" s="2271"/>
      <c r="AB249" s="2271"/>
      <c r="AC249" s="2271"/>
      <c r="AD249" s="2271"/>
      <c r="AE249" s="2271">
        <f t="shared" si="246"/>
        <v>-2.2286969579272745E-2</v>
      </c>
      <c r="AF249" s="2271">
        <f t="shared" si="246"/>
        <v>4.4658968007605521E-3</v>
      </c>
      <c r="AG249" s="2271">
        <f t="shared" si="246"/>
        <v>5.1070371587354571E-3</v>
      </c>
      <c r="AH249" s="2271">
        <f t="shared" si="246"/>
        <v>1.9639036516568752E-2</v>
      </c>
      <c r="AI249" s="2271">
        <f t="shared" si="246"/>
        <v>1.6014260791914106E-2</v>
      </c>
      <c r="AJ249" s="2271">
        <f t="shared" si="246"/>
        <v>1.2430360160124478E-2</v>
      </c>
      <c r="AK249" s="2271">
        <f t="shared" si="246"/>
        <v>1.2099368216841211E-2</v>
      </c>
      <c r="AL249" s="2271">
        <f t="shared" si="246"/>
        <v>9.6296435300079267E-3</v>
      </c>
      <c r="AM249" s="2271">
        <f t="shared" si="246"/>
        <v>9.1718994468889606E-3</v>
      </c>
      <c r="AN249" s="2271">
        <f t="shared" si="246"/>
        <v>9.5419292029101863E-3</v>
      </c>
      <c r="AO249" s="2271">
        <f t="shared" si="246"/>
        <v>8.5158803012700401E-3</v>
      </c>
      <c r="AP249" s="2271">
        <f t="shared" si="246"/>
        <v>1.4637241834906251E-4</v>
      </c>
      <c r="AQ249" s="2213"/>
      <c r="AR249" s="2072"/>
      <c r="AS249" s="2076"/>
      <c r="AT249" s="2077"/>
      <c r="AU249" s="2078"/>
      <c r="AV249" s="2271"/>
      <c r="AW249" s="2271"/>
      <c r="AX249" s="2272"/>
      <c r="AY249" s="2273">
        <f>AY243-AX243</f>
        <v>2.5448817926872341E-3</v>
      </c>
      <c r="AZ249" s="2273">
        <f>AZ243-AY243</f>
        <v>1.2610366254064434E-2</v>
      </c>
      <c r="BA249" s="2274">
        <f>BA243-AZ243</f>
        <v>7.0599204904616755E-3</v>
      </c>
      <c r="BB249" s="2272">
        <f>BB243-BA243</f>
        <v>3.0747305132943145E-3</v>
      </c>
      <c r="BC249" s="2274">
        <f>BC243-BB243</f>
        <v>4.2117249663123149E-3</v>
      </c>
    </row>
    <row r="250" spans="1:55" s="1953" customFormat="1" collapsed="1" x14ac:dyDescent="0.3">
      <c r="A250" s="2042"/>
      <c r="B250" s="1971"/>
      <c r="C250" s="2248"/>
      <c r="D250" s="2248"/>
      <c r="E250" s="2248"/>
      <c r="F250" s="2248"/>
      <c r="G250" s="2248"/>
      <c r="H250" s="2248"/>
      <c r="I250" s="2248"/>
      <c r="J250" s="1973"/>
      <c r="K250" s="1973"/>
      <c r="L250" s="1973"/>
      <c r="M250" s="1973"/>
      <c r="N250" s="1973"/>
      <c r="O250" s="1973"/>
      <c r="P250" s="1973"/>
      <c r="Q250" s="1973"/>
      <c r="R250" s="1973"/>
      <c r="S250" s="1973"/>
      <c r="T250" s="1973"/>
      <c r="U250" s="1973"/>
      <c r="V250" s="1973"/>
      <c r="W250" s="2012"/>
      <c r="X250" s="1973"/>
      <c r="Y250" s="1973"/>
      <c r="Z250" s="1973"/>
      <c r="AA250" s="2261"/>
      <c r="AB250" s="2261"/>
      <c r="AC250" s="2261"/>
      <c r="AD250" s="2261"/>
      <c r="AE250" s="2261"/>
      <c r="AF250" s="2261"/>
      <c r="AG250" s="2261"/>
      <c r="AH250" s="2261"/>
      <c r="AI250" s="2261"/>
      <c r="AJ250" s="2261"/>
      <c r="AK250" s="2261"/>
      <c r="AL250" s="2261"/>
      <c r="AM250" s="2261"/>
      <c r="AN250" s="2261"/>
      <c r="AO250" s="2261"/>
      <c r="AP250" s="2261"/>
      <c r="AQ250" s="2067"/>
      <c r="AR250" s="1972"/>
      <c r="AS250" s="2068"/>
      <c r="AT250" s="2069"/>
      <c r="AU250" s="2070"/>
      <c r="AV250" s="2261"/>
      <c r="AW250" s="2261"/>
      <c r="AX250" s="2262"/>
      <c r="AY250" s="2263"/>
      <c r="AZ250" s="2263"/>
      <c r="BA250" s="2264"/>
      <c r="BB250" s="2262"/>
      <c r="BC250" s="2264"/>
    </row>
    <row r="251" spans="1:55" s="1969" customFormat="1" ht="12.75" x14ac:dyDescent="0.35">
      <c r="A251" s="2042"/>
      <c r="B251" s="1962" t="s">
        <v>982</v>
      </c>
      <c r="C251" s="1963">
        <v>155</v>
      </c>
      <c r="D251" s="1963">
        <v>164</v>
      </c>
      <c r="E251" s="1963">
        <v>165</v>
      </c>
      <c r="F251" s="1963">
        <v>166</v>
      </c>
      <c r="G251" s="1963">
        <v>174</v>
      </c>
      <c r="H251" s="1963">
        <v>190</v>
      </c>
      <c r="I251" s="1963">
        <v>196</v>
      </c>
      <c r="J251" s="1963">
        <v>213</v>
      </c>
      <c r="K251" s="1963">
        <v>236</v>
      </c>
      <c r="L251" s="1963">
        <v>285</v>
      </c>
      <c r="M251" s="1963">
        <v>362</v>
      </c>
      <c r="N251" s="1963">
        <v>388</v>
      </c>
      <c r="O251" s="1963">
        <v>485</v>
      </c>
      <c r="P251" s="1963">
        <v>649</v>
      </c>
      <c r="Q251" s="1963">
        <v>819</v>
      </c>
      <c r="R251" s="1963">
        <v>1066</v>
      </c>
      <c r="S251" s="1963">
        <v>1243</v>
      </c>
      <c r="T251" s="1963">
        <v>1493</v>
      </c>
      <c r="U251" s="1963">
        <v>1764</v>
      </c>
      <c r="V251" s="1963">
        <v>2163</v>
      </c>
      <c r="W251" s="1963">
        <v>2431</v>
      </c>
      <c r="X251" s="1963">
        <v>2975</v>
      </c>
      <c r="Y251" s="1963">
        <v>3599</v>
      </c>
      <c r="Z251" s="1963">
        <v>4385</v>
      </c>
      <c r="AA251" s="1963">
        <v>4698</v>
      </c>
      <c r="AB251" s="1963">
        <v>5667</v>
      </c>
      <c r="AC251" s="1963">
        <v>6611</v>
      </c>
      <c r="AD251" s="1963">
        <v>7726</v>
      </c>
      <c r="AE251" s="1963">
        <v>7787</v>
      </c>
      <c r="AF251" s="1963">
        <v>9291</v>
      </c>
      <c r="AG251" s="1963">
        <v>10721</v>
      </c>
      <c r="AH251" s="1963">
        <v>12217</v>
      </c>
      <c r="AI251" s="1963">
        <v>12345</v>
      </c>
      <c r="AJ251" s="1963">
        <f t="shared" ref="AJ251:AP251" si="248">AJ122</f>
        <v>14481.881700000002</v>
      </c>
      <c r="AK251" s="1963">
        <f t="shared" si="248"/>
        <v>16360.246000000001</v>
      </c>
      <c r="AL251" s="1963">
        <f t="shared" si="248"/>
        <v>18643.142</v>
      </c>
      <c r="AM251" s="1963">
        <f t="shared" si="248"/>
        <v>18484.168499999996</v>
      </c>
      <c r="AN251" s="1963">
        <f t="shared" si="248"/>
        <v>21526.593052965003</v>
      </c>
      <c r="AO251" s="1963">
        <f t="shared" si="248"/>
        <v>23963.670328500008</v>
      </c>
      <c r="AP251" s="1963">
        <f t="shared" si="248"/>
        <v>26700.707972400003</v>
      </c>
      <c r="AQ251" s="1964">
        <v>515</v>
      </c>
      <c r="AR251" s="1965">
        <v>650</v>
      </c>
      <c r="AS251" s="1966">
        <f>SUM(G251:J251)</f>
        <v>773</v>
      </c>
      <c r="AT251" s="1967">
        <f>SUM(K251:N251)</f>
        <v>1271</v>
      </c>
      <c r="AU251" s="1968">
        <f>SUM(O251:R251)</f>
        <v>3019</v>
      </c>
      <c r="AV251" s="1963">
        <f>SUM(S251:V251)</f>
        <v>6663</v>
      </c>
      <c r="AW251" s="1963">
        <f>SUM(W251:Z251)</f>
        <v>13390</v>
      </c>
      <c r="AX251" s="1968">
        <f>SUM(AA251:AD251)</f>
        <v>24702</v>
      </c>
      <c r="AY251" s="1963">
        <f>AY122</f>
        <v>40016</v>
      </c>
      <c r="AZ251" s="1963">
        <f>AZ122</f>
        <v>61830.269700000004</v>
      </c>
      <c r="BA251" s="1967">
        <f>BA122</f>
        <v>90675.13985386501</v>
      </c>
      <c r="BB251" s="1968">
        <f>BB122</f>
        <v>127498.31414851961</v>
      </c>
      <c r="BC251" s="1967">
        <f>BC122</f>
        <v>173499.70589330548</v>
      </c>
    </row>
    <row r="252" spans="1:55" s="2283" customFormat="1" ht="12.75" x14ac:dyDescent="0.35">
      <c r="A252" s="2042"/>
      <c r="B252" s="2275" t="s">
        <v>983</v>
      </c>
      <c r="C252" s="2276"/>
      <c r="D252" s="2276"/>
      <c r="E252" s="2276"/>
      <c r="F252" s="2276"/>
      <c r="G252" s="2276"/>
      <c r="H252" s="2276"/>
      <c r="I252" s="2276"/>
      <c r="J252" s="2276"/>
      <c r="K252" s="2276"/>
      <c r="L252" s="2276"/>
      <c r="M252" s="2276"/>
      <c r="N252" s="2276"/>
      <c r="O252" s="2276"/>
      <c r="P252" s="2276"/>
      <c r="Q252" s="2276"/>
      <c r="R252" s="2276"/>
      <c r="S252" s="2276"/>
      <c r="T252" s="2276"/>
      <c r="U252" s="2276"/>
      <c r="V252" s="2276"/>
      <c r="W252" s="2276"/>
      <c r="X252" s="2276"/>
      <c r="Y252" s="2276"/>
      <c r="Z252" s="2276"/>
      <c r="AA252" s="2276"/>
      <c r="AB252" s="2276"/>
      <c r="AC252" s="2276"/>
      <c r="AD252" s="2276"/>
      <c r="AE252" s="2276"/>
      <c r="AF252" s="2276"/>
      <c r="AG252" s="2276"/>
      <c r="AH252" s="2261"/>
      <c r="AI252" s="2261"/>
      <c r="AJ252" s="2276"/>
      <c r="AK252" s="2276"/>
      <c r="AL252" s="2276"/>
      <c r="AM252" s="2276"/>
      <c r="AN252" s="2276"/>
      <c r="AO252" s="2276"/>
      <c r="AP252" s="2276"/>
      <c r="AQ252" s="2277"/>
      <c r="AR252" s="2278"/>
      <c r="AS252" s="2279"/>
      <c r="AT252" s="2280"/>
      <c r="AU252" s="2281">
        <f t="shared" ref="AU252:BC252" si="249">AU251/AU6</f>
        <v>468.20719602977664</v>
      </c>
      <c r="AV252" s="2282">
        <f t="shared" si="249"/>
        <v>968.00906555090648</v>
      </c>
      <c r="AW252" s="2282">
        <f t="shared" si="249"/>
        <v>2134.680993527405</v>
      </c>
      <c r="AX252" s="2281">
        <f t="shared" si="249"/>
        <v>3680.7128382405531</v>
      </c>
      <c r="AY252" s="2282">
        <f t="shared" si="249"/>
        <v>5651.3388317704212</v>
      </c>
      <c r="AZ252" s="2282">
        <f t="shared" si="249"/>
        <v>8587.5374583333341</v>
      </c>
      <c r="BA252" s="1987">
        <f t="shared" si="249"/>
        <v>12593.769424147918</v>
      </c>
      <c r="BB252" s="2281">
        <f t="shared" si="249"/>
        <v>17708.099187294389</v>
      </c>
      <c r="BC252" s="1987">
        <f t="shared" si="249"/>
        <v>24097.181374070205</v>
      </c>
    </row>
    <row r="253" spans="1:55" s="1999" customFormat="1" x14ac:dyDescent="0.3">
      <c r="A253" s="2042"/>
      <c r="B253" s="1980" t="s">
        <v>984</v>
      </c>
      <c r="C253" s="2058"/>
      <c r="D253" s="2058"/>
      <c r="E253" s="2058"/>
      <c r="F253" s="2058"/>
      <c r="G253" s="2058"/>
      <c r="H253" s="2058"/>
      <c r="I253" s="2058"/>
      <c r="J253" s="1992"/>
      <c r="K253" s="1992"/>
      <c r="L253" s="1992"/>
      <c r="M253" s="1992"/>
      <c r="N253" s="1992"/>
      <c r="O253" s="1992">
        <v>-553</v>
      </c>
      <c r="P253" s="1992">
        <v>-733</v>
      </c>
      <c r="Q253" s="1992">
        <v>-712</v>
      </c>
      <c r="R253" s="1992">
        <v>-607</v>
      </c>
      <c r="S253" s="1994">
        <v>-439</v>
      </c>
      <c r="T253" s="1994">
        <v>-398</v>
      </c>
      <c r="U253" s="1994">
        <v>-339</v>
      </c>
      <c r="V253" s="1994">
        <v>-505</v>
      </c>
      <c r="W253" s="1994">
        <v>-532</v>
      </c>
      <c r="X253" s="1994">
        <v>-697</v>
      </c>
      <c r="Y253" s="1994">
        <f t="shared" ref="Y253:AP253" si="250">Y256-Y254-Y255</f>
        <v>-793</v>
      </c>
      <c r="Z253" s="1994">
        <f t="shared" si="250"/>
        <v>-1063</v>
      </c>
      <c r="AA253" s="1994">
        <f t="shared" si="250"/>
        <v>-2074</v>
      </c>
      <c r="AB253" s="1994">
        <f t="shared" si="250"/>
        <v>-1165</v>
      </c>
      <c r="AC253" s="1994">
        <f t="shared" si="250"/>
        <v>-1233</v>
      </c>
      <c r="AD253" s="1994">
        <f t="shared" si="250"/>
        <v>-1036</v>
      </c>
      <c r="AE253" s="1994">
        <f t="shared" si="250"/>
        <v>-1509</v>
      </c>
      <c r="AF253" s="1994">
        <f t="shared" si="250"/>
        <v>-1928</v>
      </c>
      <c r="AG253" s="1994">
        <f t="shared" si="250"/>
        <v>-1822</v>
      </c>
      <c r="AH253" s="1994">
        <f t="shared" si="250"/>
        <v>-1757</v>
      </c>
      <c r="AI253" s="1994">
        <f t="shared" si="250"/>
        <v>-1774</v>
      </c>
      <c r="AJ253" s="1994">
        <f t="shared" si="250"/>
        <v>-1750.1376340000002</v>
      </c>
      <c r="AK253" s="1994">
        <f t="shared" si="250"/>
        <v>-1816.7749199999998</v>
      </c>
      <c r="AL253" s="1994">
        <f t="shared" si="250"/>
        <v>-1892.0842399999999</v>
      </c>
      <c r="AM253" s="1994">
        <f t="shared" si="250"/>
        <v>-1626.7644564999998</v>
      </c>
      <c r="AN253" s="1994">
        <f t="shared" si="250"/>
        <v>-1549.6170501399999</v>
      </c>
      <c r="AO253" s="1994">
        <f t="shared" si="250"/>
        <v>-1804.6799239264001</v>
      </c>
      <c r="AP253" s="1994">
        <f t="shared" si="250"/>
        <v>-1714.1271927098142</v>
      </c>
      <c r="AQ253" s="1993"/>
      <c r="AR253" s="1994"/>
      <c r="AS253" s="1995"/>
      <c r="AT253" s="2023"/>
      <c r="AU253" s="2024">
        <f>SUM(O253:R253)</f>
        <v>-2605</v>
      </c>
      <c r="AV253" s="2025">
        <f>SUM(S253:V253)</f>
        <v>-1681</v>
      </c>
      <c r="AW253" s="1995">
        <f t="shared" ref="AW253:BC253" si="251">AW256-AW254-AW255</f>
        <v>-3085</v>
      </c>
      <c r="AX253" s="1997">
        <f t="shared" si="251"/>
        <v>-5508</v>
      </c>
      <c r="AY253" s="1995">
        <f t="shared" si="251"/>
        <v>-7016</v>
      </c>
      <c r="AZ253" s="1995">
        <f t="shared" si="251"/>
        <v>-7232.9967940000006</v>
      </c>
      <c r="BA253" s="1996">
        <f t="shared" si="251"/>
        <v>-6695.1886232762135</v>
      </c>
      <c r="BB253" s="1997">
        <f t="shared" si="251"/>
        <v>-5272.7257730254778</v>
      </c>
      <c r="BC253" s="1996">
        <f t="shared" si="251"/>
        <v>-3404.3002423700977</v>
      </c>
    </row>
    <row r="254" spans="1:55" s="1953" customFormat="1" x14ac:dyDescent="0.3">
      <c r="A254" s="2042"/>
      <c r="B254" s="2238" t="s">
        <v>985</v>
      </c>
      <c r="C254" s="1972"/>
      <c r="D254" s="1972"/>
      <c r="E254" s="1972"/>
      <c r="F254" s="1972"/>
      <c r="G254" s="1972"/>
      <c r="H254" s="1972"/>
      <c r="I254" s="1972"/>
      <c r="J254" s="1973"/>
      <c r="K254" s="1973"/>
      <c r="L254" s="1973"/>
      <c r="M254" s="1973"/>
      <c r="N254" s="1973"/>
      <c r="O254" s="1973">
        <v>184</v>
      </c>
      <c r="P254" s="1973">
        <v>346</v>
      </c>
      <c r="Q254" s="1973">
        <v>379</v>
      </c>
      <c r="R254" s="1973">
        <v>440</v>
      </c>
      <c r="S254" s="1974">
        <v>280</v>
      </c>
      <c r="T254" s="1974">
        <v>340</v>
      </c>
      <c r="U254" s="1974">
        <v>246</v>
      </c>
      <c r="V254" s="1974">
        <v>335</v>
      </c>
      <c r="W254" s="1974">
        <v>428</v>
      </c>
      <c r="X254" s="1974">
        <v>531</v>
      </c>
      <c r="Y254" s="1974">
        <f>1567-X254-W254</f>
        <v>608</v>
      </c>
      <c r="Z254" s="1974">
        <v>707</v>
      </c>
      <c r="AA254" s="1974">
        <v>1581</v>
      </c>
      <c r="AB254" s="1974">
        <v>928</v>
      </c>
      <c r="AC254" s="1974">
        <v>954</v>
      </c>
      <c r="AD254" s="1974">
        <v>869</v>
      </c>
      <c r="AE254" s="1974">
        <v>1147</v>
      </c>
      <c r="AF254" s="1974">
        <v>1400</v>
      </c>
      <c r="AG254" s="1974">
        <v>1460</v>
      </c>
      <c r="AH254" s="1974">
        <v>1570</v>
      </c>
      <c r="AI254" s="1974">
        <v>1425</v>
      </c>
      <c r="AJ254" s="1974">
        <f>AI254*1.02</f>
        <v>1453.5</v>
      </c>
      <c r="AK254" s="1974">
        <f>AJ254*1.02</f>
        <v>1482.57</v>
      </c>
      <c r="AL254" s="1974">
        <f>AK254*1.02</f>
        <v>1512.2213999999999</v>
      </c>
      <c r="AM254" s="1974">
        <f>AL254*1.01</f>
        <v>1527.3436139999999</v>
      </c>
      <c r="AN254" s="1974">
        <f>AM254*1.01</f>
        <v>1542.6170501399999</v>
      </c>
      <c r="AO254" s="1974">
        <f>AN254*1.01</f>
        <v>1558.0432206414</v>
      </c>
      <c r="AP254" s="1974">
        <f>AO254*1.01</f>
        <v>1573.6236528478141</v>
      </c>
      <c r="AQ254" s="1976"/>
      <c r="AR254" s="1974"/>
      <c r="AS254" s="1948"/>
      <c r="AT254" s="1977"/>
      <c r="AU254" s="1978">
        <f>SUM(O254:R254)</f>
        <v>1349</v>
      </c>
      <c r="AV254" s="1979">
        <f>SUM(S254:V254)</f>
        <v>1201</v>
      </c>
      <c r="AW254" s="1948">
        <f>SUM(W254:Z254)</f>
        <v>2274</v>
      </c>
      <c r="AX254" s="1949">
        <f>SUM(AA254:AD254)</f>
        <v>4332</v>
      </c>
      <c r="AY254" s="1948">
        <f>SUM(AE254:AH254)</f>
        <v>5577</v>
      </c>
      <c r="AZ254" s="1948">
        <f>SUM(AI254:AL254)</f>
        <v>5873.2914000000001</v>
      </c>
      <c r="BA254" s="1981">
        <f>SUM(AM254:AP254)</f>
        <v>6201.6275376292133</v>
      </c>
      <c r="BB254" s="1949">
        <f>BA254*1.05</f>
        <v>6511.7089145106738</v>
      </c>
      <c r="BC254" s="1981">
        <f>BB254*1.05</f>
        <v>6837.2943602362075</v>
      </c>
    </row>
    <row r="255" spans="1:55" s="1953" customFormat="1" x14ac:dyDescent="0.3">
      <c r="A255" s="2042"/>
      <c r="B255" s="2238" t="s">
        <v>986</v>
      </c>
      <c r="C255" s="1972"/>
      <c r="D255" s="1972"/>
      <c r="E255" s="1972"/>
      <c r="F255" s="1972"/>
      <c r="G255" s="1972"/>
      <c r="H255" s="1972"/>
      <c r="I255" s="1972"/>
      <c r="J255" s="1973"/>
      <c r="K255" s="1973"/>
      <c r="L255" s="1973"/>
      <c r="M255" s="1973"/>
      <c r="N255" s="1973"/>
      <c r="O255" s="1973">
        <v>1</v>
      </c>
      <c r="P255" s="1973">
        <v>1</v>
      </c>
      <c r="Q255" s="1973">
        <v>1</v>
      </c>
      <c r="R255" s="1973">
        <v>1</v>
      </c>
      <c r="S255" s="1974">
        <v>1</v>
      </c>
      <c r="T255" s="1974">
        <v>1</v>
      </c>
      <c r="U255" s="1974">
        <v>1</v>
      </c>
      <c r="V255" s="1974">
        <v>1</v>
      </c>
      <c r="W255" s="1974">
        <v>1</v>
      </c>
      <c r="X255" s="1974">
        <v>4</v>
      </c>
      <c r="Y255" s="1974">
        <f>9-X255-W255</f>
        <v>4</v>
      </c>
      <c r="Z255" s="1974">
        <v>3</v>
      </c>
      <c r="AA255" s="1974">
        <v>5</v>
      </c>
      <c r="AB255" s="1974">
        <f>AA255</f>
        <v>5</v>
      </c>
      <c r="AC255" s="1974">
        <v>5</v>
      </c>
      <c r="AD255" s="1974">
        <v>3</v>
      </c>
      <c r="AE255" s="1974">
        <v>4</v>
      </c>
      <c r="AF255" s="1974">
        <v>7</v>
      </c>
      <c r="AG255" s="1974">
        <v>6</v>
      </c>
      <c r="AH255" s="1974">
        <v>8</v>
      </c>
      <c r="AI255" s="1974">
        <v>7</v>
      </c>
      <c r="AJ255" s="1974">
        <f t="shared" ref="AJ255:AP255" si="252">AI255</f>
        <v>7</v>
      </c>
      <c r="AK255" s="1974">
        <f t="shared" si="252"/>
        <v>7</v>
      </c>
      <c r="AL255" s="1974">
        <f t="shared" si="252"/>
        <v>7</v>
      </c>
      <c r="AM255" s="1974">
        <f t="shared" si="252"/>
        <v>7</v>
      </c>
      <c r="AN255" s="1974">
        <f t="shared" si="252"/>
        <v>7</v>
      </c>
      <c r="AO255" s="1974">
        <f t="shared" si="252"/>
        <v>7</v>
      </c>
      <c r="AP255" s="1974">
        <f t="shared" si="252"/>
        <v>7</v>
      </c>
      <c r="AQ255" s="1976"/>
      <c r="AR255" s="1974"/>
      <c r="AS255" s="1948"/>
      <c r="AT255" s="1977"/>
      <c r="AU255" s="1978">
        <f>SUM(O255:R255)</f>
        <v>4</v>
      </c>
      <c r="AV255" s="1979">
        <f>SUM(S255:V255)</f>
        <v>4</v>
      </c>
      <c r="AW255" s="1948">
        <f>SUM(W255:Z255)</f>
        <v>12</v>
      </c>
      <c r="AX255" s="1949">
        <f>SUM(AA255:AD255)</f>
        <v>18</v>
      </c>
      <c r="AY255" s="1948">
        <f>SUM(AE255:AH255)</f>
        <v>25</v>
      </c>
      <c r="AZ255" s="1948">
        <f>SUM(AI255:AL255)</f>
        <v>28</v>
      </c>
      <c r="BA255" s="1981">
        <f>SUM(AM255:AP255)</f>
        <v>28</v>
      </c>
      <c r="BB255" s="1949">
        <v>36</v>
      </c>
      <c r="BC255" s="1981">
        <v>37</v>
      </c>
    </row>
    <row r="256" spans="1:55" s="1999" customFormat="1" x14ac:dyDescent="0.3">
      <c r="A256" s="2042"/>
      <c r="B256" s="1980" t="s">
        <v>987</v>
      </c>
      <c r="C256" s="2058"/>
      <c r="D256" s="2058"/>
      <c r="E256" s="2058"/>
      <c r="F256" s="2058"/>
      <c r="G256" s="2058"/>
      <c r="H256" s="2058"/>
      <c r="I256" s="2058"/>
      <c r="J256" s="1992"/>
      <c r="K256" s="1992"/>
      <c r="L256" s="1992"/>
      <c r="M256" s="1992"/>
      <c r="N256" s="1992"/>
      <c r="O256" s="1992">
        <f t="shared" ref="O256:X256" si="253">SUM(O253:O255)</f>
        <v>-368</v>
      </c>
      <c r="P256" s="1992">
        <f t="shared" si="253"/>
        <v>-386</v>
      </c>
      <c r="Q256" s="1992">
        <f t="shared" si="253"/>
        <v>-332</v>
      </c>
      <c r="R256" s="1992">
        <f t="shared" si="253"/>
        <v>-166</v>
      </c>
      <c r="S256" s="1994">
        <f t="shared" si="253"/>
        <v>-158</v>
      </c>
      <c r="T256" s="1994">
        <f t="shared" si="253"/>
        <v>-57</v>
      </c>
      <c r="U256" s="1994">
        <f t="shared" si="253"/>
        <v>-92</v>
      </c>
      <c r="V256" s="1994">
        <f t="shared" si="253"/>
        <v>-169</v>
      </c>
      <c r="W256" s="1994">
        <f t="shared" si="253"/>
        <v>-103</v>
      </c>
      <c r="X256" s="1994">
        <f t="shared" si="253"/>
        <v>-162</v>
      </c>
      <c r="Y256" s="1994">
        <v>-181</v>
      </c>
      <c r="Z256" s="1994">
        <v>-353</v>
      </c>
      <c r="AA256" s="1994">
        <v>-488</v>
      </c>
      <c r="AB256" s="1994">
        <v>-232</v>
      </c>
      <c r="AC256" s="1994">
        <v>-274</v>
      </c>
      <c r="AD256" s="1994">
        <v>-164</v>
      </c>
      <c r="AE256" s="1994">
        <v>-358</v>
      </c>
      <c r="AF256" s="1994">
        <v>-521</v>
      </c>
      <c r="AG256" s="1994">
        <v>-356</v>
      </c>
      <c r="AH256" s="1994">
        <v>-179</v>
      </c>
      <c r="AI256" s="1994">
        <v>-342</v>
      </c>
      <c r="AJ256" s="1994">
        <f t="shared" ref="AJ256:AP256" si="254">AJ258*AJ251</f>
        <v>-289.63763400000005</v>
      </c>
      <c r="AK256" s="1994">
        <f t="shared" si="254"/>
        <v>-327.20492000000002</v>
      </c>
      <c r="AL256" s="1994">
        <f t="shared" si="254"/>
        <v>-372.86284000000001</v>
      </c>
      <c r="AM256" s="1994">
        <f t="shared" si="254"/>
        <v>-92.420842499999978</v>
      </c>
      <c r="AN256" s="1994">
        <f t="shared" si="254"/>
        <v>0</v>
      </c>
      <c r="AO256" s="1994">
        <f t="shared" si="254"/>
        <v>-239.63670328500007</v>
      </c>
      <c r="AP256" s="1994">
        <f t="shared" si="254"/>
        <v>-133.50353986200003</v>
      </c>
      <c r="AQ256" s="1993"/>
      <c r="AR256" s="1994"/>
      <c r="AS256" s="1995"/>
      <c r="AT256" s="2023"/>
      <c r="AU256" s="2024">
        <f>SUM(O256:R256)</f>
        <v>-1252</v>
      </c>
      <c r="AV256" s="2025">
        <f>SUM(S256:V256)</f>
        <v>-476</v>
      </c>
      <c r="AW256" s="1994">
        <f>SUM(W256:Z256)</f>
        <v>-799</v>
      </c>
      <c r="AX256" s="1993">
        <f>SUM(AA256:AD256)</f>
        <v>-1158</v>
      </c>
      <c r="AY256" s="1994">
        <f>SUM(AE256:AH256)</f>
        <v>-1414</v>
      </c>
      <c r="AZ256" s="1994">
        <f>SUM(AI256:AL256)</f>
        <v>-1331.7053940000001</v>
      </c>
      <c r="BA256" s="1998">
        <f>SUM(AM256:AP256)</f>
        <v>-465.56108564700008</v>
      </c>
      <c r="BB256" s="1993">
        <f>BB258*BB251</f>
        <v>1274.983141485196</v>
      </c>
      <c r="BC256" s="1998">
        <f>BC258*BC251</f>
        <v>3469.9941178661097</v>
      </c>
    </row>
    <row r="257" spans="1:71" s="1953" customFormat="1" x14ac:dyDescent="0.3">
      <c r="A257" s="2042"/>
      <c r="B257" s="2238" t="s">
        <v>967</v>
      </c>
      <c r="C257" s="1972"/>
      <c r="D257" s="1972"/>
      <c r="E257" s="1972"/>
      <c r="F257" s="1972"/>
      <c r="G257" s="1972"/>
      <c r="H257" s="1972"/>
      <c r="I257" s="1972"/>
      <c r="J257" s="1973"/>
      <c r="K257" s="1973"/>
      <c r="L257" s="1973"/>
      <c r="M257" s="1973"/>
      <c r="N257" s="1973"/>
      <c r="O257" s="1973">
        <v>-59.354838709677416</v>
      </c>
      <c r="P257" s="1973">
        <v>-60.726534662396823</v>
      </c>
      <c r="Q257" s="1973">
        <v>-51.256578756911672</v>
      </c>
      <c r="R257" s="1973">
        <f t="shared" ref="R257:AP257" si="255">R256/R$6</f>
        <v>-25.744416873449129</v>
      </c>
      <c r="S257" s="1974">
        <f t="shared" si="255"/>
        <v>-23.774056185016324</v>
      </c>
      <c r="T257" s="1974">
        <f t="shared" si="255"/>
        <v>-8.5476493964159861</v>
      </c>
      <c r="U257" s="1974">
        <f t="shared" si="255"/>
        <v>-13.250756157280716</v>
      </c>
      <c r="V257" s="1974">
        <f t="shared" si="255"/>
        <v>-24.552533705253371</v>
      </c>
      <c r="W257" s="1974">
        <f t="shared" si="255"/>
        <v>-15.193309043706577</v>
      </c>
      <c r="X257" s="1974">
        <f t="shared" si="255"/>
        <v>-24.34881938286264</v>
      </c>
      <c r="Y257" s="1974">
        <f t="shared" si="255"/>
        <v>-27.819190630619552</v>
      </c>
      <c r="Z257" s="1974">
        <f t="shared" si="255"/>
        <v>-56.276504160953991</v>
      </c>
      <c r="AA257" s="1974">
        <f t="shared" si="255"/>
        <v>-73.74831874990555</v>
      </c>
      <c r="AB257" s="1974">
        <f t="shared" si="255"/>
        <v>-33.7798485730926</v>
      </c>
      <c r="AC257" s="1974">
        <f t="shared" si="255"/>
        <v>-39.851647152934333</v>
      </c>
      <c r="AD257" s="1974">
        <f t="shared" si="255"/>
        <v>-24.436762426987723</v>
      </c>
      <c r="AE257" s="1974">
        <f t="shared" si="255"/>
        <v>-52.148579752367077</v>
      </c>
      <c r="AF257" s="1974">
        <f t="shared" si="255"/>
        <v>-72.890580186633457</v>
      </c>
      <c r="AG257" s="1974">
        <f t="shared" si="255"/>
        <v>-51.136200407940471</v>
      </c>
      <c r="AH257" s="1974">
        <f t="shared" si="255"/>
        <v>-25.279629420404476</v>
      </c>
      <c r="AI257" s="1974">
        <f t="shared" si="255"/>
        <v>-48.406958146381506</v>
      </c>
      <c r="AJ257" s="1974">
        <f t="shared" si="255"/>
        <v>-41.376804857142865</v>
      </c>
      <c r="AK257" s="1974">
        <f t="shared" si="255"/>
        <v>-46.085200000000007</v>
      </c>
      <c r="AL257" s="1974">
        <f t="shared" si="255"/>
        <v>-51.786505555555557</v>
      </c>
      <c r="AM257" s="1974">
        <f t="shared" si="255"/>
        <v>-12.836228124999996</v>
      </c>
      <c r="AN257" s="1974">
        <f t="shared" si="255"/>
        <v>0</v>
      </c>
      <c r="AO257" s="1974">
        <f t="shared" si="255"/>
        <v>-33.282875456250011</v>
      </c>
      <c r="AP257" s="1974">
        <f t="shared" si="255"/>
        <v>-18.54215831416667</v>
      </c>
      <c r="AQ257" s="1976"/>
      <c r="AR257" s="1974"/>
      <c r="AS257" s="1948"/>
      <c r="AT257" s="1977"/>
      <c r="AU257" s="1978">
        <f>SUM(O257:R257)</f>
        <v>-197.08236900243503</v>
      </c>
      <c r="AV257" s="1974">
        <f>SUM(S257:V257)</f>
        <v>-70.124995443966398</v>
      </c>
      <c r="AW257" s="1948">
        <f>AW256/AW$6</f>
        <v>-127.37939610368906</v>
      </c>
      <c r="AX257" s="1949">
        <f>AX256/AX$6</f>
        <v>-172.54738347836454</v>
      </c>
      <c r="AY257" s="1948">
        <f>AY256/AY$6</f>
        <v>-199.69494972319512</v>
      </c>
      <c r="AZ257" s="1974">
        <f>SUM(AI257:AL257)</f>
        <v>-187.65546855907994</v>
      </c>
      <c r="BA257" s="1981">
        <f>BA256/BA$6</f>
        <v>-64.661261895416672</v>
      </c>
      <c r="BB257" s="1949">
        <f>BB256/BB$6</f>
        <v>177.08099187294388</v>
      </c>
      <c r="BC257" s="1981">
        <f>BC256/BC$6</f>
        <v>481.94362748140412</v>
      </c>
    </row>
    <row r="258" spans="1:71" s="2292" customFormat="1" x14ac:dyDescent="0.3">
      <c r="A258" s="1970" t="s">
        <v>988</v>
      </c>
      <c r="B258" s="2284" t="s">
        <v>968</v>
      </c>
      <c r="C258" s="2285"/>
      <c r="D258" s="2285"/>
      <c r="E258" s="2285"/>
      <c r="F258" s="2285"/>
      <c r="G258" s="2285"/>
      <c r="H258" s="2285"/>
      <c r="I258" s="2285"/>
      <c r="J258" s="2285"/>
      <c r="K258" s="2285"/>
      <c r="L258" s="2285"/>
      <c r="M258" s="2285"/>
      <c r="N258" s="2286"/>
      <c r="O258" s="2286">
        <f t="shared" ref="O258:AI258" si="256">O256/O251</f>
        <v>-0.75876288659793811</v>
      </c>
      <c r="P258" s="2286">
        <f t="shared" si="256"/>
        <v>-0.59476117103235748</v>
      </c>
      <c r="Q258" s="2286">
        <f t="shared" si="256"/>
        <v>-0.40537240537240538</v>
      </c>
      <c r="R258" s="2286">
        <f t="shared" si="256"/>
        <v>-0.15572232645403378</v>
      </c>
      <c r="S258" s="2286">
        <f t="shared" si="256"/>
        <v>-0.12711182622687048</v>
      </c>
      <c r="T258" s="2286">
        <f t="shared" si="256"/>
        <v>-3.8178164768921635E-2</v>
      </c>
      <c r="U258" s="2286">
        <f t="shared" si="256"/>
        <v>-5.2154195011337869E-2</v>
      </c>
      <c r="V258" s="2286">
        <f t="shared" si="256"/>
        <v>-7.8132223763291722E-2</v>
      </c>
      <c r="W258" s="2286">
        <f t="shared" si="256"/>
        <v>-4.2369395310571781E-2</v>
      </c>
      <c r="X258" s="2286">
        <f t="shared" si="256"/>
        <v>-5.4453781512605041E-2</v>
      </c>
      <c r="Y258" s="2286">
        <f t="shared" si="256"/>
        <v>-5.029174770769658E-2</v>
      </c>
      <c r="Z258" s="2286">
        <f t="shared" si="256"/>
        <v>-8.0501710376282787E-2</v>
      </c>
      <c r="AA258" s="2286">
        <f t="shared" si="256"/>
        <v>-0.1038739889314602</v>
      </c>
      <c r="AB258" s="2286">
        <f t="shared" si="256"/>
        <v>-4.0938768307746606E-2</v>
      </c>
      <c r="AC258" s="2286">
        <f t="shared" si="256"/>
        <v>-4.1446074723944938E-2</v>
      </c>
      <c r="AD258" s="2286">
        <f t="shared" si="256"/>
        <v>-2.1227025627750452E-2</v>
      </c>
      <c r="AE258" s="2287">
        <f t="shared" si="256"/>
        <v>-4.5974059329651984E-2</v>
      </c>
      <c r="AF258" s="2287">
        <f t="shared" si="256"/>
        <v>-5.6075772252717683E-2</v>
      </c>
      <c r="AG258" s="2286">
        <f t="shared" si="256"/>
        <v>-3.3205857662531479E-2</v>
      </c>
      <c r="AH258" s="2287">
        <f t="shared" si="256"/>
        <v>-1.465171482360645E-2</v>
      </c>
      <c r="AI258" s="2287">
        <f t="shared" si="256"/>
        <v>-2.7703523693803158E-2</v>
      </c>
      <c r="AJ258" s="2287">
        <v>-0.02</v>
      </c>
      <c r="AK258" s="2287">
        <v>-0.02</v>
      </c>
      <c r="AL258" s="2287">
        <v>-0.02</v>
      </c>
      <c r="AM258" s="2287">
        <v>-5.0000000000000001E-3</v>
      </c>
      <c r="AN258" s="2287">
        <v>0</v>
      </c>
      <c r="AO258" s="2287">
        <v>-0.01</v>
      </c>
      <c r="AP258" s="2287">
        <v>-5.0000000000000001E-3</v>
      </c>
      <c r="AQ258" s="2288"/>
      <c r="AR258" s="2286"/>
      <c r="AS258" s="2287"/>
      <c r="AT258" s="2289"/>
      <c r="AU258" s="2290">
        <f t="shared" ref="AU258:BA258" si="257">AU256/AU251</f>
        <v>-0.41470685657502482</v>
      </c>
      <c r="AV258" s="2287">
        <f t="shared" si="257"/>
        <v>-7.1439291610385716E-2</v>
      </c>
      <c r="AW258" s="2287">
        <f t="shared" si="257"/>
        <v>-5.9671396564600451E-2</v>
      </c>
      <c r="AX258" s="2290">
        <f t="shared" si="257"/>
        <v>-4.6878795239251883E-2</v>
      </c>
      <c r="AY258" s="2287">
        <f t="shared" si="257"/>
        <v>-3.5335865653738502E-2</v>
      </c>
      <c r="AZ258" s="2287">
        <f t="shared" si="257"/>
        <v>-2.1538081597596525E-2</v>
      </c>
      <c r="BA258" s="2289">
        <f t="shared" si="257"/>
        <v>-5.1343850850113209E-3</v>
      </c>
      <c r="BB258" s="2290">
        <v>0.01</v>
      </c>
      <c r="BC258" s="2289">
        <v>0.02</v>
      </c>
      <c r="BD258" s="2291"/>
      <c r="BE258" s="2291"/>
      <c r="BF258" s="2291"/>
      <c r="BG258" s="2291"/>
      <c r="BH258" s="2291"/>
      <c r="BI258" s="2291"/>
      <c r="BJ258" s="2291"/>
      <c r="BK258" s="2291"/>
      <c r="BL258" s="2291"/>
      <c r="BM258" s="2291"/>
      <c r="BN258" s="2291"/>
      <c r="BO258" s="2291"/>
      <c r="BP258" s="2291"/>
      <c r="BQ258" s="2291"/>
      <c r="BR258" s="2291"/>
      <c r="BS258" s="2291"/>
    </row>
    <row r="259" spans="1:71" s="1953" customFormat="1" x14ac:dyDescent="0.3">
      <c r="A259" s="2042"/>
      <c r="B259" s="2238"/>
      <c r="C259" s="1972"/>
      <c r="D259" s="1972"/>
      <c r="E259" s="1972"/>
      <c r="F259" s="1972"/>
      <c r="G259" s="1972"/>
      <c r="H259" s="1972"/>
      <c r="I259" s="1972"/>
      <c r="J259" s="1973"/>
      <c r="K259" s="1973"/>
      <c r="L259" s="1973"/>
      <c r="M259" s="1973"/>
      <c r="N259" s="1973"/>
      <c r="O259" s="1973"/>
      <c r="P259" s="1973"/>
      <c r="Q259" s="1973"/>
      <c r="R259" s="1973"/>
      <c r="S259" s="2293"/>
      <c r="T259" s="2293"/>
      <c r="U259" s="2293"/>
      <c r="V259" s="2293"/>
      <c r="W259" s="2293"/>
      <c r="X259" s="2293"/>
      <c r="Y259" s="2293"/>
      <c r="Z259" s="2012"/>
      <c r="AA259" s="2012"/>
      <c r="AB259" s="2012"/>
      <c r="AC259" s="2012"/>
      <c r="AD259" s="2012"/>
      <c r="AE259" s="2012"/>
      <c r="AF259" s="2012"/>
      <c r="AG259" s="2012"/>
      <c r="AH259" s="2012"/>
      <c r="AI259" s="2012"/>
      <c r="AJ259" s="2012"/>
      <c r="AK259" s="2012"/>
      <c r="AL259" s="2012"/>
      <c r="AM259" s="2012"/>
      <c r="AN259" s="2012"/>
      <c r="AO259" s="2012"/>
      <c r="AP259" s="2012"/>
      <c r="AQ259" s="2294">
        <f>AQ260/AA260-1</f>
        <v>-1</v>
      </c>
      <c r="AR259" s="2293">
        <f>AR260/AB260-1</f>
        <v>-1</v>
      </c>
      <c r="AS259" s="2295">
        <f>AS260/AC260-1</f>
        <v>-1</v>
      </c>
      <c r="AT259" s="2296">
        <f>AT260/AD260-1</f>
        <v>-1</v>
      </c>
      <c r="AU259" s="2297"/>
      <c r="AV259" s="2298"/>
      <c r="AW259" s="2299"/>
      <c r="AX259" s="2300"/>
      <c r="AY259" s="2299"/>
      <c r="AZ259" s="2299"/>
      <c r="BA259" s="2301"/>
      <c r="BB259" s="2300"/>
      <c r="BC259" s="2301"/>
    </row>
    <row r="260" spans="1:71" s="1969" customFormat="1" ht="12.75" x14ac:dyDescent="0.35">
      <c r="A260" s="2042"/>
      <c r="B260" s="1962" t="s">
        <v>989</v>
      </c>
      <c r="C260" s="1963"/>
      <c r="D260" s="1963"/>
      <c r="E260" s="1963"/>
      <c r="F260" s="1963"/>
      <c r="G260" s="1963"/>
      <c r="H260" s="1963"/>
      <c r="I260" s="1963"/>
      <c r="J260" s="1963"/>
      <c r="K260" s="1963"/>
      <c r="L260" s="1963"/>
      <c r="M260" s="1963"/>
      <c r="N260" s="1963"/>
      <c r="O260" s="1963">
        <v>812</v>
      </c>
      <c r="P260" s="1963">
        <v>898</v>
      </c>
      <c r="Q260" s="1963">
        <v>1088</v>
      </c>
      <c r="R260" s="1963">
        <v>1174</v>
      </c>
      <c r="S260" s="1963">
        <v>3135</v>
      </c>
      <c r="T260" s="1963">
        <v>3608</v>
      </c>
      <c r="U260" s="1963">
        <v>4063</v>
      </c>
      <c r="V260" s="1963">
        <v>3927</v>
      </c>
      <c r="W260" s="1963">
        <v>4081</v>
      </c>
      <c r="X260" s="1963">
        <v>4798</v>
      </c>
      <c r="Y260" s="1963">
        <v>5413</v>
      </c>
      <c r="Z260" s="1963">
        <v>5272</v>
      </c>
      <c r="AA260" s="1963">
        <v>5975</v>
      </c>
      <c r="AB260" s="1963">
        <v>5940</v>
      </c>
      <c r="AC260" s="1963">
        <v>6491</v>
      </c>
      <c r="AD260" s="1963">
        <v>5671</v>
      </c>
      <c r="AE260" s="1963">
        <v>6426</v>
      </c>
      <c r="AF260" s="1963">
        <v>7296</v>
      </c>
      <c r="AG260" s="1963">
        <v>7396</v>
      </c>
      <c r="AH260" s="1963">
        <v>5944</v>
      </c>
      <c r="AI260" s="1963">
        <v>6994</v>
      </c>
      <c r="AJ260" s="2302">
        <f t="shared" ref="AJ260:AP260" si="258">AJ263+AJ272+AJ275+AJ278</f>
        <v>9766.9648220430445</v>
      </c>
      <c r="AK260" s="1963">
        <f t="shared" si="258"/>
        <v>9582.0403319549405</v>
      </c>
      <c r="AL260" s="1963">
        <f t="shared" si="258"/>
        <v>9395.359006237728</v>
      </c>
      <c r="AM260" s="1963">
        <f t="shared" si="258"/>
        <v>8658.4012755206077</v>
      </c>
      <c r="AN260" s="1963">
        <f t="shared" si="258"/>
        <v>10565.421177080463</v>
      </c>
      <c r="AO260" s="1963">
        <f t="shared" si="258"/>
        <v>10458.511074522914</v>
      </c>
      <c r="AP260" s="1963">
        <f t="shared" si="258"/>
        <v>10469.452791367337</v>
      </c>
      <c r="AQ260" s="1964"/>
      <c r="AR260" s="1965"/>
      <c r="AS260" s="1966"/>
      <c r="AT260" s="1967"/>
      <c r="AU260" s="1968">
        <f>SUM(O260:R260)</f>
        <v>3972</v>
      </c>
      <c r="AV260" s="1963">
        <f>SUM(S260:V260)</f>
        <v>14733</v>
      </c>
      <c r="AW260" s="1963">
        <f>SUM(W260:Z260)</f>
        <v>19564</v>
      </c>
      <c r="AX260" s="1968">
        <f>SUM(AA260:AD260)</f>
        <v>24077</v>
      </c>
      <c r="AY260" s="2302">
        <f>AY263+AY272+AY275+AY278</f>
        <v>27062</v>
      </c>
      <c r="AZ260" s="2302">
        <f>AZ263+AZ272+AZ275+AZ278</f>
        <v>35738.364160235717</v>
      </c>
      <c r="BA260" s="1967">
        <f>BA263+BA272+BA275+BA278</f>
        <v>40151.786318491322</v>
      </c>
      <c r="BB260" s="1968">
        <f>BB263+BB272+BB275+BB278</f>
        <v>43649.25611411289</v>
      </c>
      <c r="BC260" s="1967">
        <f>BC263+BC272+BC275+BC278</f>
        <v>47082.872210763038</v>
      </c>
    </row>
    <row r="261" spans="1:71" s="1989" customFormat="1" ht="12.75" x14ac:dyDescent="0.35">
      <c r="A261" s="2042"/>
      <c r="B261" s="2275" t="s">
        <v>990</v>
      </c>
      <c r="C261" s="2282"/>
      <c r="D261" s="2282"/>
      <c r="E261" s="2282"/>
      <c r="F261" s="2282"/>
      <c r="G261" s="2282"/>
      <c r="H261" s="2282"/>
      <c r="I261" s="2282"/>
      <c r="J261" s="2282"/>
      <c r="K261" s="2282"/>
      <c r="L261" s="2282"/>
      <c r="M261" s="2282"/>
      <c r="N261" s="2282"/>
      <c r="O261" s="2282"/>
      <c r="P261" s="2282"/>
      <c r="Q261" s="2282"/>
      <c r="R261" s="2282"/>
      <c r="S261" s="2282">
        <f t="shared" ref="S261:AP261" si="259">S260/S6</f>
        <v>471.71940594953276</v>
      </c>
      <c r="T261" s="2282">
        <f t="shared" si="259"/>
        <v>541.05121091699789</v>
      </c>
      <c r="U261" s="2282">
        <f t="shared" si="259"/>
        <v>585.19372029382112</v>
      </c>
      <c r="V261" s="2282">
        <f t="shared" si="259"/>
        <v>570.51952580195257</v>
      </c>
      <c r="W261" s="2282">
        <f t="shared" si="259"/>
        <v>601.97955541132569</v>
      </c>
      <c r="X261" s="2282">
        <f t="shared" si="259"/>
        <v>721.14589752453674</v>
      </c>
      <c r="Y261" s="2282">
        <f t="shared" si="259"/>
        <v>831.96286675990962</v>
      </c>
      <c r="Z261" s="2282">
        <f t="shared" si="259"/>
        <v>840.48082134999845</v>
      </c>
      <c r="AA261" s="2282">
        <f t="shared" si="259"/>
        <v>902.9635338743559</v>
      </c>
      <c r="AB261" s="2282">
        <f t="shared" si="259"/>
        <v>864.88060570762957</v>
      </c>
      <c r="AC261" s="2282">
        <f t="shared" si="259"/>
        <v>944.07679441495168</v>
      </c>
      <c r="AD261" s="2282">
        <f t="shared" si="259"/>
        <v>845.00536416736202</v>
      </c>
      <c r="AE261" s="2282">
        <f t="shared" si="259"/>
        <v>936.05243991260011</v>
      </c>
      <c r="AF261" s="2282">
        <f t="shared" si="259"/>
        <v>1020.7479329014927</v>
      </c>
      <c r="AG261" s="2282">
        <f t="shared" si="259"/>
        <v>1062.3689275762015</v>
      </c>
      <c r="AH261" s="2282">
        <f t="shared" si="259"/>
        <v>839.45316913343129</v>
      </c>
      <c r="AI261" s="2282">
        <f t="shared" si="259"/>
        <v>989.93644817483118</v>
      </c>
      <c r="AJ261" s="2282">
        <f t="shared" si="259"/>
        <v>1395.280688863292</v>
      </c>
      <c r="AK261" s="2282">
        <f t="shared" si="259"/>
        <v>1349.5831453457663</v>
      </c>
      <c r="AL261" s="2282">
        <f t="shared" si="259"/>
        <v>1304.9109730885732</v>
      </c>
      <c r="AM261" s="2282">
        <f t="shared" si="259"/>
        <v>1202.5557327111956</v>
      </c>
      <c r="AN261" s="2282">
        <f t="shared" si="259"/>
        <v>1467.419607927842</v>
      </c>
      <c r="AO261" s="2282">
        <f t="shared" si="259"/>
        <v>1452.5709825726269</v>
      </c>
      <c r="AP261" s="2282">
        <f t="shared" si="259"/>
        <v>1454.0906654676858</v>
      </c>
      <c r="AQ261" s="1984"/>
      <c r="AR261" s="1985"/>
      <c r="AS261" s="1986"/>
      <c r="AT261" s="1987"/>
      <c r="AU261" s="2281"/>
      <c r="AV261" s="2282"/>
      <c r="AW261" s="2282"/>
      <c r="AX261" s="2281">
        <f t="shared" ref="AX261:BC261" si="260">AX260/AX6</f>
        <v>3587.5849326498987</v>
      </c>
      <c r="AY261" s="2282">
        <f t="shared" si="260"/>
        <v>3821.8845328211501</v>
      </c>
      <c r="AZ261" s="2282">
        <f t="shared" si="260"/>
        <v>4963.6616889216275</v>
      </c>
      <c r="BA261" s="1987">
        <f t="shared" si="260"/>
        <v>5576.63698867935</v>
      </c>
      <c r="BB261" s="2281">
        <f t="shared" si="260"/>
        <v>6062.3966825156795</v>
      </c>
      <c r="BC261" s="1987">
        <f t="shared" si="260"/>
        <v>6539.2878070504221</v>
      </c>
    </row>
    <row r="262" spans="1:71" s="2055" customFormat="1" ht="10.15" outlineLevel="1" x14ac:dyDescent="0.3">
      <c r="A262" s="2303"/>
      <c r="B262" s="2304" t="s">
        <v>991</v>
      </c>
      <c r="C262" s="2305"/>
      <c r="D262" s="2305"/>
      <c r="E262" s="2305"/>
      <c r="F262" s="2305"/>
      <c r="G262" s="2305"/>
      <c r="H262" s="2305"/>
      <c r="I262" s="2305"/>
      <c r="J262" s="2306"/>
      <c r="K262" s="2306"/>
      <c r="L262" s="2306"/>
      <c r="M262" s="2306"/>
      <c r="N262" s="2306"/>
      <c r="O262" s="2306">
        <v>1418.9041200000001</v>
      </c>
      <c r="P262" s="2306">
        <v>1637.8286800000001</v>
      </c>
      <c r="Q262" s="2306">
        <v>1871.2527999999998</v>
      </c>
      <c r="R262" s="2306">
        <v>1563.2041200000001</v>
      </c>
      <c r="S262" s="2307">
        <f>R262*(1+10%)</f>
        <v>1719.5245320000004</v>
      </c>
      <c r="T262" s="2307">
        <f>S262*(1+5%)+100</f>
        <v>1905.5007586000004</v>
      </c>
      <c r="U262" s="2307">
        <f>(T262-100)*(1+10%)+200</f>
        <v>2186.0508344600003</v>
      </c>
      <c r="V262" s="2307">
        <f>(U262-200)*(1-10%)+400</f>
        <v>2187.4457510140001</v>
      </c>
      <c r="W262" s="2307">
        <f>(V262-200)*(1-10%)+400</f>
        <v>2188.7011759125999</v>
      </c>
      <c r="X262" s="2307"/>
      <c r="Y262" s="2307"/>
      <c r="Z262" s="2307"/>
      <c r="AA262" s="2307"/>
      <c r="AB262" s="2307"/>
      <c r="AC262" s="2307"/>
      <c r="AD262" s="2307"/>
      <c r="AE262" s="2307"/>
      <c r="AF262" s="2307"/>
      <c r="AG262" s="2307"/>
      <c r="AH262" s="2307"/>
      <c r="AI262" s="2307"/>
      <c r="AJ262" s="2307"/>
      <c r="AK262" s="2307"/>
      <c r="AL262" s="2307"/>
      <c r="AM262" s="2307"/>
      <c r="AN262" s="2307"/>
      <c r="AO262" s="2307"/>
      <c r="AP262" s="2307"/>
      <c r="AQ262" s="2308"/>
      <c r="AR262" s="2307"/>
      <c r="AS262" s="2309"/>
      <c r="AT262" s="2310"/>
      <c r="AU262" s="2311">
        <f>SUM(O262:R262)</f>
        <v>6491.1897200000003</v>
      </c>
      <c r="AV262" s="2312">
        <f>SUM(S262:V262)</f>
        <v>7998.5218760740008</v>
      </c>
      <c r="AW262" s="2313" t="s">
        <v>992</v>
      </c>
      <c r="AX262" s="2314" t="s">
        <v>992</v>
      </c>
      <c r="AY262" s="2313" t="s">
        <v>992</v>
      </c>
      <c r="AZ262" s="2313" t="s">
        <v>992</v>
      </c>
      <c r="BA262" s="2315" t="s">
        <v>992</v>
      </c>
      <c r="BB262" s="2314" t="s">
        <v>992</v>
      </c>
      <c r="BC262" s="2315" t="s">
        <v>992</v>
      </c>
    </row>
    <row r="263" spans="1:71" s="2326" customFormat="1" ht="10.15" outlineLevel="1" x14ac:dyDescent="0.3">
      <c r="A263" s="1990" t="s">
        <v>740</v>
      </c>
      <c r="B263" s="2316" t="s">
        <v>993</v>
      </c>
      <c r="C263" s="2317"/>
      <c r="D263" s="2317"/>
      <c r="E263" s="2317"/>
      <c r="F263" s="2317"/>
      <c r="G263" s="2317"/>
      <c r="H263" s="2317"/>
      <c r="I263" s="2317"/>
      <c r="J263" s="2318"/>
      <c r="K263" s="2318"/>
      <c r="L263" s="2318"/>
      <c r="M263" s="2318"/>
      <c r="N263" s="2318"/>
      <c r="O263" s="2318">
        <v>1418.9041200000001</v>
      </c>
      <c r="P263" s="2318">
        <v>1637.8286800000001</v>
      </c>
      <c r="Q263" s="2318">
        <v>1871.2527999999998</v>
      </c>
      <c r="R263" s="2318">
        <v>1563.2041200000001</v>
      </c>
      <c r="S263" s="2319">
        <f t="shared" ref="S263:AP263" si="261">S266+S269</f>
        <v>1719.5245320000004</v>
      </c>
      <c r="T263" s="2319">
        <f t="shared" si="261"/>
        <v>1905.5007586000004</v>
      </c>
      <c r="U263" s="2319">
        <f t="shared" si="261"/>
        <v>2136.0508344600003</v>
      </c>
      <c r="V263" s="2319">
        <f t="shared" si="261"/>
        <v>1987.4457510140005</v>
      </c>
      <c r="W263" s="2319">
        <f t="shared" si="261"/>
        <v>2011.3202085241405</v>
      </c>
      <c r="X263" s="2319">
        <f t="shared" si="261"/>
        <v>2057.9107737720005</v>
      </c>
      <c r="Y263" s="2319">
        <f t="shared" si="261"/>
        <v>2323.2833761830007</v>
      </c>
      <c r="Z263" s="2319">
        <f t="shared" si="261"/>
        <v>2341.0786136661004</v>
      </c>
      <c r="AA263" s="2319">
        <f t="shared" si="261"/>
        <v>2771.6502606551758</v>
      </c>
      <c r="AB263" s="2319">
        <f t="shared" si="261"/>
        <v>2458.3718511492007</v>
      </c>
      <c r="AC263" s="2319">
        <f t="shared" si="261"/>
        <v>2328.8850385647011</v>
      </c>
      <c r="AD263" s="2319">
        <f t="shared" si="261"/>
        <v>2319.3916045728124</v>
      </c>
      <c r="AE263" s="2319">
        <f t="shared" si="261"/>
        <v>2674.7352345896579</v>
      </c>
      <c r="AF263" s="2319">
        <f t="shared" si="261"/>
        <v>2370.8060734768205</v>
      </c>
      <c r="AG263" s="2319">
        <f t="shared" si="261"/>
        <v>2156.9515808517608</v>
      </c>
      <c r="AH263" s="2319">
        <f t="shared" si="261"/>
        <v>2219.5461836582499</v>
      </c>
      <c r="AI263" s="2319">
        <f t="shared" si="261"/>
        <v>2686.9756876717265</v>
      </c>
      <c r="AJ263" s="2319">
        <f t="shared" si="261"/>
        <v>2867.4466808245024</v>
      </c>
      <c r="AK263" s="2319">
        <f t="shared" si="261"/>
        <v>2461.4483048943489</v>
      </c>
      <c r="AL263" s="2319">
        <f t="shared" si="261"/>
        <v>2598.9560616972403</v>
      </c>
      <c r="AM263" s="2319">
        <f t="shared" si="261"/>
        <v>3091.2370764251609</v>
      </c>
      <c r="AN263" s="2319">
        <f t="shared" si="261"/>
        <v>3216.8006144409928</v>
      </c>
      <c r="AO263" s="2319">
        <f t="shared" si="261"/>
        <v>2776.153616742236</v>
      </c>
      <c r="AP263" s="2319">
        <f t="shared" si="261"/>
        <v>2955.0325367821024</v>
      </c>
      <c r="AQ263" s="2320"/>
      <c r="AR263" s="2319"/>
      <c r="AS263" s="2321"/>
      <c r="AT263" s="2322"/>
      <c r="AU263" s="2323">
        <f>SUM(O263:R263)</f>
        <v>6491.1897200000003</v>
      </c>
      <c r="AV263" s="2324">
        <f>SUM(S263:V263)</f>
        <v>7748.5218760740008</v>
      </c>
      <c r="AW263" s="2324">
        <f>SUM(W263:Z263)</f>
        <v>8733.592972145243</v>
      </c>
      <c r="AX263" s="2323">
        <f>SUM(AA263:AD263)</f>
        <v>9878.2987549418904</v>
      </c>
      <c r="AY263" s="2319">
        <f>AY266+AY269</f>
        <v>9422.0390725764883</v>
      </c>
      <c r="AZ263" s="2319">
        <f>AZ266+AZ269</f>
        <v>10614.82673508782</v>
      </c>
      <c r="BA263" s="2325">
        <f>BA266+BA269</f>
        <v>12039.223844390493</v>
      </c>
      <c r="BB263" s="2320">
        <f>BB266+BB269</f>
        <v>13685.223030527111</v>
      </c>
      <c r="BC263" s="2325">
        <f>BC266+BC269</f>
        <v>15454.271147699106</v>
      </c>
    </row>
    <row r="264" spans="1:71" s="2335" customFormat="1" ht="10.15" outlineLevel="1" x14ac:dyDescent="0.3">
      <c r="A264" s="2042"/>
      <c r="B264" s="2327" t="s">
        <v>836</v>
      </c>
      <c r="C264" s="2328"/>
      <c r="D264" s="2328"/>
      <c r="E264" s="2328"/>
      <c r="F264" s="2328"/>
      <c r="G264" s="2328"/>
      <c r="H264" s="2328"/>
      <c r="I264" s="2328"/>
      <c r="J264" s="2328"/>
      <c r="K264" s="2328"/>
      <c r="L264" s="2328"/>
      <c r="M264" s="2328"/>
      <c r="N264" s="2328"/>
      <c r="O264" s="2328"/>
      <c r="P264" s="2011">
        <f t="shared" ref="P264:AP264" si="262">P263/O263-1</f>
        <v>0.15429129911892847</v>
      </c>
      <c r="Q264" s="2011">
        <f t="shared" si="262"/>
        <v>0.1425204741194297</v>
      </c>
      <c r="R264" s="2011">
        <f t="shared" si="262"/>
        <v>-0.16462162675187431</v>
      </c>
      <c r="S264" s="2011">
        <f t="shared" si="262"/>
        <v>0.10000000000000009</v>
      </c>
      <c r="T264" s="2011">
        <f t="shared" si="262"/>
        <v>0.10815561112331951</v>
      </c>
      <c r="U264" s="2011">
        <f t="shared" si="262"/>
        <v>0.12099185729497597</v>
      </c>
      <c r="V264" s="2011">
        <f t="shared" si="262"/>
        <v>-6.9570012589877162E-2</v>
      </c>
      <c r="W264" s="2011">
        <f t="shared" si="262"/>
        <v>1.2012633551360619E-2</v>
      </c>
      <c r="X264" s="2011">
        <f t="shared" si="262"/>
        <v>2.3164171000920275E-2</v>
      </c>
      <c r="Y264" s="2011">
        <f t="shared" si="262"/>
        <v>0.12895243360070041</v>
      </c>
      <c r="Z264" s="2011">
        <f t="shared" si="262"/>
        <v>7.6595208597998177E-3</v>
      </c>
      <c r="AA264" s="2011">
        <f t="shared" si="262"/>
        <v>0.183920200063169</v>
      </c>
      <c r="AB264" s="2011">
        <f t="shared" si="262"/>
        <v>-0.11302956002534059</v>
      </c>
      <c r="AC264" s="2011">
        <f t="shared" si="262"/>
        <v>-5.2671776453984798E-2</v>
      </c>
      <c r="AD264" s="2011">
        <f t="shared" si="262"/>
        <v>-4.0763858390104879E-3</v>
      </c>
      <c r="AE264" s="2011">
        <f t="shared" si="262"/>
        <v>0.15320553429453887</v>
      </c>
      <c r="AF264" s="2011">
        <f t="shared" si="262"/>
        <v>-0.11362962478769023</v>
      </c>
      <c r="AG264" s="2011">
        <f t="shared" si="262"/>
        <v>-9.0203283607857121E-2</v>
      </c>
      <c r="AH264" s="2011">
        <f t="shared" si="262"/>
        <v>2.9019938770146636E-2</v>
      </c>
      <c r="AI264" s="2011">
        <f t="shared" si="262"/>
        <v>0.21059688122508935</v>
      </c>
      <c r="AJ264" s="2011">
        <f t="shared" si="262"/>
        <v>6.7165100890493878E-2</v>
      </c>
      <c r="AK264" s="2011">
        <f t="shared" si="262"/>
        <v>-0.14158881441290239</v>
      </c>
      <c r="AL264" s="2011">
        <f t="shared" si="262"/>
        <v>5.586457230463493E-2</v>
      </c>
      <c r="AM264" s="2011">
        <f t="shared" si="262"/>
        <v>0.18941490469309352</v>
      </c>
      <c r="AN264" s="2011">
        <f t="shared" si="262"/>
        <v>4.0619187371108811E-2</v>
      </c>
      <c r="AO264" s="2011">
        <f t="shared" si="262"/>
        <v>-0.13698299972978945</v>
      </c>
      <c r="AP264" s="2011">
        <f t="shared" si="262"/>
        <v>6.4434085693635845E-2</v>
      </c>
      <c r="AQ264" s="2329"/>
      <c r="AR264" s="2328"/>
      <c r="AS264" s="2330"/>
      <c r="AT264" s="2331"/>
      <c r="AU264" s="2332"/>
      <c r="AV264" s="2333"/>
      <c r="AW264" s="2333"/>
      <c r="AX264" s="2332"/>
      <c r="AY264" s="2011"/>
      <c r="AZ264" s="2011"/>
      <c r="BA264" s="2164"/>
      <c r="BB264" s="2165"/>
      <c r="BC264" s="2164"/>
      <c r="BD264" s="2334"/>
      <c r="BE264" s="2334"/>
      <c r="BF264" s="2334"/>
      <c r="BG264" s="2334"/>
      <c r="BH264" s="2334"/>
      <c r="BI264" s="2334"/>
      <c r="BJ264" s="2334"/>
      <c r="BK264" s="2334"/>
      <c r="BL264" s="2334"/>
      <c r="BM264" s="2334"/>
      <c r="BN264" s="2334"/>
      <c r="BO264" s="2334"/>
      <c r="BP264" s="2334"/>
      <c r="BQ264" s="2334"/>
      <c r="BR264" s="2334"/>
      <c r="BS264" s="2334"/>
    </row>
    <row r="265" spans="1:71" s="2335" customFormat="1" ht="10.15" outlineLevel="1" x14ac:dyDescent="0.3">
      <c r="A265" s="2042"/>
      <c r="B265" s="2327" t="s">
        <v>835</v>
      </c>
      <c r="C265" s="2328"/>
      <c r="D265" s="2328"/>
      <c r="E265" s="2328"/>
      <c r="F265" s="2328"/>
      <c r="G265" s="2328"/>
      <c r="H265" s="2328"/>
      <c r="I265" s="2328"/>
      <c r="J265" s="2328"/>
      <c r="K265" s="2328"/>
      <c r="L265" s="2328"/>
      <c r="M265" s="2328"/>
      <c r="N265" s="2328"/>
      <c r="O265" s="2328"/>
      <c r="P265" s="2011"/>
      <c r="Q265" s="2011"/>
      <c r="R265" s="2011"/>
      <c r="S265" s="2011"/>
      <c r="T265" s="2011"/>
      <c r="U265" s="2011"/>
      <c r="V265" s="2011"/>
      <c r="W265" s="2011">
        <f t="shared" ref="W265:AP265" si="263">W263/S263-1</f>
        <v>0.16969555891403831</v>
      </c>
      <c r="X265" s="2011">
        <f t="shared" si="263"/>
        <v>7.9984232220394524E-2</v>
      </c>
      <c r="Y265" s="2011">
        <f t="shared" si="263"/>
        <v>8.7653598267633637E-2</v>
      </c>
      <c r="Z265" s="2011">
        <f t="shared" si="263"/>
        <v>0.17793334105933467</v>
      </c>
      <c r="AA265" s="2011">
        <f t="shared" si="263"/>
        <v>0.37802536309668344</v>
      </c>
      <c r="AB265" s="2011">
        <f t="shared" si="263"/>
        <v>0.19459593801687736</v>
      </c>
      <c r="AC265" s="2011">
        <f t="shared" si="263"/>
        <v>2.411097345732971E-3</v>
      </c>
      <c r="AD265" s="2011">
        <f t="shared" si="263"/>
        <v>-9.2636825464508243E-3</v>
      </c>
      <c r="AE265" s="2011">
        <f t="shared" si="263"/>
        <v>-3.4966542294773029E-2</v>
      </c>
      <c r="AF265" s="2011">
        <f t="shared" si="263"/>
        <v>-3.5619419263788865E-2</v>
      </c>
      <c r="AG265" s="2011">
        <f t="shared" si="263"/>
        <v>-7.38265113416261E-2</v>
      </c>
      <c r="AH265" s="2011">
        <f t="shared" si="263"/>
        <v>-4.3048108270165142E-2</v>
      </c>
      <c r="AI265" s="2011">
        <f t="shared" si="263"/>
        <v>4.5763232651123698E-3</v>
      </c>
      <c r="AJ265" s="2011">
        <f t="shared" si="263"/>
        <v>0.20948175091324583</v>
      </c>
      <c r="AK265" s="2011">
        <f t="shared" si="263"/>
        <v>0.14116993943941258</v>
      </c>
      <c r="AL265" s="2011">
        <f t="shared" si="263"/>
        <v>0.17094029438650749</v>
      </c>
      <c r="AM265" s="2011">
        <f t="shared" si="263"/>
        <v>0.15045219449072444</v>
      </c>
      <c r="AN265" s="2011">
        <f t="shared" si="263"/>
        <v>0.12183450034231758</v>
      </c>
      <c r="AO265" s="2011">
        <f t="shared" si="263"/>
        <v>0.12785371572587012</v>
      </c>
      <c r="AP265" s="2011">
        <f t="shared" si="263"/>
        <v>0.13700750094725622</v>
      </c>
      <c r="AQ265" s="2329"/>
      <c r="AR265" s="2328"/>
      <c r="AS265" s="2330"/>
      <c r="AT265" s="2331"/>
      <c r="AU265" s="2332"/>
      <c r="AV265" s="2333">
        <f t="shared" ref="AV265:BC265" si="264">AV263/AU263-1</f>
        <v>0.19369826030504633</v>
      </c>
      <c r="AW265" s="2333">
        <f t="shared" si="264"/>
        <v>0.1271301948714838</v>
      </c>
      <c r="AX265" s="2332">
        <f t="shared" si="264"/>
        <v>0.13106928459427292</v>
      </c>
      <c r="AY265" s="2011">
        <f t="shared" si="264"/>
        <v>-4.6188082956809318E-2</v>
      </c>
      <c r="AZ265" s="2011">
        <f t="shared" si="264"/>
        <v>0.12659549098910272</v>
      </c>
      <c r="BA265" s="2164">
        <f t="shared" si="264"/>
        <v>0.13418938856479512</v>
      </c>
      <c r="BB265" s="2165">
        <f t="shared" si="264"/>
        <v>0.13671970946063494</v>
      </c>
      <c r="BC265" s="2164">
        <f t="shared" si="264"/>
        <v>0.12926702862100581</v>
      </c>
      <c r="BD265" s="2334"/>
      <c r="BE265" s="2334"/>
      <c r="BF265" s="2334"/>
      <c r="BG265" s="2334"/>
      <c r="BH265" s="2334"/>
      <c r="BI265" s="2334"/>
      <c r="BJ265" s="2334"/>
      <c r="BK265" s="2334"/>
      <c r="BL265" s="2334"/>
      <c r="BM265" s="2334"/>
      <c r="BN265" s="2334"/>
      <c r="BO265" s="2334"/>
      <c r="BP265" s="2334"/>
      <c r="BQ265" s="2334"/>
      <c r="BR265" s="2334"/>
      <c r="BS265" s="2334"/>
    </row>
    <row r="266" spans="1:71" s="2055" customFormat="1" ht="10.15" outlineLevel="1" x14ac:dyDescent="0.3">
      <c r="A266" s="1970" t="s">
        <v>740</v>
      </c>
      <c r="B266" s="2336" t="s">
        <v>994</v>
      </c>
      <c r="C266" s="2041"/>
      <c r="D266" s="2041"/>
      <c r="E266" s="2041"/>
      <c r="F266" s="2041"/>
      <c r="G266" s="2041"/>
      <c r="H266" s="2041"/>
      <c r="I266" s="2041"/>
      <c r="J266" s="2003"/>
      <c r="K266" s="2003"/>
      <c r="L266" s="2003"/>
      <c r="M266" s="2003"/>
      <c r="N266" s="2003"/>
      <c r="O266" s="2003"/>
      <c r="P266" s="2003"/>
      <c r="Q266" s="2003"/>
      <c r="R266" s="2003"/>
      <c r="S266" s="2337">
        <f>R263*(1+S267)</f>
        <v>1719.5245320000004</v>
      </c>
      <c r="T266" s="2337">
        <f>S266*(1+T267)</f>
        <v>1805.5007586000004</v>
      </c>
      <c r="U266" s="2337">
        <f>T266*(1+U267)</f>
        <v>1986.0508344600005</v>
      </c>
      <c r="V266" s="2337">
        <f>U266*(1+V267)</f>
        <v>1787.4457510140005</v>
      </c>
      <c r="W266" s="2337">
        <f>V266*(1+W267)</f>
        <v>1805.3202085241405</v>
      </c>
      <c r="X266" s="2337">
        <f t="shared" ref="X266:AP266" si="265">T266*(1+X268)</f>
        <v>1841.6107737720004</v>
      </c>
      <c r="Y266" s="2337">
        <f t="shared" si="265"/>
        <v>2085.3533761830008</v>
      </c>
      <c r="Z266" s="2337">
        <f t="shared" si="265"/>
        <v>2055.5626136661003</v>
      </c>
      <c r="AA266" s="2337">
        <f t="shared" si="265"/>
        <v>2256.6502606551758</v>
      </c>
      <c r="AB266" s="2337">
        <f t="shared" si="265"/>
        <v>2025.7718511492005</v>
      </c>
      <c r="AC266" s="2337">
        <f t="shared" si="265"/>
        <v>1876.8180385647008</v>
      </c>
      <c r="AD266" s="2337">
        <f t="shared" si="265"/>
        <v>1891.1176045728123</v>
      </c>
      <c r="AE266" s="2337">
        <f t="shared" si="265"/>
        <v>2030.9852345896581</v>
      </c>
      <c r="AF266" s="2337">
        <f t="shared" si="265"/>
        <v>1721.9060734768204</v>
      </c>
      <c r="AG266" s="2337">
        <f t="shared" si="265"/>
        <v>1501.4544308517607</v>
      </c>
      <c r="AH266" s="2337">
        <f t="shared" si="265"/>
        <v>1512.8940836582499</v>
      </c>
      <c r="AI266" s="2337">
        <f t="shared" si="265"/>
        <v>1624.7881876717265</v>
      </c>
      <c r="AJ266" s="2337">
        <f t="shared" si="265"/>
        <v>1894.0966808245025</v>
      </c>
      <c r="AK266" s="2337">
        <f t="shared" si="265"/>
        <v>1576.5271523943488</v>
      </c>
      <c r="AL266" s="2337">
        <f t="shared" si="265"/>
        <v>1694.4413736972401</v>
      </c>
      <c r="AM266" s="2337">
        <f t="shared" si="265"/>
        <v>1657.2839514251611</v>
      </c>
      <c r="AN266" s="2337">
        <f t="shared" si="265"/>
        <v>1931.9786144409927</v>
      </c>
      <c r="AO266" s="2337">
        <f t="shared" si="265"/>
        <v>1608.0576954422359</v>
      </c>
      <c r="AP266" s="2337">
        <f t="shared" si="265"/>
        <v>1779.1634423821022</v>
      </c>
      <c r="AQ266" s="2338"/>
      <c r="AR266" s="2337"/>
      <c r="AS266" s="2339"/>
      <c r="AT266" s="2340"/>
      <c r="AU266" s="2341"/>
      <c r="AV266" s="2342">
        <f>SUM(S266:V266)</f>
        <v>7298.5218760740008</v>
      </c>
      <c r="AW266" s="2342">
        <f>SUM(W266:Z266)</f>
        <v>7787.846972145242</v>
      </c>
      <c r="AX266" s="2341">
        <f>SUM(AA266:AD266)</f>
        <v>8050.3577549418897</v>
      </c>
      <c r="AY266" s="1948">
        <f>SUM(AE266:AH266)</f>
        <v>6767.2398225764891</v>
      </c>
      <c r="AZ266" s="2343">
        <f>SUM(AI266:AL266)</f>
        <v>6789.853394587818</v>
      </c>
      <c r="BA266" s="2344">
        <f>SUM(AM266:AP266)</f>
        <v>6976.4837036904919</v>
      </c>
      <c r="BB266" s="2345">
        <f>BA266*(1+BB268)</f>
        <v>7255.5430518381118</v>
      </c>
      <c r="BC266" s="2344">
        <f>BB266*(1+BC268)</f>
        <v>7545.7647739116364</v>
      </c>
    </row>
    <row r="267" spans="1:71" s="2055" customFormat="1" ht="10.15" outlineLevel="1" x14ac:dyDescent="0.3">
      <c r="A267" s="1970" t="s">
        <v>995</v>
      </c>
      <c r="B267" s="2346" t="s">
        <v>836</v>
      </c>
      <c r="C267" s="2041"/>
      <c r="D267" s="2041"/>
      <c r="E267" s="2041"/>
      <c r="F267" s="2041"/>
      <c r="G267" s="2041"/>
      <c r="H267" s="2041"/>
      <c r="I267" s="2041"/>
      <c r="J267" s="2003"/>
      <c r="K267" s="2003"/>
      <c r="L267" s="2003"/>
      <c r="M267" s="2003"/>
      <c r="N267" s="2003"/>
      <c r="O267" s="2003"/>
      <c r="P267" s="2003"/>
      <c r="Q267" s="2003"/>
      <c r="R267" s="2003"/>
      <c r="S267" s="2011">
        <v>0.1</v>
      </c>
      <c r="T267" s="2011">
        <v>0.05</v>
      </c>
      <c r="U267" s="2011">
        <v>0.1</v>
      </c>
      <c r="V267" s="2011">
        <v>-0.1</v>
      </c>
      <c r="W267" s="2011">
        <v>0.01</v>
      </c>
      <c r="X267" s="2011">
        <f t="shared" ref="X267:AP267" si="266">X266/W266-1</f>
        <v>2.0102010201020093E-2</v>
      </c>
      <c r="Y267" s="2011">
        <f t="shared" si="266"/>
        <v>0.13235294117647078</v>
      </c>
      <c r="Z267" s="2011">
        <f t="shared" si="266"/>
        <v>-1.4285714285714568E-2</v>
      </c>
      <c r="AA267" s="2011">
        <f t="shared" si="266"/>
        <v>9.7826086956521952E-2</v>
      </c>
      <c r="AB267" s="2011">
        <f t="shared" si="266"/>
        <v>-0.10231023102310233</v>
      </c>
      <c r="AC267" s="2011">
        <f t="shared" si="266"/>
        <v>-7.3529411764705732E-2</v>
      </c>
      <c r="AD267" s="2011">
        <f t="shared" si="266"/>
        <v>7.6190476190474143E-3</v>
      </c>
      <c r="AE267" s="2011">
        <f t="shared" si="266"/>
        <v>7.3960302457467098E-2</v>
      </c>
      <c r="AF267" s="2011">
        <f t="shared" si="266"/>
        <v>-0.15218188485515227</v>
      </c>
      <c r="AG267" s="2011">
        <f t="shared" si="266"/>
        <v>-0.12802768166089951</v>
      </c>
      <c r="AH267" s="2011">
        <f t="shared" si="266"/>
        <v>7.6190476190474143E-3</v>
      </c>
      <c r="AI267" s="2011">
        <f t="shared" si="266"/>
        <v>7.3960302457467098E-2</v>
      </c>
      <c r="AJ267" s="2011">
        <f t="shared" si="266"/>
        <v>0.16574990832416581</v>
      </c>
      <c r="AK267" s="2011">
        <f t="shared" si="266"/>
        <v>-0.16766278703994941</v>
      </c>
      <c r="AL267" s="2011">
        <f t="shared" si="266"/>
        <v>7.4793650793650635E-2</v>
      </c>
      <c r="AM267" s="2011">
        <f t="shared" si="266"/>
        <v>-2.1929010261949711E-2</v>
      </c>
      <c r="AN267" s="2011">
        <f t="shared" si="266"/>
        <v>0.16574990832416581</v>
      </c>
      <c r="AO267" s="2011">
        <f t="shared" si="266"/>
        <v>-0.16766278703994952</v>
      </c>
      <c r="AP267" s="2011">
        <f t="shared" si="266"/>
        <v>0.10640522875816982</v>
      </c>
      <c r="AQ267" s="2347"/>
      <c r="AR267" s="2348"/>
      <c r="AS267" s="2349"/>
      <c r="AT267" s="2350"/>
      <c r="AU267" s="2351"/>
      <c r="AV267" s="2352"/>
      <c r="AW267" s="2353"/>
      <c r="AX267" s="2354"/>
      <c r="AY267" s="2353"/>
      <c r="AZ267" s="2353"/>
      <c r="BA267" s="2355"/>
      <c r="BB267" s="2354"/>
      <c r="BC267" s="2355"/>
    </row>
    <row r="268" spans="1:71" s="2358" customFormat="1" ht="10.15" outlineLevel="1" x14ac:dyDescent="0.3">
      <c r="A268" s="1970" t="s">
        <v>995</v>
      </c>
      <c r="B268" s="2327" t="s">
        <v>996</v>
      </c>
      <c r="C268" s="2011"/>
      <c r="D268" s="2011"/>
      <c r="E268" s="2011"/>
      <c r="F268" s="2011"/>
      <c r="G268" s="2011"/>
      <c r="H268" s="2011"/>
      <c r="I268" s="2011"/>
      <c r="J268" s="2011"/>
      <c r="K268" s="2011"/>
      <c r="L268" s="2011"/>
      <c r="M268" s="2011"/>
      <c r="N268" s="2011"/>
      <c r="O268" s="2011"/>
      <c r="P268" s="2011"/>
      <c r="Q268" s="2011"/>
      <c r="R268" s="2011"/>
      <c r="S268" s="2011">
        <f>S266/O263-1</f>
        <v>0.21186802389438419</v>
      </c>
      <c r="T268" s="2011">
        <f>T266/P263-1</f>
        <v>0.10237461380881441</v>
      </c>
      <c r="U268" s="2011">
        <f>U266/Q263-1</f>
        <v>6.1348223211743935E-2</v>
      </c>
      <c r="V268" s="2011">
        <f>V266/R263-1</f>
        <v>0.1434500000000003</v>
      </c>
      <c r="W268" s="2011">
        <f>W266/S266-1</f>
        <v>4.9895000000000023E-2</v>
      </c>
      <c r="X268" s="2011">
        <v>0.02</v>
      </c>
      <c r="Y268" s="2011">
        <v>0.05</v>
      </c>
      <c r="Z268" s="2011">
        <v>0.15</v>
      </c>
      <c r="AA268" s="2011">
        <v>0.25</v>
      </c>
      <c r="AB268" s="2011">
        <v>0.1</v>
      </c>
      <c r="AC268" s="2011">
        <v>-0.1</v>
      </c>
      <c r="AD268" s="2011">
        <v>-0.08</v>
      </c>
      <c r="AE268" s="2011">
        <v>-0.1</v>
      </c>
      <c r="AF268" s="2011">
        <v>-0.15</v>
      </c>
      <c r="AG268" s="2011">
        <v>-0.2</v>
      </c>
      <c r="AH268" s="2011">
        <v>-0.2</v>
      </c>
      <c r="AI268" s="2011">
        <v>-0.2</v>
      </c>
      <c r="AJ268" s="2011">
        <v>0.1</v>
      </c>
      <c r="AK268" s="2011">
        <v>0.05</v>
      </c>
      <c r="AL268" s="2011">
        <v>0.12</v>
      </c>
      <c r="AM268" s="2011">
        <v>0.02</v>
      </c>
      <c r="AN268" s="2011">
        <v>0.02</v>
      </c>
      <c r="AO268" s="2011">
        <v>0.02</v>
      </c>
      <c r="AP268" s="2011">
        <v>0.05</v>
      </c>
      <c r="AQ268" s="2165"/>
      <c r="AR268" s="2011"/>
      <c r="AS268" s="2202"/>
      <c r="AT268" s="2356"/>
      <c r="AU268" s="2332"/>
      <c r="AV268" s="2333"/>
      <c r="AW268" s="2202">
        <f>AW266/AV266-1</f>
        <v>6.7044410413476418E-2</v>
      </c>
      <c r="AX268" s="2204">
        <f>AX266/AW266-1</f>
        <v>3.3707747948254374E-2</v>
      </c>
      <c r="AY268" s="2202">
        <f>AY266/AX266-1</f>
        <v>-0.15938644858083861</v>
      </c>
      <c r="AZ268" s="2202">
        <f>AZ266/AY266-1</f>
        <v>3.3416241487240761E-3</v>
      </c>
      <c r="BA268" s="2203">
        <f>BA266/AZ266-1</f>
        <v>2.748664783416932E-2</v>
      </c>
      <c r="BB268" s="2204">
        <v>0.04</v>
      </c>
      <c r="BC268" s="2203">
        <v>0.04</v>
      </c>
      <c r="BD268" s="2357"/>
      <c r="BE268" s="2357"/>
      <c r="BF268" s="2357"/>
      <c r="BG268" s="2357"/>
      <c r="BH268" s="2357"/>
      <c r="BI268" s="2357"/>
      <c r="BJ268" s="2357"/>
      <c r="BK268" s="2357"/>
      <c r="BL268" s="2357"/>
      <c r="BM268" s="2357"/>
      <c r="BN268" s="2357"/>
      <c r="BO268" s="2357"/>
      <c r="BP268" s="2357"/>
      <c r="BQ268" s="2357"/>
      <c r="BR268" s="2357"/>
      <c r="BS268" s="2357"/>
    </row>
    <row r="269" spans="1:71" s="2361" customFormat="1" ht="10.15" outlineLevel="1" x14ac:dyDescent="0.3">
      <c r="A269" s="1970" t="s">
        <v>740</v>
      </c>
      <c r="B269" s="2336" t="s">
        <v>997</v>
      </c>
      <c r="C269" s="2041"/>
      <c r="D269" s="2041"/>
      <c r="E269" s="2041"/>
      <c r="F269" s="2041"/>
      <c r="G269" s="2041"/>
      <c r="H269" s="2041"/>
      <c r="I269" s="2041"/>
      <c r="J269" s="2003"/>
      <c r="K269" s="2003"/>
      <c r="L269" s="2003"/>
      <c r="M269" s="2003"/>
      <c r="N269" s="2003"/>
      <c r="O269" s="2003"/>
      <c r="P269" s="2003"/>
      <c r="Q269" s="2003"/>
      <c r="R269" s="2003"/>
      <c r="S269" s="2337">
        <v>0</v>
      </c>
      <c r="T269" s="2337">
        <v>100</v>
      </c>
      <c r="U269" s="2337">
        <v>150</v>
      </c>
      <c r="V269" s="2337">
        <v>200</v>
      </c>
      <c r="W269" s="2337">
        <f>V269*(1+W270)</f>
        <v>206</v>
      </c>
      <c r="X269" s="2337">
        <f>W269*(1+X270)</f>
        <v>216.3</v>
      </c>
      <c r="Y269" s="2337">
        <f>X269*(1+Y270)</f>
        <v>237.93000000000004</v>
      </c>
      <c r="Z269" s="2337">
        <f>Y269*(1+Z270)</f>
        <v>285.51600000000002</v>
      </c>
      <c r="AA269" s="2337">
        <f t="shared" ref="AA269:AP269" si="267">W269*(1+AA271)</f>
        <v>515</v>
      </c>
      <c r="AB269" s="2337">
        <f t="shared" si="267"/>
        <v>432.6</v>
      </c>
      <c r="AC269" s="2337">
        <f t="shared" si="267"/>
        <v>452.06700000000006</v>
      </c>
      <c r="AD269" s="2337">
        <f t="shared" si="267"/>
        <v>428.274</v>
      </c>
      <c r="AE269" s="2337">
        <f t="shared" si="267"/>
        <v>643.75</v>
      </c>
      <c r="AF269" s="2337">
        <f t="shared" si="267"/>
        <v>648.90000000000009</v>
      </c>
      <c r="AG269" s="2337">
        <f t="shared" si="267"/>
        <v>655.49715000000003</v>
      </c>
      <c r="AH269" s="2337">
        <f t="shared" si="267"/>
        <v>706.65210000000002</v>
      </c>
      <c r="AI269" s="2337">
        <f t="shared" si="267"/>
        <v>1062.1875</v>
      </c>
      <c r="AJ269" s="2337">
        <f t="shared" si="267"/>
        <v>973.35000000000014</v>
      </c>
      <c r="AK269" s="2337">
        <f t="shared" si="267"/>
        <v>884.92115250000006</v>
      </c>
      <c r="AL269" s="2337">
        <f t="shared" si="267"/>
        <v>904.51468800000009</v>
      </c>
      <c r="AM269" s="2337">
        <f t="shared" si="267"/>
        <v>1433.953125</v>
      </c>
      <c r="AN269" s="2337">
        <f t="shared" si="267"/>
        <v>1284.8220000000003</v>
      </c>
      <c r="AO269" s="2337">
        <f t="shared" si="267"/>
        <v>1168.0959213000001</v>
      </c>
      <c r="AP269" s="2337">
        <f t="shared" si="267"/>
        <v>1175.8690944000002</v>
      </c>
      <c r="AQ269" s="2338"/>
      <c r="AR269" s="2337"/>
      <c r="AS269" s="2342"/>
      <c r="AT269" s="2340"/>
      <c r="AU269" s="2341"/>
      <c r="AV269" s="2342">
        <f>SUM(S269:V269)</f>
        <v>450</v>
      </c>
      <c r="AW269" s="2342">
        <f>SUM(W269:Z269)</f>
        <v>945.74600000000009</v>
      </c>
      <c r="AX269" s="2341">
        <f>SUM(AA269:AD269)</f>
        <v>1827.9410000000003</v>
      </c>
      <c r="AY269" s="1948">
        <f>SUM(AE269:AH269)</f>
        <v>2654.79925</v>
      </c>
      <c r="AZ269" s="2343">
        <f>SUM(AI269:AL269)</f>
        <v>3824.9733405000006</v>
      </c>
      <c r="BA269" s="2344">
        <f>SUM(AM269:AP269)</f>
        <v>5062.7401407000007</v>
      </c>
      <c r="BB269" s="2359">
        <f>BA269*(1+BB271)</f>
        <v>6429.6799786890006</v>
      </c>
      <c r="BC269" s="2360">
        <f>BB269*(1+BC271)</f>
        <v>7908.5063737874707</v>
      </c>
    </row>
    <row r="270" spans="1:71" s="2358" customFormat="1" ht="10.15" outlineLevel="1" x14ac:dyDescent="0.3">
      <c r="A270" s="1970" t="s">
        <v>998</v>
      </c>
      <c r="B270" s="2327" t="s">
        <v>836</v>
      </c>
      <c r="C270" s="2011"/>
      <c r="D270" s="2011"/>
      <c r="E270" s="2011"/>
      <c r="F270" s="2011"/>
      <c r="G270" s="2011"/>
      <c r="H270" s="2011"/>
      <c r="I270" s="2011"/>
      <c r="J270" s="2011"/>
      <c r="K270" s="2011"/>
      <c r="L270" s="2011"/>
      <c r="M270" s="2011"/>
      <c r="N270" s="2011"/>
      <c r="O270" s="2011"/>
      <c r="P270" s="2011"/>
      <c r="Q270" s="2011"/>
      <c r="R270" s="2011"/>
      <c r="S270" s="2011"/>
      <c r="T270" s="2011"/>
      <c r="U270" s="2011">
        <f>(U269-T269)/T269</f>
        <v>0.5</v>
      </c>
      <c r="V270" s="2011">
        <f>(V269-U269)/U269</f>
        <v>0.33333333333333331</v>
      </c>
      <c r="W270" s="2011">
        <v>0.03</v>
      </c>
      <c r="X270" s="2011">
        <v>0.05</v>
      </c>
      <c r="Y270" s="2011">
        <v>0.1</v>
      </c>
      <c r="Z270" s="2011">
        <v>0.2</v>
      </c>
      <c r="AA270" s="2011">
        <f t="shared" ref="AA270:AP270" si="268">AA269/Z269-1</f>
        <v>0.80375180375180366</v>
      </c>
      <c r="AB270" s="2011">
        <f t="shared" si="268"/>
        <v>-0.15999999999999992</v>
      </c>
      <c r="AC270" s="2011">
        <f t="shared" si="268"/>
        <v>4.5000000000000151E-2</v>
      </c>
      <c r="AD270" s="2011">
        <f t="shared" si="268"/>
        <v>-5.2631578947368585E-2</v>
      </c>
      <c r="AE270" s="2011">
        <f t="shared" si="268"/>
        <v>0.50312650312650309</v>
      </c>
      <c r="AF270" s="2011">
        <f t="shared" si="268"/>
        <v>8.0000000000002292E-3</v>
      </c>
      <c r="AG270" s="2011">
        <f t="shared" si="268"/>
        <v>1.0166666666666657E-2</v>
      </c>
      <c r="AH270" s="2011">
        <f t="shared" si="268"/>
        <v>7.8039927404718767E-2</v>
      </c>
      <c r="AI270" s="2011">
        <f t="shared" si="268"/>
        <v>0.50312650312650309</v>
      </c>
      <c r="AJ270" s="2011">
        <f t="shared" si="268"/>
        <v>-8.3636363636363509E-2</v>
      </c>
      <c r="AK270" s="2011">
        <f t="shared" si="268"/>
        <v>-9.0850000000000097E-2</v>
      </c>
      <c r="AL270" s="2011">
        <f t="shared" si="268"/>
        <v>2.2141560798548232E-2</v>
      </c>
      <c r="AM270" s="2011">
        <f t="shared" si="268"/>
        <v>0.58532873376623362</v>
      </c>
      <c r="AN270" s="2011">
        <f t="shared" si="268"/>
        <v>-0.10399999999999976</v>
      </c>
      <c r="AO270" s="2011">
        <f t="shared" si="268"/>
        <v>-9.0850000000000208E-2</v>
      </c>
      <c r="AP270" s="2011">
        <f t="shared" si="268"/>
        <v>6.6545674531155452E-3</v>
      </c>
      <c r="AQ270" s="2165"/>
      <c r="AR270" s="2011"/>
      <c r="AS270" s="2202"/>
      <c r="AT270" s="2356"/>
      <c r="AU270" s="2332"/>
      <c r="AV270" s="2333"/>
      <c r="AW270" s="2202"/>
      <c r="AX270" s="2204"/>
      <c r="AY270" s="2202"/>
      <c r="AZ270" s="2202"/>
      <c r="BA270" s="2203"/>
      <c r="BB270" s="2204"/>
      <c r="BC270" s="2203"/>
      <c r="BD270" s="2357"/>
      <c r="BE270" s="2357"/>
      <c r="BF270" s="2357"/>
      <c r="BG270" s="2357"/>
      <c r="BH270" s="2357"/>
      <c r="BI270" s="2357"/>
      <c r="BJ270" s="2357"/>
      <c r="BK270" s="2357"/>
      <c r="BL270" s="2357"/>
      <c r="BM270" s="2357"/>
      <c r="BN270" s="2357"/>
      <c r="BO270" s="2357"/>
      <c r="BP270" s="2357"/>
      <c r="BQ270" s="2357"/>
      <c r="BR270" s="2357"/>
      <c r="BS270" s="2357"/>
    </row>
    <row r="271" spans="1:71" s="2358" customFormat="1" ht="10.15" outlineLevel="1" x14ac:dyDescent="0.3">
      <c r="A271" s="1970" t="s">
        <v>998</v>
      </c>
      <c r="B271" s="2327" t="s">
        <v>996</v>
      </c>
      <c r="C271" s="2011"/>
      <c r="D271" s="2011"/>
      <c r="E271" s="2011"/>
      <c r="F271" s="2011"/>
      <c r="G271" s="2011"/>
      <c r="H271" s="2011"/>
      <c r="I271" s="2011"/>
      <c r="J271" s="2011"/>
      <c r="K271" s="2011"/>
      <c r="L271" s="2011"/>
      <c r="M271" s="2011"/>
      <c r="N271" s="2011"/>
      <c r="O271" s="2011"/>
      <c r="P271" s="2011"/>
      <c r="Q271" s="2011"/>
      <c r="R271" s="2011"/>
      <c r="S271" s="2011"/>
      <c r="T271" s="2011"/>
      <c r="U271" s="2011"/>
      <c r="V271" s="2011"/>
      <c r="W271" s="2011"/>
      <c r="X271" s="2011">
        <f>X269/T269-1</f>
        <v>1.1630000000000003</v>
      </c>
      <c r="Y271" s="2011">
        <f>Y269/U269-1</f>
        <v>0.58620000000000028</v>
      </c>
      <c r="Z271" s="2011">
        <f>Z269/V269-1</f>
        <v>0.42758000000000007</v>
      </c>
      <c r="AA271" s="2011">
        <v>1.5</v>
      </c>
      <c r="AB271" s="2011">
        <v>1</v>
      </c>
      <c r="AC271" s="2011">
        <v>0.9</v>
      </c>
      <c r="AD271" s="2011">
        <v>0.5</v>
      </c>
      <c r="AE271" s="2011">
        <v>0.25</v>
      </c>
      <c r="AF271" s="2011">
        <v>0.5</v>
      </c>
      <c r="AG271" s="2011">
        <v>0.45</v>
      </c>
      <c r="AH271" s="2011">
        <v>0.65</v>
      </c>
      <c r="AI271" s="2011">
        <v>0.65</v>
      </c>
      <c r="AJ271" s="2011">
        <v>0.5</v>
      </c>
      <c r="AK271" s="2011">
        <v>0.35</v>
      </c>
      <c r="AL271" s="2011">
        <v>0.28000000000000003</v>
      </c>
      <c r="AM271" s="2011">
        <v>0.35</v>
      </c>
      <c r="AN271" s="2011">
        <v>0.32</v>
      </c>
      <c r="AO271" s="2011">
        <v>0.32</v>
      </c>
      <c r="AP271" s="2011">
        <v>0.3</v>
      </c>
      <c r="AQ271" s="2165"/>
      <c r="AR271" s="2011"/>
      <c r="AS271" s="2202"/>
      <c r="AT271" s="2356"/>
      <c r="AU271" s="2332"/>
      <c r="AV271" s="2333"/>
      <c r="AW271" s="2202">
        <f>AW269/AV269-1</f>
        <v>1.1016577777777781</v>
      </c>
      <c r="AX271" s="2204">
        <f>AX269/AW269-1</f>
        <v>0.93280331082552825</v>
      </c>
      <c r="AY271" s="2202">
        <f>AY269/AX269-1</f>
        <v>0.45234405815067324</v>
      </c>
      <c r="AZ271" s="2202">
        <f>AZ269/AY269-1</f>
        <v>0.44077686495504342</v>
      </c>
      <c r="BA271" s="2203">
        <f>BA269/AZ269-1</f>
        <v>0.32360141888941873</v>
      </c>
      <c r="BB271" s="2204">
        <v>0.27</v>
      </c>
      <c r="BC271" s="2203">
        <v>0.23</v>
      </c>
      <c r="BD271" s="2357"/>
      <c r="BE271" s="2357"/>
      <c r="BF271" s="2357"/>
      <c r="BG271" s="2357"/>
      <c r="BH271" s="2357"/>
      <c r="BI271" s="2357"/>
      <c r="BJ271" s="2357"/>
      <c r="BK271" s="2357"/>
      <c r="BL271" s="2357"/>
      <c r="BM271" s="2357"/>
      <c r="BN271" s="2357"/>
      <c r="BO271" s="2357"/>
      <c r="BP271" s="2357"/>
      <c r="BQ271" s="2357"/>
      <c r="BR271" s="2357"/>
      <c r="BS271" s="2357"/>
    </row>
    <row r="272" spans="1:71" s="2326" customFormat="1" ht="10.15" outlineLevel="1" x14ac:dyDescent="0.3">
      <c r="A272" s="1970" t="s">
        <v>740</v>
      </c>
      <c r="B272" s="2316" t="s">
        <v>999</v>
      </c>
      <c r="C272" s="2317"/>
      <c r="D272" s="2317"/>
      <c r="E272" s="2317"/>
      <c r="F272" s="2317"/>
      <c r="G272" s="2317"/>
      <c r="H272" s="2317"/>
      <c r="I272" s="2317"/>
      <c r="J272" s="2318"/>
      <c r="K272" s="2318"/>
      <c r="L272" s="2318"/>
      <c r="M272" s="2318"/>
      <c r="N272" s="2318"/>
      <c r="O272" s="2318">
        <f>O260</f>
        <v>812</v>
      </c>
      <c r="P272" s="2318">
        <f>P260</f>
        <v>898</v>
      </c>
      <c r="Q272" s="2318">
        <f>Q260</f>
        <v>1088</v>
      </c>
      <c r="R272" s="2318">
        <f>R260</f>
        <v>1174</v>
      </c>
      <c r="S272" s="2362">
        <f t="shared" ref="S272:AC272" si="269">S260-S263</f>
        <v>1415.4754679999996</v>
      </c>
      <c r="T272" s="2362">
        <f t="shared" si="269"/>
        <v>1702.4992413999996</v>
      </c>
      <c r="U272" s="2362">
        <f t="shared" si="269"/>
        <v>1926.9491655399997</v>
      </c>
      <c r="V272" s="2362">
        <f t="shared" si="269"/>
        <v>1939.5542489859995</v>
      </c>
      <c r="W272" s="2362">
        <f t="shared" si="269"/>
        <v>2069.6797914758595</v>
      </c>
      <c r="X272" s="2362">
        <f t="shared" si="269"/>
        <v>2740.0892262279995</v>
      </c>
      <c r="Y272" s="2362">
        <f t="shared" si="269"/>
        <v>3089.7166238169993</v>
      </c>
      <c r="Z272" s="2362">
        <f t="shared" si="269"/>
        <v>2930.9213863338996</v>
      </c>
      <c r="AA272" s="2362">
        <f t="shared" si="269"/>
        <v>3203.3497393448242</v>
      </c>
      <c r="AB272" s="2362">
        <f t="shared" si="269"/>
        <v>3481.6281488507993</v>
      </c>
      <c r="AC272" s="2362">
        <f t="shared" si="269"/>
        <v>4162.1149614352989</v>
      </c>
      <c r="AD272" s="2362">
        <f>AD260-AD263-AD278</f>
        <v>3063.9310054271878</v>
      </c>
      <c r="AE272" s="2362">
        <f>AE260-AE263-AE278-AE275</f>
        <v>2953.2647654103421</v>
      </c>
      <c r="AF272" s="2362">
        <f>AF260-AF263-AF278</f>
        <v>4107.8939265231793</v>
      </c>
      <c r="AG272" s="2362">
        <f>AG260-AG263-AG278</f>
        <v>4562.174999348239</v>
      </c>
      <c r="AH272" s="2362">
        <f>AH260-AH263-AH278</f>
        <v>3465.5441653417502</v>
      </c>
      <c r="AI272" s="2362">
        <f>AI260-AI263-AI278-AI275</f>
        <v>2038.6243123282738</v>
      </c>
      <c r="AJ272" s="2362">
        <f t="shared" ref="AJ272:AP272" si="270">AF272*(1+AJ274)</f>
        <v>3286.3151412185434</v>
      </c>
      <c r="AK272" s="2362">
        <f t="shared" si="270"/>
        <v>3649.7399994785915</v>
      </c>
      <c r="AL272" s="2362">
        <f t="shared" si="270"/>
        <v>2945.7125405404877</v>
      </c>
      <c r="AM272" s="2362">
        <f t="shared" si="270"/>
        <v>1834.7618810954466</v>
      </c>
      <c r="AN272" s="2362">
        <f t="shared" si="270"/>
        <v>3450.6308982794708</v>
      </c>
      <c r="AO272" s="2362">
        <f t="shared" si="270"/>
        <v>3941.7191994368791</v>
      </c>
      <c r="AP272" s="2362">
        <f t="shared" si="270"/>
        <v>3387.5694216215607</v>
      </c>
      <c r="AQ272" s="2363"/>
      <c r="AR272" s="2362"/>
      <c r="AS272" s="2364"/>
      <c r="AT272" s="2365"/>
      <c r="AU272" s="2366">
        <f>SUM(O272:R272)</f>
        <v>3972</v>
      </c>
      <c r="AV272" s="2367">
        <f>SUM(S272:V272)</f>
        <v>6984.4781239259992</v>
      </c>
      <c r="AW272" s="2367">
        <f>SUM(W272:Z272)</f>
        <v>10830.407027854757</v>
      </c>
      <c r="AX272" s="2366">
        <f>SUM(AA272:AD272)</f>
        <v>13911.023855058111</v>
      </c>
      <c r="AY272" s="2367">
        <f>SUM(AE272:AH272)</f>
        <v>15088.877856623512</v>
      </c>
      <c r="AZ272" s="2362">
        <f>SUM(AI272:AL272)</f>
        <v>11920.391993565896</v>
      </c>
      <c r="BA272" s="2368">
        <f>SUM(AM272:AP272)</f>
        <v>12614.681400433357</v>
      </c>
      <c r="BB272" s="2363">
        <f>BA272*(1+BB274)</f>
        <v>12993.121842446359</v>
      </c>
      <c r="BC272" s="2368">
        <f>BB272*(1+BC274)</f>
        <v>13382.91549771975</v>
      </c>
    </row>
    <row r="273" spans="1:71" s="2335" customFormat="1" ht="10.15" outlineLevel="1" x14ac:dyDescent="0.3">
      <c r="A273" s="2042"/>
      <c r="B273" s="2327" t="s">
        <v>836</v>
      </c>
      <c r="C273" s="2328"/>
      <c r="D273" s="2328"/>
      <c r="E273" s="2328"/>
      <c r="F273" s="2328"/>
      <c r="G273" s="2328"/>
      <c r="H273" s="2328"/>
      <c r="I273" s="2328"/>
      <c r="J273" s="2328"/>
      <c r="K273" s="2328"/>
      <c r="L273" s="2328"/>
      <c r="M273" s="2328"/>
      <c r="N273" s="2328"/>
      <c r="O273" s="2328"/>
      <c r="P273" s="2011">
        <f t="shared" ref="P273:AP273" si="271">P272/O272-1</f>
        <v>0.10591133004926112</v>
      </c>
      <c r="Q273" s="2011">
        <f t="shared" si="271"/>
        <v>0.2115812917594655</v>
      </c>
      <c r="R273" s="2011">
        <f t="shared" si="271"/>
        <v>7.9044117647058876E-2</v>
      </c>
      <c r="S273" s="2011">
        <f t="shared" si="271"/>
        <v>0.20568608858603032</v>
      </c>
      <c r="T273" s="2011">
        <f t="shared" si="271"/>
        <v>0.20277551952599437</v>
      </c>
      <c r="U273" s="2011">
        <f t="shared" si="271"/>
        <v>0.13183555016179072</v>
      </c>
      <c r="V273" s="2011">
        <f t="shared" si="271"/>
        <v>6.5414717063734251E-3</v>
      </c>
      <c r="W273" s="2011">
        <f t="shared" si="271"/>
        <v>6.7090437175391981E-2</v>
      </c>
      <c r="X273" s="2011">
        <f t="shared" si="271"/>
        <v>0.32391939927774072</v>
      </c>
      <c r="Y273" s="2011">
        <f t="shared" si="271"/>
        <v>0.12759708488409194</v>
      </c>
      <c r="Z273" s="2011">
        <f t="shared" si="271"/>
        <v>-5.1394757777794564E-2</v>
      </c>
      <c r="AA273" s="2011">
        <f t="shared" si="271"/>
        <v>9.2949730511771911E-2</v>
      </c>
      <c r="AB273" s="2011">
        <f t="shared" si="271"/>
        <v>8.6871066898518201E-2</v>
      </c>
      <c r="AC273" s="2011">
        <f t="shared" si="271"/>
        <v>0.19545074416092123</v>
      </c>
      <c r="AD273" s="2011">
        <f t="shared" si="271"/>
        <v>-0.26385238422857116</v>
      </c>
      <c r="AE273" s="2011">
        <f t="shared" si="271"/>
        <v>-3.6119037870246062E-2</v>
      </c>
      <c r="AF273" s="2011">
        <f t="shared" si="271"/>
        <v>0.39096703236237174</v>
      </c>
      <c r="AG273" s="2011">
        <f t="shared" si="271"/>
        <v>0.11058734255330505</v>
      </c>
      <c r="AH273" s="2011">
        <f t="shared" si="271"/>
        <v>-0.24037456567605486</v>
      </c>
      <c r="AI273" s="2011">
        <f t="shared" si="271"/>
        <v>-0.4117448183993242</v>
      </c>
      <c r="AJ273" s="2011">
        <f t="shared" si="271"/>
        <v>0.61202587516740925</v>
      </c>
      <c r="AK273" s="2011">
        <f t="shared" si="271"/>
        <v>0.11058734255330505</v>
      </c>
      <c r="AL273" s="2011">
        <f t="shared" si="271"/>
        <v>-0.19289797603080838</v>
      </c>
      <c r="AM273" s="2011">
        <f t="shared" si="271"/>
        <v>-0.37714157242281376</v>
      </c>
      <c r="AN273" s="2011">
        <f t="shared" si="271"/>
        <v>0.88069685436197731</v>
      </c>
      <c r="AO273" s="2011">
        <f t="shared" si="271"/>
        <v>0.14231840948339958</v>
      </c>
      <c r="AP273" s="2011">
        <f t="shared" si="271"/>
        <v>-0.14058580781058305</v>
      </c>
      <c r="AQ273" s="2329"/>
      <c r="AR273" s="2328"/>
      <c r="AS273" s="2330"/>
      <c r="AT273" s="2331"/>
      <c r="AU273" s="2369"/>
      <c r="AV273" s="2330"/>
      <c r="AW273" s="2330"/>
      <c r="AX273" s="2370"/>
      <c r="AY273" s="2330"/>
      <c r="AZ273" s="2330"/>
      <c r="BA273" s="2371"/>
      <c r="BB273" s="2370"/>
      <c r="BC273" s="2371"/>
      <c r="BD273" s="2334"/>
      <c r="BE273" s="2334"/>
      <c r="BF273" s="2334"/>
      <c r="BG273" s="2334"/>
      <c r="BH273" s="2334"/>
      <c r="BI273" s="2334"/>
      <c r="BJ273" s="2334"/>
      <c r="BK273" s="2334"/>
      <c r="BL273" s="2334"/>
      <c r="BM273" s="2334"/>
      <c r="BN273" s="2334"/>
      <c r="BO273" s="2334"/>
      <c r="BP273" s="2334"/>
      <c r="BQ273" s="2334"/>
      <c r="BR273" s="2334"/>
      <c r="BS273" s="2334"/>
    </row>
    <row r="274" spans="1:71" s="2335" customFormat="1" ht="10.15" outlineLevel="1" x14ac:dyDescent="0.3">
      <c r="A274" s="1970" t="s">
        <v>1000</v>
      </c>
      <c r="B274" s="2327" t="s">
        <v>996</v>
      </c>
      <c r="C274" s="2328"/>
      <c r="D274" s="2328"/>
      <c r="E274" s="2328"/>
      <c r="F274" s="2328"/>
      <c r="G274" s="2328"/>
      <c r="H274" s="2328"/>
      <c r="I274" s="2328"/>
      <c r="J274" s="2328"/>
      <c r="K274" s="2328"/>
      <c r="L274" s="2328"/>
      <c r="M274" s="2328"/>
      <c r="N274" s="2328"/>
      <c r="O274" s="2328"/>
      <c r="P274" s="2011"/>
      <c r="Q274" s="2011"/>
      <c r="R274" s="2011"/>
      <c r="S274" s="2011">
        <f t="shared" ref="S274:AI274" si="272">S272/O272-1</f>
        <v>0.74319638916256103</v>
      </c>
      <c r="T274" s="2011">
        <f t="shared" si="272"/>
        <v>0.89587888797327353</v>
      </c>
      <c r="U274" s="2011">
        <f t="shared" si="272"/>
        <v>0.77109298303308793</v>
      </c>
      <c r="V274" s="2011">
        <f t="shared" si="272"/>
        <v>0.65209050169165206</v>
      </c>
      <c r="W274" s="2011">
        <f t="shared" si="272"/>
        <v>0.46217990934185527</v>
      </c>
      <c r="X274" s="2011">
        <f t="shared" si="272"/>
        <v>0.60945107028345502</v>
      </c>
      <c r="Y274" s="2011">
        <f t="shared" si="272"/>
        <v>0.60342404411646777</v>
      </c>
      <c r="Z274" s="2011">
        <f t="shared" si="272"/>
        <v>0.51113143025836361</v>
      </c>
      <c r="AA274" s="2011">
        <f t="shared" si="272"/>
        <v>0.5477513732018231</v>
      </c>
      <c r="AB274" s="2011">
        <f t="shared" si="272"/>
        <v>0.27062583054771561</v>
      </c>
      <c r="AC274" s="2011">
        <f t="shared" si="272"/>
        <v>0.34708630861217027</v>
      </c>
      <c r="AD274" s="2011">
        <f t="shared" si="272"/>
        <v>4.5381503479921426E-2</v>
      </c>
      <c r="AE274" s="2011">
        <f t="shared" si="272"/>
        <v>-7.8069831358979713E-2</v>
      </c>
      <c r="AF274" s="2011">
        <f t="shared" si="272"/>
        <v>0.17987727318872215</v>
      </c>
      <c r="AG274" s="2011">
        <f t="shared" si="272"/>
        <v>9.6119410833135577E-2</v>
      </c>
      <c r="AH274" s="2011">
        <f t="shared" si="272"/>
        <v>0.13107774267866312</v>
      </c>
      <c r="AI274" s="2011">
        <f t="shared" si="272"/>
        <v>-0.30970486080173154</v>
      </c>
      <c r="AJ274" s="2011">
        <v>-0.2</v>
      </c>
      <c r="AK274" s="2011">
        <v>-0.2</v>
      </c>
      <c r="AL274" s="2011">
        <v>-0.15</v>
      </c>
      <c r="AM274" s="2011">
        <v>-0.1</v>
      </c>
      <c r="AN274" s="2011">
        <v>0.05</v>
      </c>
      <c r="AO274" s="2011">
        <v>0.08</v>
      </c>
      <c r="AP274" s="2011">
        <v>0.15</v>
      </c>
      <c r="AQ274" s="2329"/>
      <c r="AR274" s="2328"/>
      <c r="AS274" s="2330"/>
      <c r="AT274" s="2331"/>
      <c r="AU274" s="2369"/>
      <c r="AV274" s="2202">
        <f t="shared" ref="AV274:BA274" si="273">AV272/AU272-1</f>
        <v>0.7584285306963745</v>
      </c>
      <c r="AW274" s="2202">
        <f t="shared" si="273"/>
        <v>0.55063940865591077</v>
      </c>
      <c r="AX274" s="2204">
        <f t="shared" si="273"/>
        <v>0.28444146367540069</v>
      </c>
      <c r="AY274" s="2202">
        <f t="shared" si="273"/>
        <v>8.4670547174507726E-2</v>
      </c>
      <c r="AZ274" s="2202">
        <f t="shared" si="273"/>
        <v>-0.20998817096705158</v>
      </c>
      <c r="BA274" s="2203">
        <f t="shared" si="273"/>
        <v>5.8243840239667222E-2</v>
      </c>
      <c r="BB274" s="2204">
        <v>0.03</v>
      </c>
      <c r="BC274" s="2203">
        <v>0.03</v>
      </c>
      <c r="BD274" s="2334"/>
      <c r="BE274" s="2334"/>
      <c r="BF274" s="2334"/>
      <c r="BG274" s="2334"/>
      <c r="BH274" s="2334"/>
      <c r="BI274" s="2334"/>
      <c r="BJ274" s="2334"/>
      <c r="BK274" s="2334"/>
      <c r="BL274" s="2334"/>
      <c r="BM274" s="2334"/>
      <c r="BN274" s="2334"/>
      <c r="BO274" s="2334"/>
      <c r="BP274" s="2334"/>
      <c r="BQ274" s="2334"/>
      <c r="BR274" s="2334"/>
      <c r="BS274" s="2334"/>
    </row>
    <row r="275" spans="1:71" s="2335" customFormat="1" ht="10.15" outlineLevel="1" x14ac:dyDescent="0.3">
      <c r="A275" s="1970"/>
      <c r="B275" s="2316" t="s">
        <v>1001</v>
      </c>
      <c r="C275" s="2328"/>
      <c r="D275" s="2328"/>
      <c r="E275" s="2328"/>
      <c r="F275" s="2328"/>
      <c r="G275" s="2328"/>
      <c r="H275" s="2328"/>
      <c r="I275" s="2328"/>
      <c r="J275" s="2328"/>
      <c r="K275" s="2328"/>
      <c r="L275" s="2328"/>
      <c r="M275" s="2328"/>
      <c r="N275" s="2328"/>
      <c r="O275" s="2328"/>
      <c r="P275" s="2011"/>
      <c r="Q275" s="2011"/>
      <c r="R275" s="2011"/>
      <c r="S275" s="2011"/>
      <c r="T275" s="2011"/>
      <c r="U275" s="2011"/>
      <c r="V275" s="2011"/>
      <c r="W275" s="2011"/>
      <c r="X275" s="2011"/>
      <c r="Y275" s="2011"/>
      <c r="Z275" s="2011"/>
      <c r="AA275" s="2011"/>
      <c r="AB275" s="2011"/>
      <c r="AC275" s="2011"/>
      <c r="AD275" s="2011"/>
      <c r="AE275" s="2372">
        <f>AE260-6312</f>
        <v>114</v>
      </c>
      <c r="AF275" s="2011"/>
      <c r="AG275" s="2011"/>
      <c r="AH275" s="2011"/>
      <c r="AI275" s="2373">
        <v>2200</v>
      </c>
      <c r="AJ275" s="2373">
        <f t="shared" ref="AJ275:AP275" si="274">AI275*(1+AJ276)</f>
        <v>2706</v>
      </c>
      <c r="AK275" s="2373">
        <f t="shared" si="274"/>
        <v>2733.06</v>
      </c>
      <c r="AL275" s="2373">
        <f t="shared" si="274"/>
        <v>2815.0518000000002</v>
      </c>
      <c r="AM275" s="2373">
        <f t="shared" si="274"/>
        <v>2843.2023180000001</v>
      </c>
      <c r="AN275" s="2373">
        <f t="shared" si="274"/>
        <v>2900.0663643600001</v>
      </c>
      <c r="AO275" s="2373">
        <f t="shared" si="274"/>
        <v>2929.0670280036002</v>
      </c>
      <c r="AP275" s="2373">
        <f t="shared" si="274"/>
        <v>2987.6483685636722</v>
      </c>
      <c r="AQ275" s="2329"/>
      <c r="AR275" s="2328"/>
      <c r="AS275" s="2330"/>
      <c r="AT275" s="2331"/>
      <c r="AU275" s="2369"/>
      <c r="AV275" s="2202"/>
      <c r="AW275" s="2202"/>
      <c r="AX275" s="2204"/>
      <c r="AY275" s="2367">
        <f>SUM(AE275:AH275)</f>
        <v>114</v>
      </c>
      <c r="AZ275" s="2362">
        <f>SUM(AI275:AL275)</f>
        <v>10454.111799999999</v>
      </c>
      <c r="BA275" s="2368">
        <f>SUM(AM275:AP275)</f>
        <v>11659.984078927273</v>
      </c>
      <c r="BB275" s="2363">
        <f>BA275*(1+BB277)</f>
        <v>12825.982486820001</v>
      </c>
      <c r="BC275" s="2368">
        <f>BB275*(1+BC277)</f>
        <v>13852.061085765603</v>
      </c>
      <c r="BD275" s="2334"/>
      <c r="BE275" s="2334"/>
      <c r="BF275" s="2334"/>
      <c r="BG275" s="2334"/>
      <c r="BH275" s="2334"/>
      <c r="BI275" s="2334"/>
      <c r="BJ275" s="2334"/>
      <c r="BK275" s="2334"/>
      <c r="BL275" s="2334"/>
      <c r="BM275" s="2334"/>
      <c r="BN275" s="2334"/>
      <c r="BO275" s="2334"/>
      <c r="BP275" s="2334"/>
      <c r="BQ275" s="2334"/>
      <c r="BR275" s="2334"/>
      <c r="BS275" s="2334"/>
    </row>
    <row r="276" spans="1:71" s="2335" customFormat="1" ht="10.15" outlineLevel="1" x14ac:dyDescent="0.3">
      <c r="A276" s="1970"/>
      <c r="B276" s="2327" t="s">
        <v>836</v>
      </c>
      <c r="C276" s="2328"/>
      <c r="D276" s="2328"/>
      <c r="E276" s="2328"/>
      <c r="F276" s="2328"/>
      <c r="G276" s="2328"/>
      <c r="H276" s="2328"/>
      <c r="I276" s="2328"/>
      <c r="J276" s="2328"/>
      <c r="K276" s="2328"/>
      <c r="L276" s="2328"/>
      <c r="M276" s="2328"/>
      <c r="N276" s="2328"/>
      <c r="O276" s="2328"/>
      <c r="P276" s="2011"/>
      <c r="Q276" s="2011"/>
      <c r="R276" s="2011"/>
      <c r="S276" s="2011"/>
      <c r="T276" s="2011"/>
      <c r="U276" s="2011"/>
      <c r="V276" s="2011"/>
      <c r="W276" s="2011"/>
      <c r="X276" s="2011"/>
      <c r="Y276" s="2011"/>
      <c r="Z276" s="2011"/>
      <c r="AA276" s="2011"/>
      <c r="AB276" s="2011"/>
      <c r="AC276" s="2011"/>
      <c r="AD276" s="2011"/>
      <c r="AE276" s="2011"/>
      <c r="AF276" s="2011"/>
      <c r="AG276" s="2011"/>
      <c r="AH276" s="2011"/>
      <c r="AI276" s="2011"/>
      <c r="AJ276" s="2011">
        <v>0.23</v>
      </c>
      <c r="AK276" s="2011">
        <v>0.01</v>
      </c>
      <c r="AL276" s="2011">
        <v>0.03</v>
      </c>
      <c r="AM276" s="2011">
        <v>0.01</v>
      </c>
      <c r="AN276" s="2011">
        <v>0.02</v>
      </c>
      <c r="AO276" s="2011">
        <v>0.01</v>
      </c>
      <c r="AP276" s="2011">
        <v>0.02</v>
      </c>
      <c r="AQ276" s="2329"/>
      <c r="AR276" s="2328"/>
      <c r="AS276" s="2330"/>
      <c r="AT276" s="2331"/>
      <c r="AU276" s="2369"/>
      <c r="AV276" s="2202"/>
      <c r="AW276" s="2202"/>
      <c r="AX276" s="2204"/>
      <c r="AY276" s="2202"/>
      <c r="AZ276" s="2202"/>
      <c r="BA276" s="2203"/>
      <c r="BB276" s="2204"/>
      <c r="BC276" s="2203"/>
      <c r="BD276" s="2334"/>
      <c r="BE276" s="2334"/>
      <c r="BF276" s="2334"/>
      <c r="BG276" s="2334"/>
      <c r="BH276" s="2334"/>
      <c r="BI276" s="2334"/>
      <c r="BJ276" s="2334"/>
      <c r="BK276" s="2334"/>
      <c r="BL276" s="2334"/>
      <c r="BM276" s="2334"/>
      <c r="BN276" s="2334"/>
      <c r="BO276" s="2334"/>
      <c r="BP276" s="2334"/>
      <c r="BQ276" s="2334"/>
      <c r="BR276" s="2334"/>
      <c r="BS276" s="2334"/>
    </row>
    <row r="277" spans="1:71" s="2335" customFormat="1" ht="10.15" outlineLevel="1" x14ac:dyDescent="0.3">
      <c r="A277" s="1970"/>
      <c r="B277" s="2327" t="s">
        <v>996</v>
      </c>
      <c r="C277" s="2328"/>
      <c r="D277" s="2328"/>
      <c r="E277" s="2328"/>
      <c r="F277" s="2328"/>
      <c r="G277" s="2328"/>
      <c r="H277" s="2328"/>
      <c r="I277" s="2328"/>
      <c r="J277" s="2328"/>
      <c r="K277" s="2328"/>
      <c r="L277" s="2328"/>
      <c r="M277" s="2328"/>
      <c r="N277" s="2328"/>
      <c r="O277" s="2328"/>
      <c r="P277" s="2011"/>
      <c r="Q277" s="2011"/>
      <c r="R277" s="2011"/>
      <c r="S277" s="2011"/>
      <c r="T277" s="2011"/>
      <c r="U277" s="2011"/>
      <c r="V277" s="2011"/>
      <c r="W277" s="2011"/>
      <c r="X277" s="2011"/>
      <c r="Y277" s="2011"/>
      <c r="Z277" s="2011"/>
      <c r="AA277" s="2011"/>
      <c r="AB277" s="2011"/>
      <c r="AC277" s="2011"/>
      <c r="AD277" s="2011"/>
      <c r="AE277" s="2011"/>
      <c r="AF277" s="2011"/>
      <c r="AG277" s="2011"/>
      <c r="AH277" s="2011"/>
      <c r="AI277" s="2011"/>
      <c r="AJ277" s="2011"/>
      <c r="AK277" s="2011"/>
      <c r="AL277" s="2011"/>
      <c r="AM277" s="2011">
        <f>AM275/AI275-1</f>
        <v>0.29236469000000009</v>
      </c>
      <c r="AN277" s="2011">
        <f>AN275/AJ275-1</f>
        <v>7.171706000000011E-2</v>
      </c>
      <c r="AO277" s="2011">
        <f>AO275/AK275-1</f>
        <v>7.171706000000011E-2</v>
      </c>
      <c r="AP277" s="2011">
        <f>AP275/AL275-1</f>
        <v>6.1312040000000012E-2</v>
      </c>
      <c r="AQ277" s="2329"/>
      <c r="AR277" s="2328"/>
      <c r="AS277" s="2330"/>
      <c r="AT277" s="2331"/>
      <c r="AU277" s="2369"/>
      <c r="AV277" s="2202"/>
      <c r="AW277" s="2202"/>
      <c r="AX277" s="2204"/>
      <c r="AY277" s="2202"/>
      <c r="AZ277" s="2202"/>
      <c r="BA277" s="2203">
        <f>BA275/AZ275-1</f>
        <v>0.11534908962110713</v>
      </c>
      <c r="BB277" s="2204">
        <v>0.1</v>
      </c>
      <c r="BC277" s="2203">
        <v>0.08</v>
      </c>
      <c r="BD277" s="2334"/>
      <c r="BE277" s="2334"/>
      <c r="BF277" s="2334"/>
      <c r="BG277" s="2334"/>
      <c r="BH277" s="2334"/>
      <c r="BI277" s="2334"/>
      <c r="BJ277" s="2334"/>
      <c r="BK277" s="2334"/>
      <c r="BL277" s="2334"/>
      <c r="BM277" s="2334"/>
      <c r="BN277" s="2334"/>
      <c r="BO277" s="2334"/>
      <c r="BP277" s="2334"/>
      <c r="BQ277" s="2334"/>
      <c r="BR277" s="2334"/>
      <c r="BS277" s="2334"/>
    </row>
    <row r="278" spans="1:71" s="2335" customFormat="1" ht="10.15" outlineLevel="1" x14ac:dyDescent="0.3">
      <c r="A278" s="1970" t="s">
        <v>1002</v>
      </c>
      <c r="B278" s="2316" t="s">
        <v>1003</v>
      </c>
      <c r="C278" s="2328"/>
      <c r="D278" s="2328"/>
      <c r="E278" s="2328"/>
      <c r="F278" s="2328"/>
      <c r="G278" s="2328"/>
      <c r="H278" s="2328"/>
      <c r="I278" s="2328"/>
      <c r="J278" s="2328"/>
      <c r="K278" s="2328"/>
      <c r="L278" s="2328"/>
      <c r="M278" s="2328"/>
      <c r="N278" s="2328"/>
      <c r="O278" s="2328"/>
      <c r="P278" s="2011"/>
      <c r="Q278" s="2011"/>
      <c r="R278" s="2011"/>
      <c r="S278" s="2011"/>
      <c r="T278" s="2011"/>
      <c r="U278" s="2011"/>
      <c r="V278" s="2374">
        <f>1061.994-W278</f>
        <v>561.99399999999991</v>
      </c>
      <c r="W278" s="2374">
        <v>500</v>
      </c>
      <c r="X278" s="2374">
        <f>1184.181-W278</f>
        <v>684.18100000000004</v>
      </c>
      <c r="Y278" s="2374">
        <f>2366.136-V278-W278-X278</f>
        <v>619.96100000000001</v>
      </c>
      <c r="Z278" s="2373">
        <f>(3302783-2366136)/1000</f>
        <v>936.64700000000005</v>
      </c>
      <c r="AA278" s="2374">
        <v>720</v>
      </c>
      <c r="AB278" s="2374">
        <f>1532.252-AA278</f>
        <v>812.25199999999995</v>
      </c>
      <c r="AC278" s="2373">
        <f>Y278*(1+AC280)</f>
        <v>638.55983000000003</v>
      </c>
      <c r="AD278" s="2373">
        <f>(3033.844-AA278-AB278-AC278)/3</f>
        <v>287.67739</v>
      </c>
      <c r="AE278" s="2373">
        <f>AA278*(1+AE280)</f>
        <v>684</v>
      </c>
      <c r="AF278" s="2373">
        <f>1501.3-AE278</f>
        <v>817.3</v>
      </c>
      <c r="AG278" s="2373">
        <f>AC278*(1+AG280)</f>
        <v>676.87341980000008</v>
      </c>
      <c r="AH278" s="2373">
        <f>AD278*(1+AH280)*3</f>
        <v>258.90965100000005</v>
      </c>
      <c r="AI278" s="2373">
        <f t="shared" ref="AI278:AP278" si="275">AE278*(1+AI280)</f>
        <v>68.399999999999991</v>
      </c>
      <c r="AJ278" s="2373">
        <f t="shared" si="275"/>
        <v>907.20299999999997</v>
      </c>
      <c r="AK278" s="2373">
        <f t="shared" si="275"/>
        <v>737.79202758200017</v>
      </c>
      <c r="AL278" s="2373">
        <f t="shared" si="275"/>
        <v>1035.6386040000002</v>
      </c>
      <c r="AM278" s="2373">
        <f t="shared" si="275"/>
        <v>889.19999999999993</v>
      </c>
      <c r="AN278" s="2373">
        <f t="shared" si="275"/>
        <v>997.92330000000004</v>
      </c>
      <c r="AO278" s="2373">
        <f t="shared" si="275"/>
        <v>811.57123034020026</v>
      </c>
      <c r="AP278" s="2373">
        <f t="shared" si="275"/>
        <v>1139.2024644000003</v>
      </c>
      <c r="AQ278" s="2329"/>
      <c r="AR278" s="2328"/>
      <c r="AS278" s="2330"/>
      <c r="AT278" s="2331"/>
      <c r="AU278" s="2369"/>
      <c r="AV278" s="2330"/>
      <c r="AW278" s="2330"/>
      <c r="AX278" s="2366">
        <f>AD278</f>
        <v>287.67739</v>
      </c>
      <c r="AY278" s="2367">
        <f>SUM(AE278:AH278)</f>
        <v>2437.0830707999999</v>
      </c>
      <c r="AZ278" s="2362">
        <f>SUM(AI278:AL278)</f>
        <v>2749.0336315820005</v>
      </c>
      <c r="BA278" s="2368">
        <f>SUM(AM278:AP278)</f>
        <v>3837.8969947402006</v>
      </c>
      <c r="BB278" s="2363">
        <f>BA278*(1+BB280)</f>
        <v>4144.9287543194168</v>
      </c>
      <c r="BC278" s="2368">
        <f>BB278*(1+BC280)</f>
        <v>4393.6244795785824</v>
      </c>
      <c r="BD278" s="2334"/>
      <c r="BE278" s="2334"/>
      <c r="BF278" s="2334"/>
      <c r="BG278" s="2334"/>
      <c r="BH278" s="2334"/>
      <c r="BI278" s="2334"/>
      <c r="BJ278" s="2334"/>
      <c r="BK278" s="2334"/>
      <c r="BL278" s="2334"/>
      <c r="BM278" s="2334"/>
      <c r="BN278" s="2334"/>
      <c r="BO278" s="2334"/>
      <c r="BP278" s="2334"/>
      <c r="BQ278" s="2334"/>
      <c r="BR278" s="2334"/>
      <c r="BS278" s="2334"/>
    </row>
    <row r="279" spans="1:71" s="2335" customFormat="1" ht="10.15" outlineLevel="1" x14ac:dyDescent="0.3">
      <c r="A279" s="2042"/>
      <c r="B279" s="2327" t="s">
        <v>836</v>
      </c>
      <c r="C279" s="2328"/>
      <c r="D279" s="2328"/>
      <c r="E279" s="2328"/>
      <c r="F279" s="2328"/>
      <c r="G279" s="2328"/>
      <c r="H279" s="2328"/>
      <c r="I279" s="2328"/>
      <c r="J279" s="2328"/>
      <c r="K279" s="2328"/>
      <c r="L279" s="2328"/>
      <c r="M279" s="2328"/>
      <c r="N279" s="2328"/>
      <c r="O279" s="2328"/>
      <c r="P279" s="2011"/>
      <c r="Q279" s="2011"/>
      <c r="R279" s="2011"/>
      <c r="S279" s="2011"/>
      <c r="T279" s="2011"/>
      <c r="U279" s="2011"/>
      <c r="V279" s="2011"/>
      <c r="W279" s="2011">
        <f t="shared" ref="W279:AP279" si="276">W278/V278-1</f>
        <v>-0.11031078623615187</v>
      </c>
      <c r="X279" s="2011">
        <f t="shared" si="276"/>
        <v>0.36836200000000008</v>
      </c>
      <c r="Y279" s="2011">
        <f t="shared" si="276"/>
        <v>-9.3864050594798742E-2</v>
      </c>
      <c r="Z279" s="2011">
        <f t="shared" si="276"/>
        <v>0.51081600294212071</v>
      </c>
      <c r="AA279" s="2011">
        <f t="shared" si="276"/>
        <v>-0.23130058602653936</v>
      </c>
      <c r="AB279" s="2011">
        <f t="shared" si="276"/>
        <v>0.12812777777777762</v>
      </c>
      <c r="AC279" s="2011">
        <f t="shared" si="276"/>
        <v>-0.21384024908525912</v>
      </c>
      <c r="AD279" s="2011">
        <f t="shared" si="276"/>
        <v>-0.54949031165959816</v>
      </c>
      <c r="AE279" s="2011">
        <f t="shared" si="276"/>
        <v>1.3776633957920712</v>
      </c>
      <c r="AF279" s="2011">
        <f t="shared" si="276"/>
        <v>0.19488304093567255</v>
      </c>
      <c r="AG279" s="2011">
        <f t="shared" si="276"/>
        <v>-0.17181766817570032</v>
      </c>
      <c r="AH279" s="2011">
        <f t="shared" si="276"/>
        <v>-0.61749177405060207</v>
      </c>
      <c r="AI279" s="2011">
        <f t="shared" si="276"/>
        <v>-0.7358151782453255</v>
      </c>
      <c r="AJ279" s="2011">
        <f t="shared" si="276"/>
        <v>12.263201754385966</v>
      </c>
      <c r="AK279" s="2011">
        <f t="shared" si="276"/>
        <v>-0.18673987235271472</v>
      </c>
      <c r="AL279" s="2011">
        <f t="shared" si="276"/>
        <v>0.40369991174090947</v>
      </c>
      <c r="AM279" s="2011">
        <f t="shared" si="276"/>
        <v>-0.14139932929730792</v>
      </c>
      <c r="AN279" s="2011">
        <f t="shared" si="276"/>
        <v>0.1222709176788126</v>
      </c>
      <c r="AO279" s="2011">
        <f t="shared" si="276"/>
        <v>-0.18673987235271461</v>
      </c>
      <c r="AP279" s="2011">
        <f t="shared" si="276"/>
        <v>0.40369991174090925</v>
      </c>
      <c r="AQ279" s="2329"/>
      <c r="AR279" s="2328"/>
      <c r="AS279" s="2330"/>
      <c r="AT279" s="2331"/>
      <c r="AU279" s="2369"/>
      <c r="AV279" s="2330"/>
      <c r="AW279" s="2330"/>
      <c r="AX279" s="2370"/>
      <c r="AY279" s="2330"/>
      <c r="AZ279" s="2330"/>
      <c r="BA279" s="2371"/>
      <c r="BB279" s="2370"/>
      <c r="BC279" s="2371"/>
      <c r="BD279" s="2334"/>
      <c r="BE279" s="2334"/>
      <c r="BF279" s="2334"/>
      <c r="BG279" s="2334"/>
      <c r="BH279" s="2334"/>
      <c r="BI279" s="2334"/>
      <c r="BJ279" s="2334"/>
      <c r="BK279" s="2334"/>
      <c r="BL279" s="2334"/>
      <c r="BM279" s="2334"/>
      <c r="BN279" s="2334"/>
      <c r="BO279" s="2334"/>
      <c r="BP279" s="2334"/>
      <c r="BQ279" s="2334"/>
      <c r="BR279" s="2334"/>
      <c r="BS279" s="2334"/>
    </row>
    <row r="280" spans="1:71" s="2335" customFormat="1" ht="10.15" outlineLevel="1" x14ac:dyDescent="0.3">
      <c r="A280" s="2048" t="s">
        <v>1004</v>
      </c>
      <c r="B280" s="2375" t="s">
        <v>996</v>
      </c>
      <c r="C280" s="2376"/>
      <c r="D280" s="2376"/>
      <c r="E280" s="2376"/>
      <c r="F280" s="2376"/>
      <c r="G280" s="2376"/>
      <c r="H280" s="2376"/>
      <c r="I280" s="2376"/>
      <c r="J280" s="2376"/>
      <c r="K280" s="2376"/>
      <c r="L280" s="2376"/>
      <c r="M280" s="2376"/>
      <c r="N280" s="2376"/>
      <c r="O280" s="2376"/>
      <c r="P280" s="2377"/>
      <c r="Q280" s="2377"/>
      <c r="R280" s="2377"/>
      <c r="S280" s="2377"/>
      <c r="T280" s="2377"/>
      <c r="U280" s="2377"/>
      <c r="V280" s="2377"/>
      <c r="W280" s="2377"/>
      <c r="X280" s="2377"/>
      <c r="Y280" s="2377"/>
      <c r="Z280" s="2377">
        <f>Z278/V278-1</f>
        <v>0.66664946600853425</v>
      </c>
      <c r="AA280" s="2377">
        <f>AA278/W278-1</f>
        <v>0.43999999999999995</v>
      </c>
      <c r="AB280" s="2377">
        <f>AB278/X278-1</f>
        <v>0.18718877022308411</v>
      </c>
      <c r="AC280" s="2377">
        <v>0.03</v>
      </c>
      <c r="AD280" s="2377">
        <f>AD278*3/Z278-1</f>
        <v>-7.8593995389938942E-2</v>
      </c>
      <c r="AE280" s="2377">
        <v>-0.05</v>
      </c>
      <c r="AF280" s="2377">
        <f>AF278/AB278-1</f>
        <v>6.2148200312217572E-3</v>
      </c>
      <c r="AG280" s="2377">
        <v>0.06</v>
      </c>
      <c r="AH280" s="2377">
        <v>-0.7</v>
      </c>
      <c r="AI280" s="2377">
        <v>-0.9</v>
      </c>
      <c r="AJ280" s="2377">
        <v>0.11</v>
      </c>
      <c r="AK280" s="2377">
        <v>0.09</v>
      </c>
      <c r="AL280" s="2377">
        <v>3</v>
      </c>
      <c r="AM280" s="2377">
        <v>12</v>
      </c>
      <c r="AN280" s="2377">
        <v>0.1</v>
      </c>
      <c r="AO280" s="2377">
        <v>0.1</v>
      </c>
      <c r="AP280" s="2377">
        <v>0.1</v>
      </c>
      <c r="AQ280" s="2378"/>
      <c r="AR280" s="2376"/>
      <c r="AS280" s="2379"/>
      <c r="AT280" s="2380"/>
      <c r="AU280" s="2381"/>
      <c r="AV280" s="2379"/>
      <c r="AW280" s="2379"/>
      <c r="AX280" s="2382"/>
      <c r="AY280" s="2383">
        <f>AY278/AX278-1</f>
        <v>7.4715836402714864</v>
      </c>
      <c r="AZ280" s="2383">
        <f>AZ278/AY278-1</f>
        <v>0.12800161164781287</v>
      </c>
      <c r="BA280" s="2384">
        <f>BA278/AZ278-1</f>
        <v>0.39608950237963669</v>
      </c>
      <c r="BB280" s="2385">
        <v>0.08</v>
      </c>
      <c r="BC280" s="2384">
        <v>0.06</v>
      </c>
      <c r="BD280" s="2334"/>
      <c r="BE280" s="2334"/>
      <c r="BF280" s="2334"/>
      <c r="BG280" s="2334"/>
      <c r="BH280" s="2334"/>
      <c r="BI280" s="2334"/>
      <c r="BJ280" s="2334"/>
      <c r="BK280" s="2334"/>
      <c r="BL280" s="2334"/>
      <c r="BM280" s="2334"/>
      <c r="BN280" s="2334"/>
      <c r="BO280" s="2334"/>
      <c r="BP280" s="2334"/>
      <c r="BQ280" s="2334"/>
      <c r="BR280" s="2334"/>
      <c r="BS280" s="2334"/>
    </row>
    <row r="281" spans="1:71" s="1999" customFormat="1" x14ac:dyDescent="0.3">
      <c r="A281" s="2042"/>
      <c r="B281" s="1980" t="s">
        <v>984</v>
      </c>
      <c r="C281" s="2058"/>
      <c r="D281" s="2058"/>
      <c r="E281" s="2058"/>
      <c r="F281" s="2058"/>
      <c r="G281" s="2058"/>
      <c r="H281" s="2058"/>
      <c r="I281" s="2058"/>
      <c r="J281" s="1992"/>
      <c r="K281" s="1992"/>
      <c r="L281" s="1992"/>
      <c r="M281" s="1992"/>
      <c r="N281" s="1992"/>
      <c r="O281" s="1992">
        <v>-1054</v>
      </c>
      <c r="P281" s="1992">
        <v>-1201</v>
      </c>
      <c r="Q281" s="1992">
        <v>-1019</v>
      </c>
      <c r="R281" s="1992">
        <v>-838</v>
      </c>
      <c r="S281" s="1994">
        <v>-1853</v>
      </c>
      <c r="T281" s="1994">
        <v>-2247</v>
      </c>
      <c r="U281" s="1994">
        <v>-3196</v>
      </c>
      <c r="V281" s="1994">
        <v>-2586</v>
      </c>
      <c r="W281" s="1994">
        <v>-3388</v>
      </c>
      <c r="X281" s="1994">
        <v>-3383</v>
      </c>
      <c r="Y281" s="1994">
        <f t="shared" ref="Y281:AP281" si="277">Y284-Y282-Y283</f>
        <v>-3828</v>
      </c>
      <c r="Z281" s="1994">
        <f t="shared" si="277"/>
        <v>-3541</v>
      </c>
      <c r="AA281" s="1994">
        <f t="shared" si="277"/>
        <v>-4290</v>
      </c>
      <c r="AB281" s="1994">
        <f t="shared" si="277"/>
        <v>-4805</v>
      </c>
      <c r="AC281" s="1994">
        <f t="shared" si="277"/>
        <v>-7097</v>
      </c>
      <c r="AD281" s="1994">
        <f t="shared" si="277"/>
        <v>-3854</v>
      </c>
      <c r="AE281" s="1994">
        <f t="shared" si="277"/>
        <v>-3282</v>
      </c>
      <c r="AF281" s="1994">
        <f t="shared" si="277"/>
        <v>-3327</v>
      </c>
      <c r="AG281" s="1994">
        <f t="shared" si="277"/>
        <v>-3960</v>
      </c>
      <c r="AH281" s="1994">
        <f t="shared" si="277"/>
        <v>-4491</v>
      </c>
      <c r="AI281" s="1994">
        <f t="shared" si="277"/>
        <v>-2018</v>
      </c>
      <c r="AJ281" s="1994">
        <f t="shared" si="277"/>
        <v>-1175.4375438859831</v>
      </c>
      <c r="AK281" s="1994">
        <f t="shared" si="277"/>
        <v>-1377.8118053515186</v>
      </c>
      <c r="AL281" s="1994">
        <f t="shared" si="277"/>
        <v>-1370.4434243631538</v>
      </c>
      <c r="AM281" s="1994">
        <f t="shared" si="277"/>
        <v>-1108.3189747365986</v>
      </c>
      <c r="AN281" s="1994">
        <f t="shared" si="277"/>
        <v>-590.35734705587242</v>
      </c>
      <c r="AO281" s="1994">
        <f t="shared" si="277"/>
        <v>-932.23473650640722</v>
      </c>
      <c r="AP281" s="1994">
        <f t="shared" si="277"/>
        <v>-894.50732532381448</v>
      </c>
      <c r="AQ281" s="1993"/>
      <c r="AR281" s="1994"/>
      <c r="AS281" s="1995"/>
      <c r="AT281" s="2023"/>
      <c r="AU281" s="2024">
        <f>SUM(O281:R281)</f>
        <v>-4112</v>
      </c>
      <c r="AV281" s="2025">
        <f>SUM(S281:V281)</f>
        <v>-9882</v>
      </c>
      <c r="AW281" s="1995">
        <f>SUM(W281:Z281)</f>
        <v>-14140</v>
      </c>
      <c r="AX281" s="1997">
        <f>SUM(AA281:AD281)</f>
        <v>-20046</v>
      </c>
      <c r="AY281" s="1995">
        <f>SUM(AE281:AH281)</f>
        <v>-15060</v>
      </c>
      <c r="AZ281" s="1995">
        <f>AZ284-AZ282-AZ283</f>
        <v>-5941.6927736006555</v>
      </c>
      <c r="BA281" s="1996">
        <f>BA284-BA282-BA283</f>
        <v>-3525.418383622693</v>
      </c>
      <c r="BB281" s="1997">
        <f>BB284-BB282-BB283</f>
        <v>-1626.2370709940649</v>
      </c>
      <c r="BC281" s="1996">
        <f>BC284-BC282-BC283</f>
        <v>90.706831864477408</v>
      </c>
    </row>
    <row r="282" spans="1:71" s="1953" customFormat="1" x14ac:dyDescent="0.3">
      <c r="A282" s="2042"/>
      <c r="B282" s="2238" t="s">
        <v>985</v>
      </c>
      <c r="C282" s="1972"/>
      <c r="D282" s="1972"/>
      <c r="E282" s="1972"/>
      <c r="F282" s="1972"/>
      <c r="G282" s="1972"/>
      <c r="H282" s="1972"/>
      <c r="I282" s="1972"/>
      <c r="J282" s="1973"/>
      <c r="K282" s="1973"/>
      <c r="L282" s="1973"/>
      <c r="M282" s="1973"/>
      <c r="N282" s="1973"/>
      <c r="O282" s="1973">
        <v>190</v>
      </c>
      <c r="P282" s="1973">
        <v>242</v>
      </c>
      <c r="Q282" s="1973">
        <v>222</v>
      </c>
      <c r="R282" s="2386">
        <v>327</v>
      </c>
      <c r="S282" s="1974">
        <v>334</v>
      </c>
      <c r="T282" s="1974">
        <v>358</v>
      </c>
      <c r="U282" s="1974">
        <v>344</v>
      </c>
      <c r="V282" s="1974">
        <v>418</v>
      </c>
      <c r="W282" s="1974">
        <v>502</v>
      </c>
      <c r="X282" s="1974">
        <v>594</v>
      </c>
      <c r="Y282" s="1974">
        <f>1606-X282-W282</f>
        <v>510</v>
      </c>
      <c r="Z282" s="1974">
        <v>536</v>
      </c>
      <c r="AA282" s="1974">
        <v>818</v>
      </c>
      <c r="AB282" s="1974">
        <v>710</v>
      </c>
      <c r="AC282" s="1974">
        <v>769</v>
      </c>
      <c r="AD282" s="1974">
        <v>691</v>
      </c>
      <c r="AE282" s="1974">
        <v>621</v>
      </c>
      <c r="AF282" s="1974">
        <v>790</v>
      </c>
      <c r="AG282" s="1974">
        <v>332</v>
      </c>
      <c r="AH282" s="2004">
        <v>726</v>
      </c>
      <c r="AI282" s="1974">
        <v>452</v>
      </c>
      <c r="AJ282" s="1974">
        <f t="shared" ref="AJ282:AP283" si="278">AI282*1.01</f>
        <v>456.52</v>
      </c>
      <c r="AK282" s="1974">
        <f t="shared" si="278"/>
        <v>461.08519999999999</v>
      </c>
      <c r="AL282" s="1974">
        <f t="shared" si="278"/>
        <v>465.69605200000001</v>
      </c>
      <c r="AM282" s="1974">
        <f t="shared" si="278"/>
        <v>470.35301251999999</v>
      </c>
      <c r="AN282" s="1974">
        <f t="shared" si="278"/>
        <v>475.05654264520001</v>
      </c>
      <c r="AO282" s="1974">
        <f t="shared" si="278"/>
        <v>479.80710807165201</v>
      </c>
      <c r="AP282" s="1974">
        <f t="shared" si="278"/>
        <v>484.60517915236852</v>
      </c>
      <c r="AQ282" s="1976"/>
      <c r="AR282" s="1974"/>
      <c r="AS282" s="1948"/>
      <c r="AT282" s="1977"/>
      <c r="AU282" s="1978">
        <f>SUM(O282:R282)</f>
        <v>981</v>
      </c>
      <c r="AV282" s="1979">
        <f>SUM(S282:V282)</f>
        <v>1454</v>
      </c>
      <c r="AW282" s="1948">
        <f>SUM(W282:Z282)</f>
        <v>2142</v>
      </c>
      <c r="AX282" s="1949">
        <f>SUM(AA282:AD282)</f>
        <v>2988</v>
      </c>
      <c r="AY282" s="1948">
        <f>SUM(AE282:AH282)</f>
        <v>2469</v>
      </c>
      <c r="AZ282" s="1948">
        <f>SUM(AI282:AL282)</f>
        <v>1835.301252</v>
      </c>
      <c r="BA282" s="1981">
        <f>SUM(AM282:AP282)</f>
        <v>1909.8218423892206</v>
      </c>
      <c r="BB282" s="1949">
        <f>BA282*1.05</f>
        <v>2005.3129345086818</v>
      </c>
      <c r="BC282" s="1981">
        <f>BB282*1.05</f>
        <v>2105.578581234116</v>
      </c>
    </row>
    <row r="283" spans="1:71" s="2388" customFormat="1" x14ac:dyDescent="0.35">
      <c r="A283" s="2042"/>
      <c r="B283" s="2387" t="s">
        <v>986</v>
      </c>
      <c r="C283" s="1972"/>
      <c r="D283" s="1972"/>
      <c r="E283" s="1972"/>
      <c r="F283" s="1972"/>
      <c r="G283" s="1972"/>
      <c r="H283" s="1972"/>
      <c r="I283" s="1972"/>
      <c r="J283" s="1973"/>
      <c r="K283" s="1973"/>
      <c r="L283" s="1973"/>
      <c r="M283" s="1973"/>
      <c r="N283" s="1973"/>
      <c r="O283" s="1973">
        <v>321</v>
      </c>
      <c r="P283" s="1973">
        <v>308</v>
      </c>
      <c r="Q283" s="1973">
        <v>382</v>
      </c>
      <c r="R283" s="1974">
        <v>310</v>
      </c>
      <c r="S283" s="1974">
        <v>523</v>
      </c>
      <c r="T283" s="1974">
        <v>485</v>
      </c>
      <c r="U283" s="1974">
        <v>421</v>
      </c>
      <c r="V283" s="1974">
        <v>457</v>
      </c>
      <c r="W283" s="1974">
        <v>1138</v>
      </c>
      <c r="X283" s="1974">
        <v>1040</v>
      </c>
      <c r="Y283" s="1974">
        <f>3283-X283-W283</f>
        <v>1105</v>
      </c>
      <c r="Z283" s="1974">
        <v>410</v>
      </c>
      <c r="AA283" s="1974">
        <v>340</v>
      </c>
      <c r="AB283" s="1974">
        <v>293</v>
      </c>
      <c r="AC283" s="1974">
        <v>294</v>
      </c>
      <c r="AD283" s="1974">
        <v>335</v>
      </c>
      <c r="AE283" s="1974">
        <v>330</v>
      </c>
      <c r="AF283" s="1974">
        <v>330</v>
      </c>
      <c r="AG283" s="1974">
        <v>330</v>
      </c>
      <c r="AH283" s="1974">
        <v>387</v>
      </c>
      <c r="AI283" s="1974">
        <v>245</v>
      </c>
      <c r="AJ283" s="1974">
        <f t="shared" si="278"/>
        <v>247.45</v>
      </c>
      <c r="AK283" s="1974">
        <f t="shared" si="278"/>
        <v>249.92449999999999</v>
      </c>
      <c r="AL283" s="1974">
        <f t="shared" si="278"/>
        <v>252.423745</v>
      </c>
      <c r="AM283" s="1974">
        <f t="shared" si="278"/>
        <v>254.94798245000001</v>
      </c>
      <c r="AN283" s="1974">
        <f t="shared" si="278"/>
        <v>257.49746227450004</v>
      </c>
      <c r="AO283" s="1974">
        <f t="shared" si="278"/>
        <v>260.07243689724504</v>
      </c>
      <c r="AP283" s="1974">
        <f t="shared" si="278"/>
        <v>262.67316126621751</v>
      </c>
      <c r="AQ283" s="1976"/>
      <c r="AR283" s="1974"/>
      <c r="AS283" s="1979"/>
      <c r="AT283" s="1977"/>
      <c r="AU283" s="1978">
        <f>SUM(O283:R283)</f>
        <v>1321</v>
      </c>
      <c r="AV283" s="1979">
        <f>SUM(S283:V283)</f>
        <v>1886</v>
      </c>
      <c r="AW283" s="1979">
        <f>SUM(W283:Z283)</f>
        <v>3693</v>
      </c>
      <c r="AX283" s="1978">
        <f>SUM(AA283:AD283)</f>
        <v>1262</v>
      </c>
      <c r="AY283" s="1948">
        <f>SUM(AE283:AH283)</f>
        <v>1377</v>
      </c>
      <c r="AZ283" s="1948">
        <f>SUM(AI283:AL283)</f>
        <v>994.79824499999995</v>
      </c>
      <c r="BA283" s="1981">
        <f>SUM(AM283:AP283)</f>
        <v>1035.1910428879626</v>
      </c>
      <c r="BB283" s="1978">
        <f>BA283*1.05</f>
        <v>1086.9505950323608</v>
      </c>
      <c r="BC283" s="1977">
        <f>BB283*1.05</f>
        <v>1141.2981247839789</v>
      </c>
    </row>
    <row r="284" spans="1:71" s="1999" customFormat="1" x14ac:dyDescent="0.3">
      <c r="A284" s="2042"/>
      <c r="B284" s="1980" t="s">
        <v>987</v>
      </c>
      <c r="C284" s="2058"/>
      <c r="D284" s="2058"/>
      <c r="E284" s="2058"/>
      <c r="F284" s="2058"/>
      <c r="G284" s="2058"/>
      <c r="H284" s="2058"/>
      <c r="I284" s="2058"/>
      <c r="J284" s="1992"/>
      <c r="K284" s="1992"/>
      <c r="L284" s="1992"/>
      <c r="M284" s="1992"/>
      <c r="N284" s="1992"/>
      <c r="O284" s="1992">
        <f>SUM(O281:O283)</f>
        <v>-543</v>
      </c>
      <c r="P284" s="1992">
        <v>-651</v>
      </c>
      <c r="Q284" s="1992">
        <f>Q281+Q282+Q283</f>
        <v>-415</v>
      </c>
      <c r="R284" s="1992">
        <f>R281+R282+R283</f>
        <v>-201</v>
      </c>
      <c r="S284" s="1994">
        <f>SUM(S281:S283)</f>
        <v>-996</v>
      </c>
      <c r="T284" s="1994">
        <v>-1404</v>
      </c>
      <c r="U284" s="1994">
        <f>U281+U282+U283</f>
        <v>-2431</v>
      </c>
      <c r="V284" s="1994">
        <f>V281+V282+V283</f>
        <v>-1711</v>
      </c>
      <c r="W284" s="1994">
        <f>W281+W282+W283</f>
        <v>-1748</v>
      </c>
      <c r="X284" s="1994">
        <f>X281+X282+X283</f>
        <v>-1749</v>
      </c>
      <c r="Y284" s="1994">
        <v>-2213</v>
      </c>
      <c r="Z284" s="1994">
        <v>-2595</v>
      </c>
      <c r="AA284" s="1994">
        <v>-3132</v>
      </c>
      <c r="AB284" s="1994">
        <v>-3802</v>
      </c>
      <c r="AC284" s="1994">
        <v>-6034</v>
      </c>
      <c r="AD284" s="1994">
        <v>-2828</v>
      </c>
      <c r="AE284" s="1994">
        <v>-2331</v>
      </c>
      <c r="AF284" s="1994">
        <v>-2207</v>
      </c>
      <c r="AG284" s="1994">
        <v>-3298</v>
      </c>
      <c r="AH284" s="1994">
        <v>-3378</v>
      </c>
      <c r="AI284" s="1994">
        <v>-1321</v>
      </c>
      <c r="AJ284" s="1994">
        <f t="shared" ref="AJ284:AP284" si="279">AJ260-AJ287</f>
        <v>-471.4675438859831</v>
      </c>
      <c r="AK284" s="1994">
        <f t="shared" si="279"/>
        <v>-666.80210535151855</v>
      </c>
      <c r="AL284" s="1994">
        <f t="shared" si="279"/>
        <v>-652.32362736315372</v>
      </c>
      <c r="AM284" s="1994">
        <f t="shared" si="279"/>
        <v>-383.01797976659873</v>
      </c>
      <c r="AN284" s="1994">
        <f t="shared" si="279"/>
        <v>142.19665786382757</v>
      </c>
      <c r="AO284" s="1994">
        <f t="shared" si="279"/>
        <v>-192.35519153751011</v>
      </c>
      <c r="AP284" s="1994">
        <f t="shared" si="279"/>
        <v>-147.22898490522857</v>
      </c>
      <c r="AQ284" s="1993"/>
      <c r="AR284" s="1994"/>
      <c r="AS284" s="1995"/>
      <c r="AT284" s="2023"/>
      <c r="AU284" s="2024">
        <f>SUM(O284:R284)</f>
        <v>-1810</v>
      </c>
      <c r="AV284" s="2025">
        <f>SUM(S284:V284)</f>
        <v>-6542</v>
      </c>
      <c r="AW284" s="1995">
        <f>SUM(W284:Z284)</f>
        <v>-8305</v>
      </c>
      <c r="AX284" s="1997">
        <f>SUM(AA284:AD284)</f>
        <v>-15796</v>
      </c>
      <c r="AY284" s="1995">
        <f>SUM(AE284:AH284)</f>
        <v>-11214</v>
      </c>
      <c r="AZ284" s="1995">
        <f>SUM(AI284:AL284)</f>
        <v>-3111.5932766006554</v>
      </c>
      <c r="BA284" s="1996">
        <f>SUM(AM284:AP284)</f>
        <v>-580.40549834550984</v>
      </c>
      <c r="BB284" s="1997">
        <f>BB260-BB287</f>
        <v>1466.0264585469777</v>
      </c>
      <c r="BC284" s="1996">
        <f>BC260-BC287</f>
        <v>3337.5835378825723</v>
      </c>
    </row>
    <row r="285" spans="1:71" s="1953" customFormat="1" x14ac:dyDescent="0.3">
      <c r="A285" s="2042"/>
      <c r="B285" s="2238" t="s">
        <v>967</v>
      </c>
      <c r="C285" s="1972"/>
      <c r="D285" s="1972"/>
      <c r="E285" s="1972"/>
      <c r="F285" s="1972"/>
      <c r="G285" s="1972"/>
      <c r="H285" s="1972"/>
      <c r="I285" s="1972"/>
      <c r="J285" s="1973"/>
      <c r="K285" s="1973"/>
      <c r="L285" s="1973"/>
      <c r="M285" s="1973"/>
      <c r="N285" s="1973"/>
      <c r="O285" s="1973"/>
      <c r="P285" s="1973"/>
      <c r="Q285" s="1973">
        <f t="shared" ref="Q285:AP285" si="280">Q284/Q$6</f>
        <v>-64.064960326036612</v>
      </c>
      <c r="R285" s="1973">
        <f t="shared" si="280"/>
        <v>-31.172456575682379</v>
      </c>
      <c r="S285" s="1974">
        <f t="shared" si="280"/>
        <v>-149.8668351916219</v>
      </c>
      <c r="T285" s="1974">
        <f t="shared" si="280"/>
        <v>-210.54210092224639</v>
      </c>
      <c r="U285" s="1974">
        <f t="shared" si="280"/>
        <v>-350.13682846031975</v>
      </c>
      <c r="V285" s="1974">
        <f t="shared" si="280"/>
        <v>-248.57624360762435</v>
      </c>
      <c r="W285" s="1974">
        <f t="shared" si="280"/>
        <v>-257.84373017863203</v>
      </c>
      <c r="X285" s="1974">
        <f t="shared" si="280"/>
        <v>-262.87706852238739</v>
      </c>
      <c r="Y285" s="1974">
        <f t="shared" si="280"/>
        <v>-340.13187218542026</v>
      </c>
      <c r="Z285" s="1974">
        <f t="shared" si="280"/>
        <v>-413.70404616905273</v>
      </c>
      <c r="AA285" s="1974">
        <f t="shared" si="280"/>
        <v>-473.31912771455774</v>
      </c>
      <c r="AB285" s="1974">
        <f t="shared" si="280"/>
        <v>-553.58182877111233</v>
      </c>
      <c r="AC285" s="1974">
        <f t="shared" si="280"/>
        <v>-877.60890117082397</v>
      </c>
      <c r="AD285" s="1974">
        <f t="shared" si="280"/>
        <v>-421.38514721659317</v>
      </c>
      <c r="AE285" s="1974">
        <f t="shared" si="280"/>
        <v>-339.5484340859432</v>
      </c>
      <c r="AF285" s="1974">
        <f t="shared" si="280"/>
        <v>-308.77065349692907</v>
      </c>
      <c r="AG285" s="1974">
        <f t="shared" si="280"/>
        <v>-473.72805883535864</v>
      </c>
      <c r="AH285" s="1974">
        <f t="shared" si="280"/>
        <v>-477.06473844763303</v>
      </c>
      <c r="AI285" s="1974">
        <f t="shared" si="280"/>
        <v>-186.97541436073092</v>
      </c>
      <c r="AJ285" s="1974">
        <f t="shared" si="280"/>
        <v>-67.352506269426158</v>
      </c>
      <c r="AK285" s="1974">
        <f t="shared" si="280"/>
        <v>-93.915789486129384</v>
      </c>
      <c r="AL285" s="1974">
        <f t="shared" si="280"/>
        <v>-90.60050380043802</v>
      </c>
      <c r="AM285" s="1974">
        <f t="shared" si="280"/>
        <v>-53.196941634249825</v>
      </c>
      <c r="AN285" s="1974">
        <f t="shared" si="280"/>
        <v>19.749535814420494</v>
      </c>
      <c r="AO285" s="1974">
        <f t="shared" si="280"/>
        <v>-26.715998824654182</v>
      </c>
      <c r="AP285" s="1974">
        <f t="shared" si="280"/>
        <v>-20.448470125726189</v>
      </c>
      <c r="AQ285" s="1976"/>
      <c r="AR285" s="1974"/>
      <c r="AS285" s="1948"/>
      <c r="AT285" s="1977"/>
      <c r="AU285" s="1978">
        <f>SUM(O285:R285)</f>
        <v>-95.237416901718987</v>
      </c>
      <c r="AV285" s="1979">
        <f>SUM(S285:V285)</f>
        <v>-959.12200818181236</v>
      </c>
      <c r="AW285" s="1948">
        <f>SUM(W285:Z285)</f>
        <v>-1274.5567170554923</v>
      </c>
      <c r="AX285" s="1949">
        <f>SUM(AA285:AD285)</f>
        <v>-2325.8950048730876</v>
      </c>
      <c r="AY285" s="1948">
        <f>SUM(AE285:AH285)</f>
        <v>-1599.1118848658641</v>
      </c>
      <c r="AZ285" s="1948">
        <f>AZ284/AZ$6</f>
        <v>-432.16573286120212</v>
      </c>
      <c r="BA285" s="1981">
        <f>BA284/BA$6</f>
        <v>-80.611874770209695</v>
      </c>
      <c r="BB285" s="1949">
        <f>BB284/BB$6</f>
        <v>203.61478590930244</v>
      </c>
      <c r="BC285" s="1981">
        <f>BC284/BC$6</f>
        <v>463.55326915035727</v>
      </c>
    </row>
    <row r="286" spans="1:71" s="2326" customFormat="1" x14ac:dyDescent="0.3">
      <c r="A286" s="2042"/>
      <c r="B286" s="2389" t="s">
        <v>968</v>
      </c>
      <c r="C286" s="2317"/>
      <c r="D286" s="2317"/>
      <c r="E286" s="2317"/>
      <c r="F286" s="2317"/>
      <c r="G286" s="2317"/>
      <c r="H286" s="2317"/>
      <c r="I286" s="2317"/>
      <c r="J286" s="2318"/>
      <c r="K286" s="2318"/>
      <c r="L286" s="2318"/>
      <c r="M286" s="2318"/>
      <c r="N286" s="2318"/>
      <c r="O286" s="2286">
        <f t="shared" ref="O286:AP286" si="281">O284/O260</f>
        <v>-0.66871921182266014</v>
      </c>
      <c r="P286" s="2286">
        <f t="shared" si="281"/>
        <v>-0.72494432071269488</v>
      </c>
      <c r="Q286" s="2286">
        <f t="shared" si="281"/>
        <v>-0.38143382352941174</v>
      </c>
      <c r="R286" s="2286">
        <f t="shared" si="281"/>
        <v>-0.17120954003407154</v>
      </c>
      <c r="S286" s="2328">
        <f t="shared" si="281"/>
        <v>-0.31770334928229665</v>
      </c>
      <c r="T286" s="2328">
        <f t="shared" si="281"/>
        <v>-0.38913525498891355</v>
      </c>
      <c r="U286" s="2328">
        <f t="shared" si="281"/>
        <v>-0.59832635983263593</v>
      </c>
      <c r="V286" s="2286">
        <f t="shared" si="281"/>
        <v>-0.43570155334861216</v>
      </c>
      <c r="W286" s="2390">
        <f t="shared" si="281"/>
        <v>-0.42832639059054156</v>
      </c>
      <c r="X286" s="2390">
        <f t="shared" si="281"/>
        <v>-0.36452688620258439</v>
      </c>
      <c r="Y286" s="2390">
        <f t="shared" si="281"/>
        <v>-0.40883059301681141</v>
      </c>
      <c r="Z286" s="2390">
        <f t="shared" si="281"/>
        <v>-0.49222306525037934</v>
      </c>
      <c r="AA286" s="2390">
        <f t="shared" si="281"/>
        <v>-0.52418410041841002</v>
      </c>
      <c r="AB286" s="2390">
        <f t="shared" si="281"/>
        <v>-0.64006734006734012</v>
      </c>
      <c r="AC286" s="2390">
        <f t="shared" si="281"/>
        <v>-0.92959482360191037</v>
      </c>
      <c r="AD286" s="2390">
        <f t="shared" si="281"/>
        <v>-0.49867748192558631</v>
      </c>
      <c r="AE286" s="2390">
        <f t="shared" si="281"/>
        <v>-0.36274509803921567</v>
      </c>
      <c r="AF286" s="2390">
        <f t="shared" si="281"/>
        <v>-0.30249451754385964</v>
      </c>
      <c r="AG286" s="2390">
        <f t="shared" si="281"/>
        <v>-0.44591671173607356</v>
      </c>
      <c r="AH286" s="2390">
        <f t="shared" si="281"/>
        <v>-0.56830417227456254</v>
      </c>
      <c r="AI286" s="2390">
        <f t="shared" si="281"/>
        <v>-0.18887617958249928</v>
      </c>
      <c r="AJ286" s="2390">
        <f t="shared" si="281"/>
        <v>-4.8271653730330724E-2</v>
      </c>
      <c r="AK286" s="2390">
        <f t="shared" si="281"/>
        <v>-6.958873916735818E-2</v>
      </c>
      <c r="AL286" s="2390">
        <f t="shared" si="281"/>
        <v>-6.9430409942830895E-2</v>
      </c>
      <c r="AM286" s="2390">
        <f t="shared" si="281"/>
        <v>-4.4236570653000698E-2</v>
      </c>
      <c r="AN286" s="2390">
        <f t="shared" si="281"/>
        <v>1.3458683329377759E-2</v>
      </c>
      <c r="AO286" s="2390">
        <f t="shared" si="281"/>
        <v>-1.8392215695606059E-2</v>
      </c>
      <c r="AP286" s="2390">
        <f t="shared" si="281"/>
        <v>-1.4062720166867488E-2</v>
      </c>
      <c r="AQ286" s="2329"/>
      <c r="AR286" s="2328"/>
      <c r="AS286" s="2330"/>
      <c r="AT286" s="2331"/>
      <c r="AU286" s="2369"/>
      <c r="AV286" s="2391">
        <f t="shared" ref="AV286:BC286" si="282">AV284/AV260</f>
        <v>-0.44403719541166092</v>
      </c>
      <c r="AW286" s="2391">
        <f t="shared" si="282"/>
        <v>-0.42450419137190759</v>
      </c>
      <c r="AX286" s="2369">
        <f t="shared" si="282"/>
        <v>-0.65606180171948336</v>
      </c>
      <c r="AY286" s="2330">
        <f t="shared" si="282"/>
        <v>-0.41438178996378688</v>
      </c>
      <c r="AZ286" s="2330">
        <f t="shared" si="282"/>
        <v>-8.7065912212701921E-2</v>
      </c>
      <c r="BA286" s="2371">
        <f t="shared" si="282"/>
        <v>-1.445528459784148E-2</v>
      </c>
      <c r="BB286" s="2370">
        <f t="shared" si="282"/>
        <v>3.3586516450917814E-2</v>
      </c>
      <c r="BC286" s="2371">
        <f t="shared" si="282"/>
        <v>7.0887424262099458E-2</v>
      </c>
    </row>
    <row r="287" spans="1:71" s="1999" customFormat="1" x14ac:dyDescent="0.3">
      <c r="A287" s="2042"/>
      <c r="B287" s="2238" t="s">
        <v>1005</v>
      </c>
      <c r="C287" s="2058"/>
      <c r="D287" s="2058"/>
      <c r="E287" s="2058"/>
      <c r="F287" s="2058"/>
      <c r="G287" s="2058"/>
      <c r="H287" s="2058"/>
      <c r="I287" s="2058"/>
      <c r="J287" s="1992"/>
      <c r="K287" s="1992"/>
      <c r="L287" s="1992"/>
      <c r="M287" s="1992"/>
      <c r="N287" s="1992"/>
      <c r="O287" s="2392"/>
      <c r="P287" s="2392"/>
      <c r="Q287" s="1992"/>
      <c r="R287" s="1973">
        <f t="shared" ref="R287:AI287" si="283">R260*(1-R286)</f>
        <v>1375</v>
      </c>
      <c r="S287" s="1974">
        <f t="shared" si="283"/>
        <v>4131</v>
      </c>
      <c r="T287" s="1974">
        <f t="shared" si="283"/>
        <v>5012</v>
      </c>
      <c r="U287" s="1974">
        <f t="shared" si="283"/>
        <v>6493.9999999999991</v>
      </c>
      <c r="V287" s="1974">
        <f t="shared" si="283"/>
        <v>5638</v>
      </c>
      <c r="W287" s="1974">
        <f t="shared" si="283"/>
        <v>5829</v>
      </c>
      <c r="X287" s="1974">
        <f t="shared" si="283"/>
        <v>6547</v>
      </c>
      <c r="Y287" s="1974">
        <f t="shared" si="283"/>
        <v>7626</v>
      </c>
      <c r="Z287" s="1974">
        <f t="shared" si="283"/>
        <v>7867</v>
      </c>
      <c r="AA287" s="1974">
        <f t="shared" si="283"/>
        <v>9107</v>
      </c>
      <c r="AB287" s="1974">
        <f t="shared" si="283"/>
        <v>9742.0000000000018</v>
      </c>
      <c r="AC287" s="1974">
        <f t="shared" si="283"/>
        <v>12525.000000000002</v>
      </c>
      <c r="AD287" s="1974">
        <f t="shared" si="283"/>
        <v>8499</v>
      </c>
      <c r="AE287" s="1974">
        <f t="shared" si="283"/>
        <v>8757</v>
      </c>
      <c r="AF287" s="1974">
        <f t="shared" si="283"/>
        <v>9503</v>
      </c>
      <c r="AG287" s="1974">
        <f t="shared" si="283"/>
        <v>10694</v>
      </c>
      <c r="AH287" s="1974">
        <f t="shared" si="283"/>
        <v>9322</v>
      </c>
      <c r="AI287" s="1974">
        <f t="shared" si="283"/>
        <v>8315</v>
      </c>
      <c r="AJ287" s="1974">
        <f t="shared" ref="AJ287:AP287" si="284">AJ294+AJ296+AJ295+AJ288</f>
        <v>10238.432365929028</v>
      </c>
      <c r="AK287" s="1974">
        <f t="shared" si="284"/>
        <v>10248.842437306459</v>
      </c>
      <c r="AL287" s="1974">
        <f t="shared" si="284"/>
        <v>10047.682633600882</v>
      </c>
      <c r="AM287" s="1974">
        <f t="shared" si="284"/>
        <v>9041.4192552872064</v>
      </c>
      <c r="AN287" s="1974">
        <f t="shared" si="284"/>
        <v>10423.224519216636</v>
      </c>
      <c r="AO287" s="1974">
        <f t="shared" si="284"/>
        <v>10650.866266060424</v>
      </c>
      <c r="AP287" s="1974">
        <f t="shared" si="284"/>
        <v>10616.681776272566</v>
      </c>
      <c r="AQ287" s="1993"/>
      <c r="AR287" s="1994"/>
      <c r="AS287" s="1995"/>
      <c r="AT287" s="2023"/>
      <c r="AU287" s="2024"/>
      <c r="AV287" s="1979">
        <f>SUM(S287:V287)</f>
        <v>21275</v>
      </c>
      <c r="AW287" s="1948">
        <f>SUM(W287:Z287)</f>
        <v>27869</v>
      </c>
      <c r="AX287" s="1949">
        <f>SUM(AA287:AD287)</f>
        <v>39873</v>
      </c>
      <c r="AY287" s="1948">
        <f>SUM(AE287:AH287)</f>
        <v>38276</v>
      </c>
      <c r="AZ287" s="1948">
        <f>AZ294+AZ295+AZ296+AZ288</f>
        <v>38849.957436836361</v>
      </c>
      <c r="BA287" s="1981">
        <f>BA294+BA295+BA296+BA288</f>
        <v>40732.191816836828</v>
      </c>
      <c r="BB287" s="1949">
        <f>BB294+BB295+BB296+BB288</f>
        <v>42183.229655565912</v>
      </c>
      <c r="BC287" s="1981">
        <f>BC294+BC295+BC296+BC288</f>
        <v>43745.288672880466</v>
      </c>
    </row>
    <row r="288" spans="1:71" s="1953" customFormat="1" outlineLevel="1" x14ac:dyDescent="0.3">
      <c r="A288" s="1970"/>
      <c r="B288" s="2393" t="s">
        <v>1006</v>
      </c>
      <c r="C288" s="2394"/>
      <c r="D288" s="2394"/>
      <c r="E288" s="2394"/>
      <c r="F288" s="2394"/>
      <c r="G288" s="2394"/>
      <c r="H288" s="2394"/>
      <c r="I288" s="2394"/>
      <c r="J288" s="2395"/>
      <c r="K288" s="2395"/>
      <c r="L288" s="2395"/>
      <c r="M288" s="2395"/>
      <c r="N288" s="2395"/>
      <c r="O288" s="2396"/>
      <c r="P288" s="2396"/>
      <c r="Q288" s="2395"/>
      <c r="R288" s="2395"/>
      <c r="S288" s="2397">
        <f t="shared" ref="S288:AC288" si="285">S287-S294</f>
        <v>2644.7507586000002</v>
      </c>
      <c r="T288" s="2397">
        <f t="shared" si="285"/>
        <v>3292.4757661860003</v>
      </c>
      <c r="U288" s="2397">
        <f t="shared" si="285"/>
        <v>4663.3982927369998</v>
      </c>
      <c r="V288" s="2397">
        <f t="shared" si="285"/>
        <v>3737.2368359937204</v>
      </c>
      <c r="W288" s="2397">
        <f t="shared" si="285"/>
        <v>3883.5009960126922</v>
      </c>
      <c r="X288" s="2397">
        <f t="shared" si="285"/>
        <v>4026.1179118702403</v>
      </c>
      <c r="Y288" s="2397">
        <f t="shared" si="285"/>
        <v>4876.152204802871</v>
      </c>
      <c r="Z288" s="2397">
        <f t="shared" si="285"/>
        <v>5229.1707522994902</v>
      </c>
      <c r="AA288" s="2397">
        <f t="shared" si="285"/>
        <v>6352.1192241634508</v>
      </c>
      <c r="AB288" s="2397">
        <f t="shared" si="285"/>
        <v>6852.2486364538381</v>
      </c>
      <c r="AC288" s="2397">
        <f t="shared" si="285"/>
        <v>9112.0657316230572</v>
      </c>
      <c r="AD288" s="2397">
        <f>AD287-AD294-AD296</f>
        <v>5623.7585626078289</v>
      </c>
      <c r="AE288" s="2397">
        <f>AE287-AE294-AE296-AE295</f>
        <v>5243.4575970553124</v>
      </c>
      <c r="AF288" s="2397">
        <f>AF287-AF294-AF296-AF295</f>
        <v>4994.9901624552977</v>
      </c>
      <c r="AG288" s="2397">
        <f>AG287-AG294-AG296-AG295</f>
        <v>5868.5284628339969</v>
      </c>
      <c r="AH288" s="2397">
        <f>AH287-AH294-AH296-AH295</f>
        <v>5651.3404366595123</v>
      </c>
      <c r="AI288" s="2397">
        <f>AI287-AI294-AI296-AI295</f>
        <v>4426.5693345209675</v>
      </c>
      <c r="AJ288" s="2397">
        <f t="shared" ref="AJ288:AP288" si="286">AJ292+AJ289</f>
        <v>4462.2208958932652</v>
      </c>
      <c r="AK288" s="2397">
        <f t="shared" si="286"/>
        <v>4457.5632046356131</v>
      </c>
      <c r="AL288" s="2397">
        <f t="shared" si="286"/>
        <v>4522.4596259576801</v>
      </c>
      <c r="AM288" s="2397">
        <f t="shared" si="286"/>
        <v>4605.2481278108498</v>
      </c>
      <c r="AN288" s="2397">
        <f t="shared" si="286"/>
        <v>4634.7500455410591</v>
      </c>
      <c r="AO288" s="2397">
        <f t="shared" si="286"/>
        <v>4635.5727565682009</v>
      </c>
      <c r="AP288" s="2397">
        <f t="shared" si="286"/>
        <v>4721.6380151567464</v>
      </c>
      <c r="AQ288" s="2398"/>
      <c r="AR288" s="2397"/>
      <c r="AS288" s="2399"/>
      <c r="AT288" s="2400"/>
      <c r="AU288" s="2401"/>
      <c r="AV288" s="2402">
        <f>SUM(S288:V288)</f>
        <v>14337.86165351672</v>
      </c>
      <c r="AW288" s="2399">
        <f>SUM(W288:Z288)</f>
        <v>18014.941864985292</v>
      </c>
      <c r="AX288" s="2403">
        <f>SUM(AA288:AD288)</f>
        <v>27940.192154848177</v>
      </c>
      <c r="AY288" s="2399">
        <f>SUM(AE288:AH288)</f>
        <v>21758.316659004122</v>
      </c>
      <c r="AZ288" s="2399">
        <f>AZ292+AZ289</f>
        <v>17868.813061007524</v>
      </c>
      <c r="BA288" s="2404">
        <f>BA292+BA289</f>
        <v>18597.208945076854</v>
      </c>
      <c r="BB288" s="2403">
        <f>BB292+BB289</f>
        <v>19179.757204418376</v>
      </c>
      <c r="BC288" s="2404">
        <f>BC292+BC289</f>
        <v>19881.652278750862</v>
      </c>
    </row>
    <row r="289" spans="1:71" s="1999" customFormat="1" outlineLevel="1" x14ac:dyDescent="0.3">
      <c r="A289" s="1970" t="s">
        <v>740</v>
      </c>
      <c r="B289" s="2405" t="s">
        <v>1007</v>
      </c>
      <c r="C289" s="2058"/>
      <c r="D289" s="2058"/>
      <c r="E289" s="2058"/>
      <c r="F289" s="2058"/>
      <c r="G289" s="2058"/>
      <c r="H289" s="2058"/>
      <c r="I289" s="2058"/>
      <c r="J289" s="1992"/>
      <c r="K289" s="1992"/>
      <c r="L289" s="1992"/>
      <c r="M289" s="1992"/>
      <c r="N289" s="1992"/>
      <c r="O289" s="1992"/>
      <c r="P289" s="1992"/>
      <c r="Q289" s="1992"/>
      <c r="R289" s="1992"/>
      <c r="S289" s="1994">
        <f>S288-S292</f>
        <v>1784.9884926</v>
      </c>
      <c r="T289" s="1994">
        <f t="shared" ref="T289:AP289" si="287">S289*(1+T290)</f>
        <v>2343.0232888149208</v>
      </c>
      <c r="U289" s="1994">
        <f t="shared" si="287"/>
        <v>3582.0005629088723</v>
      </c>
      <c r="V289" s="1994">
        <f t="shared" si="287"/>
        <v>2797.4828352943991</v>
      </c>
      <c r="W289" s="1994">
        <f t="shared" si="287"/>
        <v>3468.8787157650549</v>
      </c>
      <c r="X289" s="1994">
        <f t="shared" si="287"/>
        <v>3815.7665873415608</v>
      </c>
      <c r="Y289" s="1994">
        <f t="shared" si="287"/>
        <v>4044.7125825820544</v>
      </c>
      <c r="Z289" s="1994">
        <f t="shared" si="287"/>
        <v>4246.9482117111575</v>
      </c>
      <c r="AA289" s="1994">
        <f t="shared" si="287"/>
        <v>5648.44112157584</v>
      </c>
      <c r="AB289" s="1994">
        <f t="shared" si="287"/>
        <v>6382.7384673806982</v>
      </c>
      <c r="AC289" s="1994">
        <f t="shared" si="287"/>
        <v>8616.6969309639426</v>
      </c>
      <c r="AD289" s="1994">
        <f t="shared" si="287"/>
        <v>5170.0181585783657</v>
      </c>
      <c r="AE289" s="1994">
        <f t="shared" si="287"/>
        <v>4911.5172506494473</v>
      </c>
      <c r="AF289" s="1994">
        <f t="shared" si="287"/>
        <v>4616.8262156104802</v>
      </c>
      <c r="AG289" s="1994">
        <f t="shared" si="287"/>
        <v>5447.8549344203666</v>
      </c>
      <c r="AH289" s="1994">
        <f t="shared" si="287"/>
        <v>5229.940737043552</v>
      </c>
      <c r="AI289" s="1994">
        <f t="shared" si="287"/>
        <v>3974.7549601530995</v>
      </c>
      <c r="AJ289" s="1994">
        <f t="shared" si="287"/>
        <v>3974.7549601530995</v>
      </c>
      <c r="AK289" s="1994">
        <f t="shared" si="287"/>
        <v>4014.5025097546304</v>
      </c>
      <c r="AL289" s="1994">
        <f t="shared" si="287"/>
        <v>4054.6475348521767</v>
      </c>
      <c r="AM289" s="1994">
        <f t="shared" si="287"/>
        <v>4095.1940102006984</v>
      </c>
      <c r="AN289" s="1994">
        <f t="shared" si="287"/>
        <v>4136.1459503027054</v>
      </c>
      <c r="AO289" s="1994">
        <f t="shared" si="287"/>
        <v>4177.5074098057321</v>
      </c>
      <c r="AP289" s="1994">
        <f t="shared" si="287"/>
        <v>4219.2824839037894</v>
      </c>
      <c r="AQ289" s="1993"/>
      <c r="AR289" s="1994"/>
      <c r="AS289" s="1995"/>
      <c r="AT289" s="2023"/>
      <c r="AU289" s="2024"/>
      <c r="AV289" s="2025">
        <f>SUM(S289:V289)</f>
        <v>10507.495179618192</v>
      </c>
      <c r="AW289" s="1995">
        <f>SUM(W289:Z289)</f>
        <v>15576.306097399829</v>
      </c>
      <c r="AX289" s="1997">
        <f>SUM(AA289:AD289)</f>
        <v>25817.894678498844</v>
      </c>
      <c r="AY289" s="1995">
        <f>SUM(AE289:AH289)</f>
        <v>20206.139137723847</v>
      </c>
      <c r="AZ289" s="1995">
        <f>SUM(AI289:AL289)</f>
        <v>16018.659964913006</v>
      </c>
      <c r="BA289" s="1996">
        <f>SUM(AM289:AP289)</f>
        <v>16628.129854212923</v>
      </c>
      <c r="BB289" s="1997">
        <f>BA289*(BB291+1)</f>
        <v>17126.973749839311</v>
      </c>
      <c r="BC289" s="1996">
        <f>BB289*(BC291+1)</f>
        <v>17640.782962334491</v>
      </c>
    </row>
    <row r="290" spans="1:71" s="1953" customFormat="1" outlineLevel="1" x14ac:dyDescent="0.3">
      <c r="A290" s="1970" t="s">
        <v>1008</v>
      </c>
      <c r="B290" s="2406" t="s">
        <v>836</v>
      </c>
      <c r="C290" s="1972"/>
      <c r="D290" s="1972"/>
      <c r="E290" s="1972"/>
      <c r="F290" s="1972"/>
      <c r="G290" s="1972"/>
      <c r="H290" s="1972"/>
      <c r="I290" s="1972"/>
      <c r="J290" s="1973"/>
      <c r="K290" s="1973"/>
      <c r="L290" s="1973"/>
      <c r="M290" s="1973"/>
      <c r="N290" s="1973"/>
      <c r="O290" s="1973"/>
      <c r="P290" s="1973"/>
      <c r="Q290" s="1973"/>
      <c r="R290" s="1973"/>
      <c r="S290" s="2293"/>
      <c r="T290" s="2012">
        <v>0.31262655111131377</v>
      </c>
      <c r="U290" s="2012">
        <v>0.52879426338122948</v>
      </c>
      <c r="V290" s="2012">
        <v>-0.21901663995758336</v>
      </c>
      <c r="W290" s="2012">
        <v>0.24</v>
      </c>
      <c r="X290" s="2012">
        <v>0.1</v>
      </c>
      <c r="Y290" s="2012">
        <v>0.06</v>
      </c>
      <c r="Z290" s="2012">
        <v>0.05</v>
      </c>
      <c r="AA290" s="2012">
        <v>0.33</v>
      </c>
      <c r="AB290" s="2012">
        <v>0.13</v>
      </c>
      <c r="AC290" s="2012">
        <v>0.35</v>
      </c>
      <c r="AD290" s="2012">
        <v>-0.4</v>
      </c>
      <c r="AE290" s="2012">
        <v>-0.05</v>
      </c>
      <c r="AF290" s="2012">
        <v>-0.06</v>
      </c>
      <c r="AG290" s="2012">
        <v>0.18</v>
      </c>
      <c r="AH290" s="2012">
        <v>-0.04</v>
      </c>
      <c r="AI290" s="2012">
        <v>-0.24</v>
      </c>
      <c r="AJ290" s="2012">
        <v>0</v>
      </c>
      <c r="AK290" s="2012">
        <v>0.01</v>
      </c>
      <c r="AL290" s="2012">
        <v>0.01</v>
      </c>
      <c r="AM290" s="2012">
        <v>0.01</v>
      </c>
      <c r="AN290" s="2012">
        <v>0.01</v>
      </c>
      <c r="AO290" s="2012">
        <v>0.01</v>
      </c>
      <c r="AP290" s="2012">
        <v>0.01</v>
      </c>
      <c r="AQ290" s="2013"/>
      <c r="AR290" s="2012"/>
      <c r="AS290" s="2044"/>
      <c r="AT290" s="2016"/>
      <c r="AU290" s="2015"/>
      <c r="AV290" s="2019"/>
      <c r="AW290" s="2044"/>
      <c r="AX290" s="2407"/>
      <c r="AY290" s="2044"/>
      <c r="AZ290" s="2044"/>
      <c r="BA290" s="2408"/>
      <c r="BB290" s="2407"/>
      <c r="BC290" s="2408"/>
    </row>
    <row r="291" spans="1:71" s="1953" customFormat="1" outlineLevel="1" x14ac:dyDescent="0.3">
      <c r="A291" s="1970" t="s">
        <v>1008</v>
      </c>
      <c r="B291" s="2406" t="s">
        <v>835</v>
      </c>
      <c r="C291" s="1972"/>
      <c r="D291" s="1972"/>
      <c r="E291" s="1972"/>
      <c r="F291" s="1972"/>
      <c r="G291" s="1972"/>
      <c r="H291" s="1972"/>
      <c r="I291" s="1972"/>
      <c r="J291" s="1973"/>
      <c r="K291" s="1973"/>
      <c r="L291" s="1973"/>
      <c r="M291" s="1973"/>
      <c r="N291" s="1973"/>
      <c r="O291" s="1973"/>
      <c r="P291" s="1973"/>
      <c r="Q291" s="1973"/>
      <c r="R291" s="1973"/>
      <c r="S291" s="2293"/>
      <c r="T291" s="2012"/>
      <c r="U291" s="2012"/>
      <c r="V291" s="2012"/>
      <c r="W291" s="2012">
        <f t="shared" ref="W291:AP291" si="288">W289/S289-1</f>
        <v>0.94336194891223868</v>
      </c>
      <c r="X291" s="2012">
        <f t="shared" si="288"/>
        <v>0.62856536917801598</v>
      </c>
      <c r="Y291" s="2012">
        <f t="shared" si="288"/>
        <v>0.12917698128372779</v>
      </c>
      <c r="Z291" s="2012">
        <f t="shared" si="288"/>
        <v>0.51813200000000026</v>
      </c>
      <c r="AA291" s="2012">
        <f t="shared" si="288"/>
        <v>0.62831900000000052</v>
      </c>
      <c r="AB291" s="2012">
        <f t="shared" si="288"/>
        <v>0.67272770000000004</v>
      </c>
      <c r="AC291" s="2012">
        <f t="shared" si="288"/>
        <v>1.1303607499999999</v>
      </c>
      <c r="AD291" s="2012">
        <f t="shared" si="288"/>
        <v>0.21734900000000001</v>
      </c>
      <c r="AE291" s="2012">
        <f t="shared" si="288"/>
        <v>-0.13046500000000016</v>
      </c>
      <c r="AF291" s="2012">
        <f t="shared" si="288"/>
        <v>-0.27667000000000008</v>
      </c>
      <c r="AG291" s="2012">
        <f t="shared" si="288"/>
        <v>-0.36775600000000008</v>
      </c>
      <c r="AH291" s="2012">
        <f t="shared" si="288"/>
        <v>1.1590400000000001E-2</v>
      </c>
      <c r="AI291" s="2012">
        <f t="shared" si="288"/>
        <v>-0.19072768000000007</v>
      </c>
      <c r="AJ291" s="2012">
        <f t="shared" si="288"/>
        <v>-0.13907199999999997</v>
      </c>
      <c r="AK291" s="2012">
        <f t="shared" si="288"/>
        <v>-0.263104</v>
      </c>
      <c r="AL291" s="2012">
        <f t="shared" si="288"/>
        <v>-0.22472400000000003</v>
      </c>
      <c r="AM291" s="2012">
        <f t="shared" si="288"/>
        <v>3.0300999999999911E-2</v>
      </c>
      <c r="AN291" s="2012">
        <f t="shared" si="288"/>
        <v>4.0604010000000024E-2</v>
      </c>
      <c r="AO291" s="2012">
        <f t="shared" si="288"/>
        <v>4.0604009999999802E-2</v>
      </c>
      <c r="AP291" s="2012">
        <f t="shared" si="288"/>
        <v>4.0604009999999802E-2</v>
      </c>
      <c r="AQ291" s="2013"/>
      <c r="AR291" s="2012"/>
      <c r="AS291" s="2044"/>
      <c r="AT291" s="2016"/>
      <c r="AU291" s="2015"/>
      <c r="AV291" s="2019"/>
      <c r="AW291" s="2019">
        <f>AW289/AV289-1</f>
        <v>0.48239954728828338</v>
      </c>
      <c r="AX291" s="2015">
        <f>AX289/AW289-1</f>
        <v>0.65751074208850158</v>
      </c>
      <c r="AY291" s="2019">
        <f>AY289/AX289-1</f>
        <v>-0.21735914607508522</v>
      </c>
      <c r="AZ291" s="2019">
        <f>AZ289/AY289-1</f>
        <v>-0.20723796586122822</v>
      </c>
      <c r="BA291" s="2016">
        <f>BA289/AZ289-1</f>
        <v>3.8047495273318077E-2</v>
      </c>
      <c r="BB291" s="2015">
        <v>0.03</v>
      </c>
      <c r="BC291" s="2016">
        <v>0.03</v>
      </c>
    </row>
    <row r="292" spans="1:71" s="1953" customFormat="1" outlineLevel="1" x14ac:dyDescent="0.3">
      <c r="A292" s="1970" t="s">
        <v>740</v>
      </c>
      <c r="B292" s="2409" t="s">
        <v>1009</v>
      </c>
      <c r="C292" s="1972"/>
      <c r="D292" s="1972"/>
      <c r="E292" s="1972"/>
      <c r="F292" s="1972"/>
      <c r="G292" s="1972"/>
      <c r="H292" s="1972"/>
      <c r="I292" s="1972"/>
      <c r="J292" s="1973"/>
      <c r="K292" s="1973"/>
      <c r="L292" s="1973"/>
      <c r="M292" s="1973"/>
      <c r="N292" s="1973"/>
      <c r="O292" s="2012"/>
      <c r="P292" s="2012"/>
      <c r="Q292" s="1973"/>
      <c r="R292" s="1973"/>
      <c r="S292" s="1974">
        <f>S263*S293</f>
        <v>859.76226600000018</v>
      </c>
      <c r="T292" s="1974">
        <f t="shared" ref="T292:AI292" si="289">T288-T289</f>
        <v>949.45247737107957</v>
      </c>
      <c r="U292" s="1974">
        <f t="shared" si="289"/>
        <v>1081.3977298281275</v>
      </c>
      <c r="V292" s="1974">
        <f t="shared" si="289"/>
        <v>939.7540006993213</v>
      </c>
      <c r="W292" s="1974">
        <f t="shared" si="289"/>
        <v>414.62228024763726</v>
      </c>
      <c r="X292" s="1974">
        <f t="shared" si="289"/>
        <v>210.35132452867947</v>
      </c>
      <c r="Y292" s="1974">
        <f t="shared" si="289"/>
        <v>831.43962222081655</v>
      </c>
      <c r="Z292" s="1974">
        <f t="shared" si="289"/>
        <v>982.22254058833278</v>
      </c>
      <c r="AA292" s="1974">
        <f t="shared" si="289"/>
        <v>703.67810258761074</v>
      </c>
      <c r="AB292" s="1974">
        <f t="shared" si="289"/>
        <v>469.51016907313988</v>
      </c>
      <c r="AC292" s="1974">
        <f t="shared" si="289"/>
        <v>495.36880065911464</v>
      </c>
      <c r="AD292" s="1974">
        <f t="shared" si="289"/>
        <v>453.74040402946321</v>
      </c>
      <c r="AE292" s="1974">
        <f t="shared" si="289"/>
        <v>331.94034640586506</v>
      </c>
      <c r="AF292" s="1974">
        <f t="shared" si="289"/>
        <v>378.16394684481747</v>
      </c>
      <c r="AG292" s="1974">
        <f t="shared" si="289"/>
        <v>420.67352841363027</v>
      </c>
      <c r="AH292" s="1974">
        <f t="shared" si="289"/>
        <v>421.39969961596034</v>
      </c>
      <c r="AI292" s="1974">
        <f t="shared" si="289"/>
        <v>451.81437436786791</v>
      </c>
      <c r="AJ292" s="1974">
        <f t="shared" ref="AJ292:AP292" si="290">AJ263*AJ293</f>
        <v>487.46593574016543</v>
      </c>
      <c r="AK292" s="1974">
        <f t="shared" si="290"/>
        <v>443.06069488098279</v>
      </c>
      <c r="AL292" s="1974">
        <f t="shared" si="290"/>
        <v>467.81209110550321</v>
      </c>
      <c r="AM292" s="1974">
        <f t="shared" si="290"/>
        <v>510.05411761015159</v>
      </c>
      <c r="AN292" s="1974">
        <f t="shared" si="290"/>
        <v>498.60409523835386</v>
      </c>
      <c r="AO292" s="1974">
        <f t="shared" si="290"/>
        <v>458.06534676246895</v>
      </c>
      <c r="AP292" s="1974">
        <f t="shared" si="290"/>
        <v>502.35553125295746</v>
      </c>
      <c r="AQ292" s="1976"/>
      <c r="AR292" s="1974"/>
      <c r="AS292" s="1948"/>
      <c r="AT292" s="1977"/>
      <c r="AU292" s="1978"/>
      <c r="AV292" s="1979">
        <f>SUM(S292:V292)</f>
        <v>3830.3664738985285</v>
      </c>
      <c r="AW292" s="1979">
        <f>SUM(W292:Z292)</f>
        <v>2438.6357675854661</v>
      </c>
      <c r="AX292" s="1978">
        <f>SUM(AA292:AD292)</f>
        <v>2122.2974763493285</v>
      </c>
      <c r="AY292" s="1948">
        <f>SUM(AE292:AH292)</f>
        <v>1552.1775212802731</v>
      </c>
      <c r="AZ292" s="1979">
        <f>SUM(AI292:AL292)</f>
        <v>1850.1530960945192</v>
      </c>
      <c r="BA292" s="1977">
        <f>SUM(AM292:AP292)</f>
        <v>1969.0790908639319</v>
      </c>
      <c r="BB292" s="1978">
        <f>BB263*BB293</f>
        <v>2052.7834545790665</v>
      </c>
      <c r="BC292" s="1977">
        <f>BC263*BC293</f>
        <v>2240.8693164163701</v>
      </c>
    </row>
    <row r="293" spans="1:71" s="1953" customFormat="1" outlineLevel="1" x14ac:dyDescent="0.3">
      <c r="A293" s="1970" t="s">
        <v>1010</v>
      </c>
      <c r="B293" s="2406" t="s">
        <v>1011</v>
      </c>
      <c r="C293" s="1972"/>
      <c r="D293" s="1972"/>
      <c r="E293" s="1972"/>
      <c r="F293" s="1972"/>
      <c r="G293" s="1972"/>
      <c r="H293" s="1972"/>
      <c r="I293" s="1972"/>
      <c r="J293" s="1973"/>
      <c r="K293" s="1973"/>
      <c r="L293" s="1973"/>
      <c r="M293" s="1973"/>
      <c r="N293" s="1973"/>
      <c r="O293" s="2012"/>
      <c r="P293" s="2012"/>
      <c r="Q293" s="1973"/>
      <c r="R293" s="1973"/>
      <c r="S293" s="2012">
        <v>0.5</v>
      </c>
      <c r="T293" s="2012">
        <f t="shared" ref="T293:AI293" si="291">T292/T263</f>
        <v>0.49826927283338179</v>
      </c>
      <c r="U293" s="2012">
        <f t="shared" si="291"/>
        <v>0.50626029698469599</v>
      </c>
      <c r="V293" s="2012">
        <f t="shared" si="291"/>
        <v>0.47284510795822032</v>
      </c>
      <c r="W293" s="2012">
        <f t="shared" si="291"/>
        <v>0.20614434165700415</v>
      </c>
      <c r="X293" s="2012">
        <f t="shared" si="291"/>
        <v>0.10221595960796727</v>
      </c>
      <c r="Y293" s="2012">
        <f t="shared" si="291"/>
        <v>0.35787266880324187</v>
      </c>
      <c r="Z293" s="2012">
        <f t="shared" si="291"/>
        <v>0.4195598280444689</v>
      </c>
      <c r="AA293" s="2012">
        <f t="shared" si="291"/>
        <v>0.25388416156852056</v>
      </c>
      <c r="AB293" s="2012">
        <f t="shared" si="291"/>
        <v>0.1909841950287792</v>
      </c>
      <c r="AC293" s="2012">
        <f t="shared" si="291"/>
        <v>0.21270642065029194</v>
      </c>
      <c r="AD293" s="2012">
        <f t="shared" si="291"/>
        <v>0.19562906200698849</v>
      </c>
      <c r="AE293" s="2012">
        <f t="shared" si="291"/>
        <v>0.12410213247024032</v>
      </c>
      <c r="AF293" s="2012">
        <f t="shared" si="291"/>
        <v>0.15950859544164855</v>
      </c>
      <c r="AG293" s="2012">
        <f t="shared" si="291"/>
        <v>0.19503151213413425</v>
      </c>
      <c r="AH293" s="2012">
        <f t="shared" si="291"/>
        <v>0.18985849572249519</v>
      </c>
      <c r="AI293" s="2012">
        <f t="shared" si="291"/>
        <v>0.1681497813474325</v>
      </c>
      <c r="AJ293" s="2012">
        <v>0.17</v>
      </c>
      <c r="AK293" s="2012">
        <v>0.18</v>
      </c>
      <c r="AL293" s="2012">
        <v>0.18</v>
      </c>
      <c r="AM293" s="2012">
        <v>0.16500000000000001</v>
      </c>
      <c r="AN293" s="2012">
        <v>0.155</v>
      </c>
      <c r="AO293" s="2012">
        <v>0.16500000000000001</v>
      </c>
      <c r="AP293" s="2012">
        <v>0.17</v>
      </c>
      <c r="AQ293" s="2013"/>
      <c r="AR293" s="2012"/>
      <c r="AS293" s="2044"/>
      <c r="AT293" s="2016"/>
      <c r="AU293" s="2015"/>
      <c r="AV293" s="2019">
        <f t="shared" ref="AV293:BA293" si="292">AV292/AV263</f>
        <v>0.49433511773722805</v>
      </c>
      <c r="AW293" s="2019">
        <f t="shared" si="292"/>
        <v>0.27922480190721105</v>
      </c>
      <c r="AX293" s="2015">
        <f t="shared" si="292"/>
        <v>0.21484443111093302</v>
      </c>
      <c r="AY293" s="2019">
        <f t="shared" si="292"/>
        <v>0.16473902403971086</v>
      </c>
      <c r="AZ293" s="2019">
        <f t="shared" si="292"/>
        <v>0.17429894451114772</v>
      </c>
      <c r="BA293" s="2016">
        <f t="shared" si="292"/>
        <v>0.16355531854168462</v>
      </c>
      <c r="BB293" s="2015">
        <v>0.15</v>
      </c>
      <c r="BC293" s="2016">
        <v>0.14499999999999999</v>
      </c>
    </row>
    <row r="294" spans="1:71" s="1953" customFormat="1" outlineLevel="1" x14ac:dyDescent="0.3">
      <c r="A294" s="1944" t="s">
        <v>740</v>
      </c>
      <c r="B294" s="2410" t="s">
        <v>1012</v>
      </c>
      <c r="C294" s="1972"/>
      <c r="D294" s="1972"/>
      <c r="E294" s="1972"/>
      <c r="F294" s="1972"/>
      <c r="G294" s="1972"/>
      <c r="H294" s="1972"/>
      <c r="I294" s="1972"/>
      <c r="J294" s="1973"/>
      <c r="K294" s="1973"/>
      <c r="L294" s="1973"/>
      <c r="M294" s="1973"/>
      <c r="N294" s="1973"/>
      <c r="O294" s="2012"/>
      <c r="P294" s="2012"/>
      <c r="Q294" s="1973"/>
      <c r="R294" s="1973">
        <f t="shared" ref="R294:AP294" si="293">R272*(1-R302)</f>
        <v>1174</v>
      </c>
      <c r="S294" s="1974">
        <f t="shared" si="293"/>
        <v>1486.2492413999996</v>
      </c>
      <c r="T294" s="1974">
        <f t="shared" si="293"/>
        <v>1719.5242338139997</v>
      </c>
      <c r="U294" s="1974">
        <f t="shared" si="293"/>
        <v>1830.6017072629998</v>
      </c>
      <c r="V294" s="1974">
        <f t="shared" si="293"/>
        <v>1900.7631640062796</v>
      </c>
      <c r="W294" s="1974">
        <f t="shared" si="293"/>
        <v>1945.4990039873078</v>
      </c>
      <c r="X294" s="1974">
        <f t="shared" si="293"/>
        <v>2520.8820881297597</v>
      </c>
      <c r="Y294" s="1974">
        <f t="shared" si="293"/>
        <v>2749.8477951971295</v>
      </c>
      <c r="Z294" s="1974">
        <f t="shared" si="293"/>
        <v>2637.8292477005098</v>
      </c>
      <c r="AA294" s="1974">
        <f t="shared" si="293"/>
        <v>2754.8807758365488</v>
      </c>
      <c r="AB294" s="1974">
        <f t="shared" si="293"/>
        <v>2889.7513635461632</v>
      </c>
      <c r="AC294" s="1974">
        <f t="shared" si="293"/>
        <v>3412.9342683769451</v>
      </c>
      <c r="AD294" s="1974">
        <f t="shared" si="293"/>
        <v>2573.7020445588378</v>
      </c>
      <c r="AE294" s="1974">
        <f t="shared" si="293"/>
        <v>2480.7424029446875</v>
      </c>
      <c r="AF294" s="1974">
        <f t="shared" si="293"/>
        <v>3491.7098375447022</v>
      </c>
      <c r="AG294" s="1974">
        <f t="shared" si="293"/>
        <v>3877.8487494460032</v>
      </c>
      <c r="AH294" s="1974">
        <f t="shared" si="293"/>
        <v>2945.7125405404877</v>
      </c>
      <c r="AI294" s="1974">
        <f t="shared" si="293"/>
        <v>1732.8306654790326</v>
      </c>
      <c r="AJ294" s="1974">
        <f t="shared" si="293"/>
        <v>2793.3678700357618</v>
      </c>
      <c r="AK294" s="1974">
        <f t="shared" si="293"/>
        <v>2992.786799572445</v>
      </c>
      <c r="AL294" s="1974">
        <f t="shared" si="293"/>
        <v>2415.4842832432</v>
      </c>
      <c r="AM294" s="1974">
        <f t="shared" si="293"/>
        <v>1467.8095048763573</v>
      </c>
      <c r="AN294" s="1974">
        <f t="shared" si="293"/>
        <v>2760.504718623577</v>
      </c>
      <c r="AO294" s="1974">
        <f t="shared" si="293"/>
        <v>3153.3753595495036</v>
      </c>
      <c r="AP294" s="1974">
        <f t="shared" si="293"/>
        <v>2710.0555372972485</v>
      </c>
      <c r="AQ294" s="2013"/>
      <c r="AR294" s="1974"/>
      <c r="AS294" s="1948"/>
      <c r="AT294" s="1979"/>
      <c r="AU294" s="2015"/>
      <c r="AV294" s="1979">
        <f>SUM(S294:V294)</f>
        <v>6937.1383464832779</v>
      </c>
      <c r="AW294" s="1948">
        <f>SUM(W294:Z294)</f>
        <v>9854.0581350147077</v>
      </c>
      <c r="AX294" s="1978">
        <f>SUM(AA294:AD294)</f>
        <v>11631.268452318494</v>
      </c>
      <c r="AY294" s="1948">
        <f>SUM(AE294:AH294)</f>
        <v>12796.013530475881</v>
      </c>
      <c r="AZ294" s="1948">
        <f>SUM(AI294:AL294)</f>
        <v>9934.4696183304404</v>
      </c>
      <c r="BA294" s="1948">
        <f t="shared" ref="BA294:BA300" si="294">SUM(AM294:AP294)</f>
        <v>10091.745120346686</v>
      </c>
      <c r="BB294" s="1978">
        <f>BB272*(1-BB302)</f>
        <v>10004.703818683696</v>
      </c>
      <c r="BC294" s="1977">
        <f>BC272*(1-BC302)</f>
        <v>10037.186623289814</v>
      </c>
    </row>
    <row r="295" spans="1:71" s="1953" customFormat="1" outlineLevel="1" x14ac:dyDescent="0.3">
      <c r="A295" s="1970"/>
      <c r="B295" s="2410" t="s">
        <v>1013</v>
      </c>
      <c r="C295" s="1972"/>
      <c r="D295" s="1972"/>
      <c r="E295" s="1972"/>
      <c r="F295" s="1972"/>
      <c r="G295" s="1972"/>
      <c r="H295" s="1972"/>
      <c r="I295" s="1972"/>
      <c r="J295" s="1973"/>
      <c r="K295" s="1973"/>
      <c r="L295" s="1973"/>
      <c r="M295" s="1973"/>
      <c r="N295" s="1973"/>
      <c r="O295" s="2012"/>
      <c r="P295" s="2012"/>
      <c r="Q295" s="1973"/>
      <c r="R295" s="1973"/>
      <c r="S295" s="1974"/>
      <c r="T295" s="1974"/>
      <c r="U295" s="1974"/>
      <c r="V295" s="1974"/>
      <c r="W295" s="2411"/>
      <c r="X295" s="2411"/>
      <c r="Y295" s="2411"/>
      <c r="Z295" s="2411"/>
      <c r="AA295" s="2411"/>
      <c r="AB295" s="2411"/>
      <c r="AC295" s="1974"/>
      <c r="AD295" s="1974"/>
      <c r="AE295" s="1974">
        <f>AE275-AE299</f>
        <v>212</v>
      </c>
      <c r="AF295" s="1974"/>
      <c r="AG295" s="1974"/>
      <c r="AH295" s="1974"/>
      <c r="AI295" s="1974">
        <f t="shared" ref="AI295:AP295" si="295">AI275-AI299</f>
        <v>1540</v>
      </c>
      <c r="AJ295" s="1974">
        <f t="shared" si="295"/>
        <v>1894.2</v>
      </c>
      <c r="AK295" s="1974">
        <f t="shared" si="295"/>
        <v>1913.1419999999998</v>
      </c>
      <c r="AL295" s="1974">
        <f t="shared" si="295"/>
        <v>1970.5362600000003</v>
      </c>
      <c r="AM295" s="1974">
        <f t="shared" si="295"/>
        <v>1990.2416226</v>
      </c>
      <c r="AN295" s="1974">
        <f t="shared" si="295"/>
        <v>2030.0464550520001</v>
      </c>
      <c r="AO295" s="1974">
        <f t="shared" si="295"/>
        <v>2050.3469196025203</v>
      </c>
      <c r="AP295" s="1974">
        <f t="shared" si="295"/>
        <v>2091.3538579945707</v>
      </c>
      <c r="AQ295" s="1976"/>
      <c r="AR295" s="1974"/>
      <c r="AS295" s="1948"/>
      <c r="AT295" s="1977"/>
      <c r="AU295" s="1978"/>
      <c r="AV295" s="1979"/>
      <c r="AW295" s="1948"/>
      <c r="AX295" s="1949"/>
      <c r="AY295" s="1948">
        <f>SUM(AE295:AH295)</f>
        <v>212</v>
      </c>
      <c r="AZ295" s="1948">
        <f>SUM(AI295:AL295)</f>
        <v>7317.8782599999995</v>
      </c>
      <c r="BA295" s="1981">
        <f t="shared" si="294"/>
        <v>8161.9888552490911</v>
      </c>
      <c r="BB295" s="1949">
        <f>BB275-BB299</f>
        <v>8978.1877407740012</v>
      </c>
      <c r="BC295" s="1981">
        <f>BC275-BC299</f>
        <v>9696.4427600359231</v>
      </c>
    </row>
    <row r="296" spans="1:71" s="1953" customFormat="1" outlineLevel="1" x14ac:dyDescent="0.3">
      <c r="A296" s="1970" t="s">
        <v>740</v>
      </c>
      <c r="B296" s="2410" t="s">
        <v>1014</v>
      </c>
      <c r="C296" s="1972"/>
      <c r="D296" s="1972"/>
      <c r="E296" s="1972"/>
      <c r="F296" s="1972"/>
      <c r="G296" s="1972"/>
      <c r="H296" s="1972"/>
      <c r="I296" s="1972"/>
      <c r="J296" s="1973"/>
      <c r="K296" s="1973"/>
      <c r="L296" s="1973"/>
      <c r="M296" s="1973"/>
      <c r="N296" s="1973"/>
      <c r="O296" s="2012"/>
      <c r="P296" s="2012"/>
      <c r="Q296" s="1973"/>
      <c r="R296" s="1973"/>
      <c r="S296" s="1974"/>
      <c r="T296" s="1974"/>
      <c r="U296" s="1974"/>
      <c r="V296" s="1974">
        <f t="shared" ref="V296:AP296" si="296">V278-V300</f>
        <v>887.55399999999986</v>
      </c>
      <c r="W296" s="2411">
        <f t="shared" si="296"/>
        <v>700</v>
      </c>
      <c r="X296" s="2411">
        <f t="shared" si="296"/>
        <v>909.3610000000001</v>
      </c>
      <c r="Y296" s="2411">
        <f t="shared" si="296"/>
        <v>770.65800000000013</v>
      </c>
      <c r="Z296" s="2411">
        <f t="shared" si="296"/>
        <v>1648.2629999999999</v>
      </c>
      <c r="AA296" s="2411">
        <f t="shared" si="296"/>
        <v>920</v>
      </c>
      <c r="AB296" s="2411">
        <f t="shared" si="296"/>
        <v>1035.7339999999999</v>
      </c>
      <c r="AC296" s="1974">
        <f t="shared" si="296"/>
        <v>670.4878215</v>
      </c>
      <c r="AD296" s="1974">
        <f t="shared" si="296"/>
        <v>301.5393928333333</v>
      </c>
      <c r="AE296" s="1974">
        <f t="shared" si="296"/>
        <v>820.8</v>
      </c>
      <c r="AF296" s="1974">
        <f t="shared" si="296"/>
        <v>1016.3</v>
      </c>
      <c r="AG296" s="1974">
        <f t="shared" si="296"/>
        <v>947.62278772000013</v>
      </c>
      <c r="AH296" s="1974">
        <f t="shared" si="296"/>
        <v>724.94702280000024</v>
      </c>
      <c r="AI296" s="1974">
        <f t="shared" si="296"/>
        <v>615.59999999999991</v>
      </c>
      <c r="AJ296" s="1974">
        <f t="shared" si="296"/>
        <v>1088.6435999999999</v>
      </c>
      <c r="AK296" s="1974">
        <f t="shared" si="296"/>
        <v>885.35043309840023</v>
      </c>
      <c r="AL296" s="1974">
        <f t="shared" si="296"/>
        <v>1139.2024644000003</v>
      </c>
      <c r="AM296" s="1974">
        <f t="shared" si="296"/>
        <v>978.11999999999989</v>
      </c>
      <c r="AN296" s="1974">
        <f t="shared" si="296"/>
        <v>997.92330000000004</v>
      </c>
      <c r="AO296" s="1974">
        <f t="shared" si="296"/>
        <v>811.57123034020026</v>
      </c>
      <c r="AP296" s="1974">
        <f t="shared" si="296"/>
        <v>1093.6343658240003</v>
      </c>
      <c r="AQ296" s="1976"/>
      <c r="AR296" s="1974"/>
      <c r="AS296" s="1948"/>
      <c r="AT296" s="1977"/>
      <c r="AU296" s="1978"/>
      <c r="AV296" s="1979"/>
      <c r="AW296" s="1948"/>
      <c r="AX296" s="1949">
        <f>AD296</f>
        <v>301.5393928333333</v>
      </c>
      <c r="AY296" s="1948">
        <f>SUM(AE296:AH296)</f>
        <v>3509.6698105200003</v>
      </c>
      <c r="AZ296" s="1948">
        <f>SUM(AI296:AL296)</f>
        <v>3728.7964974984002</v>
      </c>
      <c r="BA296" s="1981">
        <f t="shared" si="294"/>
        <v>3881.2488961642002</v>
      </c>
      <c r="BB296" s="1949">
        <f>BB278-BB300</f>
        <v>4020.5808916898345</v>
      </c>
      <c r="BC296" s="1981">
        <f>BC278-BC300</f>
        <v>4130.0070108038672</v>
      </c>
    </row>
    <row r="297" spans="1:71" s="1953" customFormat="1" outlineLevel="1" x14ac:dyDescent="0.3">
      <c r="A297" s="1970" t="s">
        <v>740</v>
      </c>
      <c r="B297" s="2410" t="s">
        <v>1015</v>
      </c>
      <c r="C297" s="1972"/>
      <c r="D297" s="1972"/>
      <c r="E297" s="1972"/>
      <c r="F297" s="1972"/>
      <c r="G297" s="1972"/>
      <c r="H297" s="1972"/>
      <c r="I297" s="1972"/>
      <c r="J297" s="1973"/>
      <c r="K297" s="1973"/>
      <c r="L297" s="1973"/>
      <c r="M297" s="1973"/>
      <c r="N297" s="1973"/>
      <c r="O297" s="2012"/>
      <c r="P297" s="2012"/>
      <c r="Q297" s="1973"/>
      <c r="R297" s="1973"/>
      <c r="S297" s="2012"/>
      <c r="T297" s="2012"/>
      <c r="U297" s="2012"/>
      <c r="V297" s="2195"/>
      <c r="W297" s="1974">
        <f t="shared" ref="W297:AP297" si="297">W263-W288</f>
        <v>-1872.1807874885517</v>
      </c>
      <c r="X297" s="1974">
        <f t="shared" si="297"/>
        <v>-1968.2071380982397</v>
      </c>
      <c r="Y297" s="1974">
        <f t="shared" si="297"/>
        <v>-2552.8688286198703</v>
      </c>
      <c r="Z297" s="1974">
        <f t="shared" si="297"/>
        <v>-2888.0921386333898</v>
      </c>
      <c r="AA297" s="1974">
        <f t="shared" si="297"/>
        <v>-3580.468963508275</v>
      </c>
      <c r="AB297" s="1974">
        <f t="shared" si="297"/>
        <v>-4393.8767853046375</v>
      </c>
      <c r="AC297" s="1974">
        <f t="shared" si="297"/>
        <v>-6783.1806930583562</v>
      </c>
      <c r="AD297" s="1974">
        <f t="shared" si="297"/>
        <v>-3304.3669580350165</v>
      </c>
      <c r="AE297" s="1974">
        <f t="shared" si="297"/>
        <v>-2568.7223624656544</v>
      </c>
      <c r="AF297" s="1974">
        <f t="shared" si="297"/>
        <v>-2624.1840889784771</v>
      </c>
      <c r="AG297" s="1974">
        <f t="shared" si="297"/>
        <v>-3711.576881982236</v>
      </c>
      <c r="AH297" s="1974">
        <f t="shared" si="297"/>
        <v>-3431.7942530012624</v>
      </c>
      <c r="AI297" s="1974">
        <f t="shared" si="297"/>
        <v>-1739.5936468492409</v>
      </c>
      <c r="AJ297" s="1974">
        <f t="shared" si="297"/>
        <v>-1594.7742150687627</v>
      </c>
      <c r="AK297" s="1974">
        <f t="shared" si="297"/>
        <v>-1996.1148997412643</v>
      </c>
      <c r="AL297" s="1974">
        <f t="shared" si="297"/>
        <v>-1923.5035642604398</v>
      </c>
      <c r="AM297" s="1974">
        <f t="shared" si="297"/>
        <v>-1514.0110513856889</v>
      </c>
      <c r="AN297" s="1974">
        <f t="shared" si="297"/>
        <v>-1417.9494311000662</v>
      </c>
      <c r="AO297" s="1974">
        <f t="shared" si="297"/>
        <v>-1859.419139825965</v>
      </c>
      <c r="AP297" s="1974">
        <f t="shared" si="297"/>
        <v>-1766.605478374644</v>
      </c>
      <c r="AQ297" s="2013"/>
      <c r="AR297" s="2012"/>
      <c r="AS297" s="2044"/>
      <c r="AT297" s="2016"/>
      <c r="AU297" s="2412"/>
      <c r="AV297" s="1948">
        <f>AV263-AV288</f>
        <v>-6589.3397774427194</v>
      </c>
      <c r="AW297" s="1948">
        <f>AW263-AW288</f>
        <v>-9281.3488928400493</v>
      </c>
      <c r="AX297" s="1949">
        <f>AX263-AX288</f>
        <v>-18061.893399906287</v>
      </c>
      <c r="AY297" s="1948">
        <f>AY263-AY288</f>
        <v>-12336.277586427634</v>
      </c>
      <c r="AZ297" s="1948">
        <f>AZ263-AZ288</f>
        <v>-7253.9863259197045</v>
      </c>
      <c r="BA297" s="1981">
        <f t="shared" si="294"/>
        <v>-6557.9851006863646</v>
      </c>
      <c r="BB297" s="1949">
        <f>BB263-BB288</f>
        <v>-5494.5341738912648</v>
      </c>
      <c r="BC297" s="1981">
        <f>BC263-BC288</f>
        <v>-4427.3811310517558</v>
      </c>
    </row>
    <row r="298" spans="1:71" s="1953" customFormat="1" outlineLevel="1" x14ac:dyDescent="0.3">
      <c r="A298" s="1970" t="s">
        <v>740</v>
      </c>
      <c r="B298" s="2410" t="s">
        <v>1016</v>
      </c>
      <c r="C298" s="1972"/>
      <c r="D298" s="1972"/>
      <c r="E298" s="1972"/>
      <c r="F298" s="1972"/>
      <c r="G298" s="1972"/>
      <c r="H298" s="1972"/>
      <c r="I298" s="1972"/>
      <c r="J298" s="1973"/>
      <c r="K298" s="1973"/>
      <c r="L298" s="1973"/>
      <c r="M298" s="1973"/>
      <c r="N298" s="1973"/>
      <c r="O298" s="2012"/>
      <c r="P298" s="2012"/>
      <c r="Q298" s="1973"/>
      <c r="R298" s="1973"/>
      <c r="S298" s="2012"/>
      <c r="T298" s="2012"/>
      <c r="U298" s="2012"/>
      <c r="V298" s="2195"/>
      <c r="W298" s="1974">
        <f t="shared" ref="W298:AP298" si="298">W272-W294</f>
        <v>124.18078748855169</v>
      </c>
      <c r="X298" s="1974">
        <f t="shared" si="298"/>
        <v>219.20713809823974</v>
      </c>
      <c r="Y298" s="1974">
        <f t="shared" si="298"/>
        <v>339.86882861986987</v>
      </c>
      <c r="Z298" s="1974">
        <f t="shared" si="298"/>
        <v>293.09213863338982</v>
      </c>
      <c r="AA298" s="1974">
        <f t="shared" si="298"/>
        <v>448.46896350827546</v>
      </c>
      <c r="AB298" s="1974">
        <f t="shared" si="298"/>
        <v>591.87678530463609</v>
      </c>
      <c r="AC298" s="1974">
        <f t="shared" si="298"/>
        <v>749.18069305835388</v>
      </c>
      <c r="AD298" s="1974">
        <f t="shared" si="298"/>
        <v>490.22896086834999</v>
      </c>
      <c r="AE298" s="1974">
        <f t="shared" si="298"/>
        <v>472.52236246565462</v>
      </c>
      <c r="AF298" s="1974">
        <f t="shared" si="298"/>
        <v>616.18408897847712</v>
      </c>
      <c r="AG298" s="1974">
        <f t="shared" si="298"/>
        <v>684.32624990223576</v>
      </c>
      <c r="AH298" s="1974">
        <f t="shared" si="298"/>
        <v>519.83162480126248</v>
      </c>
      <c r="AI298" s="1974">
        <f t="shared" si="298"/>
        <v>305.79364684924121</v>
      </c>
      <c r="AJ298" s="1974">
        <f t="shared" si="298"/>
        <v>492.94727118278161</v>
      </c>
      <c r="AK298" s="1974">
        <f t="shared" si="298"/>
        <v>656.95319990614644</v>
      </c>
      <c r="AL298" s="1974">
        <f t="shared" si="298"/>
        <v>530.22825729728766</v>
      </c>
      <c r="AM298" s="1974">
        <f t="shared" si="298"/>
        <v>366.95237621908927</v>
      </c>
      <c r="AN298" s="1974">
        <f t="shared" si="298"/>
        <v>690.12617965589379</v>
      </c>
      <c r="AO298" s="1974">
        <f t="shared" si="298"/>
        <v>788.34383988737545</v>
      </c>
      <c r="AP298" s="1974">
        <f t="shared" si="298"/>
        <v>677.51388432431213</v>
      </c>
      <c r="AQ298" s="2013"/>
      <c r="AR298" s="2012"/>
      <c r="AS298" s="2044"/>
      <c r="AT298" s="2016"/>
      <c r="AU298" s="2412"/>
      <c r="AV298" s="2413">
        <f>AV272-AV294</f>
        <v>47.339777442721243</v>
      </c>
      <c r="AW298" s="2413">
        <f>AW272-AW294</f>
        <v>976.3488928400493</v>
      </c>
      <c r="AX298" s="1949">
        <f>AX272-AX294</f>
        <v>2279.7554027396163</v>
      </c>
      <c r="AY298" s="1948">
        <f>AY272-AY294</f>
        <v>2292.8643261476318</v>
      </c>
      <c r="AZ298" s="1948">
        <f>AZ272-AZ294</f>
        <v>1985.9223752354555</v>
      </c>
      <c r="BA298" s="1981">
        <f t="shared" si="294"/>
        <v>2522.9362800866706</v>
      </c>
      <c r="BB298" s="1949">
        <f>BB272-BB294</f>
        <v>2988.4180237626624</v>
      </c>
      <c r="BC298" s="1981">
        <f>BC272-BC294</f>
        <v>3345.7288744299367</v>
      </c>
    </row>
    <row r="299" spans="1:71" s="1953" customFormat="1" outlineLevel="1" x14ac:dyDescent="0.3">
      <c r="A299" s="1970"/>
      <c r="B299" s="2410" t="s">
        <v>1017</v>
      </c>
      <c r="C299" s="1972"/>
      <c r="D299" s="1972"/>
      <c r="E299" s="1972"/>
      <c r="F299" s="1972"/>
      <c r="G299" s="1972"/>
      <c r="H299" s="1972"/>
      <c r="I299" s="1972"/>
      <c r="J299" s="1973"/>
      <c r="K299" s="1973"/>
      <c r="L299" s="1973"/>
      <c r="M299" s="1973"/>
      <c r="N299" s="1973"/>
      <c r="O299" s="2012"/>
      <c r="P299" s="2012"/>
      <c r="Q299" s="1973"/>
      <c r="R299" s="1973"/>
      <c r="S299" s="2012"/>
      <c r="T299" s="2012"/>
      <c r="U299" s="2012"/>
      <c r="V299" s="2195"/>
      <c r="W299" s="1974"/>
      <c r="X299" s="1974"/>
      <c r="Y299" s="1974"/>
      <c r="Z299" s="1974"/>
      <c r="AA299" s="1974"/>
      <c r="AB299" s="1974"/>
      <c r="AC299" s="1974"/>
      <c r="AD299" s="1974"/>
      <c r="AE299" s="1974">
        <f>AE284+2233</f>
        <v>-98</v>
      </c>
      <c r="AF299" s="1974"/>
      <c r="AG299" s="1974"/>
      <c r="AH299" s="1974"/>
      <c r="AI299" s="1974">
        <f t="shared" ref="AI299:AP299" si="299">AI303*AI275</f>
        <v>660</v>
      </c>
      <c r="AJ299" s="1974">
        <f t="shared" si="299"/>
        <v>811.8</v>
      </c>
      <c r="AK299" s="1974">
        <f t="shared" si="299"/>
        <v>819.91800000000001</v>
      </c>
      <c r="AL299" s="1974">
        <f t="shared" si="299"/>
        <v>844.51553999999999</v>
      </c>
      <c r="AM299" s="1974">
        <f t="shared" si="299"/>
        <v>852.96069539999996</v>
      </c>
      <c r="AN299" s="1974">
        <f t="shared" si="299"/>
        <v>870.01990930800002</v>
      </c>
      <c r="AO299" s="1974">
        <f t="shared" si="299"/>
        <v>878.72010840107998</v>
      </c>
      <c r="AP299" s="1974">
        <f t="shared" si="299"/>
        <v>896.29451056910159</v>
      </c>
      <c r="AQ299" s="2013"/>
      <c r="AR299" s="2012"/>
      <c r="AS299" s="2044"/>
      <c r="AT299" s="2016"/>
      <c r="AU299" s="2412"/>
      <c r="AV299" s="2413"/>
      <c r="AW299" s="2413"/>
      <c r="AX299" s="1949"/>
      <c r="AY299" s="1948">
        <f>SUM(AE299:AH299)</f>
        <v>-98</v>
      </c>
      <c r="AZ299" s="1948">
        <f>SUM(AI299:AL299)</f>
        <v>3136.2335399999997</v>
      </c>
      <c r="BA299" s="1981">
        <f t="shared" si="294"/>
        <v>3497.9952236781814</v>
      </c>
      <c r="BB299" s="1949">
        <f>BB275*BB303</f>
        <v>3847.794746046</v>
      </c>
      <c r="BC299" s="1981">
        <f>BC275*BC303</f>
        <v>4155.6183257296807</v>
      </c>
    </row>
    <row r="300" spans="1:71" s="1953" customFormat="1" outlineLevel="1" x14ac:dyDescent="0.3">
      <c r="A300" s="1970" t="s">
        <v>740</v>
      </c>
      <c r="B300" s="2410" t="s">
        <v>1018</v>
      </c>
      <c r="C300" s="1972"/>
      <c r="D300" s="1972"/>
      <c r="E300" s="1972"/>
      <c r="F300" s="1972"/>
      <c r="G300" s="1972"/>
      <c r="H300" s="1972"/>
      <c r="I300" s="1972"/>
      <c r="J300" s="1973"/>
      <c r="K300" s="1973"/>
      <c r="L300" s="1973"/>
      <c r="M300" s="1973"/>
      <c r="N300" s="1973"/>
      <c r="O300" s="2012"/>
      <c r="P300" s="2012"/>
      <c r="Q300" s="1973"/>
      <c r="R300" s="1973"/>
      <c r="S300" s="2012"/>
      <c r="T300" s="2012"/>
      <c r="U300" s="2012"/>
      <c r="V300" s="2195">
        <f>-525.56-W300</f>
        <v>-325.55999999999995</v>
      </c>
      <c r="W300" s="2195">
        <v>-200</v>
      </c>
      <c r="X300" s="2195">
        <f>-425.18-W300</f>
        <v>-225.18</v>
      </c>
      <c r="Y300" s="2195">
        <f>-901.437-V300-W300-X300</f>
        <v>-150.69700000000006</v>
      </c>
      <c r="Z300" s="2195">
        <f>(-1613053+901437)/1000</f>
        <v>-711.61599999999999</v>
      </c>
      <c r="AA300" s="2195">
        <v>-200</v>
      </c>
      <c r="AB300" s="2195">
        <f>-423.482-AA300</f>
        <v>-223.48200000000003</v>
      </c>
      <c r="AC300" s="2195">
        <f>AC278*AC304</f>
        <v>-31.927991500000005</v>
      </c>
      <c r="AD300" s="2195">
        <f>(-496.996-AA300-AB300-AC300)/3</f>
        <v>-13.862002833333316</v>
      </c>
      <c r="AE300" s="2195">
        <f>AE278*AE304</f>
        <v>-136.80000000000001</v>
      </c>
      <c r="AF300" s="2195">
        <f>-335.8-AE300</f>
        <v>-199</v>
      </c>
      <c r="AG300" s="2195">
        <f t="shared" ref="AG300:AP300" si="300">AG278*AG304</f>
        <v>-270.74936792000005</v>
      </c>
      <c r="AH300" s="2195">
        <f t="shared" si="300"/>
        <v>-466.03737180000013</v>
      </c>
      <c r="AI300" s="2195">
        <f t="shared" si="300"/>
        <v>-547.19999999999993</v>
      </c>
      <c r="AJ300" s="2195">
        <f t="shared" si="300"/>
        <v>-181.44060000000002</v>
      </c>
      <c r="AK300" s="2195">
        <f t="shared" si="300"/>
        <v>-147.55840551640003</v>
      </c>
      <c r="AL300" s="2195">
        <f t="shared" si="300"/>
        <v>-103.56386040000002</v>
      </c>
      <c r="AM300" s="2195">
        <f t="shared" si="300"/>
        <v>-88.92</v>
      </c>
      <c r="AN300" s="2195">
        <f t="shared" si="300"/>
        <v>0</v>
      </c>
      <c r="AO300" s="2195">
        <f t="shared" si="300"/>
        <v>0</v>
      </c>
      <c r="AP300" s="2195">
        <f t="shared" si="300"/>
        <v>45.568098576000011</v>
      </c>
      <c r="AQ300" s="2013"/>
      <c r="AR300" s="2012"/>
      <c r="AS300" s="2044"/>
      <c r="AT300" s="2016"/>
      <c r="AU300" s="2015"/>
      <c r="AV300" s="2019"/>
      <c r="AW300" s="2019"/>
      <c r="AX300" s="1949">
        <f>AD300</f>
        <v>-13.862002833333316</v>
      </c>
      <c r="AY300" s="1948">
        <f>SUM(AE300:AH300)</f>
        <v>-1072.5867397200002</v>
      </c>
      <c r="AZ300" s="1979">
        <f>SUM(AI300:AL300)</f>
        <v>-979.76286591640007</v>
      </c>
      <c r="BA300" s="1981">
        <f t="shared" si="294"/>
        <v>-43.35190142399999</v>
      </c>
      <c r="BB300" s="1949">
        <f>BB304*BB278</f>
        <v>124.34786262958249</v>
      </c>
      <c r="BC300" s="1981">
        <f>BC304*BC278</f>
        <v>263.61746877471495</v>
      </c>
    </row>
    <row r="301" spans="1:71" s="2020" customFormat="1" outlineLevel="1" x14ac:dyDescent="0.3">
      <c r="A301" s="1970" t="s">
        <v>740</v>
      </c>
      <c r="B301" s="2414" t="s">
        <v>1019</v>
      </c>
      <c r="C301" s="2012"/>
      <c r="D301" s="2012"/>
      <c r="E301" s="2012"/>
      <c r="F301" s="2012"/>
      <c r="G301" s="2012"/>
      <c r="H301" s="2012"/>
      <c r="I301" s="2012"/>
      <c r="J301" s="2012"/>
      <c r="K301" s="2012"/>
      <c r="L301" s="2012"/>
      <c r="M301" s="2012"/>
      <c r="N301" s="2012"/>
      <c r="O301" s="2012"/>
      <c r="P301" s="2012"/>
      <c r="Q301" s="2012"/>
      <c r="R301" s="2012"/>
      <c r="S301" s="2012">
        <f t="shared" ref="S301:AP301" si="301">(S263-S288)/S263</f>
        <v>-0.53807096635245888</v>
      </c>
      <c r="T301" s="2012">
        <f t="shared" si="301"/>
        <v>-0.72787953577359421</v>
      </c>
      <c r="U301" s="2012">
        <f t="shared" si="301"/>
        <v>-1.1831869436365359</v>
      </c>
      <c r="V301" s="2012">
        <f t="shared" si="301"/>
        <v>-0.88042206137549739</v>
      </c>
      <c r="W301" s="2012">
        <f t="shared" si="301"/>
        <v>-0.9308218450518696</v>
      </c>
      <c r="X301" s="2012">
        <f t="shared" si="301"/>
        <v>-0.95641033769926742</v>
      </c>
      <c r="Y301" s="2012">
        <f t="shared" si="301"/>
        <v>-1.098819392757014</v>
      </c>
      <c r="Z301" s="2012">
        <f t="shared" si="301"/>
        <v>-1.2336587595880315</v>
      </c>
      <c r="AA301" s="2012">
        <f t="shared" si="301"/>
        <v>-1.2918184571605751</v>
      </c>
      <c r="AB301" s="2012">
        <f t="shared" si="301"/>
        <v>-1.7873117052046694</v>
      </c>
      <c r="AC301" s="2012">
        <f t="shared" si="301"/>
        <v>-2.9126301130084338</v>
      </c>
      <c r="AD301" s="2012">
        <f t="shared" si="301"/>
        <v>-1.4246697071422822</v>
      </c>
      <c r="AE301" s="2012">
        <f t="shared" si="301"/>
        <v>-0.96036509679423754</v>
      </c>
      <c r="AF301" s="2012">
        <f t="shared" si="301"/>
        <v>-1.1068742055017913</v>
      </c>
      <c r="AG301" s="2012">
        <f t="shared" si="301"/>
        <v>-1.7207511355060496</v>
      </c>
      <c r="AH301" s="2012">
        <f t="shared" si="301"/>
        <v>-1.54616933779904</v>
      </c>
      <c r="AI301" s="2012">
        <f t="shared" si="301"/>
        <v>-0.647416965784534</v>
      </c>
      <c r="AJ301" s="2012">
        <f t="shared" si="301"/>
        <v>-0.55616525521939364</v>
      </c>
      <c r="AK301" s="2012">
        <f t="shared" si="301"/>
        <v>-0.81095138003596712</v>
      </c>
      <c r="AL301" s="2012">
        <f t="shared" si="301"/>
        <v>-0.74010622673024407</v>
      </c>
      <c r="AM301" s="2012">
        <f t="shared" si="301"/>
        <v>-0.48977513337040984</v>
      </c>
      <c r="AN301" s="2012">
        <f t="shared" si="301"/>
        <v>-0.44079493914995843</v>
      </c>
      <c r="AO301" s="2012">
        <f t="shared" si="301"/>
        <v>-0.66978251081363371</v>
      </c>
      <c r="AP301" s="2012">
        <f t="shared" si="301"/>
        <v>-0.59782945073707983</v>
      </c>
      <c r="AQ301" s="2013"/>
      <c r="AR301" s="2012"/>
      <c r="AS301" s="2044"/>
      <c r="AT301" s="2016"/>
      <c r="AU301" s="2015"/>
      <c r="AV301" s="2019">
        <f t="shared" ref="AV301:BC301" si="302">(AV263-AV288)/AV263</f>
        <v>-0.85039958366632207</v>
      </c>
      <c r="AW301" s="2019">
        <f t="shared" si="302"/>
        <v>-1.0627182789994689</v>
      </c>
      <c r="AX301" s="2015">
        <f t="shared" si="302"/>
        <v>-1.8284417031698224</v>
      </c>
      <c r="AY301" s="2019">
        <f t="shared" si="302"/>
        <v>-1.3093001940878428</v>
      </c>
      <c r="AZ301" s="2019">
        <f t="shared" si="302"/>
        <v>-0.68338245239004269</v>
      </c>
      <c r="BA301" s="2016">
        <f t="shared" si="302"/>
        <v>-0.54471826302506721</v>
      </c>
      <c r="BB301" s="2015">
        <f t="shared" si="302"/>
        <v>-0.40149394435405361</v>
      </c>
      <c r="BC301" s="2016">
        <f t="shared" si="302"/>
        <v>-0.28648268745504196</v>
      </c>
      <c r="BD301" s="2415"/>
      <c r="BE301" s="2415"/>
      <c r="BF301" s="2415"/>
      <c r="BG301" s="2415"/>
      <c r="BH301" s="2415"/>
      <c r="BI301" s="2415"/>
      <c r="BJ301" s="2415"/>
      <c r="BK301" s="2415"/>
      <c r="BL301" s="2415"/>
      <c r="BM301" s="2415"/>
      <c r="BN301" s="2415"/>
      <c r="BO301" s="2415"/>
      <c r="BP301" s="2415"/>
      <c r="BQ301" s="2415"/>
      <c r="BR301" s="2415"/>
      <c r="BS301" s="2415"/>
    </row>
    <row r="302" spans="1:71" s="2020" customFormat="1" outlineLevel="1" x14ac:dyDescent="0.3">
      <c r="A302" s="1970" t="s">
        <v>1020</v>
      </c>
      <c r="B302" s="2414" t="s">
        <v>1021</v>
      </c>
      <c r="C302" s="2012"/>
      <c r="D302" s="2012"/>
      <c r="E302" s="2012"/>
      <c r="F302" s="2012"/>
      <c r="G302" s="2012"/>
      <c r="H302" s="2012"/>
      <c r="I302" s="2012"/>
      <c r="J302" s="2012"/>
      <c r="K302" s="2012"/>
      <c r="L302" s="2012"/>
      <c r="M302" s="2012"/>
      <c r="N302" s="2012"/>
      <c r="O302" s="2012"/>
      <c r="P302" s="2012"/>
      <c r="Q302" s="2012"/>
      <c r="R302" s="2012"/>
      <c r="S302" s="2012">
        <v>-0.05</v>
      </c>
      <c r="T302" s="2012">
        <f>S302+4%</f>
        <v>-1.0000000000000002E-2</v>
      </c>
      <c r="U302" s="2012">
        <v>0.05</v>
      </c>
      <c r="V302" s="2012">
        <f>U302-3%</f>
        <v>2.0000000000000004E-2</v>
      </c>
      <c r="W302" s="2012">
        <v>0.06</v>
      </c>
      <c r="X302" s="2012">
        <f>W302+2%</f>
        <v>0.08</v>
      </c>
      <c r="Y302" s="2012">
        <v>0.11</v>
      </c>
      <c r="Z302" s="2012">
        <f>Y302-1%</f>
        <v>0.1</v>
      </c>
      <c r="AA302" s="2012">
        <v>0.14000000000000001</v>
      </c>
      <c r="AB302" s="2012">
        <v>0.17</v>
      </c>
      <c r="AC302" s="2012">
        <f>AB302+1%</f>
        <v>0.18000000000000002</v>
      </c>
      <c r="AD302" s="2012">
        <f>AC302-2%</f>
        <v>0.16000000000000003</v>
      </c>
      <c r="AE302" s="2012">
        <v>0.16</v>
      </c>
      <c r="AF302" s="2012">
        <v>0.15</v>
      </c>
      <c r="AG302" s="2012">
        <v>0.15</v>
      </c>
      <c r="AH302" s="2012">
        <v>0.15</v>
      </c>
      <c r="AI302" s="2012">
        <v>0.15</v>
      </c>
      <c r="AJ302" s="2012">
        <v>0.15</v>
      </c>
      <c r="AK302" s="2012">
        <v>0.18</v>
      </c>
      <c r="AL302" s="2012">
        <v>0.18</v>
      </c>
      <c r="AM302" s="2012">
        <v>0.2</v>
      </c>
      <c r="AN302" s="2012">
        <v>0.2</v>
      </c>
      <c r="AO302" s="2012">
        <v>0.2</v>
      </c>
      <c r="AP302" s="2012">
        <v>0.2</v>
      </c>
      <c r="AQ302" s="2013"/>
      <c r="AR302" s="2012"/>
      <c r="AS302" s="2044"/>
      <c r="AT302" s="2016"/>
      <c r="AU302" s="2015"/>
      <c r="AV302" s="2019">
        <f t="shared" ref="AV302:BA302" si="303">(AV272-AV294)/AV272</f>
        <v>6.7778546374931432E-3</v>
      </c>
      <c r="AW302" s="2019">
        <f t="shared" si="303"/>
        <v>9.0148864242033985E-2</v>
      </c>
      <c r="AX302" s="2015">
        <f t="shared" si="303"/>
        <v>0.16388120863660852</v>
      </c>
      <c r="AY302" s="2019">
        <f t="shared" si="303"/>
        <v>0.15195724612093278</v>
      </c>
      <c r="AZ302" s="2019">
        <f t="shared" si="303"/>
        <v>0.1665987474495276</v>
      </c>
      <c r="BA302" s="2016">
        <f t="shared" si="303"/>
        <v>0.19999999999999998</v>
      </c>
      <c r="BB302" s="2015">
        <v>0.23</v>
      </c>
      <c r="BC302" s="2016">
        <v>0.25</v>
      </c>
      <c r="BD302" s="2415"/>
      <c r="BE302" s="2415"/>
      <c r="BF302" s="2415"/>
      <c r="BG302" s="2415"/>
      <c r="BH302" s="2415"/>
      <c r="BI302" s="2415"/>
      <c r="BJ302" s="2415"/>
      <c r="BK302" s="2415"/>
      <c r="BL302" s="2415"/>
      <c r="BM302" s="2415"/>
      <c r="BN302" s="2415"/>
      <c r="BO302" s="2415"/>
      <c r="BP302" s="2415"/>
      <c r="BQ302" s="2415"/>
      <c r="BR302" s="2415"/>
      <c r="BS302" s="2415"/>
    </row>
    <row r="303" spans="1:71" s="2020" customFormat="1" outlineLevel="1" x14ac:dyDescent="0.3">
      <c r="A303" s="1970"/>
      <c r="B303" s="2414" t="s">
        <v>1022</v>
      </c>
      <c r="C303" s="2012"/>
      <c r="D303" s="2012"/>
      <c r="E303" s="2012"/>
      <c r="F303" s="2012"/>
      <c r="G303" s="2012"/>
      <c r="H303" s="2012"/>
      <c r="I303" s="2012"/>
      <c r="J303" s="2012"/>
      <c r="K303" s="2012"/>
      <c r="L303" s="2012"/>
      <c r="M303" s="2012"/>
      <c r="N303" s="2012"/>
      <c r="O303" s="2012"/>
      <c r="P303" s="2012"/>
      <c r="Q303" s="2012"/>
      <c r="R303" s="2012"/>
      <c r="S303" s="2012"/>
      <c r="T303" s="2012"/>
      <c r="U303" s="2012"/>
      <c r="V303" s="2012"/>
      <c r="W303" s="2012"/>
      <c r="X303" s="2012"/>
      <c r="Y303" s="2012"/>
      <c r="Z303" s="2012"/>
      <c r="AA303" s="2012"/>
      <c r="AB303" s="2012"/>
      <c r="AC303" s="2012"/>
      <c r="AD303" s="2012"/>
      <c r="AE303" s="2012">
        <f>AE299/AE275</f>
        <v>-0.85964912280701755</v>
      </c>
      <c r="AF303" s="2012"/>
      <c r="AG303" s="2012"/>
      <c r="AH303" s="2012"/>
      <c r="AI303" s="2012">
        <v>0.3</v>
      </c>
      <c r="AJ303" s="2012">
        <v>0.3</v>
      </c>
      <c r="AK303" s="2012">
        <v>0.3</v>
      </c>
      <c r="AL303" s="2012">
        <v>0.3</v>
      </c>
      <c r="AM303" s="2012">
        <v>0.3</v>
      </c>
      <c r="AN303" s="2012">
        <v>0.3</v>
      </c>
      <c r="AO303" s="2012">
        <v>0.3</v>
      </c>
      <c r="AP303" s="2012">
        <v>0.3</v>
      </c>
      <c r="AQ303" s="2013"/>
      <c r="AR303" s="2012"/>
      <c r="AS303" s="2044"/>
      <c r="AT303" s="2016"/>
      <c r="AU303" s="2015"/>
      <c r="AV303" s="2019"/>
      <c r="AW303" s="2019"/>
      <c r="AX303" s="2015"/>
      <c r="AY303" s="2019">
        <f>AY299/AY275</f>
        <v>-0.85964912280701755</v>
      </c>
      <c r="AZ303" s="2019">
        <f>AZ299/AZ275</f>
        <v>0.3</v>
      </c>
      <c r="BA303" s="2019">
        <f>BA299/BA275</f>
        <v>0.29999999999999993</v>
      </c>
      <c r="BB303" s="2015">
        <v>0.3</v>
      </c>
      <c r="BC303" s="2016">
        <v>0.3</v>
      </c>
      <c r="BD303" s="2415"/>
      <c r="BE303" s="2415"/>
      <c r="BF303" s="2415"/>
      <c r="BG303" s="2415"/>
      <c r="BH303" s="2415"/>
      <c r="BI303" s="2415"/>
      <c r="BJ303" s="2415"/>
      <c r="BK303" s="2415"/>
      <c r="BL303" s="2415"/>
      <c r="BM303" s="2415"/>
      <c r="BN303" s="2415"/>
      <c r="BO303" s="2415"/>
      <c r="BP303" s="2415"/>
      <c r="BQ303" s="2415"/>
      <c r="BR303" s="2415"/>
      <c r="BS303" s="2415"/>
    </row>
    <row r="304" spans="1:71" s="2020" customFormat="1" outlineLevel="1" x14ac:dyDescent="0.3">
      <c r="A304" s="2048" t="s">
        <v>1023</v>
      </c>
      <c r="B304" s="2416" t="s">
        <v>1024</v>
      </c>
      <c r="C304" s="2212"/>
      <c r="D304" s="2212"/>
      <c r="E304" s="2212"/>
      <c r="F304" s="2212"/>
      <c r="G304" s="2212"/>
      <c r="H304" s="2212"/>
      <c r="I304" s="2212"/>
      <c r="J304" s="2212"/>
      <c r="K304" s="2212"/>
      <c r="L304" s="2212"/>
      <c r="M304" s="2212"/>
      <c r="N304" s="2212"/>
      <c r="O304" s="2212"/>
      <c r="P304" s="2212"/>
      <c r="Q304" s="2212"/>
      <c r="R304" s="2212"/>
      <c r="S304" s="2212"/>
      <c r="T304" s="2212"/>
      <c r="U304" s="2212"/>
      <c r="V304" s="2212">
        <f>V300/V278</f>
        <v>-0.57929444086591675</v>
      </c>
      <c r="W304" s="2212">
        <f>W300/W278</f>
        <v>-0.4</v>
      </c>
      <c r="X304" s="2212">
        <f>X300/X278</f>
        <v>-0.32912343371125474</v>
      </c>
      <c r="Y304" s="2212">
        <f>Y300/Y278</f>
        <v>-0.24307496761893096</v>
      </c>
      <c r="Z304" s="2417">
        <f>(Z278-Z296)/Z278</f>
        <v>-0.75974833635296957</v>
      </c>
      <c r="AA304" s="2417">
        <f>AA300/AA278</f>
        <v>-0.27777777777777779</v>
      </c>
      <c r="AB304" s="2417">
        <f>AB300/AB278</f>
        <v>-0.27513875004309013</v>
      </c>
      <c r="AC304" s="2212">
        <v>-0.05</v>
      </c>
      <c r="AD304" s="2212">
        <f>AD300/AD278</f>
        <v>-4.8185930890617838E-2</v>
      </c>
      <c r="AE304" s="2212">
        <v>-0.2</v>
      </c>
      <c r="AF304" s="2212">
        <f>AF300/AF278</f>
        <v>-0.2434846445613606</v>
      </c>
      <c r="AG304" s="2212">
        <v>-0.4</v>
      </c>
      <c r="AH304" s="2212">
        <v>-1.8</v>
      </c>
      <c r="AI304" s="2212">
        <v>-8</v>
      </c>
      <c r="AJ304" s="2212">
        <v>-0.2</v>
      </c>
      <c r="AK304" s="2212">
        <v>-0.2</v>
      </c>
      <c r="AL304" s="2212">
        <v>-0.1</v>
      </c>
      <c r="AM304" s="2212">
        <v>-0.1</v>
      </c>
      <c r="AN304" s="2212">
        <v>0</v>
      </c>
      <c r="AO304" s="2212">
        <v>0</v>
      </c>
      <c r="AP304" s="2212">
        <v>0.04</v>
      </c>
      <c r="AQ304" s="2214"/>
      <c r="AR304" s="2212"/>
      <c r="AS304" s="2418"/>
      <c r="AT304" s="2216"/>
      <c r="AU304" s="2419"/>
      <c r="AV304" s="2215"/>
      <c r="AW304" s="2215"/>
      <c r="AX304" s="2419">
        <f>AX300/AX278</f>
        <v>-4.8185930890617838E-2</v>
      </c>
      <c r="AY304" s="2215">
        <f>AY300/AY278</f>
        <v>-0.44011086555531798</v>
      </c>
      <c r="AZ304" s="2215">
        <f>AZ300/AZ278</f>
        <v>-0.35640264806530247</v>
      </c>
      <c r="BA304" s="2216">
        <f>BA300/BA278</f>
        <v>-1.1295743862697029E-2</v>
      </c>
      <c r="BB304" s="2419">
        <v>0.03</v>
      </c>
      <c r="BC304" s="2216">
        <v>0.06</v>
      </c>
      <c r="BD304" s="2415"/>
      <c r="BE304" s="2415"/>
      <c r="BF304" s="2415"/>
      <c r="BG304" s="2415"/>
      <c r="BH304" s="2415"/>
      <c r="BI304" s="2415"/>
      <c r="BJ304" s="2415"/>
      <c r="BK304" s="2415"/>
      <c r="BL304" s="2415"/>
      <c r="BM304" s="2415"/>
      <c r="BN304" s="2415"/>
      <c r="BO304" s="2415"/>
      <c r="BP304" s="2415"/>
      <c r="BQ304" s="2415"/>
      <c r="BR304" s="2415"/>
      <c r="BS304" s="2415"/>
    </row>
    <row r="305" spans="1:71" s="1953" customFormat="1" x14ac:dyDescent="0.3">
      <c r="A305" s="2042"/>
      <c r="B305" s="2238"/>
      <c r="C305" s="1972"/>
      <c r="D305" s="1972"/>
      <c r="E305" s="1972"/>
      <c r="F305" s="1972"/>
      <c r="G305" s="1972"/>
      <c r="H305" s="1972"/>
      <c r="I305" s="1972"/>
      <c r="J305" s="1973"/>
      <c r="K305" s="1973"/>
      <c r="L305" s="1973"/>
      <c r="M305" s="1973"/>
      <c r="N305" s="1973"/>
      <c r="O305" s="1973"/>
      <c r="P305" s="1973"/>
      <c r="Q305" s="1973"/>
      <c r="R305" s="1973"/>
      <c r="S305" s="2293"/>
      <c r="T305" s="2293"/>
      <c r="U305" s="2293"/>
      <c r="V305" s="2293"/>
      <c r="W305" s="2293"/>
      <c r="X305" s="2293"/>
      <c r="Y305" s="2293"/>
      <c r="Z305" s="2293"/>
      <c r="AA305" s="2293"/>
      <c r="AB305" s="2293"/>
      <c r="AC305" s="2293"/>
      <c r="AD305" s="2293"/>
      <c r="AE305" s="2293"/>
      <c r="AF305" s="2293"/>
      <c r="AG305" s="2293"/>
      <c r="AH305" s="2293"/>
      <c r="AI305" s="2293"/>
      <c r="AJ305" s="2293"/>
      <c r="AK305" s="2293"/>
      <c r="AL305" s="2293"/>
      <c r="AM305" s="2293"/>
      <c r="AN305" s="2293"/>
      <c r="AO305" s="2293"/>
      <c r="AP305" s="2293"/>
      <c r="AQ305" s="2294"/>
      <c r="AR305" s="2293"/>
      <c r="AS305" s="2295"/>
      <c r="AT305" s="2296"/>
      <c r="AU305" s="2297"/>
      <c r="AV305" s="2298"/>
      <c r="AW305" s="2299"/>
      <c r="AX305" s="2300"/>
      <c r="AY305" s="2299"/>
      <c r="AZ305" s="2299"/>
      <c r="BA305" s="2301"/>
      <c r="BB305" s="2300"/>
      <c r="BC305" s="2301"/>
    </row>
    <row r="306" spans="1:71" s="1969" customFormat="1" ht="12.75" x14ac:dyDescent="0.35">
      <c r="A306" s="2042"/>
      <c r="B306" s="1962" t="s">
        <v>1025</v>
      </c>
      <c r="C306" s="2420"/>
      <c r="D306" s="2420"/>
      <c r="E306" s="2420"/>
      <c r="F306" s="2420"/>
      <c r="G306" s="2420"/>
      <c r="H306" s="2420"/>
      <c r="I306" s="2420"/>
      <c r="J306" s="2421"/>
      <c r="K306" s="2421"/>
      <c r="L306" s="2421"/>
      <c r="M306" s="2421"/>
      <c r="N306" s="2421"/>
      <c r="O306" s="2421">
        <v>410</v>
      </c>
      <c r="P306" s="2421">
        <v>393</v>
      </c>
      <c r="Q306" s="2421">
        <f>U306/(1+61%)</f>
        <v>524.84472049689441</v>
      </c>
      <c r="R306" s="2421">
        <v>489</v>
      </c>
      <c r="S306" s="1965">
        <v>535</v>
      </c>
      <c r="T306" s="1965">
        <v>698</v>
      </c>
      <c r="U306" s="1965">
        <v>845</v>
      </c>
      <c r="V306" s="1965">
        <v>919</v>
      </c>
      <c r="W306" s="1965">
        <v>645</v>
      </c>
      <c r="X306" s="1965">
        <v>887</v>
      </c>
      <c r="Y306" s="1965">
        <v>772</v>
      </c>
      <c r="Z306" s="1965">
        <v>988</v>
      </c>
      <c r="AA306" s="1965">
        <v>1059</v>
      </c>
      <c r="AB306" s="1965">
        <v>1066</v>
      </c>
      <c r="AC306" s="1965">
        <v>1333</v>
      </c>
      <c r="AD306" s="1965">
        <v>1207</v>
      </c>
      <c r="AE306" s="1965">
        <v>1167</v>
      </c>
      <c r="AF306" s="1965">
        <v>1210</v>
      </c>
      <c r="AG306" s="1965">
        <v>1864</v>
      </c>
      <c r="AH306" s="1965">
        <v>2288</v>
      </c>
      <c r="AI306" s="1965">
        <v>1094</v>
      </c>
      <c r="AJ306" s="1965">
        <f t="shared" ref="AJ306:AP306" si="304">AF306*(1+AJ468)</f>
        <v>968</v>
      </c>
      <c r="AK306" s="1965">
        <f t="shared" si="304"/>
        <v>1304.8</v>
      </c>
      <c r="AL306" s="1965">
        <f t="shared" si="304"/>
        <v>1144</v>
      </c>
      <c r="AM306" s="1965">
        <f t="shared" si="304"/>
        <v>1258.0999999999999</v>
      </c>
      <c r="AN306" s="1965">
        <f t="shared" si="304"/>
        <v>1093.8399999999999</v>
      </c>
      <c r="AO306" s="1965">
        <f t="shared" si="304"/>
        <v>1487.4720000000002</v>
      </c>
      <c r="AP306" s="1965">
        <f t="shared" si="304"/>
        <v>1304.1600000000001</v>
      </c>
      <c r="AQ306" s="1964"/>
      <c r="AR306" s="1965"/>
      <c r="AS306" s="1966"/>
      <c r="AT306" s="1967"/>
      <c r="AU306" s="1968">
        <f t="shared" ref="AU306:AU311" si="305">SUM(O306:R306)</f>
        <v>1816.8447204968943</v>
      </c>
      <c r="AV306" s="1963">
        <f t="shared" ref="AV306:AV311" si="306">SUM(S306:V306)</f>
        <v>2997</v>
      </c>
      <c r="AW306" s="1963">
        <f>SUM(W306:Z306)</f>
        <v>3292</v>
      </c>
      <c r="AX306" s="1968">
        <f>SUM(AA306:AD306)</f>
        <v>4665</v>
      </c>
      <c r="AY306" s="1963">
        <f>SUM(AE306:AH306)</f>
        <v>6529</v>
      </c>
      <c r="AZ306" s="1963">
        <f>SUM(AI306:AL306)</f>
        <v>4510.8</v>
      </c>
      <c r="BA306" s="1967">
        <f>SUM(AM306:AP306)</f>
        <v>5143.5720000000001</v>
      </c>
      <c r="BB306" s="1968">
        <f>BA306*(1+BB468)</f>
        <v>5555.0577600000006</v>
      </c>
      <c r="BC306" s="1967">
        <f>BB306*(1+BC468)</f>
        <v>5999.4623808000015</v>
      </c>
    </row>
    <row r="307" spans="1:71" s="1999" customFormat="1" x14ac:dyDescent="0.3">
      <c r="A307" s="2042"/>
      <c r="B307" s="1980" t="s">
        <v>984</v>
      </c>
      <c r="C307" s="2058"/>
      <c r="D307" s="2058"/>
      <c r="E307" s="2058"/>
      <c r="F307" s="2058"/>
      <c r="G307" s="2058"/>
      <c r="H307" s="2058"/>
      <c r="I307" s="2058"/>
      <c r="J307" s="1992"/>
      <c r="K307" s="1992"/>
      <c r="L307" s="1992"/>
      <c r="M307" s="1992"/>
      <c r="N307" s="1992"/>
      <c r="O307" s="1992">
        <v>-1434</v>
      </c>
      <c r="P307" s="1992">
        <v>-1448</v>
      </c>
      <c r="Q307" s="1992">
        <v>-2363</v>
      </c>
      <c r="R307" s="1992">
        <v>-1971</v>
      </c>
      <c r="S307" s="1994">
        <v>-1572</v>
      </c>
      <c r="T307" s="1994">
        <v>-1888</v>
      </c>
      <c r="U307" s="1994">
        <v>-1450</v>
      </c>
      <c r="V307" s="1994">
        <v>-1888</v>
      </c>
      <c r="W307" s="1994">
        <v>-1612</v>
      </c>
      <c r="X307" s="1994">
        <v>-1456</v>
      </c>
      <c r="Y307" s="1994">
        <f t="shared" ref="Y307:AP307" si="307">Y310-Y308-Y309</f>
        <v>-1814</v>
      </c>
      <c r="Z307" s="1994">
        <f t="shared" si="307"/>
        <v>-2019</v>
      </c>
      <c r="AA307" s="1994">
        <f t="shared" si="307"/>
        <v>-3775</v>
      </c>
      <c r="AB307" s="1994">
        <f t="shared" si="307"/>
        <v>-2201</v>
      </c>
      <c r="AC307" s="1994">
        <f t="shared" si="307"/>
        <v>-2549</v>
      </c>
      <c r="AD307" s="1994">
        <f t="shared" si="307"/>
        <v>-3270</v>
      </c>
      <c r="AE307" s="1994">
        <f t="shared" si="307"/>
        <v>-2877</v>
      </c>
      <c r="AF307" s="1994">
        <f t="shared" si="307"/>
        <v>-3073</v>
      </c>
      <c r="AG307" s="1994">
        <f t="shared" si="307"/>
        <v>-2856</v>
      </c>
      <c r="AH307" s="1994">
        <f t="shared" si="307"/>
        <v>-4022</v>
      </c>
      <c r="AI307" s="1994">
        <f t="shared" si="307"/>
        <v>-3565</v>
      </c>
      <c r="AJ307" s="1994">
        <f t="shared" si="307"/>
        <v>-3635.8</v>
      </c>
      <c r="AK307" s="1994">
        <f t="shared" si="307"/>
        <v>-4035.1899999999996</v>
      </c>
      <c r="AL307" s="1994">
        <f t="shared" si="307"/>
        <v>-3865.8</v>
      </c>
      <c r="AM307" s="1994">
        <f t="shared" si="307"/>
        <v>-3418.0499999999997</v>
      </c>
      <c r="AN307" s="1994">
        <f t="shared" si="307"/>
        <v>-3463.12</v>
      </c>
      <c r="AO307" s="1994">
        <f t="shared" si="307"/>
        <v>-3762.1571000000004</v>
      </c>
      <c r="AP307" s="1994">
        <f t="shared" si="307"/>
        <v>-3663.26</v>
      </c>
      <c r="AQ307" s="1993"/>
      <c r="AR307" s="1994"/>
      <c r="AS307" s="1995"/>
      <c r="AT307" s="2023"/>
      <c r="AU307" s="2024">
        <f t="shared" si="305"/>
        <v>-7216</v>
      </c>
      <c r="AV307" s="2025">
        <f t="shared" si="306"/>
        <v>-6798</v>
      </c>
      <c r="AW307" s="2025">
        <f>SUM(W307:Z307)</f>
        <v>-6901</v>
      </c>
      <c r="AX307" s="2024">
        <f t="shared" ref="AX307:BC307" si="308">AX310-AX308-AX309</f>
        <v>-11795</v>
      </c>
      <c r="AY307" s="2025">
        <f t="shared" si="308"/>
        <v>-12828</v>
      </c>
      <c r="AZ307" s="1994">
        <f t="shared" si="308"/>
        <v>-15101.789999999999</v>
      </c>
      <c r="BA307" s="2023">
        <f t="shared" si="308"/>
        <v>-14306.587099999999</v>
      </c>
      <c r="BB307" s="2024">
        <f t="shared" si="308"/>
        <v>-12865.371015000002</v>
      </c>
      <c r="BC307" s="2023">
        <f t="shared" si="308"/>
        <v>-10758.885974550001</v>
      </c>
    </row>
    <row r="308" spans="1:71" s="1953" customFormat="1" x14ac:dyDescent="0.3">
      <c r="A308" s="2042"/>
      <c r="B308" s="2238" t="s">
        <v>985</v>
      </c>
      <c r="C308" s="1972"/>
      <c r="D308" s="1972"/>
      <c r="E308" s="1972"/>
      <c r="F308" s="1972"/>
      <c r="G308" s="1972"/>
      <c r="H308" s="1972"/>
      <c r="I308" s="1972"/>
      <c r="J308" s="1973"/>
      <c r="K308" s="1973"/>
      <c r="L308" s="1973"/>
      <c r="M308" s="1973"/>
      <c r="N308" s="1973"/>
      <c r="O308" s="1973">
        <v>651</v>
      </c>
      <c r="P308" s="1973">
        <v>423</v>
      </c>
      <c r="Q308" s="1973">
        <v>1237</v>
      </c>
      <c r="R308" s="1973">
        <v>781</v>
      </c>
      <c r="S308" s="1974">
        <v>520</v>
      </c>
      <c r="T308" s="1974">
        <v>952</v>
      </c>
      <c r="U308" s="1974">
        <v>502</v>
      </c>
      <c r="V308" s="1974">
        <v>1043</v>
      </c>
      <c r="W308" s="1974">
        <v>816</v>
      </c>
      <c r="X308" s="1974">
        <v>930</v>
      </c>
      <c r="Y308" s="1974">
        <f>2554-X308-W308</f>
        <v>808</v>
      </c>
      <c r="Z308" s="1974">
        <v>1153</v>
      </c>
      <c r="AA308" s="1974">
        <v>2564</v>
      </c>
      <c r="AB308" s="1974">
        <v>952</v>
      </c>
      <c r="AC308" s="1974">
        <v>940</v>
      </c>
      <c r="AD308" s="1974">
        <v>1318</v>
      </c>
      <c r="AE308" s="1974">
        <v>990</v>
      </c>
      <c r="AF308" s="1974">
        <v>1136</v>
      </c>
      <c r="AG308" s="1974">
        <v>963</v>
      </c>
      <c r="AH308" s="1974">
        <v>936</v>
      </c>
      <c r="AI308" s="1974">
        <v>837</v>
      </c>
      <c r="AJ308" s="1974">
        <f t="shared" ref="AJ308:AP308" si="309">AF308*1.05</f>
        <v>1192.8</v>
      </c>
      <c r="AK308" s="1974">
        <f t="shared" si="309"/>
        <v>1011.1500000000001</v>
      </c>
      <c r="AL308" s="1974">
        <f t="shared" si="309"/>
        <v>982.80000000000007</v>
      </c>
      <c r="AM308" s="1974">
        <f t="shared" si="309"/>
        <v>878.85</v>
      </c>
      <c r="AN308" s="1974">
        <f t="shared" si="309"/>
        <v>1252.44</v>
      </c>
      <c r="AO308" s="1974">
        <f t="shared" si="309"/>
        <v>1061.7075000000002</v>
      </c>
      <c r="AP308" s="1974">
        <f t="shared" si="309"/>
        <v>1031.94</v>
      </c>
      <c r="AQ308" s="1993"/>
      <c r="AR308" s="1974"/>
      <c r="AS308" s="1974"/>
      <c r="AT308" s="2023"/>
      <c r="AU308" s="1978">
        <f t="shared" si="305"/>
        <v>3092</v>
      </c>
      <c r="AV308" s="1979">
        <f t="shared" si="306"/>
        <v>3017</v>
      </c>
      <c r="AW308" s="1979">
        <f>SUM(W308:Z308)</f>
        <v>3707</v>
      </c>
      <c r="AX308" s="1978">
        <f>SUM(AA308:AD308)</f>
        <v>5774</v>
      </c>
      <c r="AY308" s="1979">
        <f>SUM(AE308:AH308)</f>
        <v>4025</v>
      </c>
      <c r="AZ308" s="1979">
        <f>SUM(AI308:AL308)</f>
        <v>4023.75</v>
      </c>
      <c r="BA308" s="1977">
        <f>SUM(AM308:AP308)</f>
        <v>4224.9375</v>
      </c>
      <c r="BB308" s="1978">
        <f>BA308*1.05</f>
        <v>4436.1843749999998</v>
      </c>
      <c r="BC308" s="1977">
        <f>BB308*1.05</f>
        <v>4657.9935937500004</v>
      </c>
    </row>
    <row r="309" spans="1:71" s="1953" customFormat="1" x14ac:dyDescent="0.3">
      <c r="A309" s="2042"/>
      <c r="B309" s="2238" t="s">
        <v>986</v>
      </c>
      <c r="C309" s="1972"/>
      <c r="D309" s="1972"/>
      <c r="E309" s="1972"/>
      <c r="F309" s="1972"/>
      <c r="G309" s="1972"/>
      <c r="H309" s="1972"/>
      <c r="I309" s="1972"/>
      <c r="J309" s="1973"/>
      <c r="K309" s="1973"/>
      <c r="L309" s="1973"/>
      <c r="M309" s="1973"/>
      <c r="N309" s="1973"/>
      <c r="O309" s="1973">
        <v>163</v>
      </c>
      <c r="P309" s="1973">
        <v>164</v>
      </c>
      <c r="Q309" s="1973">
        <v>165</v>
      </c>
      <c r="R309" s="1973">
        <v>165</v>
      </c>
      <c r="S309" s="1974">
        <v>165</v>
      </c>
      <c r="T309" s="1974">
        <v>165</v>
      </c>
      <c r="U309" s="1974">
        <v>163</v>
      </c>
      <c r="V309" s="1974">
        <v>163</v>
      </c>
      <c r="W309" s="1974">
        <v>162</v>
      </c>
      <c r="X309" s="1974">
        <v>30</v>
      </c>
      <c r="Y309" s="1974">
        <f>192-X309-W309</f>
        <v>0</v>
      </c>
      <c r="Z309" s="1974">
        <v>6</v>
      </c>
      <c r="AA309" s="1974">
        <v>9</v>
      </c>
      <c r="AB309" s="1974">
        <v>8</v>
      </c>
      <c r="AC309" s="1974">
        <v>13</v>
      </c>
      <c r="AD309" s="1974">
        <v>20</v>
      </c>
      <c r="AE309" s="1974">
        <v>20</v>
      </c>
      <c r="AF309" s="1974">
        <v>20</v>
      </c>
      <c r="AG309" s="1974">
        <v>23</v>
      </c>
      <c r="AH309" s="1974">
        <v>23</v>
      </c>
      <c r="AI309" s="1974">
        <v>23</v>
      </c>
      <c r="AJ309" s="1974">
        <f t="shared" ref="AJ309:AP309" si="310">AI309</f>
        <v>23</v>
      </c>
      <c r="AK309" s="1974">
        <f t="shared" si="310"/>
        <v>23</v>
      </c>
      <c r="AL309" s="1974">
        <f t="shared" si="310"/>
        <v>23</v>
      </c>
      <c r="AM309" s="1974">
        <f t="shared" si="310"/>
        <v>23</v>
      </c>
      <c r="AN309" s="1974">
        <f t="shared" si="310"/>
        <v>23</v>
      </c>
      <c r="AO309" s="1974">
        <f t="shared" si="310"/>
        <v>23</v>
      </c>
      <c r="AP309" s="1974">
        <f t="shared" si="310"/>
        <v>23</v>
      </c>
      <c r="AQ309" s="1976"/>
      <c r="AR309" s="1974"/>
      <c r="AS309" s="1948"/>
      <c r="AT309" s="1977"/>
      <c r="AU309" s="1978">
        <f t="shared" si="305"/>
        <v>657</v>
      </c>
      <c r="AV309" s="1979">
        <f t="shared" si="306"/>
        <v>656</v>
      </c>
      <c r="AW309" s="1979">
        <f>SUM(W309:Z309)</f>
        <v>198</v>
      </c>
      <c r="AX309" s="1978">
        <f>SUM(AA309:AD309)</f>
        <v>50</v>
      </c>
      <c r="AY309" s="1979">
        <f>SUM(AE309:AH309)</f>
        <v>86</v>
      </c>
      <c r="AZ309" s="1979">
        <f>SUM(AI309:AL309)</f>
        <v>92</v>
      </c>
      <c r="BA309" s="1977">
        <f>SUM(AM309:AP309)</f>
        <v>92</v>
      </c>
      <c r="BB309" s="1978">
        <f>BA309*1.05</f>
        <v>96.600000000000009</v>
      </c>
      <c r="BC309" s="1977">
        <f>BB309*1.05</f>
        <v>101.43</v>
      </c>
    </row>
    <row r="310" spans="1:71" s="1999" customFormat="1" x14ac:dyDescent="0.3">
      <c r="A310" s="2042"/>
      <c r="B310" s="1980" t="s">
        <v>987</v>
      </c>
      <c r="C310" s="2058"/>
      <c r="D310" s="2058"/>
      <c r="E310" s="2058"/>
      <c r="F310" s="2058"/>
      <c r="G310" s="2058"/>
      <c r="H310" s="2058"/>
      <c r="I310" s="2058"/>
      <c r="J310" s="1992"/>
      <c r="K310" s="1992"/>
      <c r="L310" s="1992"/>
      <c r="M310" s="1992"/>
      <c r="N310" s="1992"/>
      <c r="O310" s="1992">
        <f t="shared" ref="O310:X310" si="311">SUM(O307:O309)</f>
        <v>-620</v>
      </c>
      <c r="P310" s="1992">
        <f t="shared" si="311"/>
        <v>-861</v>
      </c>
      <c r="Q310" s="1992">
        <f t="shared" si="311"/>
        <v>-961</v>
      </c>
      <c r="R310" s="1992">
        <f t="shared" si="311"/>
        <v>-1025</v>
      </c>
      <c r="S310" s="1994">
        <f t="shared" si="311"/>
        <v>-887</v>
      </c>
      <c r="T310" s="1994">
        <f t="shared" si="311"/>
        <v>-771</v>
      </c>
      <c r="U310" s="1994">
        <f t="shared" si="311"/>
        <v>-785</v>
      </c>
      <c r="V310" s="1994">
        <f t="shared" si="311"/>
        <v>-682</v>
      </c>
      <c r="W310" s="1994">
        <f t="shared" si="311"/>
        <v>-634</v>
      </c>
      <c r="X310" s="1994">
        <f t="shared" si="311"/>
        <v>-496</v>
      </c>
      <c r="Y310" s="1994">
        <v>-1006</v>
      </c>
      <c r="Z310" s="1994">
        <v>-860</v>
      </c>
      <c r="AA310" s="1994">
        <v>-1202</v>
      </c>
      <c r="AB310" s="1994">
        <v>-1241</v>
      </c>
      <c r="AC310" s="1994">
        <v>-1596</v>
      </c>
      <c r="AD310" s="1994">
        <v>-1932</v>
      </c>
      <c r="AE310" s="1994">
        <v>-1867</v>
      </c>
      <c r="AF310" s="1994">
        <v>-1917</v>
      </c>
      <c r="AG310" s="1994">
        <v>-1870</v>
      </c>
      <c r="AH310" s="1994">
        <v>-3063</v>
      </c>
      <c r="AI310" s="1994">
        <v>-2705</v>
      </c>
      <c r="AJ310" s="1994">
        <f t="shared" ref="AJ310:AP310" si="312">AJ312*AJ306</f>
        <v>-2420</v>
      </c>
      <c r="AK310" s="1994">
        <f t="shared" si="312"/>
        <v>-3001.0399999999995</v>
      </c>
      <c r="AL310" s="1994">
        <f t="shared" si="312"/>
        <v>-2860</v>
      </c>
      <c r="AM310" s="1994">
        <f t="shared" si="312"/>
        <v>-2516.1999999999998</v>
      </c>
      <c r="AN310" s="1994">
        <f t="shared" si="312"/>
        <v>-2187.6799999999998</v>
      </c>
      <c r="AO310" s="1994">
        <f t="shared" si="312"/>
        <v>-2677.4496000000004</v>
      </c>
      <c r="AP310" s="1994">
        <f t="shared" si="312"/>
        <v>-2608.3200000000002</v>
      </c>
      <c r="AQ310" s="1993"/>
      <c r="AR310" s="1994"/>
      <c r="AS310" s="1995"/>
      <c r="AT310" s="2023"/>
      <c r="AU310" s="2024">
        <f t="shared" si="305"/>
        <v>-3467</v>
      </c>
      <c r="AV310" s="2025">
        <f t="shared" si="306"/>
        <v>-3125</v>
      </c>
      <c r="AW310" s="2025">
        <f>SUM(W310:Z310)</f>
        <v>-2996</v>
      </c>
      <c r="AX310" s="2024">
        <f>SUM(AA310:AD310)</f>
        <v>-5971</v>
      </c>
      <c r="AY310" s="2025">
        <f>SUM(AE310:AH310)</f>
        <v>-8717</v>
      </c>
      <c r="AZ310" s="2025">
        <f>SUM(AI310:AL310)</f>
        <v>-10986.039999999999</v>
      </c>
      <c r="BA310" s="2023">
        <f>SUM(AM310:AP310)</f>
        <v>-9989.6495999999988</v>
      </c>
      <c r="BB310" s="2024">
        <f>BB312*BB306</f>
        <v>-8332.5866400000014</v>
      </c>
      <c r="BC310" s="2023">
        <f>BC312*BC306</f>
        <v>-5999.4623808000015</v>
      </c>
    </row>
    <row r="311" spans="1:71" s="1953" customFormat="1" x14ac:dyDescent="0.3">
      <c r="A311" s="2042"/>
      <c r="B311" s="2238" t="s">
        <v>967</v>
      </c>
      <c r="C311" s="1972"/>
      <c r="D311" s="1972"/>
      <c r="E311" s="1972"/>
      <c r="F311" s="1972"/>
      <c r="G311" s="1972"/>
      <c r="H311" s="1972"/>
      <c r="I311" s="1972"/>
      <c r="J311" s="1973"/>
      <c r="K311" s="1973"/>
      <c r="L311" s="1973"/>
      <c r="M311" s="1973"/>
      <c r="N311" s="1973"/>
      <c r="O311" s="1973"/>
      <c r="P311" s="1973">
        <f t="shared" ref="P311:AP311" si="313">P310/P$6</f>
        <v>-135.47108062181383</v>
      </c>
      <c r="Q311" s="1973">
        <f t="shared" si="313"/>
        <v>-148.35283583932815</v>
      </c>
      <c r="R311" s="1973">
        <f t="shared" si="313"/>
        <v>-158.9640198511166</v>
      </c>
      <c r="S311" s="1974">
        <f t="shared" si="313"/>
        <v>-133.46574579816127</v>
      </c>
      <c r="T311" s="1974">
        <f t="shared" si="313"/>
        <v>-115.61820499362676</v>
      </c>
      <c r="U311" s="1974">
        <f t="shared" si="313"/>
        <v>-113.06351721158002</v>
      </c>
      <c r="V311" s="1974">
        <f t="shared" si="313"/>
        <v>-99.081822408182234</v>
      </c>
      <c r="W311" s="1974">
        <f t="shared" si="313"/>
        <v>-93.519979938931741</v>
      </c>
      <c r="X311" s="1974">
        <f t="shared" si="313"/>
        <v>-74.549471690739935</v>
      </c>
      <c r="Y311" s="1974">
        <f t="shared" si="313"/>
        <v>-154.61936891935508</v>
      </c>
      <c r="Z311" s="1974">
        <f t="shared" si="313"/>
        <v>-137.10423110034117</v>
      </c>
      <c r="AA311" s="1974">
        <f t="shared" si="313"/>
        <v>-181.65057200284113</v>
      </c>
      <c r="AB311" s="1974">
        <f t="shared" si="313"/>
        <v>-180.69306930693068</v>
      </c>
      <c r="AC311" s="1974">
        <f t="shared" si="313"/>
        <v>-232.12857246745693</v>
      </c>
      <c r="AD311" s="1974">
        <f t="shared" si="313"/>
        <v>-287.87698176183096</v>
      </c>
      <c r="AE311" s="1974">
        <f t="shared" si="313"/>
        <v>-271.95921340131099</v>
      </c>
      <c r="AF311" s="1974">
        <f t="shared" si="313"/>
        <v>-268.19816164640372</v>
      </c>
      <c r="AG311" s="1974">
        <f t="shared" si="313"/>
        <v>-268.60869315406933</v>
      </c>
      <c r="AH311" s="1974">
        <f t="shared" si="313"/>
        <v>-432.57823974692127</v>
      </c>
      <c r="AI311" s="1974">
        <f t="shared" si="313"/>
        <v>-382.86789995895316</v>
      </c>
      <c r="AJ311" s="1974">
        <f t="shared" si="313"/>
        <v>-345.71428571428572</v>
      </c>
      <c r="AK311" s="1974">
        <f t="shared" si="313"/>
        <v>-422.68169014084503</v>
      </c>
      <c r="AL311" s="1974">
        <f t="shared" si="313"/>
        <v>-397.22222222222223</v>
      </c>
      <c r="AM311" s="1974">
        <f t="shared" si="313"/>
        <v>-349.47222222222217</v>
      </c>
      <c r="AN311" s="1974">
        <f t="shared" si="313"/>
        <v>-303.84444444444443</v>
      </c>
      <c r="AO311" s="1974">
        <f t="shared" si="313"/>
        <v>-371.86800000000005</v>
      </c>
      <c r="AP311" s="1974">
        <f t="shared" si="313"/>
        <v>-362.26666666666671</v>
      </c>
      <c r="AQ311" s="1976"/>
      <c r="AR311" s="1974"/>
      <c r="AS311" s="1948"/>
      <c r="AT311" s="1977"/>
      <c r="AU311" s="1978">
        <f t="shared" si="305"/>
        <v>-442.78793631225858</v>
      </c>
      <c r="AV311" s="1974">
        <f t="shared" si="306"/>
        <v>-461.22929041155027</v>
      </c>
      <c r="AW311" s="1979">
        <f>AW310/AW$6</f>
        <v>-477.63287950770018</v>
      </c>
      <c r="AX311" s="1978">
        <f>SUM(AA311:AD311)</f>
        <v>-882.34919553905968</v>
      </c>
      <c r="AY311" s="1979">
        <f>SUM(AE311:AH311)</f>
        <v>-1241.3443079487054</v>
      </c>
      <c r="AZ311" s="1979">
        <f>SUM(AI311:AL311)</f>
        <v>-1548.486098036306</v>
      </c>
      <c r="BA311" s="1977">
        <f>BA310/BA$6</f>
        <v>-1387.4513333333332</v>
      </c>
      <c r="BB311" s="1978">
        <f>BB310/BB$6</f>
        <v>-1157.3037000000002</v>
      </c>
      <c r="BC311" s="1977">
        <f>BC310/BC$6</f>
        <v>-833.25866400000018</v>
      </c>
    </row>
    <row r="312" spans="1:71" s="2335" customFormat="1" x14ac:dyDescent="0.3">
      <c r="A312" s="1970" t="s">
        <v>1026</v>
      </c>
      <c r="B312" s="2422" t="s">
        <v>968</v>
      </c>
      <c r="C312" s="2423"/>
      <c r="D312" s="2423"/>
      <c r="E312" s="2423"/>
      <c r="F312" s="2423"/>
      <c r="G312" s="2423"/>
      <c r="H312" s="2423"/>
      <c r="I312" s="2423"/>
      <c r="J312" s="2423"/>
      <c r="K312" s="2423"/>
      <c r="L312" s="2423"/>
      <c r="M312" s="2423"/>
      <c r="N312" s="2328"/>
      <c r="O312" s="2328">
        <f t="shared" ref="O312:AI312" si="314">O310/O306</f>
        <v>-1.5121951219512195</v>
      </c>
      <c r="P312" s="2328">
        <f t="shared" si="314"/>
        <v>-2.1908396946564888</v>
      </c>
      <c r="Q312" s="2328">
        <f t="shared" si="314"/>
        <v>-1.83101775147929</v>
      </c>
      <c r="R312" s="2328">
        <f t="shared" si="314"/>
        <v>-2.0961145194274029</v>
      </c>
      <c r="S312" s="2328">
        <f t="shared" si="314"/>
        <v>-1.6579439252336448</v>
      </c>
      <c r="T312" s="2328">
        <f t="shared" si="314"/>
        <v>-1.1045845272206303</v>
      </c>
      <c r="U312" s="2328">
        <f t="shared" si="314"/>
        <v>-0.92899408284023666</v>
      </c>
      <c r="V312" s="2328">
        <f t="shared" si="314"/>
        <v>-0.74211099020674642</v>
      </c>
      <c r="W312" s="2328">
        <f t="shared" si="314"/>
        <v>-0.98294573643410854</v>
      </c>
      <c r="X312" s="2391">
        <f t="shared" si="314"/>
        <v>-0.55918827508455471</v>
      </c>
      <c r="Y312" s="2287">
        <f t="shared" si="314"/>
        <v>-1.3031088082901554</v>
      </c>
      <c r="Z312" s="2287">
        <f t="shared" si="314"/>
        <v>-0.87044534412955465</v>
      </c>
      <c r="AA312" s="2287">
        <f t="shared" si="314"/>
        <v>-1.1350330500472143</v>
      </c>
      <c r="AB312" s="2287">
        <f t="shared" si="314"/>
        <v>-1.1641651031894935</v>
      </c>
      <c r="AC312" s="2287">
        <f t="shared" si="314"/>
        <v>-1.1972993248312078</v>
      </c>
      <c r="AD312" s="2287">
        <f t="shared" si="314"/>
        <v>-1.6006628003314001</v>
      </c>
      <c r="AE312" s="2287">
        <f t="shared" si="314"/>
        <v>-1.5998286203941732</v>
      </c>
      <c r="AF312" s="2287">
        <f t="shared" si="314"/>
        <v>-1.5842975206611569</v>
      </c>
      <c r="AG312" s="2390">
        <f t="shared" si="314"/>
        <v>-1.0032188841201717</v>
      </c>
      <c r="AH312" s="2287">
        <f t="shared" si="314"/>
        <v>-1.3387237762237763</v>
      </c>
      <c r="AI312" s="2287">
        <f t="shared" si="314"/>
        <v>-2.4725776965265083</v>
      </c>
      <c r="AJ312" s="2391">
        <v>-2.5</v>
      </c>
      <c r="AK312" s="2391">
        <v>-2.2999999999999998</v>
      </c>
      <c r="AL312" s="2391">
        <v>-2.5</v>
      </c>
      <c r="AM312" s="2391">
        <v>-2</v>
      </c>
      <c r="AN312" s="2391">
        <v>-2</v>
      </c>
      <c r="AO312" s="2391">
        <v>-1.8</v>
      </c>
      <c r="AP312" s="2391">
        <v>-2</v>
      </c>
      <c r="AQ312" s="2329"/>
      <c r="AR312" s="2328"/>
      <c r="AS312" s="2330"/>
      <c r="AT312" s="2331"/>
      <c r="AU312" s="2369">
        <f t="shared" ref="AU312:BA312" si="315">AU310/AU306</f>
        <v>-1.9082533366152501</v>
      </c>
      <c r="AV312" s="2391">
        <f t="shared" si="315"/>
        <v>-1.0427093760427093</v>
      </c>
      <c r="AW312" s="2391">
        <f t="shared" si="315"/>
        <v>-0.91008505467800727</v>
      </c>
      <c r="AX312" s="2369">
        <f t="shared" si="315"/>
        <v>-1.2799571275455519</v>
      </c>
      <c r="AY312" s="2391">
        <f t="shared" si="315"/>
        <v>-1.3351202328074743</v>
      </c>
      <c r="AZ312" s="2391">
        <f t="shared" si="315"/>
        <v>-2.4354970293517777</v>
      </c>
      <c r="BA312" s="2331">
        <f t="shared" si="315"/>
        <v>-1.9421619061617099</v>
      </c>
      <c r="BB312" s="2369">
        <v>-1.5</v>
      </c>
      <c r="BC312" s="2331">
        <v>-1</v>
      </c>
      <c r="BD312" s="2334"/>
      <c r="BE312" s="2334"/>
      <c r="BF312" s="2334"/>
      <c r="BG312" s="2334"/>
      <c r="BH312" s="2334"/>
      <c r="BI312" s="2334"/>
      <c r="BJ312" s="2334"/>
      <c r="BK312" s="2334"/>
      <c r="BL312" s="2334"/>
      <c r="BM312" s="2334"/>
      <c r="BN312" s="2334"/>
      <c r="BO312" s="2334"/>
      <c r="BP312" s="2334"/>
      <c r="BQ312" s="2334"/>
      <c r="BR312" s="2334"/>
      <c r="BS312" s="2334"/>
    </row>
    <row r="313" spans="1:71" s="2055" customFormat="1" ht="10.15" x14ac:dyDescent="0.3">
      <c r="A313" s="2042"/>
      <c r="B313" s="2424" t="s">
        <v>925</v>
      </c>
      <c r="C313" s="2003">
        <v>63</v>
      </c>
      <c r="D313" s="2003">
        <v>92</v>
      </c>
      <c r="E313" s="2003">
        <v>162</v>
      </c>
      <c r="F313" s="2003">
        <v>223</v>
      </c>
      <c r="G313" s="2003">
        <v>294</v>
      </c>
      <c r="H313" s="2003">
        <v>371</v>
      </c>
      <c r="I313" s="2003">
        <v>524</v>
      </c>
      <c r="J313" s="2003">
        <v>559</v>
      </c>
      <c r="K313" s="2003">
        <v>718</v>
      </c>
      <c r="L313" s="2003">
        <v>1368</v>
      </c>
      <c r="M313" s="2003">
        <v>1919</v>
      </c>
      <c r="N313" s="2003">
        <v>1505</v>
      </c>
      <c r="O313" s="2003">
        <v>1305</v>
      </c>
      <c r="P313" s="2003">
        <v>1373</v>
      </c>
      <c r="Q313" s="2003">
        <v>1786</v>
      </c>
      <c r="R313" s="2003">
        <v>1710</v>
      </c>
      <c r="S313" s="2348" t="s">
        <v>1027</v>
      </c>
      <c r="T313" s="2348" t="s">
        <v>1027</v>
      </c>
      <c r="U313" s="2348" t="s">
        <v>1027</v>
      </c>
      <c r="V313" s="2348" t="s">
        <v>1027</v>
      </c>
      <c r="W313" s="2348"/>
      <c r="X313" s="2348"/>
      <c r="Y313" s="2348"/>
      <c r="Z313" s="2348"/>
      <c r="AA313" s="2348"/>
      <c r="AB313" s="2348"/>
      <c r="AC313" s="2348"/>
      <c r="AD313" s="2348"/>
      <c r="AE313" s="2348"/>
      <c r="AF313" s="2348"/>
      <c r="AG313" s="2348"/>
      <c r="AH313" s="2348"/>
      <c r="AI313" s="2348"/>
      <c r="AJ313" s="2348"/>
      <c r="AK313" s="2348"/>
      <c r="AL313" s="2348"/>
      <c r="AM313" s="2348"/>
      <c r="AN313" s="2348"/>
      <c r="AO313" s="2348"/>
      <c r="AP313" s="2348"/>
      <c r="AQ313" s="2425">
        <v>108</v>
      </c>
      <c r="AR313" s="2426">
        <v>540</v>
      </c>
      <c r="AS313" s="2427">
        <f>SUM(G313:J313)</f>
        <v>1748</v>
      </c>
      <c r="AT313" s="2428">
        <f>SUM(K313:N313)</f>
        <v>5510</v>
      </c>
      <c r="AU313" s="1978">
        <f>SUM(O313:R313)</f>
        <v>6174</v>
      </c>
      <c r="AV313" s="2427" t="s">
        <v>992</v>
      </c>
      <c r="AW313" s="2427" t="s">
        <v>992</v>
      </c>
      <c r="AX313" s="2429" t="s">
        <v>992</v>
      </c>
      <c r="AY313" s="2427" t="s">
        <v>992</v>
      </c>
      <c r="AZ313" s="2427" t="s">
        <v>992</v>
      </c>
      <c r="BA313" s="2430" t="s">
        <v>992</v>
      </c>
      <c r="BB313" s="2429" t="s">
        <v>992</v>
      </c>
      <c r="BC313" s="2430" t="s">
        <v>992</v>
      </c>
    </row>
    <row r="314" spans="1:71" s="1953" customFormat="1" x14ac:dyDescent="0.35">
      <c r="A314" s="2042"/>
      <c r="B314" s="2431"/>
      <c r="C314" s="1973"/>
      <c r="D314" s="1973"/>
      <c r="E314" s="1973"/>
      <c r="F314" s="1973"/>
      <c r="G314" s="1973"/>
      <c r="H314" s="1973"/>
      <c r="I314" s="1973"/>
      <c r="J314" s="1973"/>
      <c r="K314" s="1973"/>
      <c r="L314" s="1973"/>
      <c r="M314" s="1973"/>
      <c r="N314" s="1973"/>
      <c r="O314" s="1973"/>
      <c r="P314" s="1973"/>
      <c r="Q314" s="1973"/>
      <c r="R314" s="1973"/>
      <c r="S314" s="2293"/>
      <c r="T314" s="2293"/>
      <c r="U314" s="2293"/>
      <c r="V314" s="2293"/>
      <c r="W314" s="2293"/>
      <c r="X314" s="2293"/>
      <c r="Y314" s="2293"/>
      <c r="Z314" s="2293"/>
      <c r="AA314" s="2293"/>
      <c r="AB314" s="2293"/>
      <c r="AC314" s="2293"/>
      <c r="AD314" s="2293"/>
      <c r="AE314" s="2293"/>
      <c r="AF314" s="2293"/>
      <c r="AG314" s="2293"/>
      <c r="AH314" s="2293"/>
      <c r="AI314" s="2293"/>
      <c r="AJ314" s="2293"/>
      <c r="AK314" s="2293"/>
      <c r="AL314" s="2293"/>
      <c r="AM314" s="2293"/>
      <c r="AN314" s="2293"/>
      <c r="AO314" s="2293"/>
      <c r="AP314" s="2293"/>
      <c r="AQ314" s="2294"/>
      <c r="AR314" s="2293"/>
      <c r="AS314" s="2295"/>
      <c r="AT314" s="2296"/>
      <c r="AU314" s="2297"/>
      <c r="AV314" s="2432"/>
      <c r="AW314" s="2299"/>
      <c r="AX314" s="2300"/>
      <c r="AY314" s="2299"/>
      <c r="AZ314" s="2299"/>
      <c r="BA314" s="2301"/>
      <c r="BB314" s="2300"/>
      <c r="BC314" s="2301"/>
    </row>
    <row r="315" spans="1:71" s="2055" customFormat="1" x14ac:dyDescent="0.35">
      <c r="A315" s="2042"/>
      <c r="B315" s="2433" t="s">
        <v>1028</v>
      </c>
      <c r="C315" s="2041"/>
      <c r="D315" s="2041"/>
      <c r="E315" s="2041"/>
      <c r="F315" s="2041"/>
      <c r="G315" s="2041"/>
      <c r="H315" s="2041"/>
      <c r="I315" s="2041"/>
      <c r="J315" s="2003"/>
      <c r="K315" s="2003"/>
      <c r="L315" s="2003"/>
      <c r="M315" s="2003"/>
      <c r="N315" s="2003"/>
      <c r="O315" s="2003"/>
      <c r="P315" s="2003"/>
      <c r="Q315" s="2003"/>
      <c r="R315" s="2003"/>
      <c r="S315" s="2434"/>
      <c r="T315" s="2348"/>
      <c r="U315" s="2348"/>
      <c r="V315" s="2348"/>
      <c r="W315" s="2348"/>
      <c r="X315" s="2348"/>
      <c r="Y315" s="2348"/>
      <c r="Z315" s="2348"/>
      <c r="AA315" s="2348"/>
      <c r="AB315" s="2348"/>
      <c r="AC315" s="2348"/>
      <c r="AD315" s="2348"/>
      <c r="AE315" s="2348"/>
      <c r="AF315" s="2348"/>
      <c r="AG315" s="2348"/>
      <c r="AH315" s="2348"/>
      <c r="AI315" s="2348"/>
      <c r="AJ315" s="2348"/>
      <c r="AK315" s="2348"/>
      <c r="AL315" s="2348"/>
      <c r="AM315" s="2348"/>
      <c r="AN315" s="2348"/>
      <c r="AO315" s="2348"/>
      <c r="AP315" s="2348"/>
      <c r="AQ315" s="2347"/>
      <c r="AR315" s="2348"/>
      <c r="AS315" s="2349"/>
      <c r="AT315" s="2350"/>
      <c r="AU315" s="2351"/>
      <c r="AV315" s="2432"/>
      <c r="AW315" s="2427"/>
      <c r="AX315" s="2429"/>
      <c r="AY315" s="2427"/>
      <c r="AZ315" s="2427"/>
      <c r="BA315" s="2430"/>
      <c r="BB315" s="2429"/>
      <c r="BC315" s="2430"/>
    </row>
    <row r="316" spans="1:71" s="2055" customFormat="1" x14ac:dyDescent="0.3">
      <c r="A316" s="2042"/>
      <c r="B316" s="2239" t="s">
        <v>1029</v>
      </c>
      <c r="C316" s="2041"/>
      <c r="D316" s="2041"/>
      <c r="E316" s="2041"/>
      <c r="F316" s="2041"/>
      <c r="G316" s="2041"/>
      <c r="H316" s="2041"/>
      <c r="I316" s="2041"/>
      <c r="J316" s="2003"/>
      <c r="K316" s="2003"/>
      <c r="L316" s="2003"/>
      <c r="M316" s="2003"/>
      <c r="N316" s="2003"/>
      <c r="O316" s="2004">
        <v>-2761</v>
      </c>
      <c r="P316" s="2052">
        <v>-752</v>
      </c>
      <c r="Q316" s="2004">
        <v>-2400</v>
      </c>
      <c r="R316" s="2004">
        <v>-2205</v>
      </c>
      <c r="S316" s="2004">
        <v>-2004</v>
      </c>
      <c r="T316" s="2004">
        <v>-1981</v>
      </c>
      <c r="U316" s="2004">
        <v>-1790</v>
      </c>
      <c r="V316" s="2004">
        <f>V345-V307-V281-V198-V253</f>
        <v>-1989</v>
      </c>
      <c r="W316" s="2004">
        <v>-1763</v>
      </c>
      <c r="X316" s="2004">
        <v>-1716</v>
      </c>
      <c r="Y316" s="2004">
        <f>Y321-Y318-Y317-Y319</f>
        <v>-3008</v>
      </c>
      <c r="Z316" s="2004">
        <f t="shared" ref="Z316:AP316" si="316">Z321-Z318-Z317</f>
        <v>-2816</v>
      </c>
      <c r="AA316" s="2004">
        <f t="shared" si="316"/>
        <v>-4863</v>
      </c>
      <c r="AB316" s="2004">
        <f t="shared" si="316"/>
        <v>-2618</v>
      </c>
      <c r="AC316" s="2004">
        <f t="shared" si="316"/>
        <v>-2691</v>
      </c>
      <c r="AD316" s="2004">
        <f t="shared" si="316"/>
        <v>-3028</v>
      </c>
      <c r="AE316" s="2004">
        <f t="shared" si="316"/>
        <v>-3006</v>
      </c>
      <c r="AF316" s="2004">
        <f t="shared" si="316"/>
        <v>-2801</v>
      </c>
      <c r="AG316" s="2004">
        <f t="shared" si="316"/>
        <v>-3149</v>
      </c>
      <c r="AH316" s="2004">
        <f t="shared" si="316"/>
        <v>-2765</v>
      </c>
      <c r="AI316" s="2004">
        <f t="shared" si="316"/>
        <v>-3130</v>
      </c>
      <c r="AJ316" s="2004">
        <f t="shared" si="316"/>
        <v>-4776.9648585547129</v>
      </c>
      <c r="AK316" s="2004">
        <f t="shared" si="316"/>
        <v>-3749.8856150050779</v>
      </c>
      <c r="AL316" s="2004">
        <f t="shared" si="316"/>
        <v>-4823.5697167777071</v>
      </c>
      <c r="AM316" s="2004">
        <f t="shared" si="316"/>
        <v>-5691.5945704978294</v>
      </c>
      <c r="AN316" s="2004">
        <f t="shared" si="316"/>
        <v>-5646.782400837008</v>
      </c>
      <c r="AO316" s="2004">
        <f t="shared" si="316"/>
        <v>-6990.9304673981806</v>
      </c>
      <c r="AP316" s="2004">
        <f t="shared" si="316"/>
        <v>-5670.2745399431096</v>
      </c>
      <c r="AQ316" s="2194"/>
      <c r="AR316" s="2004"/>
      <c r="AS316" s="2435"/>
      <c r="AT316" s="2436"/>
      <c r="AU316" s="1978">
        <f>SUM(O316:R316)</f>
        <v>-8118</v>
      </c>
      <c r="AV316" s="2435">
        <f>SUM(S316:V316)</f>
        <v>-7764</v>
      </c>
      <c r="AW316" s="2435">
        <f>SUM(W316:Z316)</f>
        <v>-9303</v>
      </c>
      <c r="AX316" s="2437">
        <f>SUM(AA316:AD316)</f>
        <v>-13200</v>
      </c>
      <c r="AY316" s="2435">
        <f>SUM(AE316:AH316)</f>
        <v>-11721</v>
      </c>
      <c r="AZ316" s="2435">
        <f>AZ321-AZ318-AZ317</f>
        <v>-16480.4201903375</v>
      </c>
      <c r="BA316" s="2438">
        <f>BA321-BA318-BA317</f>
        <v>-23999.581978676131</v>
      </c>
      <c r="BB316" s="2437">
        <f>BB321-BB318-BB317</f>
        <v>-23631.419576083052</v>
      </c>
      <c r="BC316" s="2438">
        <f>BC321-BC318-BC317</f>
        <v>-26270.148299732817</v>
      </c>
    </row>
    <row r="317" spans="1:71" s="2055" customFormat="1" x14ac:dyDescent="0.3">
      <c r="A317" s="2042"/>
      <c r="B317" s="2239" t="s">
        <v>985</v>
      </c>
      <c r="C317" s="2041"/>
      <c r="D317" s="2041"/>
      <c r="E317" s="2041"/>
      <c r="F317" s="2041"/>
      <c r="G317" s="2041"/>
      <c r="H317" s="2041"/>
      <c r="I317" s="2041"/>
      <c r="J317" s="2003"/>
      <c r="K317" s="2003"/>
      <c r="L317" s="2003"/>
      <c r="M317" s="2003"/>
      <c r="N317" s="2003"/>
      <c r="O317" s="2004">
        <v>2009</v>
      </c>
      <c r="P317" s="2052">
        <v>285</v>
      </c>
      <c r="Q317" s="2004">
        <v>907</v>
      </c>
      <c r="R317" s="2004">
        <v>1235</v>
      </c>
      <c r="S317" s="2004">
        <v>1104</v>
      </c>
      <c r="T317" s="2004">
        <v>1130</v>
      </c>
      <c r="U317" s="2004">
        <v>1062</v>
      </c>
      <c r="V317" s="2004">
        <v>1033</v>
      </c>
      <c r="W317" s="2004">
        <v>713</v>
      </c>
      <c r="X317" s="2004">
        <v>644</v>
      </c>
      <c r="Y317" s="2004">
        <f>2320-X317-W317</f>
        <v>963</v>
      </c>
      <c r="Z317" s="2004">
        <v>1166</v>
      </c>
      <c r="AA317" s="2004">
        <v>3320</v>
      </c>
      <c r="AB317" s="2004">
        <v>1161</v>
      </c>
      <c r="AC317" s="2004">
        <v>1044</v>
      </c>
      <c r="AD317" s="2004">
        <v>1178</v>
      </c>
      <c r="AE317" s="2004">
        <v>1047</v>
      </c>
      <c r="AF317" s="2004">
        <v>918</v>
      </c>
      <c r="AG317" s="2004">
        <v>1212</v>
      </c>
      <c r="AH317" s="2004">
        <v>1067</v>
      </c>
      <c r="AI317" s="2004">
        <v>1576</v>
      </c>
      <c r="AJ317" s="2004">
        <f t="shared" ref="AJ317:AP317" si="317">AI317*1.01</f>
        <v>1591.76</v>
      </c>
      <c r="AK317" s="2004">
        <f t="shared" si="317"/>
        <v>1607.6776</v>
      </c>
      <c r="AL317" s="2004">
        <f t="shared" si="317"/>
        <v>1623.7543760000001</v>
      </c>
      <c r="AM317" s="2004">
        <f t="shared" si="317"/>
        <v>1639.9919197600002</v>
      </c>
      <c r="AN317" s="2004">
        <f t="shared" si="317"/>
        <v>1656.3918389576002</v>
      </c>
      <c r="AO317" s="2004">
        <f t="shared" si="317"/>
        <v>1672.9557573471761</v>
      </c>
      <c r="AP317" s="2004">
        <f t="shared" si="317"/>
        <v>1689.6853149206479</v>
      </c>
      <c r="AQ317" s="2194"/>
      <c r="AR317" s="2004"/>
      <c r="AS317" s="2435"/>
      <c r="AT317" s="2436"/>
      <c r="AU317" s="1978">
        <f>SUM(O317:R317)</f>
        <v>4436</v>
      </c>
      <c r="AV317" s="2435">
        <f>SUM(S317:V317)</f>
        <v>4329</v>
      </c>
      <c r="AW317" s="2435">
        <f>SUM(W317:Z317)</f>
        <v>3486</v>
      </c>
      <c r="AX317" s="2437">
        <f>SUM(AA317:AD317)</f>
        <v>6703</v>
      </c>
      <c r="AY317" s="2435">
        <f>SUM(AE317:AH317)</f>
        <v>4244</v>
      </c>
      <c r="AZ317" s="2435">
        <f>SUM(AI317:AL317)</f>
        <v>6399.1919760000001</v>
      </c>
      <c r="BA317" s="2438">
        <f>SUM(AM317:AP317)</f>
        <v>6659.0248309854242</v>
      </c>
      <c r="BB317" s="2437">
        <v>4501</v>
      </c>
      <c r="BC317" s="2438">
        <v>4502</v>
      </c>
    </row>
    <row r="318" spans="1:71" s="2055" customFormat="1" x14ac:dyDescent="0.3">
      <c r="A318" s="2042"/>
      <c r="B318" s="2239" t="s">
        <v>986</v>
      </c>
      <c r="C318" s="2041"/>
      <c r="D318" s="2041"/>
      <c r="E318" s="2041"/>
      <c r="F318" s="2041"/>
      <c r="G318" s="2041"/>
      <c r="H318" s="2041"/>
      <c r="I318" s="2041"/>
      <c r="J318" s="2003"/>
      <c r="K318" s="2003"/>
      <c r="L318" s="2003"/>
      <c r="M318" s="2003"/>
      <c r="N318" s="2003"/>
      <c r="O318" s="2004">
        <v>63</v>
      </c>
      <c r="P318" s="2052">
        <v>76</v>
      </c>
      <c r="Q318" s="2004">
        <v>74</v>
      </c>
      <c r="R318" s="2004">
        <v>77</v>
      </c>
      <c r="S318" s="2004">
        <v>76</v>
      </c>
      <c r="T318" s="2004">
        <v>77</v>
      </c>
      <c r="U318" s="2004">
        <v>75</v>
      </c>
      <c r="V318" s="2004">
        <v>90</v>
      </c>
      <c r="W318" s="2004">
        <v>83</v>
      </c>
      <c r="X318" s="2004">
        <v>83</v>
      </c>
      <c r="Y318" s="2004">
        <f>249-X318-W318</f>
        <v>83</v>
      </c>
      <c r="Z318" s="2004">
        <v>77</v>
      </c>
      <c r="AA318" s="2004">
        <v>70</v>
      </c>
      <c r="AB318" s="2004">
        <v>80</v>
      </c>
      <c r="AC318" s="2004">
        <v>39</v>
      </c>
      <c r="AD318" s="2004">
        <v>47</v>
      </c>
      <c r="AE318" s="2004">
        <v>46</v>
      </c>
      <c r="AF318" s="2004">
        <v>45</v>
      </c>
      <c r="AG318" s="2004">
        <v>48</v>
      </c>
      <c r="AH318" s="2004">
        <v>19</v>
      </c>
      <c r="AI318" s="2004">
        <v>57</v>
      </c>
      <c r="AJ318" s="2004">
        <f t="shared" ref="AJ318:AP318" si="318">AF318*1.1</f>
        <v>49.500000000000007</v>
      </c>
      <c r="AK318" s="2004">
        <f t="shared" si="318"/>
        <v>52.800000000000004</v>
      </c>
      <c r="AL318" s="2004">
        <f t="shared" si="318"/>
        <v>20.900000000000002</v>
      </c>
      <c r="AM318" s="2004">
        <f t="shared" si="318"/>
        <v>62.7</v>
      </c>
      <c r="AN318" s="2004">
        <f t="shared" si="318"/>
        <v>54.45000000000001</v>
      </c>
      <c r="AO318" s="2004">
        <f t="shared" si="318"/>
        <v>58.080000000000013</v>
      </c>
      <c r="AP318" s="2004">
        <f t="shared" si="318"/>
        <v>22.990000000000006</v>
      </c>
      <c r="AQ318" s="2194"/>
      <c r="AR318" s="2004"/>
      <c r="AS318" s="2435"/>
      <c r="AT318" s="2436"/>
      <c r="AU318" s="1978">
        <f>SUM(O318:R318)</f>
        <v>290</v>
      </c>
      <c r="AV318" s="2435">
        <f>SUM(S318:V318)</f>
        <v>318</v>
      </c>
      <c r="AW318" s="2435">
        <f>SUM(W318:Z318)</f>
        <v>326</v>
      </c>
      <c r="AX318" s="2437">
        <f>SUM(AA318:AD318)</f>
        <v>236</v>
      </c>
      <c r="AY318" s="2435">
        <f>SUM(AE318:AH318)</f>
        <v>158</v>
      </c>
      <c r="AZ318" s="2435">
        <f>SUM(AI318:AL318)</f>
        <v>180.20000000000002</v>
      </c>
      <c r="BA318" s="2438">
        <f>SUM(AM318:AP318)</f>
        <v>198.22000000000003</v>
      </c>
      <c r="BB318" s="2437">
        <f>BA318*1.05</f>
        <v>208.13100000000003</v>
      </c>
      <c r="BC318" s="2438">
        <f>BB318*1.05</f>
        <v>218.53755000000004</v>
      </c>
    </row>
    <row r="319" spans="1:71" s="2055" customFormat="1" x14ac:dyDescent="0.3">
      <c r="A319" s="2042"/>
      <c r="B319" s="2239" t="s">
        <v>1030</v>
      </c>
      <c r="C319" s="2041"/>
      <c r="D319" s="2041"/>
      <c r="E319" s="2041"/>
      <c r="F319" s="2041"/>
      <c r="G319" s="2041"/>
      <c r="H319" s="2041"/>
      <c r="I319" s="2041"/>
      <c r="J319" s="2003"/>
      <c r="K319" s="2003"/>
      <c r="L319" s="2003"/>
      <c r="M319" s="2003"/>
      <c r="N319" s="2003"/>
      <c r="O319" s="2003"/>
      <c r="P319" s="2003"/>
      <c r="Q319" s="2003">
        <v>455</v>
      </c>
      <c r="R319" s="2004"/>
      <c r="S319" s="2004"/>
      <c r="T319" s="2004"/>
      <c r="U319" s="2004"/>
      <c r="V319" s="2004"/>
      <c r="W319" s="2004"/>
      <c r="X319" s="2004"/>
      <c r="Y319" s="2004">
        <v>494</v>
      </c>
      <c r="Z319" s="2004"/>
      <c r="AA319" s="2004"/>
      <c r="AB319" s="2004"/>
      <c r="AC319" s="2004"/>
      <c r="AD319" s="2004"/>
      <c r="AE319" s="2004"/>
      <c r="AF319" s="2004"/>
      <c r="AG319" s="2004"/>
      <c r="AH319" s="2004"/>
      <c r="AI319" s="2004"/>
      <c r="AJ319" s="2004"/>
      <c r="AK319" s="2004"/>
      <c r="AL319" s="2004"/>
      <c r="AM319" s="2004"/>
      <c r="AN319" s="2004"/>
      <c r="AO319" s="2004"/>
      <c r="AP319" s="2004"/>
      <c r="AQ319" s="2194"/>
      <c r="AR319" s="2004"/>
      <c r="AS319" s="2435"/>
      <c r="AT319" s="2436"/>
      <c r="AU319" s="1978">
        <f>SUM(O319:R319)</f>
        <v>455</v>
      </c>
      <c r="AV319" s="2435">
        <f>SUM(S319:V319)</f>
        <v>0</v>
      </c>
      <c r="AW319" s="2435">
        <f>SUM(W319:Z319)</f>
        <v>494</v>
      </c>
      <c r="AX319" s="2437">
        <f>SUM(AA319:AD319)</f>
        <v>0</v>
      </c>
      <c r="AY319" s="2435"/>
      <c r="AZ319" s="2435"/>
      <c r="BA319" s="2438"/>
      <c r="BB319" s="2437"/>
      <c r="BC319" s="2438"/>
    </row>
    <row r="320" spans="1:71" s="2055" customFormat="1" x14ac:dyDescent="0.3">
      <c r="A320" s="2042"/>
      <c r="B320" s="2239" t="s">
        <v>1031</v>
      </c>
      <c r="C320" s="2041"/>
      <c r="D320" s="2041"/>
      <c r="E320" s="2041"/>
      <c r="F320" s="2041"/>
      <c r="G320" s="2041"/>
      <c r="H320" s="2041"/>
      <c r="I320" s="2041"/>
      <c r="J320" s="2003"/>
      <c r="K320" s="2003"/>
      <c r="L320" s="2003"/>
      <c r="M320" s="2003"/>
      <c r="N320" s="2003"/>
      <c r="O320" s="2003"/>
      <c r="P320" s="2003"/>
      <c r="Q320" s="2003"/>
      <c r="R320" s="2004"/>
      <c r="S320" s="2004"/>
      <c r="T320" s="2004"/>
      <c r="U320" s="2004"/>
      <c r="V320" s="2004"/>
      <c r="W320" s="2004"/>
      <c r="X320" s="2004"/>
      <c r="Y320" s="2004"/>
      <c r="Z320" s="2004"/>
      <c r="AA320" s="2004"/>
      <c r="AB320" s="2004"/>
      <c r="AC320" s="2004"/>
      <c r="AD320" s="2004">
        <v>1679</v>
      </c>
      <c r="AE320" s="2004"/>
      <c r="AF320" s="2004"/>
      <c r="AG320" s="2004"/>
      <c r="AH320" s="2004"/>
      <c r="AI320" s="2004"/>
      <c r="AJ320" s="2004"/>
      <c r="AK320" s="2004"/>
      <c r="AL320" s="2004"/>
      <c r="AM320" s="2004"/>
      <c r="AN320" s="2004"/>
      <c r="AO320" s="2004"/>
      <c r="AP320" s="2004"/>
      <c r="AQ320" s="2194"/>
      <c r="AR320" s="2004"/>
      <c r="AS320" s="2435"/>
      <c r="AT320" s="2436"/>
      <c r="AU320" s="1978"/>
      <c r="AV320" s="2435"/>
      <c r="AW320" s="2435"/>
      <c r="AX320" s="2437"/>
      <c r="AY320" s="2435"/>
      <c r="AZ320" s="2435"/>
      <c r="BA320" s="2438"/>
      <c r="BB320" s="2437"/>
      <c r="BC320" s="2438"/>
    </row>
    <row r="321" spans="1:71" s="2055" customFormat="1" x14ac:dyDescent="0.3">
      <c r="A321" s="2042"/>
      <c r="B321" s="2239" t="s">
        <v>987</v>
      </c>
      <c r="C321" s="2041"/>
      <c r="D321" s="2041"/>
      <c r="E321" s="2041"/>
      <c r="F321" s="2041"/>
      <c r="G321" s="2041"/>
      <c r="H321" s="2041"/>
      <c r="I321" s="2041"/>
      <c r="J321" s="2003"/>
      <c r="K321" s="2003"/>
      <c r="L321" s="2003"/>
      <c r="M321" s="2003"/>
      <c r="N321" s="2003"/>
      <c r="O321" s="2004">
        <f>SUM(O316:O319)</f>
        <v>-689</v>
      </c>
      <c r="P321" s="2004">
        <f>SUM(P316:P319)</f>
        <v>-391</v>
      </c>
      <c r="Q321" s="2004">
        <f>SUM(Q316:Q319)</f>
        <v>-964</v>
      </c>
      <c r="R321" s="2004">
        <f>SUM(R316:R319)</f>
        <v>-893</v>
      </c>
      <c r="S321" s="2004">
        <f>SUM(S316:S318)</f>
        <v>-824</v>
      </c>
      <c r="T321" s="2004">
        <f>SUM(T316:T318)</f>
        <v>-774</v>
      </c>
      <c r="U321" s="2004">
        <f>U316+U317+U318</f>
        <v>-653</v>
      </c>
      <c r="V321" s="2004">
        <f>V316+V317+V318</f>
        <v>-866</v>
      </c>
      <c r="W321" s="2004">
        <f>W316+W317+W318</f>
        <v>-967</v>
      </c>
      <c r="X321" s="2004">
        <f>X316+X317+X318</f>
        <v>-989</v>
      </c>
      <c r="Y321" s="2004">
        <v>-1468</v>
      </c>
      <c r="Z321" s="2004">
        <v>-1573</v>
      </c>
      <c r="AA321" s="2004">
        <v>-1473</v>
      </c>
      <c r="AB321" s="2004">
        <v>-1377</v>
      </c>
      <c r="AC321" s="2004">
        <v>-1608</v>
      </c>
      <c r="AD321" s="2004">
        <v>-1803</v>
      </c>
      <c r="AE321" s="2004">
        <v>-1913</v>
      </c>
      <c r="AF321" s="2004">
        <v>-1838</v>
      </c>
      <c r="AG321" s="2004">
        <v>-1889</v>
      </c>
      <c r="AH321" s="2004">
        <v>-1679</v>
      </c>
      <c r="AI321" s="2004">
        <v>-1497</v>
      </c>
      <c r="AJ321" s="2004">
        <f t="shared" ref="AJ321:AP321" si="319">AJ323*AJ322</f>
        <v>-3135.7048585547127</v>
      </c>
      <c r="AK321" s="2004">
        <f t="shared" si="319"/>
        <v>-2089.4080150050777</v>
      </c>
      <c r="AL321" s="2004">
        <f t="shared" si="319"/>
        <v>-3178.9153407777071</v>
      </c>
      <c r="AM321" s="2004">
        <f t="shared" si="319"/>
        <v>-3988.9026507378294</v>
      </c>
      <c r="AN321" s="2004">
        <f t="shared" si="319"/>
        <v>-3935.9405618794076</v>
      </c>
      <c r="AO321" s="2004">
        <f t="shared" si="319"/>
        <v>-5259.894710051004</v>
      </c>
      <c r="AP321" s="2004">
        <f t="shared" si="319"/>
        <v>-3957.5992250224622</v>
      </c>
      <c r="AQ321" s="2194"/>
      <c r="AR321" s="2004"/>
      <c r="AS321" s="2435"/>
      <c r="AT321" s="2436"/>
      <c r="AU321" s="1978">
        <f>SUM(O321:R321)</f>
        <v>-2937</v>
      </c>
      <c r="AV321" s="2435">
        <f>SUM(S321:V321)</f>
        <v>-3117</v>
      </c>
      <c r="AW321" s="2435">
        <f>SUM(W321:Z321)</f>
        <v>-4997</v>
      </c>
      <c r="AX321" s="2437">
        <f>SUM(AA321:AD321)</f>
        <v>-6261</v>
      </c>
      <c r="AY321" s="2435">
        <f>SUM(AE321:AH321)</f>
        <v>-7319</v>
      </c>
      <c r="AZ321" s="2435">
        <f>SUM(AI321:AL321)</f>
        <v>-9901.028214337497</v>
      </c>
      <c r="BA321" s="2193">
        <f>SUM(AM321:AP321)</f>
        <v>-17142.337147690705</v>
      </c>
      <c r="BB321" s="2194">
        <f>BB322*BB323</f>
        <v>-18922.28857608305</v>
      </c>
      <c r="BC321" s="2193">
        <f>BC322*BC323</f>
        <v>-21549.610749732816</v>
      </c>
    </row>
    <row r="322" spans="1:71" s="2446" customFormat="1" x14ac:dyDescent="0.3">
      <c r="A322" s="1970" t="s">
        <v>1032</v>
      </c>
      <c r="B322" s="2439" t="s">
        <v>522</v>
      </c>
      <c r="C322" s="2440"/>
      <c r="D322" s="2440"/>
      <c r="E322" s="2440"/>
      <c r="F322" s="2440"/>
      <c r="G322" s="2440"/>
      <c r="H322" s="2440"/>
      <c r="I322" s="2440"/>
      <c r="J322" s="2440"/>
      <c r="K322" s="2440"/>
      <c r="L322" s="2440"/>
      <c r="M322" s="2440"/>
      <c r="N322" s="2392"/>
      <c r="O322" s="2392">
        <f t="shared" ref="O322:AI322" si="320">O321/O323</f>
        <v>-3.4033094591257099E-2</v>
      </c>
      <c r="P322" s="2392">
        <f t="shared" si="320"/>
        <v>-1.7635650173650264E-2</v>
      </c>
      <c r="Q322" s="2392">
        <f t="shared" si="320"/>
        <v>-2.7907246041166085E-2</v>
      </c>
      <c r="R322" s="2392">
        <f t="shared" si="320"/>
        <v>-3.6925239827985443E-2</v>
      </c>
      <c r="S322" s="2392">
        <f t="shared" si="320"/>
        <v>-2.5626671642719413E-2</v>
      </c>
      <c r="T322" s="2392">
        <f t="shared" si="320"/>
        <v>-2.2570862008631752E-2</v>
      </c>
      <c r="U322" s="2392">
        <f t="shared" si="320"/>
        <v>-1.226337139423077E-2</v>
      </c>
      <c r="V322" s="2392">
        <f t="shared" si="320"/>
        <v>-2.2447445501438606E-2</v>
      </c>
      <c r="W322" s="2392">
        <f t="shared" si="320"/>
        <v>-1.9269089749721028E-2</v>
      </c>
      <c r="X322" s="2392">
        <f t="shared" si="320"/>
        <v>-1.7942019520336708E-2</v>
      </c>
      <c r="Y322" s="2392">
        <f t="shared" si="320"/>
        <v>-1.7680782386664741E-2</v>
      </c>
      <c r="Z322" s="2392">
        <f t="shared" si="320"/>
        <v>-2.5398824517212426E-2</v>
      </c>
      <c r="AA322" s="2392">
        <f t="shared" si="320"/>
        <v>-1.8203163618388533E-2</v>
      </c>
      <c r="AB322" s="2392">
        <f t="shared" si="320"/>
        <v>-1.6171841969277023E-2</v>
      </c>
      <c r="AC322" s="2392">
        <f t="shared" si="320"/>
        <v>-1.3711011442896366E-2</v>
      </c>
      <c r="AD322" s="2392">
        <f t="shared" si="320"/>
        <v>-1.9283834948341141E-2</v>
      </c>
      <c r="AE322" s="2392">
        <f t="shared" si="320"/>
        <v>-1.6645783300268002E-2</v>
      </c>
      <c r="AF322" s="2392">
        <f t="shared" si="320"/>
        <v>-1.5443171983834242E-2</v>
      </c>
      <c r="AG322" s="2392">
        <f t="shared" si="320"/>
        <v>-1.1699781983946091E-2</v>
      </c>
      <c r="AH322" s="2392">
        <f t="shared" si="320"/>
        <v>-1.4687614815333205E-2</v>
      </c>
      <c r="AI322" s="2392">
        <f t="shared" si="320"/>
        <v>-9.7365220388810486E-3</v>
      </c>
      <c r="AJ322" s="2392">
        <v>-0.02</v>
      </c>
      <c r="AK322" s="2392">
        <v>-0.01</v>
      </c>
      <c r="AL322" s="2392">
        <v>-0.02</v>
      </c>
      <c r="AM322" s="2392">
        <v>-0.02</v>
      </c>
      <c r="AN322" s="2392">
        <v>-0.02</v>
      </c>
      <c r="AO322" s="2392">
        <v>-0.02</v>
      </c>
      <c r="AP322" s="2392">
        <v>-0.02</v>
      </c>
      <c r="AQ322" s="2441"/>
      <c r="AR322" s="2392"/>
      <c r="AS322" s="2049"/>
      <c r="AT322" s="2442"/>
      <c r="AU322" s="2443">
        <f t="shared" ref="AU322:BA322" si="321">AU321/AU323</f>
        <v>-2.9038094578962458E-2</v>
      </c>
      <c r="AV322" s="2444">
        <f t="shared" si="321"/>
        <v>-1.9693820171475869E-2</v>
      </c>
      <c r="AW322" s="2444">
        <f t="shared" si="321"/>
        <v>-1.996675537228389E-2</v>
      </c>
      <c r="AX322" s="2443">
        <f t="shared" si="321"/>
        <v>-1.6614301939263991E-2</v>
      </c>
      <c r="AY322" s="2444">
        <f t="shared" si="321"/>
        <v>-1.4359117225251171E-2</v>
      </c>
      <c r="AZ322" s="2444">
        <f t="shared" si="321"/>
        <v>-1.4594185288265804E-2</v>
      </c>
      <c r="BA322" s="2442">
        <f t="shared" si="321"/>
        <v>-2.0000000000000004E-2</v>
      </c>
      <c r="BB322" s="2443">
        <v>-1.7999999999999999E-2</v>
      </c>
      <c r="BC322" s="2442">
        <v>-1.7000000000000001E-2</v>
      </c>
      <c r="BD322" s="2445"/>
      <c r="BE322" s="2445"/>
      <c r="BF322" s="2445"/>
      <c r="BG322" s="2445"/>
      <c r="BH322" s="2445"/>
      <c r="BI322" s="2445"/>
      <c r="BJ322" s="2445"/>
      <c r="BK322" s="2445"/>
      <c r="BL322" s="2445"/>
      <c r="BM322" s="2445"/>
      <c r="BN322" s="2445"/>
      <c r="BO322" s="2445"/>
      <c r="BP322" s="2445"/>
      <c r="BQ322" s="2445"/>
      <c r="BR322" s="2445"/>
      <c r="BS322" s="2445"/>
    </row>
    <row r="323" spans="1:71" s="2455" customFormat="1" ht="13.5" x14ac:dyDescent="0.35">
      <c r="A323" s="2042"/>
      <c r="B323" s="2447" t="s">
        <v>1033</v>
      </c>
      <c r="C323" s="2448">
        <v>6793</v>
      </c>
      <c r="D323" s="2448">
        <v>7457</v>
      </c>
      <c r="E323" s="2448">
        <v>11593</v>
      </c>
      <c r="F323" s="2448">
        <v>8674</v>
      </c>
      <c r="G323" s="2448">
        <v>10778</v>
      </c>
      <c r="H323" s="2448">
        <v>10950</v>
      </c>
      <c r="I323" s="2448">
        <v>18745</v>
      </c>
      <c r="J323" s="2448">
        <f>J167+J184+J251+J313</f>
        <v>12031</v>
      </c>
      <c r="K323" s="2448">
        <f>K167+K184+K251+K313</f>
        <v>15771</v>
      </c>
      <c r="L323" s="2448">
        <v>16829</v>
      </c>
      <c r="M323" s="2448">
        <f t="shared" ref="M323:R323" si="322">M167+M184+M251+M313</f>
        <v>26179</v>
      </c>
      <c r="N323" s="2448">
        <f t="shared" si="322"/>
        <v>17425</v>
      </c>
      <c r="O323" s="2448">
        <f t="shared" si="322"/>
        <v>20245</v>
      </c>
      <c r="P323" s="2448">
        <f t="shared" si="322"/>
        <v>22171</v>
      </c>
      <c r="Q323" s="2448">
        <f t="shared" si="322"/>
        <v>34543</v>
      </c>
      <c r="R323" s="2448">
        <f t="shared" si="322"/>
        <v>24184</v>
      </c>
      <c r="S323" s="2449">
        <f t="shared" ref="S323:AP323" si="323">S165+S251+S260+S306</f>
        <v>32154</v>
      </c>
      <c r="T323" s="2449">
        <f t="shared" si="323"/>
        <v>34292</v>
      </c>
      <c r="U323" s="2449">
        <f t="shared" si="323"/>
        <v>53248</v>
      </c>
      <c r="V323" s="2449">
        <f t="shared" si="323"/>
        <v>38579</v>
      </c>
      <c r="W323" s="2448">
        <f t="shared" si="323"/>
        <v>50184</v>
      </c>
      <c r="X323" s="2448">
        <f t="shared" si="323"/>
        <v>55122</v>
      </c>
      <c r="Y323" s="2448">
        <f t="shared" si="323"/>
        <v>83028</v>
      </c>
      <c r="Z323" s="2448">
        <f t="shared" si="323"/>
        <v>61932</v>
      </c>
      <c r="AA323" s="2448">
        <f t="shared" si="323"/>
        <v>80920</v>
      </c>
      <c r="AB323" s="2448">
        <f t="shared" si="323"/>
        <v>85148</v>
      </c>
      <c r="AC323" s="2448">
        <f t="shared" si="323"/>
        <v>117278</v>
      </c>
      <c r="AD323" s="2448">
        <f t="shared" si="323"/>
        <v>93498</v>
      </c>
      <c r="AE323" s="2448">
        <f t="shared" si="323"/>
        <v>114924</v>
      </c>
      <c r="AF323" s="2448">
        <f t="shared" si="323"/>
        <v>119017</v>
      </c>
      <c r="AG323" s="2448">
        <f t="shared" si="323"/>
        <v>161456</v>
      </c>
      <c r="AH323" s="2448">
        <f t="shared" si="323"/>
        <v>114314</v>
      </c>
      <c r="AI323" s="2448">
        <f t="shared" si="323"/>
        <v>153751</v>
      </c>
      <c r="AJ323" s="2448">
        <f t="shared" si="323"/>
        <v>156785.24292773564</v>
      </c>
      <c r="AK323" s="2448">
        <f t="shared" si="323"/>
        <v>208940.80150050778</v>
      </c>
      <c r="AL323" s="2448">
        <f t="shared" si="323"/>
        <v>158945.76703888536</v>
      </c>
      <c r="AM323" s="2448">
        <f t="shared" si="323"/>
        <v>199445.13253689147</v>
      </c>
      <c r="AN323" s="2448">
        <f t="shared" si="323"/>
        <v>196797.02809397038</v>
      </c>
      <c r="AO323" s="2448">
        <f t="shared" si="323"/>
        <v>262994.7355025502</v>
      </c>
      <c r="AP323" s="2448">
        <f t="shared" si="323"/>
        <v>197879.96125112311</v>
      </c>
      <c r="AQ323" s="2450">
        <v>20025</v>
      </c>
      <c r="AR323" s="2448">
        <v>34517</v>
      </c>
      <c r="AS323" s="2451">
        <f>SUM(G323:J323)</f>
        <v>52504</v>
      </c>
      <c r="AT323" s="2452">
        <f>SUM(K323:N323)</f>
        <v>76204</v>
      </c>
      <c r="AU323" s="2453">
        <f>SUM(O323:R323)</f>
        <v>101143</v>
      </c>
      <c r="AV323" s="2454">
        <f>SUM(S323:V323)</f>
        <v>158273</v>
      </c>
      <c r="AW323" s="2454">
        <f>SUM(W323:Z323)</f>
        <v>250266</v>
      </c>
      <c r="AX323" s="2453">
        <f>SUM(AA323:AD323)</f>
        <v>376844</v>
      </c>
      <c r="AY323" s="2454">
        <f>SUM(AE323:AH323)</f>
        <v>509711</v>
      </c>
      <c r="AZ323" s="2454">
        <f>AZ165+AZ251+AZ260+AZ306</f>
        <v>678422.81146712881</v>
      </c>
      <c r="BA323" s="2452">
        <f>BA165+BA251+BA260+BA306</f>
        <v>857116.85738453513</v>
      </c>
      <c r="BB323" s="2453">
        <f>BB165+BB251+BB260+BB306</f>
        <v>1051238.2542268361</v>
      </c>
      <c r="BC323" s="2452">
        <f>BC165+BC251+BC260+BC306</f>
        <v>1267624.161748989</v>
      </c>
    </row>
    <row r="324" spans="1:71" s="2460" customFormat="1" ht="12.75" hidden="1" outlineLevel="1" x14ac:dyDescent="0.35">
      <c r="A324" s="2042"/>
      <c r="B324" s="2456" t="s">
        <v>1034</v>
      </c>
      <c r="C324" s="2457"/>
      <c r="D324" s="2457"/>
      <c r="E324" s="2457"/>
      <c r="F324" s="2457"/>
      <c r="G324" s="2457">
        <f t="shared" ref="G324:BC324" si="324">G469</f>
        <v>0.58663329898424843</v>
      </c>
      <c r="H324" s="2457">
        <f t="shared" si="324"/>
        <v>0.46841893522864431</v>
      </c>
      <c r="I324" s="2457">
        <f t="shared" si="324"/>
        <v>0.61692400586560847</v>
      </c>
      <c r="J324" s="2457">
        <f t="shared" si="324"/>
        <v>0.38701867650449628</v>
      </c>
      <c r="K324" s="2457">
        <f t="shared" si="324"/>
        <v>0.46325848951568016</v>
      </c>
      <c r="L324" s="2457">
        <f t="shared" si="324"/>
        <v>0.53689497716894974</v>
      </c>
      <c r="M324" s="2457">
        <f t="shared" si="324"/>
        <v>0.39658575620165371</v>
      </c>
      <c r="N324" s="2457">
        <f t="shared" si="324"/>
        <v>0.44834178372537603</v>
      </c>
      <c r="O324" s="2457">
        <f t="shared" si="324"/>
        <v>0.28368524507006532</v>
      </c>
      <c r="P324" s="2457">
        <f t="shared" si="324"/>
        <v>0.31742824885614129</v>
      </c>
      <c r="Q324" s="2457">
        <f t="shared" si="324"/>
        <v>0.31949272317506394</v>
      </c>
      <c r="R324" s="2457">
        <f t="shared" si="324"/>
        <v>0.38789096126255385</v>
      </c>
      <c r="S324" s="2457">
        <f t="shared" si="324"/>
        <v>0.58824401086688072</v>
      </c>
      <c r="T324" s="2457">
        <f t="shared" si="324"/>
        <v>0.54670515538315811</v>
      </c>
      <c r="U324" s="2457">
        <f t="shared" si="324"/>
        <v>0.54149900124482531</v>
      </c>
      <c r="V324" s="2457">
        <f t="shared" si="324"/>
        <v>0.59522825008269931</v>
      </c>
      <c r="W324" s="2457">
        <f t="shared" si="324"/>
        <v>0.56073894383280454</v>
      </c>
      <c r="X324" s="2457">
        <f t="shared" si="324"/>
        <v>0.60743030444418533</v>
      </c>
      <c r="Y324" s="2457">
        <f t="shared" si="324"/>
        <v>0.55926983173076916</v>
      </c>
      <c r="Z324" s="2457">
        <f t="shared" si="324"/>
        <v>0.60532932424375963</v>
      </c>
      <c r="AA324" s="2457">
        <f t="shared" si="324"/>
        <v>0.61246612466124661</v>
      </c>
      <c r="AB324" s="2457">
        <f t="shared" si="324"/>
        <v>0.54471898697434784</v>
      </c>
      <c r="AC324" s="2457">
        <f t="shared" si="324"/>
        <v>0.41251144192320655</v>
      </c>
      <c r="AD324" s="2457">
        <f t="shared" si="324"/>
        <v>0.50968804495252851</v>
      </c>
      <c r="AE324" s="2457">
        <f t="shared" si="324"/>
        <v>0.42021749876421155</v>
      </c>
      <c r="AF324" s="2457">
        <f t="shared" si="324"/>
        <v>0.39776624230751167</v>
      </c>
      <c r="AG324" s="2457">
        <f t="shared" si="324"/>
        <v>0.37669469124644017</v>
      </c>
      <c r="AH324" s="2457">
        <f t="shared" si="324"/>
        <v>0.22263577830541825</v>
      </c>
      <c r="AI324" s="2457">
        <f t="shared" si="324"/>
        <v>0.33784936131704435</v>
      </c>
      <c r="AJ324" s="2457">
        <f t="shared" si="324"/>
        <v>0.31733485911874482</v>
      </c>
      <c r="AK324" s="2457">
        <f t="shared" si="324"/>
        <v>0.29410366601741522</v>
      </c>
      <c r="AL324" s="2457">
        <f t="shared" si="324"/>
        <v>0.3904313298361124</v>
      </c>
      <c r="AM324" s="2457">
        <f t="shared" si="324"/>
        <v>0.29719567701602889</v>
      </c>
      <c r="AN324" s="2457">
        <f t="shared" si="324"/>
        <v>0.25520121931804951</v>
      </c>
      <c r="AO324" s="2457">
        <f t="shared" si="324"/>
        <v>0.25870454029971279</v>
      </c>
      <c r="AP324" s="2457">
        <f t="shared" si="324"/>
        <v>0.24495269636663353</v>
      </c>
      <c r="AQ324" s="2458">
        <f t="shared" si="324"/>
        <v>0</v>
      </c>
      <c r="AR324" s="2457">
        <f t="shared" si="324"/>
        <v>0.7236953807740325</v>
      </c>
      <c r="AS324" s="2457">
        <f t="shared" si="324"/>
        <v>0.52110554219659888</v>
      </c>
      <c r="AT324" s="2459">
        <f t="shared" si="324"/>
        <v>0.45139417949108629</v>
      </c>
      <c r="AU324" s="2458">
        <f t="shared" si="324"/>
        <v>0.32726628523437085</v>
      </c>
      <c r="AV324" s="2457">
        <f t="shared" si="324"/>
        <v>0.56484383496633472</v>
      </c>
      <c r="AW324" s="2457">
        <f t="shared" si="324"/>
        <v>0.58122990023566867</v>
      </c>
      <c r="AX324" s="2458">
        <f t="shared" si="324"/>
        <v>0.50577385661655994</v>
      </c>
      <c r="AY324" s="2457">
        <f t="shared" si="324"/>
        <v>0.35257825519313024</v>
      </c>
      <c r="AZ324" s="2457">
        <f t="shared" si="324"/>
        <v>0.33099503731943947</v>
      </c>
      <c r="BA324" s="2459">
        <f t="shared" si="324"/>
        <v>0.26339628163588724</v>
      </c>
      <c r="BB324" s="2458">
        <f t="shared" si="324"/>
        <v>0.22648183286775647</v>
      </c>
      <c r="BC324" s="2459">
        <f t="shared" si="324"/>
        <v>0.20583907278117475</v>
      </c>
    </row>
    <row r="325" spans="1:71" s="2460" customFormat="1" ht="12.75" hidden="1" outlineLevel="1" x14ac:dyDescent="0.35">
      <c r="A325" s="2042"/>
      <c r="B325" s="2456" t="s">
        <v>1035</v>
      </c>
      <c r="C325" s="2457"/>
      <c r="D325" s="2457"/>
      <c r="E325" s="2457"/>
      <c r="F325" s="2457"/>
      <c r="G325" s="2457"/>
      <c r="H325" s="2457"/>
      <c r="I325" s="2457"/>
      <c r="J325" s="2457"/>
      <c r="K325" s="2457"/>
      <c r="L325" s="2457"/>
      <c r="M325" s="2457"/>
      <c r="N325" s="2457"/>
      <c r="O325" s="2457"/>
      <c r="P325" s="2457"/>
      <c r="Q325" s="2457"/>
      <c r="R325" s="2457"/>
      <c r="S325" s="2461"/>
      <c r="T325" s="2461"/>
      <c r="U325" s="2461"/>
      <c r="V325" s="2461"/>
      <c r="W325" s="2461"/>
      <c r="X325" s="2461"/>
      <c r="Y325" s="2461"/>
      <c r="Z325" s="2461"/>
      <c r="AA325" s="2461"/>
      <c r="AB325" s="2461"/>
      <c r="AC325" s="2461"/>
      <c r="AD325" s="2461"/>
      <c r="AE325" s="2461"/>
      <c r="AF325" s="2461"/>
      <c r="AG325" s="2461"/>
      <c r="AH325" s="2461"/>
      <c r="AI325" s="2461"/>
      <c r="AJ325" s="2461"/>
      <c r="AK325" s="2461"/>
      <c r="AL325" s="2461"/>
      <c r="AM325" s="2461"/>
      <c r="AN325" s="2461"/>
      <c r="AO325" s="2461"/>
      <c r="AP325" s="2461"/>
      <c r="AQ325" s="2462"/>
      <c r="AR325" s="2461"/>
      <c r="AS325" s="2461"/>
      <c r="AT325" s="2463"/>
      <c r="AU325" s="2462"/>
      <c r="AV325" s="2461"/>
      <c r="AW325" s="2461"/>
      <c r="AX325" s="2462"/>
      <c r="AY325" s="2457"/>
      <c r="AZ325" s="2461"/>
      <c r="BA325" s="2463"/>
      <c r="BB325" s="2462"/>
      <c r="BC325" s="2463"/>
    </row>
    <row r="326" spans="1:71" s="2460" customFormat="1" ht="12.75" hidden="1" outlineLevel="1" x14ac:dyDescent="0.35">
      <c r="A326" s="2042"/>
      <c r="B326" s="2456" t="s">
        <v>1036</v>
      </c>
      <c r="C326" s="2457"/>
      <c r="D326" s="2457"/>
      <c r="E326" s="2457"/>
      <c r="F326" s="2457"/>
      <c r="G326" s="2457"/>
      <c r="H326" s="2457"/>
      <c r="I326" s="2457"/>
      <c r="J326" s="2457"/>
      <c r="K326" s="2457"/>
      <c r="L326" s="2457"/>
      <c r="M326" s="2457"/>
      <c r="N326" s="2457"/>
      <c r="O326" s="2457"/>
      <c r="P326" s="2457"/>
      <c r="Q326" s="2457"/>
      <c r="R326" s="2457"/>
      <c r="S326" s="2461"/>
      <c r="T326" s="2461"/>
      <c r="U326" s="2461"/>
      <c r="V326" s="2461"/>
      <c r="W326" s="2461"/>
      <c r="X326" s="2461"/>
      <c r="Y326" s="2461"/>
      <c r="Z326" s="2461"/>
      <c r="AA326" s="2461"/>
      <c r="AB326" s="2461"/>
      <c r="AC326" s="2461"/>
      <c r="AD326" s="2461"/>
      <c r="AE326" s="2461"/>
      <c r="AF326" s="2461"/>
      <c r="AG326" s="2461"/>
      <c r="AH326" s="2461"/>
      <c r="AI326" s="2461"/>
      <c r="AJ326" s="2461"/>
      <c r="AK326" s="2461"/>
      <c r="AL326" s="2461"/>
      <c r="AM326" s="2461"/>
      <c r="AN326" s="2461"/>
      <c r="AO326" s="2461"/>
      <c r="AP326" s="2461"/>
      <c r="AQ326" s="2462"/>
      <c r="AR326" s="2461"/>
      <c r="AS326" s="2461"/>
      <c r="AT326" s="2463"/>
      <c r="AU326" s="2462"/>
      <c r="AV326" s="2461"/>
      <c r="AW326" s="2461"/>
      <c r="AX326" s="2462"/>
      <c r="AY326" s="2457"/>
      <c r="AZ326" s="2461"/>
      <c r="BA326" s="2463"/>
      <c r="BB326" s="2462"/>
      <c r="BC326" s="2463"/>
    </row>
    <row r="327" spans="1:71" s="2460" customFormat="1" ht="12.75" hidden="1" outlineLevel="1" x14ac:dyDescent="0.35">
      <c r="A327" s="2042"/>
      <c r="B327" s="2456" t="s">
        <v>1037</v>
      </c>
      <c r="C327" s="2457"/>
      <c r="D327" s="2457"/>
      <c r="E327" s="2457"/>
      <c r="F327" s="2457"/>
      <c r="G327" s="2457"/>
      <c r="H327" s="2457"/>
      <c r="I327" s="2457"/>
      <c r="J327" s="2457"/>
      <c r="K327" s="2457"/>
      <c r="L327" s="2457"/>
      <c r="M327" s="2457"/>
      <c r="N327" s="2457"/>
      <c r="O327" s="2457"/>
      <c r="P327" s="2457"/>
      <c r="Q327" s="2457"/>
      <c r="R327" s="2457"/>
      <c r="S327" s="2461"/>
      <c r="T327" s="2461"/>
      <c r="U327" s="2461"/>
      <c r="V327" s="2461"/>
      <c r="W327" s="2461"/>
      <c r="X327" s="2461"/>
      <c r="Y327" s="2461"/>
      <c r="Z327" s="2461"/>
      <c r="AA327" s="2461"/>
      <c r="AB327" s="2461"/>
      <c r="AC327" s="2461"/>
      <c r="AD327" s="2461"/>
      <c r="AE327" s="2461"/>
      <c r="AF327" s="2461"/>
      <c r="AG327" s="2461"/>
      <c r="AH327" s="2461"/>
      <c r="AI327" s="2461"/>
      <c r="AJ327" s="2461"/>
      <c r="AK327" s="2461"/>
      <c r="AL327" s="2461"/>
      <c r="AM327" s="2461"/>
      <c r="AN327" s="2461"/>
      <c r="AO327" s="2461"/>
      <c r="AP327" s="2461"/>
      <c r="AQ327" s="2462"/>
      <c r="AR327" s="2461"/>
      <c r="AS327" s="2461"/>
      <c r="AT327" s="2463"/>
      <c r="AU327" s="2462"/>
      <c r="AV327" s="2461"/>
      <c r="AW327" s="2461"/>
      <c r="AX327" s="2462"/>
      <c r="AY327" s="2457"/>
      <c r="AZ327" s="2461"/>
      <c r="BA327" s="2463"/>
      <c r="BB327" s="2462"/>
      <c r="BC327" s="2463"/>
    </row>
    <row r="328" spans="1:71" s="1999" customFormat="1" collapsed="1" x14ac:dyDescent="0.3">
      <c r="A328" s="2042"/>
      <c r="B328" s="1980" t="s">
        <v>984</v>
      </c>
      <c r="C328" s="2058"/>
      <c r="D328" s="2058"/>
      <c r="E328" s="2058"/>
      <c r="F328" s="2058"/>
      <c r="G328" s="2058"/>
      <c r="H328" s="2058"/>
      <c r="I328" s="2058"/>
      <c r="J328" s="1992"/>
      <c r="K328" s="1992"/>
      <c r="L328" s="1992"/>
      <c r="M328" s="1992"/>
      <c r="N328" s="1992"/>
      <c r="O328" s="1992">
        <f t="shared" ref="O328:AP330" si="325">O198+O253+O281+O307+O316</f>
        <v>5161</v>
      </c>
      <c r="P328" s="1992">
        <f t="shared" si="325"/>
        <v>6395</v>
      </c>
      <c r="Q328" s="1992">
        <f t="shared" si="325"/>
        <v>12434</v>
      </c>
      <c r="R328" s="1992">
        <f t="shared" si="325"/>
        <v>5112</v>
      </c>
      <c r="S328" s="1994">
        <f t="shared" si="325"/>
        <v>8814</v>
      </c>
      <c r="T328" s="1994">
        <f t="shared" si="325"/>
        <v>9045</v>
      </c>
      <c r="U328" s="1994">
        <f t="shared" si="325"/>
        <v>20664</v>
      </c>
      <c r="V328" s="1994">
        <f t="shared" si="325"/>
        <v>9532</v>
      </c>
      <c r="W328" s="1994">
        <f t="shared" si="325"/>
        <v>17513</v>
      </c>
      <c r="X328" s="1994">
        <f t="shared" si="325"/>
        <v>16584</v>
      </c>
      <c r="Y328" s="1994">
        <f t="shared" si="325"/>
        <v>25996</v>
      </c>
      <c r="Z328" s="1994">
        <f t="shared" si="325"/>
        <v>9221</v>
      </c>
      <c r="AA328" s="1994">
        <f t="shared" si="325"/>
        <v>8020</v>
      </c>
      <c r="AB328" s="1994">
        <f t="shared" si="325"/>
        <v>13501</v>
      </c>
      <c r="AC328" s="1994">
        <f t="shared" si="325"/>
        <v>26798</v>
      </c>
      <c r="AD328" s="1994">
        <f t="shared" si="325"/>
        <v>10444</v>
      </c>
      <c r="AE328" s="1994">
        <f t="shared" si="325"/>
        <v>24375</v>
      </c>
      <c r="AF328" s="1994">
        <f t="shared" si="325"/>
        <v>20940</v>
      </c>
      <c r="AG328" s="1994">
        <f t="shared" si="325"/>
        <v>39560</v>
      </c>
      <c r="AH328" s="1994">
        <f t="shared" si="325"/>
        <v>7131</v>
      </c>
      <c r="AI328" s="1994">
        <f t="shared" si="325"/>
        <v>34705</v>
      </c>
      <c r="AJ328" s="1994">
        <f t="shared" si="325"/>
        <v>30643.33820893192</v>
      </c>
      <c r="AK328" s="1994">
        <f t="shared" si="325"/>
        <v>55908.387851309169</v>
      </c>
      <c r="AL328" s="1994">
        <f t="shared" si="325"/>
        <v>23611.12336802292</v>
      </c>
      <c r="AM328" s="1994">
        <f t="shared" si="325"/>
        <v>46671.592922794662</v>
      </c>
      <c r="AN328" s="1994">
        <f t="shared" si="325"/>
        <v>44080.488319581942</v>
      </c>
      <c r="AO328" s="1994">
        <f t="shared" si="325"/>
        <v>71004.676924113286</v>
      </c>
      <c r="AP328" s="1994">
        <f t="shared" si="325"/>
        <v>33179.185093876877</v>
      </c>
      <c r="AQ328" s="1993"/>
      <c r="AR328" s="1994"/>
      <c r="AS328" s="1995"/>
      <c r="AT328" s="2023"/>
      <c r="AU328" s="2024">
        <f>SUM(O328:R328)</f>
        <v>29102</v>
      </c>
      <c r="AV328" s="1994">
        <f>SUM(S328:V328)</f>
        <v>48055</v>
      </c>
      <c r="AW328" s="1994">
        <f>SUM(W328:Z328)</f>
        <v>69314</v>
      </c>
      <c r="AX328" s="1993">
        <f>SUM(AA328:AD328)</f>
        <v>58763</v>
      </c>
      <c r="AY328" s="1994">
        <f>SUM(AE328:AH328)</f>
        <v>92006</v>
      </c>
      <c r="AZ328" s="1994">
        <f t="shared" ref="AZ328:BC330" si="326">AZ198+AZ253+AZ281+AZ307+AZ316</f>
        <v>144867.84942826399</v>
      </c>
      <c r="BA328" s="1998">
        <f t="shared" si="326"/>
        <v>194935.94326036674</v>
      </c>
      <c r="BB328" s="1993">
        <f t="shared" si="326"/>
        <v>262319.39170227945</v>
      </c>
      <c r="BC328" s="1998">
        <f t="shared" si="326"/>
        <v>339651.12272338901</v>
      </c>
    </row>
    <row r="329" spans="1:71" s="1953" customFormat="1" x14ac:dyDescent="0.3">
      <c r="A329" s="2042"/>
      <c r="B329" s="2238" t="s">
        <v>985</v>
      </c>
      <c r="C329" s="1972"/>
      <c r="D329" s="1972"/>
      <c r="E329" s="1972"/>
      <c r="F329" s="1972"/>
      <c r="G329" s="1972"/>
      <c r="H329" s="1972"/>
      <c r="I329" s="1972"/>
      <c r="J329" s="1973"/>
      <c r="K329" s="1973"/>
      <c r="L329" s="1973"/>
      <c r="M329" s="1973"/>
      <c r="N329" s="1973"/>
      <c r="O329" s="1973">
        <f t="shared" si="325"/>
        <v>3995</v>
      </c>
      <c r="P329" s="1973">
        <f t="shared" si="325"/>
        <v>3164</v>
      </c>
      <c r="Q329" s="1973">
        <f t="shared" si="325"/>
        <v>4370</v>
      </c>
      <c r="R329" s="1973">
        <f t="shared" si="325"/>
        <v>4553</v>
      </c>
      <c r="S329" s="1974">
        <f t="shared" si="325"/>
        <v>3694</v>
      </c>
      <c r="T329" s="1974">
        <f t="shared" si="325"/>
        <v>4251</v>
      </c>
      <c r="U329" s="1974">
        <f t="shared" si="325"/>
        <v>3744</v>
      </c>
      <c r="V329" s="1974">
        <f t="shared" si="325"/>
        <v>4306</v>
      </c>
      <c r="W329" s="1974">
        <f t="shared" si="325"/>
        <v>4019</v>
      </c>
      <c r="X329" s="1974">
        <f t="shared" si="325"/>
        <v>4686</v>
      </c>
      <c r="Y329" s="1974">
        <f t="shared" si="325"/>
        <v>5115</v>
      </c>
      <c r="Z329" s="1974">
        <f t="shared" si="325"/>
        <v>6255</v>
      </c>
      <c r="AA329" s="1974">
        <f t="shared" si="325"/>
        <v>16378</v>
      </c>
      <c r="AB329" s="1974">
        <f t="shared" si="325"/>
        <v>7043</v>
      </c>
      <c r="AC329" s="1974">
        <f t="shared" si="325"/>
        <v>6960</v>
      </c>
      <c r="AD329" s="1974">
        <f t="shared" si="325"/>
        <v>7110</v>
      </c>
      <c r="AE329" s="1974">
        <f t="shared" si="325"/>
        <v>7115</v>
      </c>
      <c r="AF329" s="1974">
        <f t="shared" si="325"/>
        <v>8145</v>
      </c>
      <c r="AG329" s="1974">
        <f t="shared" si="325"/>
        <v>7830</v>
      </c>
      <c r="AH329" s="1974">
        <f t="shared" si="325"/>
        <v>8652</v>
      </c>
      <c r="AI329" s="1974">
        <f t="shared" si="325"/>
        <v>7715</v>
      </c>
      <c r="AJ329" s="1974">
        <f t="shared" si="325"/>
        <v>8673.6</v>
      </c>
      <c r="AK329" s="1974">
        <f t="shared" si="325"/>
        <v>8502.7428</v>
      </c>
      <c r="AL329" s="1974">
        <f t="shared" si="325"/>
        <v>9024.531828000001</v>
      </c>
      <c r="AM329" s="1974">
        <f t="shared" si="325"/>
        <v>8010.0385462799995</v>
      </c>
      <c r="AN329" s="1974">
        <f t="shared" si="325"/>
        <v>8985.1058317427996</v>
      </c>
      <c r="AO329" s="1974">
        <f t="shared" si="325"/>
        <v>8791.5787860602286</v>
      </c>
      <c r="AP329" s="1974">
        <f t="shared" si="325"/>
        <v>9308.7153469208297</v>
      </c>
      <c r="AQ329" s="1976"/>
      <c r="AR329" s="1974"/>
      <c r="AS329" s="1948"/>
      <c r="AT329" s="1977"/>
      <c r="AU329" s="1978">
        <f>SUM(O329:R329)</f>
        <v>16082</v>
      </c>
      <c r="AV329" s="1974">
        <f>SUM(S329:V329)</f>
        <v>15995</v>
      </c>
      <c r="AW329" s="1974">
        <f>SUM(W329:Z329)</f>
        <v>20075</v>
      </c>
      <c r="AX329" s="1976">
        <f>SUM(AA329:AD329)</f>
        <v>37491</v>
      </c>
      <c r="AY329" s="1974">
        <f>SUM(AE329:AH329)</f>
        <v>31742</v>
      </c>
      <c r="AZ329" s="1974">
        <f t="shared" si="326"/>
        <v>33915.874627999998</v>
      </c>
      <c r="BA329" s="2246">
        <f t="shared" si="326"/>
        <v>35095.438511003857</v>
      </c>
      <c r="BB329" s="1976">
        <f t="shared" si="326"/>
        <v>34359.234364019358</v>
      </c>
      <c r="BC329" s="2246">
        <f t="shared" si="326"/>
        <v>35853.146082220323</v>
      </c>
    </row>
    <row r="330" spans="1:71" s="1953" customFormat="1" x14ac:dyDescent="0.3">
      <c r="A330" s="2042"/>
      <c r="B330" s="2238" t="s">
        <v>986</v>
      </c>
      <c r="C330" s="1972"/>
      <c r="D330" s="1972"/>
      <c r="E330" s="1972"/>
      <c r="F330" s="1972"/>
      <c r="G330" s="1972"/>
      <c r="H330" s="1972"/>
      <c r="I330" s="1972"/>
      <c r="J330" s="1973"/>
      <c r="K330" s="1973"/>
      <c r="L330" s="1973"/>
      <c r="M330" s="1973"/>
      <c r="N330" s="1973"/>
      <c r="O330" s="1973">
        <f t="shared" si="325"/>
        <v>647</v>
      </c>
      <c r="P330" s="1973">
        <f t="shared" si="325"/>
        <v>728</v>
      </c>
      <c r="Q330" s="1973">
        <f t="shared" si="325"/>
        <v>813</v>
      </c>
      <c r="R330" s="1973">
        <f t="shared" si="325"/>
        <v>743</v>
      </c>
      <c r="S330" s="1974">
        <f t="shared" si="325"/>
        <v>1251</v>
      </c>
      <c r="T330" s="1974">
        <f t="shared" si="325"/>
        <v>1297</v>
      </c>
      <c r="U330" s="1974">
        <f t="shared" si="325"/>
        <v>1261</v>
      </c>
      <c r="V330" s="1974">
        <f t="shared" si="325"/>
        <v>1313</v>
      </c>
      <c r="W330" s="1974">
        <f t="shared" si="325"/>
        <v>1986</v>
      </c>
      <c r="X330" s="1974">
        <f t="shared" si="325"/>
        <v>1748</v>
      </c>
      <c r="Y330" s="1974">
        <f t="shared" si="325"/>
        <v>2057</v>
      </c>
      <c r="Z330" s="1974">
        <f t="shared" si="325"/>
        <v>1329</v>
      </c>
      <c r="AA330" s="1974">
        <f t="shared" si="325"/>
        <v>2104</v>
      </c>
      <c r="AB330" s="1974">
        <f t="shared" si="325"/>
        <v>2611</v>
      </c>
      <c r="AC330" s="1974">
        <f t="shared" si="325"/>
        <v>2809</v>
      </c>
      <c r="AD330" s="1974">
        <f t="shared" si="325"/>
        <v>3203</v>
      </c>
      <c r="AE330" s="1974">
        <f t="shared" si="325"/>
        <v>3066</v>
      </c>
      <c r="AF330" s="1974">
        <f t="shared" si="325"/>
        <v>3006</v>
      </c>
      <c r="AG330" s="1974">
        <f t="shared" si="325"/>
        <v>3272</v>
      </c>
      <c r="AH330" s="1974">
        <f t="shared" si="325"/>
        <v>4044</v>
      </c>
      <c r="AI330" s="1974">
        <f t="shared" si="325"/>
        <v>2952</v>
      </c>
      <c r="AJ330" s="1974">
        <f t="shared" si="325"/>
        <v>2956.99</v>
      </c>
      <c r="AK330" s="1974">
        <f t="shared" si="325"/>
        <v>3226.3745000000004</v>
      </c>
      <c r="AL330" s="1974">
        <f t="shared" si="325"/>
        <v>3946.3937450000003</v>
      </c>
      <c r="AM330" s="1974">
        <f t="shared" si="325"/>
        <v>2993.8479824499996</v>
      </c>
      <c r="AN330" s="1974">
        <f t="shared" si="325"/>
        <v>2998.2878622744997</v>
      </c>
      <c r="AO330" s="1974">
        <f t="shared" si="325"/>
        <v>3270.7389368972454</v>
      </c>
      <c r="AP330" s="1974">
        <f t="shared" si="325"/>
        <v>3995.1638612662173</v>
      </c>
      <c r="AQ330" s="1976"/>
      <c r="AR330" s="1974"/>
      <c r="AS330" s="1948"/>
      <c r="AT330" s="1977"/>
      <c r="AU330" s="1978">
        <f>SUM(O330:R330)</f>
        <v>2931</v>
      </c>
      <c r="AV330" s="1974">
        <f>SUM(S330:V330)</f>
        <v>5122</v>
      </c>
      <c r="AW330" s="1974">
        <f>SUM(W330:Z330)</f>
        <v>7120</v>
      </c>
      <c r="AX330" s="1976">
        <f>SUM(AA330:AD330)</f>
        <v>10727</v>
      </c>
      <c r="AY330" s="1974">
        <f>SUM(AE330:AH330)</f>
        <v>13388</v>
      </c>
      <c r="AZ330" s="1974">
        <f t="shared" si="326"/>
        <v>13081.758245000001</v>
      </c>
      <c r="BA330" s="2246">
        <f t="shared" si="326"/>
        <v>13258.038642887961</v>
      </c>
      <c r="BB330" s="1976">
        <f t="shared" si="326"/>
        <v>13570.40174703236</v>
      </c>
      <c r="BC330" s="2246">
        <f t="shared" si="326"/>
        <v>13883.840229823982</v>
      </c>
    </row>
    <row r="331" spans="1:71" s="1953" customFormat="1" x14ac:dyDescent="0.3">
      <c r="A331" s="2042"/>
      <c r="B331" s="2239" t="s">
        <v>1031</v>
      </c>
      <c r="C331" s="1972"/>
      <c r="D331" s="1972"/>
      <c r="E331" s="1972"/>
      <c r="F331" s="1972"/>
      <c r="G331" s="1972"/>
      <c r="H331" s="1972"/>
      <c r="I331" s="1972"/>
      <c r="J331" s="1973"/>
      <c r="K331" s="1973"/>
      <c r="L331" s="1973"/>
      <c r="M331" s="1973"/>
      <c r="N331" s="1973"/>
      <c r="O331" s="1973"/>
      <c r="P331" s="1973"/>
      <c r="Q331" s="1973"/>
      <c r="R331" s="1973"/>
      <c r="S331" s="1974"/>
      <c r="T331" s="1974"/>
      <c r="U331" s="1974"/>
      <c r="V331" s="1974"/>
      <c r="W331" s="1974"/>
      <c r="X331" s="1974"/>
      <c r="Y331" s="1974"/>
      <c r="Z331" s="1974"/>
      <c r="AA331" s="1974"/>
      <c r="AB331" s="1974"/>
      <c r="AC331" s="1974"/>
      <c r="AD331" s="1974">
        <f>AD320</f>
        <v>1679</v>
      </c>
      <c r="AE331" s="1974"/>
      <c r="AF331" s="1974"/>
      <c r="AG331" s="1974"/>
      <c r="AH331" s="1974"/>
      <c r="AI331" s="1974"/>
      <c r="AJ331" s="1974"/>
      <c r="AK331" s="1974"/>
      <c r="AL331" s="1974"/>
      <c r="AM331" s="1974"/>
      <c r="AN331" s="1974"/>
      <c r="AO331" s="1974"/>
      <c r="AP331" s="1974"/>
      <c r="AQ331" s="1976"/>
      <c r="AR331" s="1974"/>
      <c r="AS331" s="1948"/>
      <c r="AT331" s="1977"/>
      <c r="AU331" s="1978"/>
      <c r="AV331" s="1974"/>
      <c r="AW331" s="1974"/>
      <c r="AX331" s="1976"/>
      <c r="AY331" s="2012"/>
      <c r="AZ331" s="1974"/>
      <c r="BA331" s="2246"/>
      <c r="BB331" s="1976"/>
      <c r="BC331" s="2246"/>
    </row>
    <row r="332" spans="1:71" s="1999" customFormat="1" x14ac:dyDescent="0.3">
      <c r="A332" s="2042"/>
      <c r="B332" s="1980" t="s">
        <v>987</v>
      </c>
      <c r="C332" s="2058"/>
      <c r="D332" s="2058"/>
      <c r="E332" s="2058"/>
      <c r="F332" s="2058"/>
      <c r="G332" s="2058"/>
      <c r="H332" s="2058"/>
      <c r="I332" s="2058"/>
      <c r="J332" s="1992"/>
      <c r="K332" s="1992"/>
      <c r="L332" s="1992"/>
      <c r="M332" s="1992"/>
      <c r="N332" s="1992"/>
      <c r="O332" s="1992">
        <f>SUM(O328:O330)</f>
        <v>9803</v>
      </c>
      <c r="P332" s="1992">
        <f>SUM(P328:P330)</f>
        <v>10287</v>
      </c>
      <c r="Q332" s="1992">
        <f>SUM(Q328:Q330)</f>
        <v>17617</v>
      </c>
      <c r="R332" s="1992">
        <f>SUM(R328:R330)</f>
        <v>10408</v>
      </c>
      <c r="S332" s="1994">
        <f>SUM(S328:S330)</f>
        <v>13759</v>
      </c>
      <c r="T332" s="1994">
        <f t="shared" ref="T332:AP332" si="327">T227+T256+T284+T310+T321</f>
        <v>14593</v>
      </c>
      <c r="U332" s="1994">
        <f t="shared" si="327"/>
        <v>25669</v>
      </c>
      <c r="V332" s="1994">
        <f t="shared" si="327"/>
        <v>15151</v>
      </c>
      <c r="W332" s="1994">
        <f t="shared" si="327"/>
        <v>23518</v>
      </c>
      <c r="X332" s="1994">
        <f t="shared" si="327"/>
        <v>23018</v>
      </c>
      <c r="Y332" s="1994">
        <f t="shared" si="327"/>
        <v>33662</v>
      </c>
      <c r="Z332" s="1994">
        <f t="shared" si="327"/>
        <v>16805</v>
      </c>
      <c r="AA332" s="1994">
        <f t="shared" si="327"/>
        <v>26502</v>
      </c>
      <c r="AB332" s="1994">
        <f t="shared" si="327"/>
        <v>23155</v>
      </c>
      <c r="AC332" s="1994">
        <f t="shared" si="327"/>
        <v>36567</v>
      </c>
      <c r="AD332" s="1994">
        <f t="shared" si="327"/>
        <v>20757</v>
      </c>
      <c r="AE332" s="1994">
        <f t="shared" si="327"/>
        <v>34556</v>
      </c>
      <c r="AF332" s="1994">
        <f t="shared" si="327"/>
        <v>32091</v>
      </c>
      <c r="AG332" s="1994">
        <f t="shared" si="327"/>
        <v>50662</v>
      </c>
      <c r="AH332" s="1994">
        <f t="shared" si="327"/>
        <v>19827</v>
      </c>
      <c r="AI332" s="1994">
        <f t="shared" si="327"/>
        <v>45372</v>
      </c>
      <c r="AJ332" s="1994">
        <f t="shared" si="327"/>
        <v>42273.928208931917</v>
      </c>
      <c r="AK332" s="1994">
        <f t="shared" si="327"/>
        <v>67637.50515130916</v>
      </c>
      <c r="AL332" s="1994">
        <f t="shared" si="327"/>
        <v>36582.048941022913</v>
      </c>
      <c r="AM332" s="1994">
        <f t="shared" si="327"/>
        <v>57675.479451524661</v>
      </c>
      <c r="AN332" s="1994">
        <f t="shared" si="327"/>
        <v>56063.882013599243</v>
      </c>
      <c r="AO332" s="1994">
        <f t="shared" si="327"/>
        <v>83066.994647070751</v>
      </c>
      <c r="AP332" s="1994">
        <f t="shared" si="327"/>
        <v>46483.064302063925</v>
      </c>
      <c r="AQ332" s="1993"/>
      <c r="AR332" s="1994"/>
      <c r="AS332" s="1995"/>
      <c r="AT332" s="2023"/>
      <c r="AU332" s="2024">
        <f>SUM(O332:R332)</f>
        <v>48115</v>
      </c>
      <c r="AV332" s="2025">
        <f>SUM(S332:V332)</f>
        <v>69172</v>
      </c>
      <c r="AW332" s="1994">
        <f>SUM(W332:Z332)</f>
        <v>97003</v>
      </c>
      <c r="AX332" s="2024">
        <f t="shared" ref="AX332:BC332" si="328">AX227+AX256+AX284+AX310+AX321</f>
        <v>106981</v>
      </c>
      <c r="AY332" s="2025">
        <f t="shared" si="328"/>
        <v>137129.99411307269</v>
      </c>
      <c r="AZ332" s="2025">
        <f t="shared" si="328"/>
        <v>191865.48230126401</v>
      </c>
      <c r="BA332" s="2023">
        <f t="shared" si="328"/>
        <v>243289.42041425861</v>
      </c>
      <c r="BB332" s="2024">
        <f t="shared" si="328"/>
        <v>310249.02781333122</v>
      </c>
      <c r="BC332" s="2023">
        <f t="shared" si="328"/>
        <v>389388.10903543333</v>
      </c>
    </row>
    <row r="333" spans="1:71" s="1953" customFormat="1" x14ac:dyDescent="0.3">
      <c r="A333" s="2042"/>
      <c r="B333" s="2238" t="s">
        <v>967</v>
      </c>
      <c r="C333" s="1972"/>
      <c r="D333" s="1972"/>
      <c r="E333" s="1972"/>
      <c r="F333" s="1972"/>
      <c r="G333" s="1972"/>
      <c r="H333" s="1972"/>
      <c r="I333" s="1972"/>
      <c r="J333" s="1973"/>
      <c r="K333" s="1973"/>
      <c r="L333" s="1973"/>
      <c r="M333" s="1973"/>
      <c r="N333" s="1973"/>
      <c r="O333" s="1973">
        <f t="shared" ref="O333:AP333" si="329">O332/O$6</f>
        <v>1581.1290322580644</v>
      </c>
      <c r="P333" s="1973">
        <f t="shared" si="329"/>
        <v>1618.5725973944238</v>
      </c>
      <c r="Q333" s="1973">
        <f t="shared" si="329"/>
        <v>2719.5961591898481</v>
      </c>
      <c r="R333" s="1973">
        <f t="shared" si="329"/>
        <v>1614.1439205955335</v>
      </c>
      <c r="S333" s="1974">
        <f t="shared" si="329"/>
        <v>2070.2989813268332</v>
      </c>
      <c r="T333" s="1974">
        <f t="shared" si="329"/>
        <v>2188.3482042438332</v>
      </c>
      <c r="U333" s="1974">
        <f t="shared" si="329"/>
        <v>3697.1049978395508</v>
      </c>
      <c r="V333" s="1974">
        <f t="shared" si="329"/>
        <v>2201.1564388656438</v>
      </c>
      <c r="W333" s="1974">
        <f t="shared" si="329"/>
        <v>3469.0897290280709</v>
      </c>
      <c r="X333" s="1974">
        <f t="shared" si="329"/>
        <v>3459.6365713255077</v>
      </c>
      <c r="Y333" s="1974">
        <f t="shared" si="329"/>
        <v>5173.7546685520183</v>
      </c>
      <c r="Z333" s="1974">
        <f t="shared" si="329"/>
        <v>2679.1123298153875</v>
      </c>
      <c r="AA333" s="1974">
        <f t="shared" si="329"/>
        <v>4005.077753094256</v>
      </c>
      <c r="AB333" s="1974">
        <f t="shared" si="329"/>
        <v>3371.4327315084447</v>
      </c>
      <c r="AC333" s="1974">
        <f t="shared" si="329"/>
        <v>5318.4495673041965</v>
      </c>
      <c r="AD333" s="1974">
        <f t="shared" si="329"/>
        <v>3092.8894981523426</v>
      </c>
      <c r="AE333" s="1974">
        <f t="shared" si="329"/>
        <v>5033.648943918427</v>
      </c>
      <c r="AF333" s="1974">
        <f t="shared" si="329"/>
        <v>4489.6959861214091</v>
      </c>
      <c r="AG333" s="1974">
        <f t="shared" si="329"/>
        <v>7277.1409692895513</v>
      </c>
      <c r="AH333" s="1974">
        <f t="shared" si="329"/>
        <v>2800.1073325048019</v>
      </c>
      <c r="AI333" s="1974">
        <f t="shared" si="329"/>
        <v>6421.9897807532798</v>
      </c>
      <c r="AJ333" s="1974">
        <f t="shared" si="329"/>
        <v>6039.1326012759882</v>
      </c>
      <c r="AK333" s="1974">
        <f t="shared" si="329"/>
        <v>9526.4091762407279</v>
      </c>
      <c r="AL333" s="1974">
        <f t="shared" si="329"/>
        <v>5080.8401306976266</v>
      </c>
      <c r="AM333" s="1974">
        <f t="shared" si="329"/>
        <v>8010.4832571562029</v>
      </c>
      <c r="AN333" s="1974">
        <f t="shared" si="329"/>
        <v>7786.6502796665609</v>
      </c>
      <c r="AO333" s="1974">
        <f t="shared" si="329"/>
        <v>11537.082589870937</v>
      </c>
      <c r="AP333" s="1974">
        <f t="shared" si="329"/>
        <v>6455.9811530644338</v>
      </c>
      <c r="AQ333" s="1976"/>
      <c r="AR333" s="1974"/>
      <c r="AS333" s="1948"/>
      <c r="AT333" s="1977"/>
      <c r="AU333" s="1978">
        <f>SUM(O333:R333)</f>
        <v>7533.4417094378696</v>
      </c>
      <c r="AV333" s="1974">
        <f>SUM(S333:V333)</f>
        <v>10156.908622275861</v>
      </c>
      <c r="AW333" s="1948">
        <f t="shared" ref="AW333:BC333" si="330">AW332/AW$6</f>
        <v>15464.560150495809</v>
      </c>
      <c r="AX333" s="1949">
        <f t="shared" si="330"/>
        <v>15940.666348790082</v>
      </c>
      <c r="AY333" s="1948">
        <f t="shared" si="330"/>
        <v>19366.454936316899</v>
      </c>
      <c r="AZ333" s="1948">
        <f t="shared" si="330"/>
        <v>26647.983652953335</v>
      </c>
      <c r="BA333" s="1981">
        <f t="shared" si="330"/>
        <v>33790.19727975814</v>
      </c>
      <c r="BB333" s="1949">
        <f t="shared" si="330"/>
        <v>43090.142751851556</v>
      </c>
      <c r="BC333" s="1981">
        <f t="shared" si="330"/>
        <v>54081.681810476846</v>
      </c>
    </row>
    <row r="334" spans="1:71" s="2292" customFormat="1" x14ac:dyDescent="0.3">
      <c r="A334" s="2042"/>
      <c r="B334" s="2284" t="s">
        <v>968</v>
      </c>
      <c r="C334" s="2285"/>
      <c r="D334" s="2285"/>
      <c r="E334" s="2285"/>
      <c r="F334" s="2285"/>
      <c r="G334" s="2285"/>
      <c r="H334" s="2285"/>
      <c r="I334" s="2285"/>
      <c r="J334" s="2285"/>
      <c r="K334" s="2285"/>
      <c r="L334" s="2285"/>
      <c r="M334" s="2285"/>
      <c r="N334" s="2286"/>
      <c r="O334" s="2286">
        <f t="shared" ref="O334:AP334" si="331">O332/O323</f>
        <v>0.48421832551247224</v>
      </c>
      <c r="P334" s="2286">
        <f t="shared" si="331"/>
        <v>0.46398448423616434</v>
      </c>
      <c r="Q334" s="2286">
        <f t="shared" si="331"/>
        <v>0.51000202645977477</v>
      </c>
      <c r="R334" s="2286">
        <f t="shared" si="331"/>
        <v>0.43036718491564668</v>
      </c>
      <c r="S334" s="2286">
        <f t="shared" si="331"/>
        <v>0.42790943584001989</v>
      </c>
      <c r="T334" s="2286">
        <f t="shared" si="331"/>
        <v>0.42555114895602475</v>
      </c>
      <c r="U334" s="2286">
        <f t="shared" si="331"/>
        <v>0.48206505408653844</v>
      </c>
      <c r="V334" s="2286">
        <f t="shared" si="331"/>
        <v>0.39272661292412969</v>
      </c>
      <c r="W334" s="2286">
        <f t="shared" si="331"/>
        <v>0.46863542164833411</v>
      </c>
      <c r="X334" s="2286">
        <f t="shared" si="331"/>
        <v>0.41758281629839267</v>
      </c>
      <c r="Y334" s="2286">
        <f t="shared" si="331"/>
        <v>0.40542949366478781</v>
      </c>
      <c r="Z334" s="2286">
        <f t="shared" si="331"/>
        <v>0.27134599237873797</v>
      </c>
      <c r="AA334" s="2286">
        <f t="shared" si="331"/>
        <v>0.32750865051903116</v>
      </c>
      <c r="AB334" s="2286">
        <f t="shared" si="331"/>
        <v>0.27193827218490157</v>
      </c>
      <c r="AC334" s="2286">
        <f t="shared" si="331"/>
        <v>0.31179760909974591</v>
      </c>
      <c r="AD334" s="2286">
        <f t="shared" si="331"/>
        <v>0.22200474876467946</v>
      </c>
      <c r="AE334" s="2286">
        <f t="shared" si="331"/>
        <v>0.30068567053008943</v>
      </c>
      <c r="AF334" s="2286">
        <f t="shared" si="331"/>
        <v>0.26963374980044869</v>
      </c>
      <c r="AG334" s="2286">
        <f t="shared" si="331"/>
        <v>0.31378208304429689</v>
      </c>
      <c r="AH334" s="2286">
        <f t="shared" si="331"/>
        <v>0.17344332277761254</v>
      </c>
      <c r="AI334" s="2286">
        <f t="shared" si="331"/>
        <v>0.29510051967141676</v>
      </c>
      <c r="AJ334" s="2286">
        <f t="shared" si="331"/>
        <v>0.2696295098921811</v>
      </c>
      <c r="AK334" s="2286">
        <f t="shared" si="331"/>
        <v>0.32371611798926109</v>
      </c>
      <c r="AL334" s="2286">
        <f t="shared" si="331"/>
        <v>0.23015428232243065</v>
      </c>
      <c r="AM334" s="2286">
        <f t="shared" si="331"/>
        <v>0.28917967923261501</v>
      </c>
      <c r="AN334" s="2286">
        <f t="shared" si="331"/>
        <v>0.28488175129773197</v>
      </c>
      <c r="AO334" s="2286">
        <f t="shared" si="331"/>
        <v>0.31585040851992746</v>
      </c>
      <c r="AP334" s="2286">
        <f t="shared" si="331"/>
        <v>0.23490536387903249</v>
      </c>
      <c r="AQ334" s="2288"/>
      <c r="AR334" s="2286"/>
      <c r="AS334" s="2390"/>
      <c r="AT334" s="2289"/>
      <c r="AU334" s="2290">
        <f t="shared" ref="AU334:BC334" si="332">AU332/AU323</f>
        <v>0.47571260492569928</v>
      </c>
      <c r="AV334" s="2286">
        <f t="shared" si="332"/>
        <v>0.43704232560196621</v>
      </c>
      <c r="AW334" s="2287">
        <f t="shared" si="332"/>
        <v>0.38759959403194999</v>
      </c>
      <c r="AX334" s="2290">
        <f t="shared" si="332"/>
        <v>0.28388670112831837</v>
      </c>
      <c r="AY334" s="2287">
        <f t="shared" si="332"/>
        <v>0.26903479444836914</v>
      </c>
      <c r="AZ334" s="2287">
        <f t="shared" si="332"/>
        <v>0.28281107158873942</v>
      </c>
      <c r="BA334" s="2289">
        <f t="shared" si="332"/>
        <v>0.2838462670733703</v>
      </c>
      <c r="BB334" s="2290">
        <f t="shared" si="332"/>
        <v>0.29512722407682257</v>
      </c>
      <c r="BC334" s="2289">
        <f t="shared" si="332"/>
        <v>0.30717946279769537</v>
      </c>
      <c r="BD334" s="2291"/>
      <c r="BE334" s="2291"/>
      <c r="BF334" s="2291"/>
      <c r="BG334" s="2291"/>
      <c r="BH334" s="2291"/>
      <c r="BI334" s="2291"/>
      <c r="BJ334" s="2291"/>
      <c r="BK334" s="2291"/>
      <c r="BL334" s="2291"/>
      <c r="BM334" s="2291"/>
      <c r="BN334" s="2291"/>
      <c r="BO334" s="2291"/>
      <c r="BP334" s="2291"/>
      <c r="BQ334" s="2291"/>
      <c r="BR334" s="2291"/>
      <c r="BS334" s="2291"/>
    </row>
    <row r="335" spans="1:71" s="2471" customFormat="1" x14ac:dyDescent="0.35">
      <c r="A335" s="2042"/>
      <c r="B335" s="2464" t="s">
        <v>1038</v>
      </c>
      <c r="C335" s="2465">
        <f t="shared" ref="C335:L335" si="333">C323/C6</f>
        <v>1069.2586179757595</v>
      </c>
      <c r="D335" s="2465">
        <f t="shared" si="333"/>
        <v>1186.5134928716905</v>
      </c>
      <c r="E335" s="2465">
        <f t="shared" si="333"/>
        <v>1860.8048024911318</v>
      </c>
      <c r="F335" s="2465">
        <f t="shared" si="333"/>
        <v>1396.5994718876796</v>
      </c>
      <c r="G335" s="2465">
        <f t="shared" si="333"/>
        <v>1756.118225958875</v>
      </c>
      <c r="H335" s="2465">
        <f t="shared" si="333"/>
        <v>1789.2156862745098</v>
      </c>
      <c r="I335" s="2465">
        <f t="shared" si="333"/>
        <v>3096.4534086591671</v>
      </c>
      <c r="J335" s="2465">
        <f t="shared" si="333"/>
        <v>1935.3645196576797</v>
      </c>
      <c r="K335" s="2465">
        <f t="shared" si="333"/>
        <v>2542.2335418144303</v>
      </c>
      <c r="L335" s="2465">
        <f t="shared" si="333"/>
        <v>2741.7725643532094</v>
      </c>
      <c r="M335" s="2465">
        <v>4219</v>
      </c>
      <c r="N335" s="2465">
        <f>N323/N6</f>
        <v>2810.9372479432168</v>
      </c>
      <c r="O335" s="2465">
        <f>O323/O6</f>
        <v>3265.322580645161</v>
      </c>
      <c r="P335" s="2465">
        <v>3488</v>
      </c>
      <c r="Q335" s="2465">
        <v>5333</v>
      </c>
      <c r="R335" s="2465">
        <v>3751</v>
      </c>
      <c r="S335" s="2466">
        <f>S323/S6</f>
        <v>4838.1709023608537</v>
      </c>
      <c r="T335" s="2466">
        <v>5142</v>
      </c>
      <c r="U335" s="2466">
        <f t="shared" ref="U335:AQ335" si="334">U323/U6</f>
        <v>7669.307215900908</v>
      </c>
      <c r="V335" s="2466">
        <f t="shared" si="334"/>
        <v>5604.8059042305904</v>
      </c>
      <c r="W335" s="2466">
        <f t="shared" si="334"/>
        <v>7402.534184945348</v>
      </c>
      <c r="X335" s="2466">
        <f t="shared" si="334"/>
        <v>8284.9112470503369</v>
      </c>
      <c r="Y335" s="2466">
        <f t="shared" si="334"/>
        <v>12761.169942978344</v>
      </c>
      <c r="Z335" s="2466">
        <f t="shared" si="334"/>
        <v>9873.4177215189884</v>
      </c>
      <c r="AA335" s="2466">
        <f t="shared" si="334"/>
        <v>12228.922035332698</v>
      </c>
      <c r="AB335" s="2466">
        <f t="shared" si="334"/>
        <v>12397.786837507279</v>
      </c>
      <c r="AC335" s="2466">
        <f t="shared" si="334"/>
        <v>17057.377645262164</v>
      </c>
      <c r="AD335" s="2466">
        <f t="shared" si="334"/>
        <v>13931.636667064013</v>
      </c>
      <c r="AE335" s="2466">
        <f t="shared" si="334"/>
        <v>16740.568099053169</v>
      </c>
      <c r="AF335" s="2466">
        <f t="shared" si="334"/>
        <v>16651.090560599914</v>
      </c>
      <c r="AG335" s="2466">
        <f t="shared" si="334"/>
        <v>23191.703295124822</v>
      </c>
      <c r="AH335" s="2466">
        <f t="shared" si="334"/>
        <v>16144.220991978307</v>
      </c>
      <c r="AI335" s="2466">
        <f t="shared" si="334"/>
        <v>21762.041584690945</v>
      </c>
      <c r="AJ335" s="2466">
        <f t="shared" si="334"/>
        <v>22397.891846819377</v>
      </c>
      <c r="AK335" s="2466">
        <f t="shared" si="334"/>
        <v>29428.281901479972</v>
      </c>
      <c r="AL335" s="2466">
        <f t="shared" si="334"/>
        <v>22075.800977622966</v>
      </c>
      <c r="AM335" s="2466">
        <f t="shared" si="334"/>
        <v>27700.712852346038</v>
      </c>
      <c r="AN335" s="2466">
        <f t="shared" si="334"/>
        <v>27332.920568606998</v>
      </c>
      <c r="AO335" s="2466">
        <f t="shared" si="334"/>
        <v>36527.046597576416</v>
      </c>
      <c r="AP335" s="2466">
        <f t="shared" si="334"/>
        <v>27483.327951544874</v>
      </c>
      <c r="AQ335" s="2467">
        <f t="shared" si="334"/>
        <v>3183.6248012718602</v>
      </c>
      <c r="AR335" s="2466">
        <v>5553</v>
      </c>
      <c r="AS335" s="2468">
        <f t="shared" ref="AS335:AS340" si="335">SUM(G335:J335)</f>
        <v>8577.151840550232</v>
      </c>
      <c r="AT335" s="2469">
        <f t="shared" ref="AT335:AT343" si="336">SUM(K335:N335)</f>
        <v>12313.943354110856</v>
      </c>
      <c r="AU335" s="2467">
        <f t="shared" ref="AU335:AU342" si="337">SUM(O335:R335)</f>
        <v>15837.322580645161</v>
      </c>
      <c r="AV335" s="2466">
        <f>SUM(S335:V335)</f>
        <v>23254.284022492349</v>
      </c>
      <c r="AW335" s="2466">
        <f t="shared" ref="AW335:BC335" si="338">AW323/AW6</f>
        <v>39898.287791346491</v>
      </c>
      <c r="AX335" s="2467">
        <f t="shared" si="338"/>
        <v>56151.507927047329</v>
      </c>
      <c r="AY335" s="2466">
        <f t="shared" si="338"/>
        <v>71984.945203931755</v>
      </c>
      <c r="AZ335" s="2466">
        <f t="shared" si="338"/>
        <v>94225.390481545663</v>
      </c>
      <c r="BA335" s="2470">
        <f t="shared" si="338"/>
        <v>119044.00797007432</v>
      </c>
      <c r="BB335" s="2467">
        <f t="shared" si="338"/>
        <v>146005.31308706058</v>
      </c>
      <c r="BC335" s="2470">
        <f t="shared" si="338"/>
        <v>176058.91135402626</v>
      </c>
    </row>
    <row r="336" spans="1:71" s="1953" customFormat="1" ht="10.15" x14ac:dyDescent="0.3">
      <c r="A336" s="2042"/>
      <c r="B336" s="2472" t="s">
        <v>1039</v>
      </c>
      <c r="C336" s="2248">
        <v>-2158</v>
      </c>
      <c r="D336" s="2248">
        <v>-2373</v>
      </c>
      <c r="E336" s="2248">
        <v>-2911</v>
      </c>
      <c r="F336" s="2248">
        <v>-2277</v>
      </c>
      <c r="G336" s="2248">
        <v>-2727</v>
      </c>
      <c r="H336" s="2248">
        <v>-3001</v>
      </c>
      <c r="I336" s="2248">
        <v>-4171</v>
      </c>
      <c r="J336" s="2248">
        <v>-3470</v>
      </c>
      <c r="K336" s="2248">
        <v>-4585</v>
      </c>
      <c r="L336" s="2248">
        <v>-5596</v>
      </c>
      <c r="M336" s="2248">
        <v>-7520</v>
      </c>
      <c r="N336" s="2248">
        <v>-6133</v>
      </c>
      <c r="O336" s="2248">
        <v>-6711</v>
      </c>
      <c r="P336" s="2248">
        <v>-7131</v>
      </c>
      <c r="Q336" s="2248">
        <v>-10951</v>
      </c>
      <c r="R336" s="2248">
        <v>-9562</v>
      </c>
      <c r="S336" s="2248">
        <v>-11744</v>
      </c>
      <c r="T336" s="2248">
        <v>-13123</v>
      </c>
      <c r="U336" s="2248">
        <v>-19126</v>
      </c>
      <c r="V336" s="2248">
        <v>-15490</v>
      </c>
      <c r="W336" s="1974">
        <v>-17460</v>
      </c>
      <c r="X336" s="1974">
        <v>-22002</v>
      </c>
      <c r="Y336" s="1974">
        <v>-35078</v>
      </c>
      <c r="Z336" s="1974">
        <v>-32504</v>
      </c>
      <c r="AA336" s="1974">
        <v>-43720</v>
      </c>
      <c r="AB336" s="1974">
        <v>-46786</v>
      </c>
      <c r="AC336" s="1974">
        <v>-60813</v>
      </c>
      <c r="AD336" s="1974">
        <v>-55610</v>
      </c>
      <c r="AE336" s="1974">
        <v>-59987</v>
      </c>
      <c r="AF336" s="1974">
        <v>-65546</v>
      </c>
      <c r="AG336" s="1974">
        <v>-84332</v>
      </c>
      <c r="AH336" s="1974">
        <v>-72502</v>
      </c>
      <c r="AI336" s="1974">
        <v>-84523</v>
      </c>
      <c r="AJ336" s="1974">
        <f t="shared" ref="AJ336:AP336" si="339">AJ344*AJ431</f>
        <v>-84136.650447442094</v>
      </c>
      <c r="AK336" s="1974">
        <f t="shared" si="339"/>
        <v>-107122.68955443901</v>
      </c>
      <c r="AL336" s="1974">
        <f t="shared" si="339"/>
        <v>-91215.549834161298</v>
      </c>
      <c r="AM336" s="1974">
        <f t="shared" si="339"/>
        <v>-102052.72446221668</v>
      </c>
      <c r="AN336" s="1974">
        <f t="shared" si="339"/>
        <v>-102320.08164884025</v>
      </c>
      <c r="AO336" s="1974">
        <f t="shared" si="339"/>
        <v>-134969.01118064116</v>
      </c>
      <c r="AP336" s="1974">
        <f t="shared" si="339"/>
        <v>-111667.12623461295</v>
      </c>
      <c r="AQ336" s="1976">
        <v>-6554</v>
      </c>
      <c r="AR336" s="1974">
        <v>-9719</v>
      </c>
      <c r="AS336" s="1948">
        <f t="shared" si="335"/>
        <v>-13369</v>
      </c>
      <c r="AT336" s="1977">
        <f t="shared" si="336"/>
        <v>-23834</v>
      </c>
      <c r="AU336" s="1978">
        <f t="shared" si="337"/>
        <v>-34355</v>
      </c>
      <c r="AV336" s="1979">
        <f>SUM(S336:V336)</f>
        <v>-59483</v>
      </c>
      <c r="AW336" s="1948">
        <f t="shared" ref="AW336:AW353" si="340">SUM(W336:Z336)</f>
        <v>-107044</v>
      </c>
      <c r="AX336" s="1949">
        <f t="shared" ref="AX336:AX347" si="341">SUM(AA336:AD336)</f>
        <v>-206929</v>
      </c>
      <c r="AY336" s="1974">
        <f>SUM(AE336:AH336)</f>
        <v>-282367</v>
      </c>
      <c r="AZ336" s="1974">
        <f>SUM(AI336:AL336)</f>
        <v>-366997.88983604242</v>
      </c>
      <c r="BA336" s="2246">
        <f>BA344*BA431</f>
        <v>-437039.4033219511</v>
      </c>
      <c r="BB336" s="1976">
        <f>BB344*BB431</f>
        <v>-520686.44926620746</v>
      </c>
      <c r="BC336" s="2246">
        <f>BC344*BC431</f>
        <v>-612462.20575689606</v>
      </c>
    </row>
    <row r="337" spans="1:55" s="1999" customFormat="1" ht="10.15" x14ac:dyDescent="0.3">
      <c r="A337" s="2042"/>
      <c r="B337" s="2473" t="s">
        <v>1040</v>
      </c>
      <c r="C337" s="2474">
        <f t="shared" ref="C337:AR337" si="342">C323+C336</f>
        <v>4635</v>
      </c>
      <c r="D337" s="2474">
        <f t="shared" si="342"/>
        <v>5084</v>
      </c>
      <c r="E337" s="2474">
        <f t="shared" si="342"/>
        <v>8682</v>
      </c>
      <c r="F337" s="2474">
        <f t="shared" si="342"/>
        <v>6397</v>
      </c>
      <c r="G337" s="2474">
        <f t="shared" si="342"/>
        <v>8051</v>
      </c>
      <c r="H337" s="2474">
        <f t="shared" si="342"/>
        <v>7949</v>
      </c>
      <c r="I337" s="2474">
        <f t="shared" si="342"/>
        <v>14574</v>
      </c>
      <c r="J337" s="2474">
        <f t="shared" si="342"/>
        <v>8561</v>
      </c>
      <c r="K337" s="2474">
        <f t="shared" si="342"/>
        <v>11186</v>
      </c>
      <c r="L337" s="2474">
        <f t="shared" si="342"/>
        <v>11233</v>
      </c>
      <c r="M337" s="2474">
        <f t="shared" si="342"/>
        <v>18659</v>
      </c>
      <c r="N337" s="1994">
        <f t="shared" si="342"/>
        <v>11292</v>
      </c>
      <c r="O337" s="1994">
        <f t="shared" si="342"/>
        <v>13534</v>
      </c>
      <c r="P337" s="1994">
        <f t="shared" si="342"/>
        <v>15040</v>
      </c>
      <c r="Q337" s="1994">
        <f t="shared" si="342"/>
        <v>23592</v>
      </c>
      <c r="R337" s="1994">
        <f t="shared" si="342"/>
        <v>14622</v>
      </c>
      <c r="S337" s="1994">
        <f t="shared" si="342"/>
        <v>20410</v>
      </c>
      <c r="T337" s="1994">
        <f t="shared" si="342"/>
        <v>21169</v>
      </c>
      <c r="U337" s="1994">
        <f t="shared" si="342"/>
        <v>34122</v>
      </c>
      <c r="V337" s="1994">
        <f t="shared" si="342"/>
        <v>23089</v>
      </c>
      <c r="W337" s="1994">
        <f t="shared" si="342"/>
        <v>32724</v>
      </c>
      <c r="X337" s="1994">
        <f t="shared" si="342"/>
        <v>33120</v>
      </c>
      <c r="Y337" s="1994">
        <f t="shared" si="342"/>
        <v>47950</v>
      </c>
      <c r="Z337" s="1994">
        <f t="shared" si="342"/>
        <v>29428</v>
      </c>
      <c r="AA337" s="1994">
        <f t="shared" si="342"/>
        <v>37200</v>
      </c>
      <c r="AB337" s="1994">
        <f t="shared" si="342"/>
        <v>38362</v>
      </c>
      <c r="AC337" s="1994">
        <f t="shared" si="342"/>
        <v>56465</v>
      </c>
      <c r="AD337" s="1994">
        <f t="shared" si="342"/>
        <v>37888</v>
      </c>
      <c r="AE337" s="1994">
        <f t="shared" si="342"/>
        <v>54937</v>
      </c>
      <c r="AF337" s="1994">
        <f t="shared" si="342"/>
        <v>53471</v>
      </c>
      <c r="AG337" s="1994">
        <f t="shared" si="342"/>
        <v>77124</v>
      </c>
      <c r="AH337" s="1994">
        <f t="shared" si="342"/>
        <v>41812</v>
      </c>
      <c r="AI337" s="1994">
        <f t="shared" si="342"/>
        <v>69228</v>
      </c>
      <c r="AJ337" s="1994">
        <f t="shared" si="342"/>
        <v>72648.592480293548</v>
      </c>
      <c r="AK337" s="1994">
        <f t="shared" si="342"/>
        <v>101818.11194606876</v>
      </c>
      <c r="AL337" s="1994">
        <f t="shared" si="342"/>
        <v>67730.21720472406</v>
      </c>
      <c r="AM337" s="1994">
        <f t="shared" si="342"/>
        <v>97392.408074674793</v>
      </c>
      <c r="AN337" s="1994">
        <f t="shared" si="342"/>
        <v>94476.946445130132</v>
      </c>
      <c r="AO337" s="1994">
        <f t="shared" si="342"/>
        <v>128025.72432190905</v>
      </c>
      <c r="AP337" s="1994">
        <f t="shared" si="342"/>
        <v>86212.835016510158</v>
      </c>
      <c r="AQ337" s="1993">
        <f t="shared" si="342"/>
        <v>13471</v>
      </c>
      <c r="AR337" s="1994">
        <f t="shared" si="342"/>
        <v>24798</v>
      </c>
      <c r="AS337" s="1995">
        <f t="shared" si="335"/>
        <v>39135</v>
      </c>
      <c r="AT337" s="2023">
        <f t="shared" si="336"/>
        <v>52370</v>
      </c>
      <c r="AU337" s="2024">
        <f t="shared" si="337"/>
        <v>66788</v>
      </c>
      <c r="AV337" s="1994">
        <f>AV323+AV336</f>
        <v>98790</v>
      </c>
      <c r="AW337" s="1995">
        <f t="shared" si="340"/>
        <v>143222</v>
      </c>
      <c r="AX337" s="1993">
        <f t="shared" si="341"/>
        <v>169915</v>
      </c>
      <c r="AY337" s="1994">
        <f>AY323+AY336</f>
        <v>227344</v>
      </c>
      <c r="AZ337" s="1994">
        <f>AZ323+AZ336</f>
        <v>311424.92163108638</v>
      </c>
      <c r="BA337" s="1998">
        <f>BA323+BA336</f>
        <v>420077.45406258403</v>
      </c>
      <c r="BB337" s="1993">
        <f>BB323+BB336</f>
        <v>530551.80496062874</v>
      </c>
      <c r="BC337" s="1998">
        <f>BC323+BC336</f>
        <v>655161.95599209296</v>
      </c>
    </row>
    <row r="338" spans="1:55" s="1953" customFormat="1" ht="10.15" x14ac:dyDescent="0.3">
      <c r="A338" s="2042"/>
      <c r="B338" s="2475" t="s">
        <v>1041</v>
      </c>
      <c r="C338" s="2248">
        <v>-848</v>
      </c>
      <c r="D338" s="2248">
        <v>-888</v>
      </c>
      <c r="E338" s="2248">
        <v>-1163</v>
      </c>
      <c r="F338" s="2248">
        <v>-854</v>
      </c>
      <c r="G338" s="2248">
        <v>-1018</v>
      </c>
      <c r="H338" s="2248">
        <v>-1168</v>
      </c>
      <c r="I338" s="2248">
        <v>-1707</v>
      </c>
      <c r="J338" s="2248">
        <v>-1200</v>
      </c>
      <c r="K338" s="2248">
        <v>-1952</v>
      </c>
      <c r="L338" s="2248">
        <v>-2581</v>
      </c>
      <c r="M338" s="2248">
        <v>-3083</v>
      </c>
      <c r="N338" s="2248">
        <v>-3042</v>
      </c>
      <c r="O338" s="2248">
        <v>-3241</v>
      </c>
      <c r="P338" s="2248">
        <v>-3225</v>
      </c>
      <c r="Q338" s="2248">
        <v>-3749</v>
      </c>
      <c r="R338" s="2248">
        <v>-3573</v>
      </c>
      <c r="S338" s="2248">
        <v>-3988</v>
      </c>
      <c r="T338" s="2248">
        <v>-4134</v>
      </c>
      <c r="U338" s="2248">
        <v>-4420</v>
      </c>
      <c r="V338" s="2248">
        <v>-4518</v>
      </c>
      <c r="W338" s="1974">
        <v>-4696</v>
      </c>
      <c r="X338" s="1974">
        <v>-5083</v>
      </c>
      <c r="Y338" s="1974">
        <v>-6289</v>
      </c>
      <c r="Z338" s="1974">
        <v>-6686</v>
      </c>
      <c r="AA338" s="1974">
        <v>-11510</v>
      </c>
      <c r="AB338" s="1974">
        <v>-8365</v>
      </c>
      <c r="AC338" s="1974">
        <v>-8901</v>
      </c>
      <c r="AD338" s="1974">
        <v>-8659</v>
      </c>
      <c r="AE338" s="1974">
        <v>-10478</v>
      </c>
      <c r="AF338" s="1974">
        <v>-10938</v>
      </c>
      <c r="AG338" s="1974">
        <v>-11077</v>
      </c>
      <c r="AH338" s="1974">
        <v>-10587</v>
      </c>
      <c r="AI338" s="1974">
        <v>-11082</v>
      </c>
      <c r="AJ338" s="1974">
        <f t="shared" ref="AJ338:AP340" si="343">AJ$344*AJ432</f>
        <v>-13497.183804911998</v>
      </c>
      <c r="AK338" s="1974">
        <f t="shared" si="343"/>
        <v>-13619.884814778674</v>
      </c>
      <c r="AL338" s="1974">
        <f t="shared" si="343"/>
        <v>-13127.460436073658</v>
      </c>
      <c r="AM338" s="1974">
        <f t="shared" si="343"/>
        <v>-16041.221659480165</v>
      </c>
      <c r="AN338" s="1974">
        <f t="shared" si="343"/>
        <v>-15882.520136536396</v>
      </c>
      <c r="AO338" s="1974">
        <f t="shared" si="343"/>
        <v>-18623.035682108384</v>
      </c>
      <c r="AP338" s="1974">
        <f t="shared" si="343"/>
        <v>-15646.573734938393</v>
      </c>
      <c r="AQ338" s="1976">
        <v>-2897</v>
      </c>
      <c r="AR338" s="1974">
        <v>-3753</v>
      </c>
      <c r="AS338" s="1948">
        <f t="shared" si="335"/>
        <v>-5093</v>
      </c>
      <c r="AT338" s="1977">
        <f t="shared" si="336"/>
        <v>-10658</v>
      </c>
      <c r="AU338" s="1978">
        <f t="shared" si="337"/>
        <v>-13788</v>
      </c>
      <c r="AV338" s="1979">
        <f t="shared" ref="AV338:AV353" si="344">SUM(S338:V338)</f>
        <v>-17060</v>
      </c>
      <c r="AW338" s="1948">
        <f t="shared" si="340"/>
        <v>-22754</v>
      </c>
      <c r="AX338" s="1949">
        <f t="shared" si="341"/>
        <v>-37435</v>
      </c>
      <c r="AY338" s="1974">
        <f t="shared" ref="AY338:AY347" si="345">SUM(AE338:AH338)</f>
        <v>-43080</v>
      </c>
      <c r="AZ338" s="1974">
        <f t="shared" ref="AZ338:AZ344" si="346">SUM(AI338:AL338)</f>
        <v>-51326.529055764331</v>
      </c>
      <c r="BA338" s="2246">
        <f t="shared" ref="BA338:BC340" si="347">BA$344*BA432</f>
        <v>-64893.729584168497</v>
      </c>
      <c r="BB338" s="1976">
        <f t="shared" si="347"/>
        <v>-74947.291939832881</v>
      </c>
      <c r="BC338" s="2246">
        <f t="shared" si="347"/>
        <v>-88157.438707432011</v>
      </c>
    </row>
    <row r="339" spans="1:55" s="1953" customFormat="1" ht="10.15" x14ac:dyDescent="0.3">
      <c r="A339" s="2042"/>
      <c r="B339" s="2475" t="s">
        <v>1042</v>
      </c>
      <c r="C339" s="2248">
        <v>-869</v>
      </c>
      <c r="D339" s="2248">
        <v>-974</v>
      </c>
      <c r="E339" s="2248">
        <v>-1249</v>
      </c>
      <c r="F339" s="2248">
        <v>-521</v>
      </c>
      <c r="G339" s="2248">
        <v>-713</v>
      </c>
      <c r="H339" s="2248">
        <v>-657</v>
      </c>
      <c r="I339" s="2248">
        <v>-1897</v>
      </c>
      <c r="J339" s="2248">
        <v>-1278</v>
      </c>
      <c r="K339" s="2248">
        <v>-1212</v>
      </c>
      <c r="L339" s="2248">
        <v>-1749</v>
      </c>
      <c r="M339" s="2248">
        <v>-3021</v>
      </c>
      <c r="N339" s="2248">
        <v>-2531</v>
      </c>
      <c r="O339" s="2248">
        <v>-2241</v>
      </c>
      <c r="P339" s="2248">
        <v>-2564</v>
      </c>
      <c r="Q339" s="2248">
        <v>-3641</v>
      </c>
      <c r="R339" s="2248">
        <v>-2861</v>
      </c>
      <c r="S339" s="2248">
        <v>-3614</v>
      </c>
      <c r="T339" s="2248">
        <v>-3878</v>
      </c>
      <c r="U339" s="2248">
        <v>-4490</v>
      </c>
      <c r="V339" s="2248">
        <v>-4332</v>
      </c>
      <c r="W339" s="1974">
        <v>-4850</v>
      </c>
      <c r="X339" s="1974">
        <v>-6266</v>
      </c>
      <c r="Y339" s="1974">
        <v>-8542</v>
      </c>
      <c r="Z339" s="1974">
        <v>-7641</v>
      </c>
      <c r="AA339" s="1974">
        <v>-8921</v>
      </c>
      <c r="AB339" s="1974">
        <v>-9106</v>
      </c>
      <c r="AC339" s="1974">
        <v>-12104</v>
      </c>
      <c r="AD339" s="1974">
        <v>-9649</v>
      </c>
      <c r="AE339" s="1974">
        <v>-10698</v>
      </c>
      <c r="AF339" s="1974">
        <v>-11996</v>
      </c>
      <c r="AG339" s="1974">
        <v>-15800</v>
      </c>
      <c r="AH339" s="1974">
        <v>-12179</v>
      </c>
      <c r="AI339" s="1974">
        <v>-13652</v>
      </c>
      <c r="AJ339" s="1974">
        <f t="shared" si="343"/>
        <v>-14884.744756818838</v>
      </c>
      <c r="AK339" s="1974">
        <f t="shared" si="343"/>
        <v>-19282.084119799023</v>
      </c>
      <c r="AL339" s="1974">
        <f t="shared" si="343"/>
        <v>-14210.137585440558</v>
      </c>
      <c r="AM339" s="1974">
        <f t="shared" si="343"/>
        <v>-17110.636436778841</v>
      </c>
      <c r="AN339" s="1974">
        <f t="shared" si="343"/>
        <v>-17562.402074054669</v>
      </c>
      <c r="AO339" s="1974">
        <f t="shared" si="343"/>
        <v>-23806.767263726178</v>
      </c>
      <c r="AP339" s="1974">
        <f t="shared" si="343"/>
        <v>-16799.479168039114</v>
      </c>
      <c r="AQ339" s="1976">
        <v>-3058</v>
      </c>
      <c r="AR339" s="1974">
        <v>-3613</v>
      </c>
      <c r="AS339" s="1948">
        <f t="shared" si="335"/>
        <v>-4545</v>
      </c>
      <c r="AT339" s="1977">
        <f t="shared" si="336"/>
        <v>-8513</v>
      </c>
      <c r="AU339" s="1978">
        <f t="shared" si="337"/>
        <v>-11307</v>
      </c>
      <c r="AV339" s="1979">
        <f t="shared" si="344"/>
        <v>-16314</v>
      </c>
      <c r="AW339" s="1948">
        <f t="shared" si="340"/>
        <v>-27299</v>
      </c>
      <c r="AX339" s="1949">
        <f t="shared" si="341"/>
        <v>-39780</v>
      </c>
      <c r="AY339" s="1974">
        <f t="shared" si="345"/>
        <v>-50673</v>
      </c>
      <c r="AZ339" s="1974">
        <f t="shared" si="346"/>
        <v>-62028.966462058415</v>
      </c>
      <c r="BA339" s="2246">
        <f t="shared" si="347"/>
        <v>-72839.900553658517</v>
      </c>
      <c r="BB339" s="1976">
        <f t="shared" si="347"/>
        <v>-86781.074877701234</v>
      </c>
      <c r="BC339" s="2246">
        <f t="shared" si="347"/>
        <v>-102077.03429281601</v>
      </c>
    </row>
    <row r="340" spans="1:55" s="1953" customFormat="1" ht="10.15" x14ac:dyDescent="0.3">
      <c r="A340" s="2042"/>
      <c r="B340" s="2475" t="s">
        <v>1043</v>
      </c>
      <c r="C340" s="2248">
        <v>-537</v>
      </c>
      <c r="D340" s="2248">
        <v>-804</v>
      </c>
      <c r="E340" s="2248">
        <v>-1003</v>
      </c>
      <c r="F340" s="2248">
        <v>-545</v>
      </c>
      <c r="G340" s="2248">
        <v>-865</v>
      </c>
      <c r="H340" s="2248">
        <v>-793</v>
      </c>
      <c r="I340" s="2248">
        <v>-2046</v>
      </c>
      <c r="J340" s="2248">
        <v>-514</v>
      </c>
      <c r="K340" s="2248">
        <v>-944</v>
      </c>
      <c r="L340" s="2248">
        <v>-1960</v>
      </c>
      <c r="M340" s="2248">
        <v>-2419</v>
      </c>
      <c r="N340" s="2248">
        <v>-2477</v>
      </c>
      <c r="O340" s="2248">
        <v>-2244</v>
      </c>
      <c r="P340" s="2248">
        <v>-2128</v>
      </c>
      <c r="Q340" s="2248">
        <v>-2500</v>
      </c>
      <c r="R340" s="2248">
        <v>-2333</v>
      </c>
      <c r="S340" s="2248">
        <v>-2743</v>
      </c>
      <c r="T340" s="2248">
        <v>-2815</v>
      </c>
      <c r="U340" s="2248">
        <v>-3287</v>
      </c>
      <c r="V340" s="2248">
        <v>-3394</v>
      </c>
      <c r="W340" s="1974">
        <v>-3679</v>
      </c>
      <c r="X340" s="1974">
        <v>-3439</v>
      </c>
      <c r="Y340" s="1974">
        <v>-4572</v>
      </c>
      <c r="Z340" s="1974">
        <v>-4551</v>
      </c>
      <c r="AA340" s="1974">
        <v>-6645</v>
      </c>
      <c r="AB340" s="1974">
        <v>-4779</v>
      </c>
      <c r="AC340" s="1974">
        <v>-5853</v>
      </c>
      <c r="AD340" s="1974">
        <v>-7612</v>
      </c>
      <c r="AE340" s="1974">
        <v>-6320</v>
      </c>
      <c r="AF340" s="1974">
        <v>-6591</v>
      </c>
      <c r="AG340" s="1974">
        <v>-7415</v>
      </c>
      <c r="AH340" s="1974">
        <v>-7871</v>
      </c>
      <c r="AI340" s="1974">
        <v>-6837</v>
      </c>
      <c r="AJ340" s="1974">
        <f t="shared" si="343"/>
        <v>-10666.335709630799</v>
      </c>
      <c r="AK340" s="1974">
        <f t="shared" si="343"/>
        <v>-9781.3806601818887</v>
      </c>
      <c r="AL340" s="1974">
        <f t="shared" si="343"/>
        <v>-12835.102070186937</v>
      </c>
      <c r="AM340" s="1974">
        <f t="shared" si="343"/>
        <v>-14575.10907317113</v>
      </c>
      <c r="AN340" s="1974">
        <f t="shared" si="343"/>
        <v>-13953.248052682611</v>
      </c>
      <c r="AO340" s="1974">
        <f t="shared" si="343"/>
        <v>-11320.505515063969</v>
      </c>
      <c r="AP340" s="1974">
        <f t="shared" si="343"/>
        <v>-16592.433158389555</v>
      </c>
      <c r="AQ340" s="1976">
        <v>-2211</v>
      </c>
      <c r="AR340" s="1974">
        <v>-2889</v>
      </c>
      <c r="AS340" s="1948">
        <f t="shared" si="335"/>
        <v>-4218</v>
      </c>
      <c r="AT340" s="1977">
        <f t="shared" si="336"/>
        <v>-7800</v>
      </c>
      <c r="AU340" s="1978">
        <f t="shared" si="337"/>
        <v>-9205</v>
      </c>
      <c r="AV340" s="1979">
        <f t="shared" si="344"/>
        <v>-12239</v>
      </c>
      <c r="AW340" s="1948">
        <f t="shared" si="340"/>
        <v>-16241</v>
      </c>
      <c r="AX340" s="1949">
        <f t="shared" si="341"/>
        <v>-24889</v>
      </c>
      <c r="AY340" s="1974">
        <f t="shared" si="345"/>
        <v>-28197</v>
      </c>
      <c r="AZ340" s="1974">
        <f t="shared" si="346"/>
        <v>-40119.818439999624</v>
      </c>
      <c r="BA340" s="2246">
        <f t="shared" si="347"/>
        <v>-74149.84202150222</v>
      </c>
      <c r="BB340" s="1976">
        <f t="shared" si="347"/>
        <v>-92933.644693782757</v>
      </c>
      <c r="BC340" s="2246">
        <f t="shared" si="347"/>
        <v>-111392.52003863199</v>
      </c>
    </row>
    <row r="341" spans="1:55" s="1953" customFormat="1" ht="10.15" x14ac:dyDescent="0.3">
      <c r="A341" s="2042"/>
      <c r="B341" s="2475" t="s">
        <v>1044</v>
      </c>
      <c r="C341" s="1975">
        <v>-16</v>
      </c>
      <c r="D341" s="1975">
        <v>-17</v>
      </c>
      <c r="E341" s="1975">
        <v>-85</v>
      </c>
      <c r="F341" s="1975">
        <v>-12</v>
      </c>
      <c r="G341" s="1975">
        <v>-35</v>
      </c>
      <c r="H341" s="1975">
        <v>-39</v>
      </c>
      <c r="I341" s="1975">
        <v>-123</v>
      </c>
      <c r="J341" s="1975">
        <v>-118</v>
      </c>
      <c r="K341" s="1975">
        <v>-234</v>
      </c>
      <c r="L341" s="1975">
        <v>-598</v>
      </c>
      <c r="M341" s="1975">
        <v>-614</v>
      </c>
      <c r="N341" s="1975">
        <v>-643</v>
      </c>
      <c r="O341" s="1975">
        <v>-647</v>
      </c>
      <c r="P341" s="1975">
        <v>-728</v>
      </c>
      <c r="Q341" s="1975">
        <v>-813</v>
      </c>
      <c r="R341" s="2248">
        <v>-743</v>
      </c>
      <c r="S341" s="1975">
        <v>-1251</v>
      </c>
      <c r="T341" s="1975">
        <v>-1297</v>
      </c>
      <c r="U341" s="2248">
        <f>-U330</f>
        <v>-1261</v>
      </c>
      <c r="V341" s="2248">
        <v>-1313</v>
      </c>
      <c r="W341" s="1975">
        <v>-1986</v>
      </c>
      <c r="X341" s="1975">
        <v>-1748</v>
      </c>
      <c r="Y341" s="1975">
        <v>-2057</v>
      </c>
      <c r="Z341" s="1974">
        <v>-1329</v>
      </c>
      <c r="AA341" s="1975">
        <v>-2104</v>
      </c>
      <c r="AB341" s="1975">
        <v>-2611</v>
      </c>
      <c r="AC341" s="1975">
        <v>-2809</v>
      </c>
      <c r="AD341" s="1975">
        <v>-3203</v>
      </c>
      <c r="AE341" s="1975">
        <v>-3066</v>
      </c>
      <c r="AF341" s="1975">
        <v>-3006</v>
      </c>
      <c r="AG341" s="1975">
        <v>-3272</v>
      </c>
      <c r="AH341" s="1975">
        <v>-4044</v>
      </c>
      <c r="AI341" s="1975">
        <v>-2952</v>
      </c>
      <c r="AJ341" s="1975">
        <f t="shared" ref="AJ341:AP341" si="348">-AJ330</f>
        <v>-2956.99</v>
      </c>
      <c r="AK341" s="1975">
        <f t="shared" si="348"/>
        <v>-3226.3745000000004</v>
      </c>
      <c r="AL341" s="1975">
        <f t="shared" si="348"/>
        <v>-3946.3937450000003</v>
      </c>
      <c r="AM341" s="1975">
        <f t="shared" si="348"/>
        <v>-2993.8479824499996</v>
      </c>
      <c r="AN341" s="1975">
        <f t="shared" si="348"/>
        <v>-2998.2878622744997</v>
      </c>
      <c r="AO341" s="1975">
        <f t="shared" si="348"/>
        <v>-3270.7389368972454</v>
      </c>
      <c r="AP341" s="1975">
        <f t="shared" si="348"/>
        <v>-3995.1638612662173</v>
      </c>
      <c r="AQ341" s="1976">
        <v>-155</v>
      </c>
      <c r="AR341" s="1974">
        <v>-130</v>
      </c>
      <c r="AS341" s="1948">
        <v>-315</v>
      </c>
      <c r="AT341" s="1977">
        <f t="shared" si="336"/>
        <v>-2089</v>
      </c>
      <c r="AU341" s="1978">
        <f t="shared" si="337"/>
        <v>-2931</v>
      </c>
      <c r="AV341" s="1979">
        <f t="shared" si="344"/>
        <v>-5122</v>
      </c>
      <c r="AW341" s="1948">
        <f t="shared" si="340"/>
        <v>-7120</v>
      </c>
      <c r="AX341" s="1949">
        <f t="shared" si="341"/>
        <v>-10727</v>
      </c>
      <c r="AY341" s="1974">
        <f t="shared" si="345"/>
        <v>-13388</v>
      </c>
      <c r="AZ341" s="1974">
        <f t="shared" si="346"/>
        <v>-13081.758245000001</v>
      </c>
      <c r="BA341" s="1981">
        <f>-BA330</f>
        <v>-13258.038642887961</v>
      </c>
      <c r="BB341" s="1949">
        <f>-BB330</f>
        <v>-13570.40174703236</v>
      </c>
      <c r="BC341" s="1981">
        <f>-BC330</f>
        <v>-13883.840229823982</v>
      </c>
    </row>
    <row r="342" spans="1:55" s="1953" customFormat="1" ht="10.15" x14ac:dyDescent="0.3">
      <c r="A342" s="2042"/>
      <c r="B342" s="2476" t="s">
        <v>1045</v>
      </c>
      <c r="C342" s="1975">
        <v>-20</v>
      </c>
      <c r="D342" s="1975">
        <v>-20</v>
      </c>
      <c r="E342" s="1975">
        <v>-122</v>
      </c>
      <c r="F342" s="1975">
        <v>-13</v>
      </c>
      <c r="G342" s="1975">
        <v>0</v>
      </c>
      <c r="H342" s="1975">
        <v>-44</v>
      </c>
      <c r="I342" s="1975">
        <v>0</v>
      </c>
      <c r="J342" s="1975">
        <v>0</v>
      </c>
      <c r="K342" s="1975">
        <v>0</v>
      </c>
      <c r="L342" s="1975">
        <f>K342</f>
        <v>0</v>
      </c>
      <c r="M342" s="1975">
        <v>-175</v>
      </c>
      <c r="N342" s="1975">
        <v>0</v>
      </c>
      <c r="O342" s="1975">
        <f>N342</f>
        <v>0</v>
      </c>
      <c r="P342" s="1975">
        <f>O342</f>
        <v>0</v>
      </c>
      <c r="Q342" s="1975">
        <v>-455</v>
      </c>
      <c r="R342" s="1975"/>
      <c r="S342" s="1975">
        <f>R342</f>
        <v>0</v>
      </c>
      <c r="T342" s="1975">
        <f>S342</f>
        <v>0</v>
      </c>
      <c r="U342" s="1975">
        <f>T342</f>
        <v>0</v>
      </c>
      <c r="V342" s="1975">
        <v>0</v>
      </c>
      <c r="W342" s="1948">
        <f>V342</f>
        <v>0</v>
      </c>
      <c r="X342" s="1948">
        <f>W342</f>
        <v>0</v>
      </c>
      <c r="Y342" s="1948">
        <v>-494</v>
      </c>
      <c r="Z342" s="1948">
        <v>0</v>
      </c>
      <c r="AA342" s="1948">
        <f>Z342</f>
        <v>0</v>
      </c>
      <c r="AB342" s="1948">
        <f>AA342</f>
        <v>0</v>
      </c>
      <c r="AC342" s="1948">
        <f>AB342</f>
        <v>0</v>
      </c>
      <c r="AD342" s="1948">
        <f>AC342</f>
        <v>0</v>
      </c>
      <c r="AE342" s="1948">
        <f>AD342</f>
        <v>0</v>
      </c>
      <c r="AF342" s="1948">
        <v>-576</v>
      </c>
      <c r="AG342" s="1948">
        <v>0</v>
      </c>
      <c r="AH342" s="1948">
        <f t="shared" ref="AH342:AP342" si="349">AG342</f>
        <v>0</v>
      </c>
      <c r="AI342" s="1948">
        <f t="shared" si="349"/>
        <v>0</v>
      </c>
      <c r="AJ342" s="1948">
        <f t="shared" si="349"/>
        <v>0</v>
      </c>
      <c r="AK342" s="1948">
        <f t="shared" si="349"/>
        <v>0</v>
      </c>
      <c r="AL342" s="1948">
        <f t="shared" si="349"/>
        <v>0</v>
      </c>
      <c r="AM342" s="1948">
        <f t="shared" si="349"/>
        <v>0</v>
      </c>
      <c r="AN342" s="1948">
        <f t="shared" si="349"/>
        <v>0</v>
      </c>
      <c r="AO342" s="1948">
        <f t="shared" si="349"/>
        <v>0</v>
      </c>
      <c r="AP342" s="1948">
        <f t="shared" si="349"/>
        <v>0</v>
      </c>
      <c r="AQ342" s="1976">
        <v>-135</v>
      </c>
      <c r="AR342" s="1974">
        <v>-175</v>
      </c>
      <c r="AS342" s="1948">
        <v>-44</v>
      </c>
      <c r="AT342" s="1977">
        <f t="shared" si="336"/>
        <v>-175</v>
      </c>
      <c r="AU342" s="1978">
        <f t="shared" si="337"/>
        <v>-455</v>
      </c>
      <c r="AV342" s="1948">
        <f t="shared" si="344"/>
        <v>0</v>
      </c>
      <c r="AW342" s="1948">
        <f t="shared" si="340"/>
        <v>-494</v>
      </c>
      <c r="AX342" s="1949">
        <f t="shared" si="341"/>
        <v>0</v>
      </c>
      <c r="AY342" s="1974">
        <f t="shared" si="345"/>
        <v>-576</v>
      </c>
      <c r="AZ342" s="1974">
        <f t="shared" si="346"/>
        <v>0</v>
      </c>
      <c r="BA342" s="1981">
        <v>0</v>
      </c>
      <c r="BB342" s="1949">
        <v>0</v>
      </c>
      <c r="BC342" s="1981">
        <v>0</v>
      </c>
    </row>
    <row r="343" spans="1:55" s="1953" customFormat="1" ht="10.15" x14ac:dyDescent="0.3">
      <c r="A343" s="2042"/>
      <c r="B343" s="2476" t="s">
        <v>584</v>
      </c>
      <c r="C343" s="2477">
        <v>0</v>
      </c>
      <c r="D343" s="2248">
        <v>-3487</v>
      </c>
      <c r="E343" s="2477">
        <v>0</v>
      </c>
      <c r="F343" s="2477">
        <v>0</v>
      </c>
      <c r="G343" s="2477">
        <v>0</v>
      </c>
      <c r="H343" s="2477">
        <v>0</v>
      </c>
      <c r="I343" s="2477">
        <v>0</v>
      </c>
      <c r="J343" s="1975"/>
      <c r="K343" s="1975">
        <v>0</v>
      </c>
      <c r="L343" s="1975">
        <v>0</v>
      </c>
      <c r="M343" s="1975">
        <v>0</v>
      </c>
      <c r="N343" s="1948">
        <v>0</v>
      </c>
      <c r="O343" s="1948"/>
      <c r="P343" s="1948"/>
      <c r="Q343" s="1948"/>
      <c r="R343" s="1948"/>
      <c r="S343" s="1948"/>
      <c r="T343" s="1948"/>
      <c r="U343" s="1948"/>
      <c r="V343" s="1948"/>
      <c r="W343" s="1948"/>
      <c r="X343" s="1948"/>
      <c r="Y343" s="1948"/>
      <c r="Z343" s="1948"/>
      <c r="AA343" s="1948"/>
      <c r="AB343" s="1948"/>
      <c r="AC343" s="1948"/>
      <c r="AD343" s="1948"/>
      <c r="AE343" s="1948"/>
      <c r="AF343" s="1948"/>
      <c r="AG343" s="1948"/>
      <c r="AH343" s="1948"/>
      <c r="AI343" s="1948"/>
      <c r="AJ343" s="1948"/>
      <c r="AK343" s="1948"/>
      <c r="AL343" s="1948"/>
      <c r="AM343" s="1948"/>
      <c r="AN343" s="1948"/>
      <c r="AO343" s="1948"/>
      <c r="AP343" s="1948"/>
      <c r="AQ343" s="1978">
        <v>0</v>
      </c>
      <c r="AR343" s="1974">
        <v>-3487</v>
      </c>
      <c r="AS343" s="1948">
        <f>SUM(G343:J343)</f>
        <v>0</v>
      </c>
      <c r="AT343" s="1977">
        <f t="shared" si="336"/>
        <v>0</v>
      </c>
      <c r="AU343" s="1949">
        <v>0</v>
      </c>
      <c r="AV343" s="1948">
        <f t="shared" si="344"/>
        <v>0</v>
      </c>
      <c r="AW343" s="1948">
        <f t="shared" si="340"/>
        <v>0</v>
      </c>
      <c r="AX343" s="1949">
        <f t="shared" si="341"/>
        <v>0</v>
      </c>
      <c r="AY343" s="1974">
        <f t="shared" si="345"/>
        <v>0</v>
      </c>
      <c r="AZ343" s="1974">
        <f t="shared" si="346"/>
        <v>0</v>
      </c>
      <c r="BA343" s="1981">
        <v>0</v>
      </c>
      <c r="BB343" s="1949">
        <v>0</v>
      </c>
      <c r="BC343" s="1981">
        <v>0</v>
      </c>
    </row>
    <row r="344" spans="1:55" s="1953" customFormat="1" ht="10.15" x14ac:dyDescent="0.3">
      <c r="A344" s="2042"/>
      <c r="B344" s="2475" t="s">
        <v>1046</v>
      </c>
      <c r="C344" s="1948">
        <f t="shared" ref="C344:X344" si="350">C336+SUM(C338:C341)</f>
        <v>-4428</v>
      </c>
      <c r="D344" s="1948">
        <f t="shared" si="350"/>
        <v>-5056</v>
      </c>
      <c r="E344" s="1948">
        <f t="shared" si="350"/>
        <v>-6411</v>
      </c>
      <c r="F344" s="1948">
        <f t="shared" si="350"/>
        <v>-4209</v>
      </c>
      <c r="G344" s="1948">
        <f t="shared" si="350"/>
        <v>-5358</v>
      </c>
      <c r="H344" s="1948">
        <f t="shared" si="350"/>
        <v>-5658</v>
      </c>
      <c r="I344" s="1948">
        <f t="shared" si="350"/>
        <v>-9944</v>
      </c>
      <c r="J344" s="1948">
        <f t="shared" si="350"/>
        <v>-6580</v>
      </c>
      <c r="K344" s="1948">
        <f t="shared" si="350"/>
        <v>-8927</v>
      </c>
      <c r="L344" s="1948">
        <f t="shared" si="350"/>
        <v>-12484</v>
      </c>
      <c r="M344" s="1948">
        <f t="shared" si="350"/>
        <v>-16657</v>
      </c>
      <c r="N344" s="1948">
        <f t="shared" si="350"/>
        <v>-14826</v>
      </c>
      <c r="O344" s="1948">
        <f t="shared" si="350"/>
        <v>-15084</v>
      </c>
      <c r="P344" s="1948">
        <f t="shared" si="350"/>
        <v>-15776</v>
      </c>
      <c r="Q344" s="1948">
        <f t="shared" si="350"/>
        <v>-21654</v>
      </c>
      <c r="R344" s="1948">
        <f t="shared" si="350"/>
        <v>-19072</v>
      </c>
      <c r="S344" s="1948">
        <f t="shared" si="350"/>
        <v>-23340</v>
      </c>
      <c r="T344" s="1948">
        <f t="shared" si="350"/>
        <v>-25247</v>
      </c>
      <c r="U344" s="1948">
        <f t="shared" si="350"/>
        <v>-32584</v>
      </c>
      <c r="V344" s="1948">
        <f t="shared" si="350"/>
        <v>-29047</v>
      </c>
      <c r="W344" s="1948">
        <f t="shared" si="350"/>
        <v>-32671</v>
      </c>
      <c r="X344" s="1948">
        <f t="shared" si="350"/>
        <v>-38538</v>
      </c>
      <c r="Y344" s="1948">
        <f t="shared" ref="Y344:AP344" si="351">-(Y323-Y345)</f>
        <v>-57032</v>
      </c>
      <c r="Z344" s="1948">
        <f t="shared" si="351"/>
        <v>-52711</v>
      </c>
      <c r="AA344" s="1948">
        <f t="shared" si="351"/>
        <v>-72900</v>
      </c>
      <c r="AB344" s="1948">
        <f t="shared" si="351"/>
        <v>-71647</v>
      </c>
      <c r="AC344" s="1948">
        <f t="shared" si="351"/>
        <v>-90480</v>
      </c>
      <c r="AD344" s="1948">
        <f t="shared" si="351"/>
        <v>-84733</v>
      </c>
      <c r="AE344" s="1948">
        <f t="shared" si="351"/>
        <v>-90549</v>
      </c>
      <c r="AF344" s="1948">
        <f t="shared" si="351"/>
        <v>-98653</v>
      </c>
      <c r="AG344" s="1948">
        <f t="shared" si="351"/>
        <v>-121896</v>
      </c>
      <c r="AH344" s="1948">
        <f t="shared" si="351"/>
        <v>-107183</v>
      </c>
      <c r="AI344" s="1948">
        <f t="shared" si="351"/>
        <v>-119046</v>
      </c>
      <c r="AJ344" s="1948">
        <f t="shared" si="351"/>
        <v>-126141.90471880372</v>
      </c>
      <c r="AK344" s="1948">
        <f t="shared" si="351"/>
        <v>-153032.4136491986</v>
      </c>
      <c r="AL344" s="1948">
        <f t="shared" si="351"/>
        <v>-135334.64367086245</v>
      </c>
      <c r="AM344" s="1948">
        <f t="shared" si="351"/>
        <v>-152773.53961409681</v>
      </c>
      <c r="AN344" s="1948">
        <f t="shared" si="351"/>
        <v>-152716.53977438842</v>
      </c>
      <c r="AO344" s="1948">
        <f t="shared" si="351"/>
        <v>-191990.05857843693</v>
      </c>
      <c r="AP344" s="1948">
        <f t="shared" si="351"/>
        <v>-164700.77615724623</v>
      </c>
      <c r="AQ344" s="1949">
        <f>AQ336+SUM(AQ338:AQ341)</f>
        <v>-14875</v>
      </c>
      <c r="AR344" s="1948">
        <f>AR336+SUM(AR338:AR341)</f>
        <v>-20104</v>
      </c>
      <c r="AS344" s="1948">
        <f>AS336+SUM(AS338:AS341)</f>
        <v>-27540</v>
      </c>
      <c r="AT344" s="1981">
        <f>AT336+SUM(AT338:AT341)</f>
        <v>-52894</v>
      </c>
      <c r="AU344" s="1949">
        <f>AU336+SUM(AU338:AU341)</f>
        <v>-71586</v>
      </c>
      <c r="AV344" s="1979">
        <f t="shared" si="344"/>
        <v>-110218</v>
      </c>
      <c r="AW344" s="1948">
        <f t="shared" si="340"/>
        <v>-180952</v>
      </c>
      <c r="AX344" s="1949">
        <f t="shared" si="341"/>
        <v>-319760</v>
      </c>
      <c r="AY344" s="1974">
        <f t="shared" si="345"/>
        <v>-418281</v>
      </c>
      <c r="AZ344" s="1974">
        <f t="shared" si="346"/>
        <v>-533554.96203886473</v>
      </c>
      <c r="BA344" s="1981">
        <f>-(BA323-BA345)</f>
        <v>-662180.91412416834</v>
      </c>
      <c r="BB344" s="1949">
        <f>-(BB323-BB345)</f>
        <v>-788918.86252455669</v>
      </c>
      <c r="BC344" s="1981">
        <f>-(BC323-BC345)</f>
        <v>-927973.03902560007</v>
      </c>
    </row>
    <row r="345" spans="1:55" s="2486" customFormat="1" ht="10.15" x14ac:dyDescent="0.3">
      <c r="A345" s="2042"/>
      <c r="B345" s="2478" t="s">
        <v>1047</v>
      </c>
      <c r="C345" s="2479">
        <v>2345</v>
      </c>
      <c r="D345" s="2479">
        <v>-1106</v>
      </c>
      <c r="E345" s="2479">
        <v>5060</v>
      </c>
      <c r="F345" s="2479">
        <v>4452</v>
      </c>
      <c r="G345" s="2479">
        <v>5420</v>
      </c>
      <c r="H345" s="2479">
        <v>5248</v>
      </c>
      <c r="I345" s="2479">
        <v>8801</v>
      </c>
      <c r="J345" s="2479">
        <v>5451</v>
      </c>
      <c r="K345" s="2479">
        <f t="shared" ref="K345:Z345" si="352">SUM(K337:K343)</f>
        <v>6844</v>
      </c>
      <c r="L345" s="2479">
        <f t="shared" si="352"/>
        <v>4345</v>
      </c>
      <c r="M345" s="2479">
        <f t="shared" si="352"/>
        <v>9347</v>
      </c>
      <c r="N345" s="2479">
        <f t="shared" si="352"/>
        <v>2599</v>
      </c>
      <c r="O345" s="2479">
        <f t="shared" si="352"/>
        <v>5161</v>
      </c>
      <c r="P345" s="2479">
        <f t="shared" si="352"/>
        <v>6395</v>
      </c>
      <c r="Q345" s="2479">
        <f t="shared" si="352"/>
        <v>12434</v>
      </c>
      <c r="R345" s="2479">
        <f t="shared" si="352"/>
        <v>5112</v>
      </c>
      <c r="S345" s="2479">
        <f t="shared" si="352"/>
        <v>8814</v>
      </c>
      <c r="T345" s="2479">
        <f t="shared" si="352"/>
        <v>9045</v>
      </c>
      <c r="U345" s="2479">
        <f t="shared" si="352"/>
        <v>20664</v>
      </c>
      <c r="V345" s="2479">
        <f t="shared" si="352"/>
        <v>9532</v>
      </c>
      <c r="W345" s="2479">
        <f t="shared" si="352"/>
        <v>17513</v>
      </c>
      <c r="X345" s="2479">
        <f t="shared" si="352"/>
        <v>16584</v>
      </c>
      <c r="Y345" s="2479">
        <f t="shared" si="352"/>
        <v>25996</v>
      </c>
      <c r="Z345" s="2479">
        <f t="shared" si="352"/>
        <v>9221</v>
      </c>
      <c r="AA345" s="2479">
        <f t="shared" ref="AA345:AP345" si="353">AA400-AA381</f>
        <v>8020</v>
      </c>
      <c r="AB345" s="2479">
        <f t="shared" si="353"/>
        <v>13501</v>
      </c>
      <c r="AC345" s="2479">
        <f t="shared" si="353"/>
        <v>26798</v>
      </c>
      <c r="AD345" s="2479">
        <f t="shared" si="353"/>
        <v>8765</v>
      </c>
      <c r="AE345" s="2479">
        <f t="shared" si="353"/>
        <v>24375</v>
      </c>
      <c r="AF345" s="2479">
        <f t="shared" si="353"/>
        <v>20364</v>
      </c>
      <c r="AG345" s="2479">
        <f t="shared" si="353"/>
        <v>39560</v>
      </c>
      <c r="AH345" s="2479">
        <f t="shared" si="353"/>
        <v>7131</v>
      </c>
      <c r="AI345" s="2479">
        <f t="shared" si="353"/>
        <v>34705</v>
      </c>
      <c r="AJ345" s="2479">
        <f t="shared" si="353"/>
        <v>30643.33820893192</v>
      </c>
      <c r="AK345" s="2479">
        <f t="shared" si="353"/>
        <v>55908.387851309162</v>
      </c>
      <c r="AL345" s="2479">
        <f t="shared" si="353"/>
        <v>23611.123368022912</v>
      </c>
      <c r="AM345" s="2479">
        <f t="shared" si="353"/>
        <v>46671.592922794662</v>
      </c>
      <c r="AN345" s="2479">
        <f t="shared" si="353"/>
        <v>44080.488319581942</v>
      </c>
      <c r="AO345" s="2479">
        <f t="shared" si="353"/>
        <v>71004.676924113272</v>
      </c>
      <c r="AP345" s="2479">
        <f t="shared" si="353"/>
        <v>33179.185093876877</v>
      </c>
      <c r="AQ345" s="2480">
        <v>5015</v>
      </c>
      <c r="AR345" s="2479">
        <v>10751</v>
      </c>
      <c r="AS345" s="2481">
        <f>SUM(G345:J345)</f>
        <v>24920</v>
      </c>
      <c r="AT345" s="2482">
        <f>SUM(K345:N345)</f>
        <v>23135</v>
      </c>
      <c r="AU345" s="2483">
        <f t="shared" ref="AU345:AU353" si="354">SUM(O345:R345)</f>
        <v>29102</v>
      </c>
      <c r="AV345" s="2481">
        <f t="shared" si="344"/>
        <v>48055</v>
      </c>
      <c r="AW345" s="2481">
        <f t="shared" si="340"/>
        <v>69314</v>
      </c>
      <c r="AX345" s="2484">
        <f t="shared" si="341"/>
        <v>57084</v>
      </c>
      <c r="AY345" s="2481">
        <f t="shared" si="345"/>
        <v>91430</v>
      </c>
      <c r="AZ345" s="2481">
        <f>AZ400-AZ381</f>
        <v>144867.84942826402</v>
      </c>
      <c r="BA345" s="2485">
        <f>BA400-BA381</f>
        <v>194935.9432603668</v>
      </c>
      <c r="BB345" s="2484">
        <f>BB400-BB381</f>
        <v>262319.39170227951</v>
      </c>
      <c r="BC345" s="2485">
        <f>BC400-BC381</f>
        <v>339651.12272338901</v>
      </c>
    </row>
    <row r="346" spans="1:55" s="1953" customFormat="1" ht="10.15" x14ac:dyDescent="0.3">
      <c r="A346" s="2042"/>
      <c r="B346" s="2475" t="s">
        <v>1048</v>
      </c>
      <c r="C346" s="1975">
        <f>$AR$346/4</f>
        <v>31.606874999999999</v>
      </c>
      <c r="D346" s="1975">
        <f>$AR$346/4</f>
        <v>31.606874999999999</v>
      </c>
      <c r="E346" s="1975">
        <f>$AR$346/4</f>
        <v>31.606874999999999</v>
      </c>
      <c r="F346" s="1975">
        <f>$AR$346/4</f>
        <v>31.606874999999999</v>
      </c>
      <c r="G346" s="1975">
        <v>466</v>
      </c>
      <c r="H346" s="1975">
        <v>318</v>
      </c>
      <c r="I346" s="1975">
        <v>296</v>
      </c>
      <c r="J346" s="1975">
        <v>568</v>
      </c>
      <c r="K346" s="1975">
        <v>6828</v>
      </c>
      <c r="L346" s="1975">
        <v>468</v>
      </c>
      <c r="M346" s="1975">
        <v>313</v>
      </c>
      <c r="N346" s="1975">
        <v>1846</v>
      </c>
      <c r="O346" s="1975">
        <v>27382</v>
      </c>
      <c r="P346" s="2248">
        <v>18150</v>
      </c>
      <c r="Q346" s="1975">
        <v>2944</v>
      </c>
      <c r="R346" s="1975">
        <v>3778</v>
      </c>
      <c r="S346" s="1975">
        <v>750</v>
      </c>
      <c r="T346" s="1975">
        <v>419</v>
      </c>
      <c r="U346" s="1975">
        <v>837</v>
      </c>
      <c r="V346" s="1975">
        <v>6553</v>
      </c>
      <c r="W346" s="1948">
        <v>1472</v>
      </c>
      <c r="X346" s="1948">
        <v>3435</v>
      </c>
      <c r="Y346" s="1948">
        <v>23643</v>
      </c>
      <c r="Z346" s="1948">
        <v>1945</v>
      </c>
      <c r="AA346" s="1948">
        <v>7246</v>
      </c>
      <c r="AB346" s="1948">
        <v>6635</v>
      </c>
      <c r="AC346" s="1948">
        <v>11560</v>
      </c>
      <c r="AD346" s="1948">
        <v>18665</v>
      </c>
      <c r="AE346" s="1948">
        <v>187</v>
      </c>
      <c r="AF346" s="1948">
        <v>63348</v>
      </c>
      <c r="AG346" s="1948">
        <v>17136</v>
      </c>
      <c r="AH346" s="1948">
        <v>-7715</v>
      </c>
      <c r="AI346" s="1948">
        <v>22137</v>
      </c>
      <c r="AJ346" s="1948">
        <v>2000</v>
      </c>
      <c r="AK346" s="1948">
        <v>2000</v>
      </c>
      <c r="AL346" s="1948">
        <v>2000</v>
      </c>
      <c r="AM346" s="1948">
        <v>2000</v>
      </c>
      <c r="AN346" s="1948">
        <v>2000</v>
      </c>
      <c r="AO346" s="1948">
        <v>2000</v>
      </c>
      <c r="AP346" s="1948">
        <v>2000</v>
      </c>
      <c r="AQ346" s="1949">
        <f>AH516*3%/4</f>
        <v>2478.7725</v>
      </c>
      <c r="AR346" s="1948">
        <f>AQ516*3%/4</f>
        <v>126.42749999999999</v>
      </c>
      <c r="AS346" s="1948">
        <f>AR516*3%/4</f>
        <v>227.97</v>
      </c>
      <c r="AT346" s="1981">
        <f>AS516*3%/4</f>
        <v>247.83749999999998</v>
      </c>
      <c r="AU346" s="1978">
        <f t="shared" si="354"/>
        <v>52254</v>
      </c>
      <c r="AV346" s="1979">
        <f t="shared" si="344"/>
        <v>8559</v>
      </c>
      <c r="AW346" s="1948">
        <f t="shared" si="340"/>
        <v>30495</v>
      </c>
      <c r="AX346" s="1949">
        <f t="shared" si="341"/>
        <v>44106</v>
      </c>
      <c r="AY346" s="1948">
        <f t="shared" si="345"/>
        <v>72956</v>
      </c>
      <c r="AZ346" s="1948">
        <f>SUM(AI346:AL346)</f>
        <v>28137</v>
      </c>
      <c r="BA346" s="1981">
        <f>SUM(AM346:AP346)</f>
        <v>8000</v>
      </c>
      <c r="BB346" s="1949">
        <f>BA346*1.05</f>
        <v>8400</v>
      </c>
      <c r="BC346" s="1981">
        <f>BB346*1.05</f>
        <v>8820</v>
      </c>
    </row>
    <row r="347" spans="1:55" s="1953" customFormat="1" ht="10.15" x14ac:dyDescent="0.3">
      <c r="A347" s="2042"/>
      <c r="B347" s="2475" t="s">
        <v>1049</v>
      </c>
      <c r="C347" s="1975">
        <f>$AR$347/4</f>
        <v>-393</v>
      </c>
      <c r="D347" s="1975">
        <f>$AR$347/4</f>
        <v>-393</v>
      </c>
      <c r="E347" s="1975">
        <f>$AR$347/4</f>
        <v>-393</v>
      </c>
      <c r="F347" s="1975">
        <f>$AR$347/4</f>
        <v>-393</v>
      </c>
      <c r="G347" s="1975">
        <v>-1081</v>
      </c>
      <c r="H347" s="1975">
        <v>-374</v>
      </c>
      <c r="I347" s="1975">
        <v>-387</v>
      </c>
      <c r="J347" s="1975">
        <v>-353</v>
      </c>
      <c r="K347" s="1975">
        <v>-410</v>
      </c>
      <c r="L347" s="1975">
        <v>-521</v>
      </c>
      <c r="M347" s="1975">
        <v>-1344</v>
      </c>
      <c r="N347" s="1975">
        <v>-475</v>
      </c>
      <c r="O347" s="1975">
        <v>-477</v>
      </c>
      <c r="P347" s="1975">
        <v>-484</v>
      </c>
      <c r="Q347" s="1975">
        <v>-475</v>
      </c>
      <c r="R347" s="1975">
        <v>-510</v>
      </c>
      <c r="S347" s="1975">
        <v>-626</v>
      </c>
      <c r="T347" s="1975">
        <v>-668</v>
      </c>
      <c r="U347" s="1975">
        <v>-701</v>
      </c>
      <c r="V347" s="1975">
        <v>-676</v>
      </c>
      <c r="W347" s="1948">
        <v>-800</v>
      </c>
      <c r="X347" s="1948">
        <v>-747</v>
      </c>
      <c r="Y347" s="1948">
        <v>-844</v>
      </c>
      <c r="Z347" s="1948">
        <v>-1175</v>
      </c>
      <c r="AA347" s="1948">
        <v>-1213</v>
      </c>
      <c r="AB347" s="1948">
        <v>-1340</v>
      </c>
      <c r="AC347" s="1948">
        <v>-1334</v>
      </c>
      <c r="AD347" s="1948">
        <v>-1303</v>
      </c>
      <c r="AE347" s="1948">
        <v>-1346</v>
      </c>
      <c r="AF347" s="1948">
        <v>-1360</v>
      </c>
      <c r="AG347" s="1948">
        <v>-1309</v>
      </c>
      <c r="AH347" s="1948">
        <v>-1165</v>
      </c>
      <c r="AI347" s="1948">
        <v>-1123</v>
      </c>
      <c r="AJ347" s="1948">
        <f t="shared" ref="AJ347:AP347" si="355">AF347*1</f>
        <v>-1360</v>
      </c>
      <c r="AK347" s="1948">
        <f t="shared" si="355"/>
        <v>-1309</v>
      </c>
      <c r="AL347" s="1948">
        <f t="shared" si="355"/>
        <v>-1165</v>
      </c>
      <c r="AM347" s="1948">
        <f t="shared" si="355"/>
        <v>-1123</v>
      </c>
      <c r="AN347" s="1948">
        <f t="shared" si="355"/>
        <v>-1360</v>
      </c>
      <c r="AO347" s="1948">
        <f t="shared" si="355"/>
        <v>-1309</v>
      </c>
      <c r="AP347" s="1948">
        <f t="shared" si="355"/>
        <v>-1165</v>
      </c>
      <c r="AQ347" s="1976">
        <v>-68</v>
      </c>
      <c r="AR347" s="1974">
        <v>-1572</v>
      </c>
      <c r="AS347" s="1948">
        <v>-2195</v>
      </c>
      <c r="AT347" s="1977">
        <f t="shared" ref="AT347:AT354" si="356">SUM(K347:N347)</f>
        <v>-2750</v>
      </c>
      <c r="AU347" s="1978">
        <f t="shared" si="354"/>
        <v>-1946</v>
      </c>
      <c r="AV347" s="1979">
        <f t="shared" si="344"/>
        <v>-2671</v>
      </c>
      <c r="AW347" s="1948">
        <f t="shared" si="340"/>
        <v>-3566</v>
      </c>
      <c r="AX347" s="1949">
        <f t="shared" si="341"/>
        <v>-5190</v>
      </c>
      <c r="AY347" s="1948">
        <f t="shared" si="345"/>
        <v>-5180</v>
      </c>
      <c r="AZ347" s="1948">
        <f>SUM(AI347:AL347)</f>
        <v>-4957</v>
      </c>
      <c r="BA347" s="1981">
        <f>SUM(AM347:AP347)</f>
        <v>-4957</v>
      </c>
      <c r="BB347" s="1949">
        <f>BA347*1.3</f>
        <v>-6444.1</v>
      </c>
      <c r="BC347" s="1981">
        <f>BB347*1.3</f>
        <v>-8377.33</v>
      </c>
    </row>
    <row r="348" spans="1:55" s="1953" customFormat="1" ht="10.15" x14ac:dyDescent="0.3">
      <c r="A348" s="2042"/>
      <c r="B348" s="2475" t="s">
        <v>1050</v>
      </c>
      <c r="C348" s="1975">
        <f>$AR$348/4</f>
        <v>223.5</v>
      </c>
      <c r="D348" s="1975">
        <f>$AR$348/4</f>
        <v>223.5</v>
      </c>
      <c r="E348" s="1975">
        <f>$AR$348/4</f>
        <v>223.5</v>
      </c>
      <c r="F348" s="1975">
        <f>$AR$348/4</f>
        <v>223.5</v>
      </c>
      <c r="G348" s="1975">
        <v>241</v>
      </c>
      <c r="H348" s="1975">
        <v>389</v>
      </c>
      <c r="I348" s="1975">
        <v>548</v>
      </c>
      <c r="J348" s="1975">
        <v>1251</v>
      </c>
      <c r="K348" s="1975">
        <v>711</v>
      </c>
      <c r="L348" s="1975">
        <v>378</v>
      </c>
      <c r="M348" s="2248">
        <v>901</v>
      </c>
      <c r="N348" s="1975">
        <v>496</v>
      </c>
      <c r="O348" s="1975">
        <v>551</v>
      </c>
      <c r="P348" s="1975">
        <v>429</v>
      </c>
      <c r="Q348" s="1975">
        <v>1607</v>
      </c>
      <c r="R348" s="1975">
        <v>-529</v>
      </c>
      <c r="S348" s="1975">
        <v>1763</v>
      </c>
      <c r="T348" s="1975">
        <v>868</v>
      </c>
      <c r="U348" s="1975">
        <v>3015</v>
      </c>
      <c r="V348" s="1975">
        <v>440</v>
      </c>
      <c r="W348" s="1948">
        <v>1887</v>
      </c>
      <c r="X348" s="1948">
        <v>1737</v>
      </c>
      <c r="Y348" s="1948">
        <v>-348</v>
      </c>
      <c r="Z348" s="1948">
        <v>884</v>
      </c>
      <c r="AA348" s="1948">
        <v>-83</v>
      </c>
      <c r="AB348" s="1948">
        <v>-1532</v>
      </c>
      <c r="AC348" s="1948">
        <v>387</v>
      </c>
      <c r="AD348" s="1948">
        <v>1449</v>
      </c>
      <c r="AE348" s="1948">
        <v>2101</v>
      </c>
      <c r="AF348" s="1948">
        <v>3171</v>
      </c>
      <c r="AG348" s="1948">
        <v>987</v>
      </c>
      <c r="AH348" s="1948">
        <v>1180</v>
      </c>
      <c r="AI348" s="1948">
        <v>1493</v>
      </c>
      <c r="AJ348" s="1948">
        <f t="shared" ref="AJ348:AP348" si="357">AJ349+AJ350</f>
        <v>963</v>
      </c>
      <c r="AK348" s="1948">
        <f t="shared" si="357"/>
        <v>987</v>
      </c>
      <c r="AL348" s="1948">
        <f t="shared" si="357"/>
        <v>1180</v>
      </c>
      <c r="AM348" s="1948">
        <f t="shared" si="357"/>
        <v>1493</v>
      </c>
      <c r="AN348" s="1948">
        <f t="shared" si="357"/>
        <v>963</v>
      </c>
      <c r="AO348" s="1948">
        <f t="shared" si="357"/>
        <v>987</v>
      </c>
      <c r="AP348" s="1948">
        <f t="shared" si="357"/>
        <v>1180</v>
      </c>
      <c r="AQ348" s="1976">
        <v>327</v>
      </c>
      <c r="AR348" s="1974">
        <v>894</v>
      </c>
      <c r="AS348" s="1948">
        <v>2429</v>
      </c>
      <c r="AT348" s="1977">
        <f t="shared" si="356"/>
        <v>2486</v>
      </c>
      <c r="AU348" s="1978">
        <f t="shared" si="354"/>
        <v>2058</v>
      </c>
      <c r="AV348" s="1979">
        <f t="shared" si="344"/>
        <v>6086</v>
      </c>
      <c r="AW348" s="1948">
        <f t="shared" si="340"/>
        <v>4160</v>
      </c>
      <c r="AX348" s="1949">
        <f>AX349+AX350</f>
        <v>221</v>
      </c>
      <c r="AY348" s="1948">
        <f>AY349+AY350</f>
        <v>7439</v>
      </c>
      <c r="AZ348" s="1948">
        <f>AZ349+AZ350</f>
        <v>4623</v>
      </c>
      <c r="BA348" s="1981">
        <f>SUM(AM348:AP348)</f>
        <v>4623</v>
      </c>
      <c r="BB348" s="1949">
        <f>BB349+BB350</f>
        <v>4623</v>
      </c>
      <c r="BC348" s="1981">
        <f>BC349+BC350</f>
        <v>4623</v>
      </c>
    </row>
    <row r="349" spans="1:55" s="1999" customFormat="1" ht="10.15" x14ac:dyDescent="0.3">
      <c r="A349" s="2000"/>
      <c r="B349" s="2487" t="s">
        <v>1051</v>
      </c>
      <c r="C349" s="2488"/>
      <c r="D349" s="2488"/>
      <c r="E349" s="2488"/>
      <c r="F349" s="2488"/>
      <c r="G349" s="2488"/>
      <c r="H349" s="2488"/>
      <c r="I349" s="2488"/>
      <c r="J349" s="2488">
        <v>1130</v>
      </c>
      <c r="K349" s="2488">
        <v>527</v>
      </c>
      <c r="L349" s="2488">
        <v>378</v>
      </c>
      <c r="M349" s="2488">
        <v>411</v>
      </c>
      <c r="N349" s="2488">
        <v>266</v>
      </c>
      <c r="O349" s="2488">
        <v>364</v>
      </c>
      <c r="P349" s="2488">
        <v>463</v>
      </c>
      <c r="Q349" s="2488">
        <v>502</v>
      </c>
      <c r="R349" s="2488">
        <v>-207</v>
      </c>
      <c r="S349" s="2488">
        <v>372</v>
      </c>
      <c r="T349" s="2488">
        <v>413</v>
      </c>
      <c r="U349" s="2488">
        <v>512</v>
      </c>
      <c r="V349" s="2488">
        <v>789</v>
      </c>
      <c r="W349" s="1995">
        <v>1966</v>
      </c>
      <c r="X349" s="1995">
        <v>1995</v>
      </c>
      <c r="Y349" s="1995">
        <v>196</v>
      </c>
      <c r="Z349" s="1995">
        <v>-713</v>
      </c>
      <c r="AA349" s="1995">
        <v>910</v>
      </c>
      <c r="AB349" s="1995">
        <v>-910</v>
      </c>
      <c r="AC349" s="1995">
        <v>0</v>
      </c>
      <c r="AD349" s="1995">
        <v>517</v>
      </c>
      <c r="AE349" s="1995">
        <v>1627</v>
      </c>
      <c r="AF349" s="1995">
        <v>2208</v>
      </c>
      <c r="AG349" s="1995"/>
      <c r="AH349" s="1995"/>
      <c r="AI349" s="1995"/>
      <c r="AJ349" s="1995"/>
      <c r="AK349" s="1995"/>
      <c r="AL349" s="1995"/>
      <c r="AM349" s="1995"/>
      <c r="AN349" s="1995"/>
      <c r="AO349" s="1995"/>
      <c r="AP349" s="1995"/>
      <c r="AQ349" s="1993"/>
      <c r="AR349" s="1994"/>
      <c r="AS349" s="1995"/>
      <c r="AT349" s="2023">
        <f t="shared" si="356"/>
        <v>1582</v>
      </c>
      <c r="AU349" s="2024">
        <f t="shared" si="354"/>
        <v>1122</v>
      </c>
      <c r="AV349" s="2025">
        <f t="shared" si="344"/>
        <v>2086</v>
      </c>
      <c r="AW349" s="1995">
        <f t="shared" si="340"/>
        <v>3444</v>
      </c>
      <c r="AX349" s="1997">
        <f>SUM(AA349:AD349)</f>
        <v>517</v>
      </c>
      <c r="AY349" s="1995">
        <f>SUM(AE349:AH349)</f>
        <v>3835</v>
      </c>
      <c r="AZ349" s="1995"/>
      <c r="BA349" s="1996"/>
      <c r="BB349" s="1997"/>
      <c r="BC349" s="1996"/>
    </row>
    <row r="350" spans="1:55" s="1953" customFormat="1" ht="10.15" x14ac:dyDescent="0.3">
      <c r="A350" s="2042"/>
      <c r="B350" s="2475" t="s">
        <v>1052</v>
      </c>
      <c r="C350" s="1975"/>
      <c r="D350" s="1975"/>
      <c r="E350" s="1975"/>
      <c r="F350" s="1975"/>
      <c r="G350" s="1975"/>
      <c r="H350" s="1975"/>
      <c r="I350" s="1975"/>
      <c r="J350" s="1975">
        <f t="shared" ref="J350:AI350" si="358">J348-J349</f>
        <v>121</v>
      </c>
      <c r="K350" s="1975">
        <f t="shared" si="358"/>
        <v>184</v>
      </c>
      <c r="L350" s="1975">
        <f t="shared" si="358"/>
        <v>0</v>
      </c>
      <c r="M350" s="2248">
        <f t="shared" si="358"/>
        <v>490</v>
      </c>
      <c r="N350" s="1975">
        <f t="shared" si="358"/>
        <v>230</v>
      </c>
      <c r="O350" s="1975">
        <f t="shared" si="358"/>
        <v>187</v>
      </c>
      <c r="P350" s="1975">
        <f t="shared" si="358"/>
        <v>-34</v>
      </c>
      <c r="Q350" s="1975">
        <f t="shared" si="358"/>
        <v>1105</v>
      </c>
      <c r="R350" s="1975">
        <f t="shared" si="358"/>
        <v>-322</v>
      </c>
      <c r="S350" s="1975">
        <f t="shared" si="358"/>
        <v>1391</v>
      </c>
      <c r="T350" s="1975">
        <f t="shared" si="358"/>
        <v>455</v>
      </c>
      <c r="U350" s="1975">
        <f t="shared" si="358"/>
        <v>2503</v>
      </c>
      <c r="V350" s="1975">
        <f t="shared" si="358"/>
        <v>-349</v>
      </c>
      <c r="W350" s="1975">
        <f t="shared" si="358"/>
        <v>-79</v>
      </c>
      <c r="X350" s="1975">
        <f t="shared" si="358"/>
        <v>-258</v>
      </c>
      <c r="Y350" s="1975">
        <f t="shared" si="358"/>
        <v>-544</v>
      </c>
      <c r="Z350" s="1948">
        <f t="shared" si="358"/>
        <v>1597</v>
      </c>
      <c r="AA350" s="1948">
        <f t="shared" si="358"/>
        <v>-993</v>
      </c>
      <c r="AB350" s="1948">
        <f t="shared" si="358"/>
        <v>-622</v>
      </c>
      <c r="AC350" s="1948">
        <f t="shared" si="358"/>
        <v>387</v>
      </c>
      <c r="AD350" s="1948">
        <f t="shared" si="358"/>
        <v>932</v>
      </c>
      <c r="AE350" s="1948">
        <f t="shared" si="358"/>
        <v>474</v>
      </c>
      <c r="AF350" s="1948">
        <f t="shared" si="358"/>
        <v>963</v>
      </c>
      <c r="AG350" s="1948">
        <f t="shared" si="358"/>
        <v>987</v>
      </c>
      <c r="AH350" s="1948">
        <f t="shared" si="358"/>
        <v>1180</v>
      </c>
      <c r="AI350" s="1948">
        <f t="shared" si="358"/>
        <v>1493</v>
      </c>
      <c r="AJ350" s="1948">
        <f t="shared" ref="AJ350:AP350" si="359">AF350</f>
        <v>963</v>
      </c>
      <c r="AK350" s="1948">
        <f t="shared" si="359"/>
        <v>987</v>
      </c>
      <c r="AL350" s="1948">
        <f t="shared" si="359"/>
        <v>1180</v>
      </c>
      <c r="AM350" s="1948">
        <f t="shared" si="359"/>
        <v>1493</v>
      </c>
      <c r="AN350" s="1948">
        <f t="shared" si="359"/>
        <v>963</v>
      </c>
      <c r="AO350" s="1948">
        <f t="shared" si="359"/>
        <v>987</v>
      </c>
      <c r="AP350" s="1948">
        <f t="shared" si="359"/>
        <v>1180</v>
      </c>
      <c r="AQ350" s="1976">
        <v>5532</v>
      </c>
      <c r="AR350" s="1974">
        <v>10112</v>
      </c>
      <c r="AS350" s="1948">
        <f>SUM(AS344:AS347)</f>
        <v>-4587.0300000000007</v>
      </c>
      <c r="AT350" s="1977">
        <f t="shared" si="356"/>
        <v>904</v>
      </c>
      <c r="AU350" s="1949">
        <f t="shared" si="354"/>
        <v>936</v>
      </c>
      <c r="AV350" s="1979">
        <f t="shared" si="344"/>
        <v>4000</v>
      </c>
      <c r="AW350" s="1948">
        <f t="shared" si="340"/>
        <v>716</v>
      </c>
      <c r="AX350" s="1949">
        <f>SUM(AA350:AD350)</f>
        <v>-296</v>
      </c>
      <c r="AY350" s="1948">
        <f>SUM(AE350:AH350)</f>
        <v>3604</v>
      </c>
      <c r="AZ350" s="1948">
        <f>SUM(AI350:AL350)</f>
        <v>4623</v>
      </c>
      <c r="BA350" s="1981">
        <f>SUM(AM350:AP350)</f>
        <v>4623</v>
      </c>
      <c r="BB350" s="1949">
        <f>BA350</f>
        <v>4623</v>
      </c>
      <c r="BC350" s="1981">
        <f>BB350</f>
        <v>4623</v>
      </c>
    </row>
    <row r="351" spans="1:55" s="1999" customFormat="1" ht="10.15" x14ac:dyDescent="0.3">
      <c r="A351" s="2042"/>
      <c r="B351" s="2487" t="s">
        <v>1053</v>
      </c>
      <c r="C351" s="2474">
        <f t="shared" ref="C351:H351" si="360">SUM(C345:C348)</f>
        <v>2207.1068749999999</v>
      </c>
      <c r="D351" s="2474">
        <f t="shared" si="360"/>
        <v>-1243.8931250000001</v>
      </c>
      <c r="E351" s="2474">
        <f t="shared" si="360"/>
        <v>4922.1068750000004</v>
      </c>
      <c r="F351" s="2474">
        <f t="shared" si="360"/>
        <v>4314.1068750000004</v>
      </c>
      <c r="G351" s="1994">
        <f t="shared" si="360"/>
        <v>5046</v>
      </c>
      <c r="H351" s="1994">
        <f t="shared" si="360"/>
        <v>5581</v>
      </c>
      <c r="I351" s="1994">
        <v>9258</v>
      </c>
      <c r="J351" s="1994">
        <f>SUM(J345:J349)</f>
        <v>8047</v>
      </c>
      <c r="K351" s="2488">
        <f t="shared" ref="K351:R351" si="361">SUM(K345:K348)</f>
        <v>13973</v>
      </c>
      <c r="L351" s="2488">
        <f t="shared" si="361"/>
        <v>4670</v>
      </c>
      <c r="M351" s="2488">
        <f t="shared" si="361"/>
        <v>9217</v>
      </c>
      <c r="N351" s="1995">
        <f t="shared" si="361"/>
        <v>4466</v>
      </c>
      <c r="O351" s="1995">
        <f t="shared" si="361"/>
        <v>32617</v>
      </c>
      <c r="P351" s="2488">
        <f t="shared" si="361"/>
        <v>24490</v>
      </c>
      <c r="Q351" s="1995">
        <f t="shared" si="361"/>
        <v>16510</v>
      </c>
      <c r="R351" s="1995">
        <f t="shared" si="361"/>
        <v>7851</v>
      </c>
      <c r="S351" s="1995">
        <f t="shared" ref="S351:AP351" si="362">S345+S346+S347+S348</f>
        <v>10701</v>
      </c>
      <c r="T351" s="1995">
        <f t="shared" si="362"/>
        <v>9664</v>
      </c>
      <c r="U351" s="1995">
        <f t="shared" si="362"/>
        <v>23815</v>
      </c>
      <c r="V351" s="1995">
        <f t="shared" si="362"/>
        <v>15849</v>
      </c>
      <c r="W351" s="1995">
        <f t="shared" si="362"/>
        <v>20072</v>
      </c>
      <c r="X351" s="1995">
        <f t="shared" si="362"/>
        <v>21009</v>
      </c>
      <c r="Y351" s="1995">
        <f t="shared" si="362"/>
        <v>48447</v>
      </c>
      <c r="Z351" s="1995">
        <f t="shared" si="362"/>
        <v>10875</v>
      </c>
      <c r="AA351" s="1995">
        <f t="shared" si="362"/>
        <v>13970</v>
      </c>
      <c r="AB351" s="1995">
        <f t="shared" si="362"/>
        <v>17264</v>
      </c>
      <c r="AC351" s="1995">
        <f t="shared" si="362"/>
        <v>37411</v>
      </c>
      <c r="AD351" s="1995">
        <f t="shared" si="362"/>
        <v>27576</v>
      </c>
      <c r="AE351" s="1995">
        <f t="shared" si="362"/>
        <v>25317</v>
      </c>
      <c r="AF351" s="1995">
        <f t="shared" si="362"/>
        <v>85523</v>
      </c>
      <c r="AG351" s="1995">
        <f t="shared" si="362"/>
        <v>56374</v>
      </c>
      <c r="AH351" s="1995">
        <f t="shared" si="362"/>
        <v>-569</v>
      </c>
      <c r="AI351" s="1995">
        <f t="shared" si="362"/>
        <v>57212</v>
      </c>
      <c r="AJ351" s="1995">
        <f t="shared" si="362"/>
        <v>32246.33820893192</v>
      </c>
      <c r="AK351" s="1995">
        <f t="shared" si="362"/>
        <v>57586.387851309162</v>
      </c>
      <c r="AL351" s="1995">
        <f t="shared" si="362"/>
        <v>25626.123368022912</v>
      </c>
      <c r="AM351" s="1995">
        <f t="shared" si="362"/>
        <v>49041.592922794662</v>
      </c>
      <c r="AN351" s="1995">
        <f t="shared" si="362"/>
        <v>45683.488319581942</v>
      </c>
      <c r="AO351" s="1995">
        <f t="shared" si="362"/>
        <v>72682.676924113272</v>
      </c>
      <c r="AP351" s="1995">
        <f t="shared" si="362"/>
        <v>35194.185093876877</v>
      </c>
      <c r="AQ351" s="1993">
        <v>5532</v>
      </c>
      <c r="AR351" s="1994">
        <v>10112</v>
      </c>
      <c r="AS351" s="1995">
        <f>SUM(AS345:AS348)</f>
        <v>25381.97</v>
      </c>
      <c r="AT351" s="2023">
        <f t="shared" si="356"/>
        <v>32326</v>
      </c>
      <c r="AU351" s="1997">
        <f t="shared" si="354"/>
        <v>81468</v>
      </c>
      <c r="AV351" s="2025">
        <f t="shared" si="344"/>
        <v>60029</v>
      </c>
      <c r="AW351" s="1995">
        <f t="shared" si="340"/>
        <v>100403</v>
      </c>
      <c r="AX351" s="1997">
        <f>SUM(AA351:AD351)</f>
        <v>96221</v>
      </c>
      <c r="AY351" s="1995">
        <f>AY345+AY346+AY347+AY348</f>
        <v>166645</v>
      </c>
      <c r="AZ351" s="1995">
        <f>AZ345+AZ346+AZ347+AZ348</f>
        <v>172670.84942826402</v>
      </c>
      <c r="BA351" s="1996">
        <f>BA345+BA346+BA347+BA348</f>
        <v>202601.9432603668</v>
      </c>
      <c r="BB351" s="1997">
        <f>BB345+BB346+BB347+BB348</f>
        <v>268898.29170227953</v>
      </c>
      <c r="BC351" s="1996">
        <f>BC345+BC346+BC347+BC348</f>
        <v>344716.79272338899</v>
      </c>
    </row>
    <row r="352" spans="1:55" s="1953" customFormat="1" ht="10.15" x14ac:dyDescent="0.3">
      <c r="A352" s="2042"/>
      <c r="B352" s="2475" t="s">
        <v>1054</v>
      </c>
      <c r="C352" s="1975">
        <f>$AR$352/3</f>
        <v>-485.66666666666669</v>
      </c>
      <c r="D352" s="1975"/>
      <c r="E352" s="1975">
        <f>$AR$352/3</f>
        <v>-485.66666666666669</v>
      </c>
      <c r="F352" s="1975">
        <f>$AR$352/3</f>
        <v>-485.66666666666669</v>
      </c>
      <c r="G352" s="1974">
        <v>-591</v>
      </c>
      <c r="H352" s="1974">
        <v>-637</v>
      </c>
      <c r="I352" s="1974">
        <v>-741</v>
      </c>
      <c r="J352" s="1974">
        <v>-1227</v>
      </c>
      <c r="K352" s="1974">
        <v>-1445</v>
      </c>
      <c r="L352" s="1974">
        <v>-1339</v>
      </c>
      <c r="M352" s="1974">
        <v>-2429</v>
      </c>
      <c r="N352" s="1974">
        <v>-1203</v>
      </c>
      <c r="O352" s="1974">
        <v>-1394</v>
      </c>
      <c r="P352" s="2248">
        <v>-1671</v>
      </c>
      <c r="Q352" s="1974">
        <v>-3559</v>
      </c>
      <c r="R352" s="1974">
        <v>-1825</v>
      </c>
      <c r="S352" s="1974">
        <v>-2091</v>
      </c>
      <c r="T352" s="1974">
        <v>-2022</v>
      </c>
      <c r="U352" s="1974">
        <v>-5110</v>
      </c>
      <c r="V352" s="1974">
        <v>-4553</v>
      </c>
      <c r="W352" s="1974">
        <v>-4653</v>
      </c>
      <c r="X352" s="1974">
        <v>-2719</v>
      </c>
      <c r="Y352" s="1974">
        <v>-6663</v>
      </c>
      <c r="Z352" s="1948">
        <v>-4164</v>
      </c>
      <c r="AA352" s="1974">
        <v>-5665</v>
      </c>
      <c r="AB352" s="1974">
        <v>-277</v>
      </c>
      <c r="AC352" s="1974">
        <v>-5586</v>
      </c>
      <c r="AD352" s="1974">
        <v>-5025</v>
      </c>
      <c r="AE352" s="1974">
        <v>-6712</v>
      </c>
      <c r="AF352" s="1974">
        <v>-2815</v>
      </c>
      <c r="AG352" s="1974">
        <v>-8407</v>
      </c>
      <c r="AH352" s="1974">
        <v>-2628</v>
      </c>
      <c r="AI352" s="1974">
        <v>-11124</v>
      </c>
      <c r="AJ352" s="1974">
        <f t="shared" ref="AJ352:AP352" si="363">AJ442*AJ401-AJ396</f>
        <v>-9725.3536917863839</v>
      </c>
      <c r="AK352" s="1974">
        <f t="shared" si="363"/>
        <v>-14697.609080261835</v>
      </c>
      <c r="AL352" s="1974">
        <f t="shared" si="363"/>
        <v>-7454.7258882045844</v>
      </c>
      <c r="AM352" s="1974">
        <f t="shared" si="363"/>
        <v>-14358.444745304934</v>
      </c>
      <c r="AN352" s="1974">
        <f t="shared" si="363"/>
        <v>-12777.789257719851</v>
      </c>
      <c r="AO352" s="1974">
        <f t="shared" si="363"/>
        <v>-18112.697784414151</v>
      </c>
      <c r="AP352" s="1974">
        <f t="shared" si="363"/>
        <v>-9254.3117154127867</v>
      </c>
      <c r="AQ352" s="2489">
        <v>-842</v>
      </c>
      <c r="AR352" s="2079">
        <v>-1457</v>
      </c>
      <c r="AS352" s="2490">
        <v>-3196</v>
      </c>
      <c r="AT352" s="2081">
        <f t="shared" si="356"/>
        <v>-6416</v>
      </c>
      <c r="AU352" s="2080">
        <f t="shared" si="354"/>
        <v>-8449</v>
      </c>
      <c r="AV352" s="2491">
        <f t="shared" si="344"/>
        <v>-13776</v>
      </c>
      <c r="AW352" s="2490">
        <f t="shared" si="340"/>
        <v>-18199</v>
      </c>
      <c r="AX352" s="2492">
        <f>SUM(AA352:AD352)</f>
        <v>-16553</v>
      </c>
      <c r="AY352" s="2490">
        <f>SUM(AE352:AH352)</f>
        <v>-20562</v>
      </c>
      <c r="AZ352" s="2490">
        <f>SUM(AI352:AL352)</f>
        <v>-43001.688660252803</v>
      </c>
      <c r="BA352" s="2493">
        <f>SUM(AM352:AP352)</f>
        <v>-54503.243502851721</v>
      </c>
      <c r="BB352" s="2492">
        <f>BB442*BB401-BB396</f>
        <v>-69119.480124666254</v>
      </c>
      <c r="BC352" s="2493">
        <f>BC442*BC401-BC396</f>
        <v>-86446.683105286662</v>
      </c>
    </row>
    <row r="353" spans="1:57" s="1953" customFormat="1" ht="10.15" x14ac:dyDescent="0.3">
      <c r="A353" s="2042"/>
      <c r="B353" s="2494" t="s">
        <v>1055</v>
      </c>
      <c r="C353" s="2399">
        <f>$AR$353/4</f>
        <v>-1.5</v>
      </c>
      <c r="D353" s="2399">
        <f>$AR$353/4</f>
        <v>-1.5</v>
      </c>
      <c r="E353" s="2399">
        <f>$AR$353/4</f>
        <v>-1.5</v>
      </c>
      <c r="F353" s="2399">
        <f>$AR$353/4</f>
        <v>-1.5</v>
      </c>
      <c r="G353" s="2399">
        <v>-7</v>
      </c>
      <c r="H353" s="2495">
        <v>-7</v>
      </c>
      <c r="I353" s="2399">
        <v>-160</v>
      </c>
      <c r="J353" s="2399">
        <v>-29</v>
      </c>
      <c r="K353" s="2399">
        <v>-90</v>
      </c>
      <c r="L353" s="2399">
        <v>-301</v>
      </c>
      <c r="M353" s="2399">
        <v>-805</v>
      </c>
      <c r="N353" s="2399">
        <v>-394</v>
      </c>
      <c r="O353" s="2399">
        <v>-407</v>
      </c>
      <c r="P353" s="2495">
        <v>-116</v>
      </c>
      <c r="Q353" s="2399">
        <v>-495</v>
      </c>
      <c r="R353" s="2399">
        <v>-712</v>
      </c>
      <c r="S353" s="2399">
        <v>-1468</v>
      </c>
      <c r="T353" s="2399">
        <v>-567</v>
      </c>
      <c r="U353" s="2399">
        <v>-1548</v>
      </c>
      <c r="V353" s="2399">
        <v>-1444</v>
      </c>
      <c r="W353" s="2399">
        <v>-1388</v>
      </c>
      <c r="X353" s="2399">
        <v>-882</v>
      </c>
      <c r="Y353" s="2399">
        <f>SUM(Y355:Y361)</f>
        <v>-18452</v>
      </c>
      <c r="Z353" s="2399">
        <f>SUM(Z355:Z361)</f>
        <v>-70</v>
      </c>
      <c r="AA353" s="2399">
        <f>SUM(AA355:AA361)</f>
        <v>-655</v>
      </c>
      <c r="AB353" s="2399">
        <f t="shared" ref="AB353:AP353" si="364">SUM(AB354:AB361)</f>
        <v>1254</v>
      </c>
      <c r="AC353" s="2399">
        <f t="shared" si="364"/>
        <v>-861</v>
      </c>
      <c r="AD353" s="2399">
        <f t="shared" si="364"/>
        <v>828</v>
      </c>
      <c r="AE353" s="2399">
        <f t="shared" si="364"/>
        <v>517</v>
      </c>
      <c r="AF353" s="2399">
        <f t="shared" si="364"/>
        <v>-11960</v>
      </c>
      <c r="AG353" s="2399">
        <f t="shared" si="364"/>
        <v>2165</v>
      </c>
      <c r="AH353" s="2399">
        <f t="shared" si="364"/>
        <v>3545</v>
      </c>
      <c r="AI353" s="2399">
        <f t="shared" si="364"/>
        <v>349</v>
      </c>
      <c r="AJ353" s="2399">
        <f t="shared" si="364"/>
        <v>3145.8</v>
      </c>
      <c r="AK353" s="2399">
        <f t="shared" si="364"/>
        <v>3223.5</v>
      </c>
      <c r="AL353" s="2399">
        <f t="shared" si="364"/>
        <v>2811.5</v>
      </c>
      <c r="AM353" s="2399">
        <f t="shared" si="364"/>
        <v>2866.8</v>
      </c>
      <c r="AN353" s="2399">
        <f t="shared" si="364"/>
        <v>4332.12</v>
      </c>
      <c r="AO353" s="2399">
        <f t="shared" si="364"/>
        <v>4583.55</v>
      </c>
      <c r="AP353" s="2399">
        <f t="shared" si="364"/>
        <v>4378.55</v>
      </c>
      <c r="AQ353" s="1976">
        <v>-25</v>
      </c>
      <c r="AR353" s="1974">
        <v>-6</v>
      </c>
      <c r="AS353" s="1948">
        <v>-203</v>
      </c>
      <c r="AT353" s="1981">
        <f t="shared" si="356"/>
        <v>-1590</v>
      </c>
      <c r="AU353" s="1978">
        <f t="shared" si="354"/>
        <v>-1730</v>
      </c>
      <c r="AV353" s="1948">
        <f t="shared" si="344"/>
        <v>-5027</v>
      </c>
      <c r="AW353" s="1948">
        <f t="shared" si="340"/>
        <v>-20792</v>
      </c>
      <c r="AX353" s="1949">
        <f>SUM(AA353:AD353)</f>
        <v>566</v>
      </c>
      <c r="AY353" s="1948">
        <f>SUM(AY354:AY361)</f>
        <v>-5733</v>
      </c>
      <c r="AZ353" s="1948">
        <f>SUM(AZ354:AZ361)</f>
        <v>9529.7999999999993</v>
      </c>
      <c r="BA353" s="1981">
        <f>SUM(BA354:BA361)</f>
        <v>16161.02</v>
      </c>
      <c r="BB353" s="1949">
        <f>SUM(BB354:BB361)</f>
        <v>22111.718000000001</v>
      </c>
      <c r="BC353" s="1981">
        <f>SUM(BC354:BC361)</f>
        <v>29738.106200000002</v>
      </c>
    </row>
    <row r="354" spans="1:57" s="1999" customFormat="1" ht="10.15" x14ac:dyDescent="0.3">
      <c r="A354" s="2000"/>
      <c r="B354" s="2496" t="s">
        <v>1056</v>
      </c>
      <c r="C354" s="1995"/>
      <c r="D354" s="1995"/>
      <c r="E354" s="1995"/>
      <c r="F354" s="1995"/>
      <c r="G354" s="1995"/>
      <c r="H354" s="1994"/>
      <c r="I354" s="1995"/>
      <c r="J354" s="1995"/>
      <c r="K354" s="1995"/>
      <c r="L354" s="1995"/>
      <c r="M354" s="1995"/>
      <c r="N354" s="1995"/>
      <c r="O354" s="1995"/>
      <c r="P354" s="1995"/>
      <c r="Q354" s="1995"/>
      <c r="R354" s="1995"/>
      <c r="S354" s="1995"/>
      <c r="T354" s="1995"/>
      <c r="U354" s="1995"/>
      <c r="V354" s="1995"/>
      <c r="W354" s="1995"/>
      <c r="X354" s="1995"/>
      <c r="Y354" s="1995"/>
      <c r="Z354" s="1995"/>
      <c r="AA354" s="1995"/>
      <c r="AB354" s="1995"/>
      <c r="AC354" s="1995"/>
      <c r="AD354" s="1995"/>
      <c r="AE354" s="1995"/>
      <c r="AF354" s="1995"/>
      <c r="AG354" s="1995">
        <v>215</v>
      </c>
      <c r="AH354" s="1995">
        <v>5109</v>
      </c>
      <c r="AI354" s="1995">
        <v>3034</v>
      </c>
      <c r="AJ354" s="1995">
        <v>3465</v>
      </c>
      <c r="AK354" s="1995">
        <v>3630</v>
      </c>
      <c r="AL354" s="1995">
        <v>3938</v>
      </c>
      <c r="AM354" s="1995">
        <v>3960</v>
      </c>
      <c r="AN354" s="1995">
        <v>4620</v>
      </c>
      <c r="AO354" s="1995">
        <v>4950</v>
      </c>
      <c r="AP354" s="1995">
        <v>5393</v>
      </c>
      <c r="AQ354" s="1993"/>
      <c r="AR354" s="1994"/>
      <c r="AS354" s="1995"/>
      <c r="AT354" s="1996">
        <f t="shared" si="356"/>
        <v>0</v>
      </c>
      <c r="AU354" s="1997"/>
      <c r="AV354" s="1995"/>
      <c r="AW354" s="1995"/>
      <c r="AX354" s="1997"/>
      <c r="AY354" s="1995">
        <f t="shared" ref="AY354:AY361" si="365">SUM(AE354:AH354)</f>
        <v>5324</v>
      </c>
      <c r="AZ354" s="1995">
        <f t="shared" ref="AZ354:AZ361" si="366">SUM(AI354:AL354)</f>
        <v>14067</v>
      </c>
      <c r="BA354" s="1996">
        <f t="shared" ref="BA354:BA361" si="367">SUM(AM354:AP354)</f>
        <v>18923</v>
      </c>
      <c r="BB354" s="1997">
        <f>BA354*(1+30%)</f>
        <v>24599.9</v>
      </c>
      <c r="BC354" s="1996">
        <f>BB354*(1+30%)</f>
        <v>31979.870000000003</v>
      </c>
      <c r="BD354" s="2497"/>
      <c r="BE354" s="2497"/>
    </row>
    <row r="355" spans="1:57" s="1953" customFormat="1" ht="10.15" x14ac:dyDescent="0.3">
      <c r="A355" s="2042"/>
      <c r="B355" s="2498" t="s">
        <v>1057</v>
      </c>
      <c r="C355" s="1948"/>
      <c r="D355" s="1948"/>
      <c r="E355" s="1948"/>
      <c r="F355" s="1948"/>
      <c r="G355" s="1948"/>
      <c r="H355" s="1974"/>
      <c r="I355" s="1948"/>
      <c r="J355" s="1948"/>
      <c r="K355" s="1948"/>
      <c r="L355" s="1948"/>
      <c r="M355" s="1948"/>
      <c r="N355" s="1948"/>
      <c r="O355" s="1948">
        <v>0</v>
      </c>
      <c r="P355" s="1948">
        <v>0</v>
      </c>
      <c r="Q355" s="1948">
        <v>-105</v>
      </c>
      <c r="R355" s="1948">
        <v>-762</v>
      </c>
      <c r="S355" s="1948">
        <v>-245</v>
      </c>
      <c r="T355" s="1948">
        <v>-3</v>
      </c>
      <c r="U355" s="1948">
        <v>-237</v>
      </c>
      <c r="V355" s="1948">
        <v>-505</v>
      </c>
      <c r="W355" s="1948">
        <v>-391</v>
      </c>
      <c r="X355" s="1948">
        <v>-369</v>
      </c>
      <c r="Y355" s="1948">
        <v>-580</v>
      </c>
      <c r="Z355" s="1948">
        <v>0</v>
      </c>
      <c r="AA355" s="1948">
        <v>0</v>
      </c>
      <c r="AB355" s="1948">
        <v>0</v>
      </c>
      <c r="AC355" s="1948">
        <v>0</v>
      </c>
      <c r="AD355" s="1948">
        <f t="shared" ref="AD355:AP355" si="368">1.3*Z355</f>
        <v>0</v>
      </c>
      <c r="AE355" s="1948">
        <f t="shared" si="368"/>
        <v>0</v>
      </c>
      <c r="AF355" s="1948">
        <f t="shared" si="368"/>
        <v>0</v>
      </c>
      <c r="AG355" s="1948">
        <f t="shared" si="368"/>
        <v>0</v>
      </c>
      <c r="AH355" s="1948">
        <f t="shared" si="368"/>
        <v>0</v>
      </c>
      <c r="AI355" s="1948">
        <f t="shared" si="368"/>
        <v>0</v>
      </c>
      <c r="AJ355" s="1948">
        <f t="shared" si="368"/>
        <v>0</v>
      </c>
      <c r="AK355" s="1948">
        <f t="shared" si="368"/>
        <v>0</v>
      </c>
      <c r="AL355" s="1948">
        <f t="shared" si="368"/>
        <v>0</v>
      </c>
      <c r="AM355" s="1948">
        <f t="shared" si="368"/>
        <v>0</v>
      </c>
      <c r="AN355" s="1948">
        <f t="shared" si="368"/>
        <v>0</v>
      </c>
      <c r="AO355" s="1948">
        <f t="shared" si="368"/>
        <v>0</v>
      </c>
      <c r="AP355" s="1948">
        <f t="shared" si="368"/>
        <v>0</v>
      </c>
      <c r="AQ355" s="1976"/>
      <c r="AR355" s="1974"/>
      <c r="AS355" s="1948"/>
      <c r="AT355" s="1977"/>
      <c r="AU355" s="1978">
        <f t="shared" ref="AU355:AU371" si="369">SUM(O355:R355)</f>
        <v>-867</v>
      </c>
      <c r="AV355" s="1979">
        <f t="shared" ref="AV355:AV361" si="370">SUM(S355:V355)</f>
        <v>-990</v>
      </c>
      <c r="AW355" s="1948">
        <f t="shared" ref="AW355:AW363" si="371">SUM(W355:Z355)</f>
        <v>-1340</v>
      </c>
      <c r="AX355" s="1949">
        <f t="shared" ref="AX355:AX361" si="372">SUM(AA355:AD355)</f>
        <v>0</v>
      </c>
      <c r="AY355" s="1948">
        <f t="shared" si="365"/>
        <v>0</v>
      </c>
      <c r="AZ355" s="1948">
        <f t="shared" si="366"/>
        <v>0</v>
      </c>
      <c r="BA355" s="1981">
        <f t="shared" si="367"/>
        <v>0</v>
      </c>
      <c r="BB355" s="1949">
        <v>0</v>
      </c>
      <c r="BC355" s="1981">
        <v>0</v>
      </c>
      <c r="BD355" s="2415"/>
    </row>
    <row r="356" spans="1:57" s="1953" customFormat="1" ht="10.15" x14ac:dyDescent="0.3">
      <c r="A356" s="2042"/>
      <c r="B356" s="2498" t="s">
        <v>1058</v>
      </c>
      <c r="C356" s="1948"/>
      <c r="D356" s="1948"/>
      <c r="E356" s="1948"/>
      <c r="F356" s="1948"/>
      <c r="G356" s="1948"/>
      <c r="H356" s="1974"/>
      <c r="I356" s="1948"/>
      <c r="J356" s="1948"/>
      <c r="K356" s="1948"/>
      <c r="L356" s="1948"/>
      <c r="M356" s="1948"/>
      <c r="N356" s="1948"/>
      <c r="O356" s="1948">
        <v>-95</v>
      </c>
      <c r="P356" s="1948">
        <v>-63</v>
      </c>
      <c r="Q356" s="1948">
        <v>-81</v>
      </c>
      <c r="R356" s="1948">
        <v>-152</v>
      </c>
      <c r="S356" s="1948">
        <v>0</v>
      </c>
      <c r="T356" s="1948">
        <v>0</v>
      </c>
      <c r="U356" s="1948">
        <v>0</v>
      </c>
      <c r="V356" s="1948">
        <v>0</v>
      </c>
      <c r="W356" s="1948">
        <v>0</v>
      </c>
      <c r="X356" s="1948">
        <v>0</v>
      </c>
      <c r="Y356" s="1948">
        <v>0</v>
      </c>
      <c r="Z356" s="1948">
        <v>0</v>
      </c>
      <c r="AA356" s="1948">
        <v>0</v>
      </c>
      <c r="AB356" s="1948">
        <v>0</v>
      </c>
      <c r="AC356" s="1948">
        <v>0</v>
      </c>
      <c r="AD356" s="1948">
        <v>0</v>
      </c>
      <c r="AE356" s="1948">
        <v>0</v>
      </c>
      <c r="AF356" s="1948">
        <v>0</v>
      </c>
      <c r="AG356" s="1948">
        <v>0</v>
      </c>
      <c r="AH356" s="1948">
        <v>0</v>
      </c>
      <c r="AI356" s="1948">
        <v>0</v>
      </c>
      <c r="AJ356" s="1948">
        <v>0</v>
      </c>
      <c r="AK356" s="1948">
        <v>0</v>
      </c>
      <c r="AL356" s="1948">
        <v>0</v>
      </c>
      <c r="AM356" s="1948">
        <v>0</v>
      </c>
      <c r="AN356" s="1948">
        <v>0</v>
      </c>
      <c r="AO356" s="1948">
        <v>0</v>
      </c>
      <c r="AP356" s="1948">
        <v>0</v>
      </c>
      <c r="AQ356" s="1976"/>
      <c r="AR356" s="1974"/>
      <c r="AS356" s="1948"/>
      <c r="AT356" s="1977"/>
      <c r="AU356" s="1978">
        <f t="shared" si="369"/>
        <v>-391</v>
      </c>
      <c r="AV356" s="1979">
        <f t="shared" si="370"/>
        <v>0</v>
      </c>
      <c r="AW356" s="1948">
        <f t="shared" si="371"/>
        <v>0</v>
      </c>
      <c r="AX356" s="1949">
        <f t="shared" si="372"/>
        <v>0</v>
      </c>
      <c r="AY356" s="1948">
        <f t="shared" si="365"/>
        <v>0</v>
      </c>
      <c r="AZ356" s="1948">
        <f t="shared" si="366"/>
        <v>0</v>
      </c>
      <c r="BA356" s="1981">
        <f t="shared" si="367"/>
        <v>0</v>
      </c>
      <c r="BB356" s="1949">
        <v>0</v>
      </c>
      <c r="BC356" s="1981">
        <v>0</v>
      </c>
    </row>
    <row r="357" spans="1:57" s="1953" customFormat="1" ht="10.15" x14ac:dyDescent="0.3">
      <c r="A357" s="2042"/>
      <c r="B357" s="2498" t="s">
        <v>1059</v>
      </c>
      <c r="C357" s="1948"/>
      <c r="D357" s="1948"/>
      <c r="E357" s="1948"/>
      <c r="F357" s="1948"/>
      <c r="G357" s="1948"/>
      <c r="H357" s="1974"/>
      <c r="I357" s="1948"/>
      <c r="J357" s="1948"/>
      <c r="K357" s="1948"/>
      <c r="L357" s="1948"/>
      <c r="M357" s="1948"/>
      <c r="N357" s="1948"/>
      <c r="O357" s="1948">
        <v>-59</v>
      </c>
      <c r="P357" s="1948">
        <v>-56</v>
      </c>
      <c r="Q357" s="1948">
        <v>-86</v>
      </c>
      <c r="R357" s="1948">
        <v>-94</v>
      </c>
      <c r="S357" s="1948">
        <v>-227</v>
      </c>
      <c r="T357" s="1948">
        <v>-220</v>
      </c>
      <c r="U357" s="1948">
        <v>-234</v>
      </c>
      <c r="V357" s="1948">
        <v>-375</v>
      </c>
      <c r="W357" s="1948">
        <v>-245</v>
      </c>
      <c r="X357" s="1948">
        <v>-273</v>
      </c>
      <c r="Y357" s="1948">
        <v>0</v>
      </c>
      <c r="Z357" s="1948">
        <v>0</v>
      </c>
      <c r="AA357" s="1948">
        <v>0</v>
      </c>
      <c r="AB357" s="1948">
        <v>0</v>
      </c>
      <c r="AC357" s="1948">
        <v>0</v>
      </c>
      <c r="AD357" s="1948">
        <v>0</v>
      </c>
      <c r="AE357" s="1948">
        <v>0</v>
      </c>
      <c r="AF357" s="1948">
        <v>0</v>
      </c>
      <c r="AG357" s="1948">
        <v>0</v>
      </c>
      <c r="AH357" s="1948">
        <v>0</v>
      </c>
      <c r="AI357" s="1948">
        <v>0</v>
      </c>
      <c r="AJ357" s="1948">
        <v>0</v>
      </c>
      <c r="AK357" s="1948">
        <v>0</v>
      </c>
      <c r="AL357" s="1948">
        <v>0</v>
      </c>
      <c r="AM357" s="1948">
        <v>0</v>
      </c>
      <c r="AN357" s="1948">
        <v>0</v>
      </c>
      <c r="AO357" s="1948">
        <v>0</v>
      </c>
      <c r="AP357" s="1948">
        <v>0</v>
      </c>
      <c r="AQ357" s="1976"/>
      <c r="AR357" s="1974"/>
      <c r="AS357" s="1948"/>
      <c r="AT357" s="1977"/>
      <c r="AU357" s="1978">
        <f t="shared" si="369"/>
        <v>-295</v>
      </c>
      <c r="AV357" s="1979">
        <f t="shared" si="370"/>
        <v>-1056</v>
      </c>
      <c r="AW357" s="1948">
        <f t="shared" si="371"/>
        <v>-518</v>
      </c>
      <c r="AX357" s="1949">
        <f t="shared" si="372"/>
        <v>0</v>
      </c>
      <c r="AY357" s="1948">
        <f t="shared" si="365"/>
        <v>0</v>
      </c>
      <c r="AZ357" s="1948">
        <f t="shared" si="366"/>
        <v>0</v>
      </c>
      <c r="BA357" s="1981">
        <f t="shared" si="367"/>
        <v>0</v>
      </c>
      <c r="BB357" s="1949">
        <v>0</v>
      </c>
      <c r="BC357" s="1981">
        <v>0</v>
      </c>
    </row>
    <row r="358" spans="1:57" s="1953" customFormat="1" ht="10.15" x14ac:dyDescent="0.3">
      <c r="A358" s="2042"/>
      <c r="B358" s="2498" t="s">
        <v>1060</v>
      </c>
      <c r="C358" s="1948"/>
      <c r="D358" s="1948"/>
      <c r="E358" s="1948"/>
      <c r="F358" s="1948"/>
      <c r="G358" s="1948"/>
      <c r="H358" s="1974"/>
      <c r="I358" s="1948"/>
      <c r="J358" s="1948"/>
      <c r="K358" s="1948"/>
      <c r="L358" s="1948"/>
      <c r="M358" s="1948"/>
      <c r="N358" s="1948"/>
      <c r="O358" s="1948">
        <v>-140</v>
      </c>
      <c r="P358" s="1948">
        <v>217</v>
      </c>
      <c r="Q358" s="1948">
        <v>87</v>
      </c>
      <c r="R358" s="1948">
        <v>-102</v>
      </c>
      <c r="S358" s="1948">
        <v>-264</v>
      </c>
      <c r="T358" s="1948">
        <v>-160</v>
      </c>
      <c r="U358" s="1948">
        <v>-373</v>
      </c>
      <c r="V358" s="1948">
        <v>-41</v>
      </c>
      <c r="W358" s="1948">
        <v>-311</v>
      </c>
      <c r="X358" s="1948">
        <v>190</v>
      </c>
      <c r="Y358" s="1948">
        <v>681</v>
      </c>
      <c r="Z358" s="1948">
        <v>480</v>
      </c>
      <c r="AA358" s="1948">
        <v>-66</v>
      </c>
      <c r="AB358" s="1948">
        <v>1735</v>
      </c>
      <c r="AC358" s="1948">
        <v>22</v>
      </c>
      <c r="AD358" s="1948">
        <v>1306</v>
      </c>
      <c r="AE358" s="1948">
        <v>941</v>
      </c>
      <c r="AF358" s="1948">
        <v>-2</v>
      </c>
      <c r="AG358" s="1948">
        <v>2229</v>
      </c>
      <c r="AH358" s="1948">
        <v>164</v>
      </c>
      <c r="AI358" s="1948">
        <v>-1471</v>
      </c>
      <c r="AJ358" s="1948">
        <v>0</v>
      </c>
      <c r="AK358" s="1948">
        <v>0</v>
      </c>
      <c r="AL358" s="1948">
        <v>0</v>
      </c>
      <c r="AM358" s="1948">
        <v>0</v>
      </c>
      <c r="AN358" s="1948">
        <v>0</v>
      </c>
      <c r="AO358" s="1948">
        <v>0</v>
      </c>
      <c r="AP358" s="1948">
        <v>0</v>
      </c>
      <c r="AQ358" s="1976"/>
      <c r="AR358" s="1974"/>
      <c r="AS358" s="1948"/>
      <c r="AT358" s="1977"/>
      <c r="AU358" s="1978">
        <f t="shared" si="369"/>
        <v>62</v>
      </c>
      <c r="AV358" s="1979">
        <f t="shared" si="370"/>
        <v>-838</v>
      </c>
      <c r="AW358" s="1948">
        <f t="shared" si="371"/>
        <v>1040</v>
      </c>
      <c r="AX358" s="1949">
        <f t="shared" si="372"/>
        <v>2997</v>
      </c>
      <c r="AY358" s="1948">
        <f t="shared" si="365"/>
        <v>3332</v>
      </c>
      <c r="AZ358" s="1948">
        <f t="shared" si="366"/>
        <v>-1471</v>
      </c>
      <c r="BA358" s="1981">
        <f t="shared" si="367"/>
        <v>0</v>
      </c>
      <c r="BB358" s="1949">
        <f>BA358*0.9</f>
        <v>0</v>
      </c>
      <c r="BC358" s="1981">
        <f>BB358*0.9</f>
        <v>0</v>
      </c>
    </row>
    <row r="359" spans="1:57" s="1953" customFormat="1" ht="10.15" x14ac:dyDescent="0.3">
      <c r="A359" s="2042"/>
      <c r="B359" s="2498" t="s">
        <v>1061</v>
      </c>
      <c r="C359" s="1948"/>
      <c r="D359" s="1948"/>
      <c r="E359" s="1948"/>
      <c r="F359" s="1948"/>
      <c r="G359" s="1948"/>
      <c r="H359" s="1974"/>
      <c r="I359" s="1948"/>
      <c r="J359" s="1948"/>
      <c r="K359" s="1948"/>
      <c r="L359" s="1948"/>
      <c r="M359" s="1948"/>
      <c r="N359" s="1948"/>
      <c r="O359" s="1948"/>
      <c r="P359" s="1948">
        <v>0</v>
      </c>
      <c r="Q359" s="1948">
        <v>0</v>
      </c>
      <c r="R359" s="1948">
        <v>0</v>
      </c>
      <c r="S359" s="1948">
        <v>0</v>
      </c>
      <c r="T359" s="1948">
        <v>0</v>
      </c>
      <c r="U359" s="1948">
        <v>-245</v>
      </c>
      <c r="V359" s="1948">
        <v>0</v>
      </c>
      <c r="W359" s="1948">
        <v>0</v>
      </c>
      <c r="X359" s="1948">
        <v>0</v>
      </c>
      <c r="Y359" s="1948">
        <v>-18153</v>
      </c>
      <c r="Z359" s="1948">
        <v>0</v>
      </c>
      <c r="AA359" s="1948">
        <v>0</v>
      </c>
      <c r="AB359" s="1948">
        <v>0</v>
      </c>
      <c r="AC359" s="1948">
        <v>-493</v>
      </c>
      <c r="AD359" s="1948">
        <v>0</v>
      </c>
      <c r="AE359" s="1948">
        <v>0</v>
      </c>
      <c r="AF359" s="1948">
        <v>-11590</v>
      </c>
      <c r="AG359" s="1948">
        <v>0</v>
      </c>
      <c r="AH359" s="1948">
        <v>-234</v>
      </c>
      <c r="AI359" s="1948">
        <v>0</v>
      </c>
      <c r="AJ359" s="1948">
        <v>0</v>
      </c>
      <c r="AK359" s="1948">
        <v>0</v>
      </c>
      <c r="AL359" s="1948">
        <v>0</v>
      </c>
      <c r="AM359" s="1948">
        <v>0</v>
      </c>
      <c r="AN359" s="1948">
        <v>0</v>
      </c>
      <c r="AO359" s="1948">
        <v>0</v>
      </c>
      <c r="AP359" s="1948">
        <v>0</v>
      </c>
      <c r="AQ359" s="1976"/>
      <c r="AR359" s="1974"/>
      <c r="AS359" s="1948"/>
      <c r="AT359" s="1977"/>
      <c r="AU359" s="1978">
        <f t="shared" si="369"/>
        <v>0</v>
      </c>
      <c r="AV359" s="1979">
        <f t="shared" si="370"/>
        <v>-245</v>
      </c>
      <c r="AW359" s="1948">
        <f t="shared" si="371"/>
        <v>-18153</v>
      </c>
      <c r="AX359" s="1949">
        <f t="shared" si="372"/>
        <v>-493</v>
      </c>
      <c r="AY359" s="1948">
        <f t="shared" si="365"/>
        <v>-11824</v>
      </c>
      <c r="AZ359" s="1948">
        <f t="shared" si="366"/>
        <v>0</v>
      </c>
      <c r="BA359" s="1981">
        <f t="shared" si="367"/>
        <v>0</v>
      </c>
      <c r="BB359" s="1949">
        <f>BA359*0.9</f>
        <v>0</v>
      </c>
      <c r="BC359" s="1981">
        <f>BB359*0.9</f>
        <v>0</v>
      </c>
    </row>
    <row r="360" spans="1:57" s="1953" customFormat="1" ht="10.15" x14ac:dyDescent="0.3">
      <c r="A360" s="2042"/>
      <c r="B360" s="2498" t="s">
        <v>1062</v>
      </c>
      <c r="C360" s="1948"/>
      <c r="D360" s="1948"/>
      <c r="E360" s="1948"/>
      <c r="F360" s="1948"/>
      <c r="G360" s="1948"/>
      <c r="H360" s="1974"/>
      <c r="I360" s="1948"/>
      <c r="J360" s="1948"/>
      <c r="K360" s="1948"/>
      <c r="L360" s="1948"/>
      <c r="M360" s="1948"/>
      <c r="N360" s="1948"/>
      <c r="O360" s="1948"/>
      <c r="P360" s="1948"/>
      <c r="Q360" s="1948"/>
      <c r="R360" s="1948"/>
      <c r="S360" s="1948"/>
      <c r="T360" s="1948"/>
      <c r="U360" s="1948"/>
      <c r="V360" s="1948">
        <v>-61</v>
      </c>
      <c r="W360" s="1948">
        <v>-29</v>
      </c>
      <c r="X360" s="1948">
        <v>-14</v>
      </c>
      <c r="Y360" s="1948">
        <v>-10</v>
      </c>
      <c r="Z360" s="1948">
        <v>-75</v>
      </c>
      <c r="AA360" s="1948">
        <v>-108</v>
      </c>
      <c r="AB360" s="1948">
        <v>-41</v>
      </c>
      <c r="AC360" s="1948">
        <v>26</v>
      </c>
      <c r="AD360" s="1948">
        <v>-62</v>
      </c>
      <c r="AE360" s="1948">
        <v>-5</v>
      </c>
      <c r="AF360" s="1948">
        <v>-20</v>
      </c>
      <c r="AG360" s="1948">
        <v>166</v>
      </c>
      <c r="AH360" s="1948">
        <v>-249</v>
      </c>
      <c r="AI360" s="1948">
        <v>-6</v>
      </c>
      <c r="AJ360" s="1948">
        <f t="shared" ref="AJ360:AP360" si="373">AI360</f>
        <v>-6</v>
      </c>
      <c r="AK360" s="1948">
        <f t="shared" si="373"/>
        <v>-6</v>
      </c>
      <c r="AL360" s="1948">
        <f t="shared" si="373"/>
        <v>-6</v>
      </c>
      <c r="AM360" s="1948">
        <f t="shared" si="373"/>
        <v>-6</v>
      </c>
      <c r="AN360" s="1948">
        <f t="shared" si="373"/>
        <v>-6</v>
      </c>
      <c r="AO360" s="1948">
        <f t="shared" si="373"/>
        <v>-6</v>
      </c>
      <c r="AP360" s="1948">
        <f t="shared" si="373"/>
        <v>-6</v>
      </c>
      <c r="AQ360" s="1976"/>
      <c r="AR360" s="1974"/>
      <c r="AS360" s="1948"/>
      <c r="AT360" s="1977"/>
      <c r="AU360" s="1978">
        <f t="shared" si="369"/>
        <v>0</v>
      </c>
      <c r="AV360" s="1979">
        <f t="shared" si="370"/>
        <v>-61</v>
      </c>
      <c r="AW360" s="1948">
        <f t="shared" si="371"/>
        <v>-128</v>
      </c>
      <c r="AX360" s="1949">
        <f t="shared" si="372"/>
        <v>-185</v>
      </c>
      <c r="AY360" s="1948">
        <f t="shared" si="365"/>
        <v>-108</v>
      </c>
      <c r="AZ360" s="1948">
        <f t="shared" si="366"/>
        <v>-24</v>
      </c>
      <c r="BA360" s="1981">
        <f t="shared" si="367"/>
        <v>-24</v>
      </c>
      <c r="BB360" s="1949">
        <f>BA360</f>
        <v>-24</v>
      </c>
      <c r="BC360" s="1981">
        <f>BB360</f>
        <v>-24</v>
      </c>
    </row>
    <row r="361" spans="1:57" s="1953" customFormat="1" ht="10.15" x14ac:dyDescent="0.3">
      <c r="A361" s="2042"/>
      <c r="B361" s="2499" t="s">
        <v>925</v>
      </c>
      <c r="C361" s="2490"/>
      <c r="D361" s="2490"/>
      <c r="E361" s="2490"/>
      <c r="F361" s="2490"/>
      <c r="G361" s="2490"/>
      <c r="H361" s="2079"/>
      <c r="I361" s="2490"/>
      <c r="J361" s="2490"/>
      <c r="K361" s="2490"/>
      <c r="L361" s="2490"/>
      <c r="M361" s="2490"/>
      <c r="N361" s="2490"/>
      <c r="O361" s="2490">
        <f>79+(-192)</f>
        <v>-113</v>
      </c>
      <c r="P361" s="2490">
        <f>3+(-217)</f>
        <v>-214</v>
      </c>
      <c r="Q361" s="2490">
        <v>-310</v>
      </c>
      <c r="R361" s="2490">
        <f>745+(-347)</f>
        <v>398</v>
      </c>
      <c r="S361" s="2490">
        <f>-239+(-493)</f>
        <v>-732</v>
      </c>
      <c r="T361" s="2490">
        <v>-184</v>
      </c>
      <c r="U361" s="2490">
        <v>-459</v>
      </c>
      <c r="V361" s="2490">
        <v>-462</v>
      </c>
      <c r="W361" s="2490">
        <v>-412</v>
      </c>
      <c r="X361" s="2490">
        <v>-416</v>
      </c>
      <c r="Y361" s="2490">
        <v>-390</v>
      </c>
      <c r="Z361" s="2490">
        <v>-475</v>
      </c>
      <c r="AA361" s="2490">
        <v>-481</v>
      </c>
      <c r="AB361" s="2490">
        <v>-440</v>
      </c>
      <c r="AC361" s="2490">
        <v>-416</v>
      </c>
      <c r="AD361" s="2490">
        <v>-416</v>
      </c>
      <c r="AE361" s="2490">
        <v>-419</v>
      </c>
      <c r="AF361" s="2490">
        <v>-348</v>
      </c>
      <c r="AG361" s="2490">
        <v>-445</v>
      </c>
      <c r="AH361" s="2490">
        <v>-1245</v>
      </c>
      <c r="AI361" s="2490">
        <v>-1208</v>
      </c>
      <c r="AJ361" s="2490">
        <f t="shared" ref="AJ361:AP361" si="374">AF361*0.9</f>
        <v>-313.2</v>
      </c>
      <c r="AK361" s="2490">
        <f t="shared" si="374"/>
        <v>-400.5</v>
      </c>
      <c r="AL361" s="2490">
        <f t="shared" si="374"/>
        <v>-1120.5</v>
      </c>
      <c r="AM361" s="2490">
        <f t="shared" si="374"/>
        <v>-1087.2</v>
      </c>
      <c r="AN361" s="2490">
        <f t="shared" si="374"/>
        <v>-281.88</v>
      </c>
      <c r="AO361" s="2490">
        <f t="shared" si="374"/>
        <v>-360.45</v>
      </c>
      <c r="AP361" s="2490">
        <f t="shared" si="374"/>
        <v>-1008.45</v>
      </c>
      <c r="AQ361" s="2489"/>
      <c r="AR361" s="2079"/>
      <c r="AS361" s="2490"/>
      <c r="AT361" s="2081"/>
      <c r="AU361" s="2080">
        <f t="shared" si="369"/>
        <v>-239</v>
      </c>
      <c r="AV361" s="2491">
        <f t="shared" si="370"/>
        <v>-1837</v>
      </c>
      <c r="AW361" s="2490">
        <f t="shared" si="371"/>
        <v>-1693</v>
      </c>
      <c r="AX361" s="2492">
        <f t="shared" si="372"/>
        <v>-1753</v>
      </c>
      <c r="AY361" s="2490">
        <f t="shared" si="365"/>
        <v>-2457</v>
      </c>
      <c r="AZ361" s="2490">
        <f t="shared" si="366"/>
        <v>-3042.2</v>
      </c>
      <c r="BA361" s="1981">
        <f t="shared" si="367"/>
        <v>-2737.98</v>
      </c>
      <c r="BB361" s="2492">
        <f>BA361*0.9</f>
        <v>-2464.1820000000002</v>
      </c>
      <c r="BC361" s="2493">
        <f>BB361*0.9</f>
        <v>-2217.7638000000002</v>
      </c>
    </row>
    <row r="362" spans="1:57" s="1953" customFormat="1" ht="10.15" x14ac:dyDescent="0.3">
      <c r="A362" s="2042"/>
      <c r="B362" s="2475" t="s">
        <v>1063</v>
      </c>
      <c r="C362" s="1975">
        <f t="shared" ref="C362:AP362" si="375">SUM(C351:C353)</f>
        <v>1719.9402083333332</v>
      </c>
      <c r="D362" s="1975">
        <f t="shared" si="375"/>
        <v>-1245.3931250000001</v>
      </c>
      <c r="E362" s="1975">
        <f t="shared" si="375"/>
        <v>4434.9402083333334</v>
      </c>
      <c r="F362" s="1975">
        <f t="shared" si="375"/>
        <v>3826.9402083333339</v>
      </c>
      <c r="G362" s="1975">
        <f t="shared" si="375"/>
        <v>4448</v>
      </c>
      <c r="H362" s="1975">
        <f t="shared" si="375"/>
        <v>4937</v>
      </c>
      <c r="I362" s="1975">
        <f t="shared" si="375"/>
        <v>8357</v>
      </c>
      <c r="J362" s="1975">
        <f t="shared" si="375"/>
        <v>6791</v>
      </c>
      <c r="K362" s="1975">
        <f t="shared" si="375"/>
        <v>12438</v>
      </c>
      <c r="L362" s="1975">
        <f t="shared" si="375"/>
        <v>3030</v>
      </c>
      <c r="M362" s="1975">
        <f t="shared" si="375"/>
        <v>5983</v>
      </c>
      <c r="N362" s="1975">
        <f t="shared" si="375"/>
        <v>2869</v>
      </c>
      <c r="O362" s="1975">
        <f t="shared" si="375"/>
        <v>30816</v>
      </c>
      <c r="P362" s="1975">
        <f t="shared" si="375"/>
        <v>22703</v>
      </c>
      <c r="Q362" s="1975">
        <f t="shared" si="375"/>
        <v>12456</v>
      </c>
      <c r="R362" s="1975">
        <f t="shared" si="375"/>
        <v>5314</v>
      </c>
      <c r="S362" s="1975">
        <f t="shared" si="375"/>
        <v>7142</v>
      </c>
      <c r="T362" s="1975">
        <f t="shared" si="375"/>
        <v>7075</v>
      </c>
      <c r="U362" s="1975">
        <f t="shared" si="375"/>
        <v>17157</v>
      </c>
      <c r="V362" s="1975">
        <f t="shared" si="375"/>
        <v>9852</v>
      </c>
      <c r="W362" s="1948">
        <f t="shared" si="375"/>
        <v>14031</v>
      </c>
      <c r="X362" s="1948">
        <f t="shared" si="375"/>
        <v>17408</v>
      </c>
      <c r="Y362" s="1948">
        <f t="shared" si="375"/>
        <v>23332</v>
      </c>
      <c r="Z362" s="1948">
        <f t="shared" si="375"/>
        <v>6641</v>
      </c>
      <c r="AA362" s="1948">
        <f t="shared" si="375"/>
        <v>7650</v>
      </c>
      <c r="AB362" s="1948">
        <f t="shared" si="375"/>
        <v>18241</v>
      </c>
      <c r="AC362" s="1948">
        <f t="shared" si="375"/>
        <v>30964</v>
      </c>
      <c r="AD362" s="1948">
        <f t="shared" si="375"/>
        <v>23379</v>
      </c>
      <c r="AE362" s="1948">
        <f t="shared" si="375"/>
        <v>19122</v>
      </c>
      <c r="AF362" s="1948">
        <f t="shared" si="375"/>
        <v>70748</v>
      </c>
      <c r="AG362" s="1948">
        <f t="shared" si="375"/>
        <v>50132</v>
      </c>
      <c r="AH362" s="1948">
        <f t="shared" si="375"/>
        <v>348</v>
      </c>
      <c r="AI362" s="1948">
        <f t="shared" si="375"/>
        <v>46437</v>
      </c>
      <c r="AJ362" s="1948">
        <f t="shared" si="375"/>
        <v>25666.784517145537</v>
      </c>
      <c r="AK362" s="1948">
        <f t="shared" si="375"/>
        <v>46112.278771047328</v>
      </c>
      <c r="AL362" s="1948">
        <f t="shared" si="375"/>
        <v>20982.897479818326</v>
      </c>
      <c r="AM362" s="1948">
        <f t="shared" si="375"/>
        <v>37549.948177489729</v>
      </c>
      <c r="AN362" s="1948">
        <f t="shared" si="375"/>
        <v>37237.819061862094</v>
      </c>
      <c r="AO362" s="1948">
        <f t="shared" si="375"/>
        <v>59153.529139699123</v>
      </c>
      <c r="AP362" s="1948">
        <f t="shared" si="375"/>
        <v>30318.423378464089</v>
      </c>
      <c r="AQ362" s="1976">
        <v>4665</v>
      </c>
      <c r="AR362" s="1974">
        <v>8649</v>
      </c>
      <c r="AS362" s="1948">
        <f>SUM(AS351:AS353)</f>
        <v>21982.97</v>
      </c>
      <c r="AT362" s="1977">
        <f>SUM(K362:N362)</f>
        <v>24320</v>
      </c>
      <c r="AU362" s="1978">
        <f t="shared" si="369"/>
        <v>71289</v>
      </c>
      <c r="AV362" s="1948">
        <f>SUM(AV351:AV353)</f>
        <v>41226</v>
      </c>
      <c r="AW362" s="1948">
        <f t="shared" si="371"/>
        <v>61412</v>
      </c>
      <c r="AX362" s="1949">
        <f t="shared" ref="AX362:BC362" si="376">SUM(AX351:AX353)</f>
        <v>80234</v>
      </c>
      <c r="AY362" s="1948">
        <f t="shared" si="376"/>
        <v>140350</v>
      </c>
      <c r="AZ362" s="1948">
        <f t="shared" si="376"/>
        <v>139198.96076801119</v>
      </c>
      <c r="BA362" s="2404">
        <f t="shared" si="376"/>
        <v>164259.71975751506</v>
      </c>
      <c r="BB362" s="1949">
        <f t="shared" si="376"/>
        <v>221890.52957761328</v>
      </c>
      <c r="BC362" s="1981">
        <f t="shared" si="376"/>
        <v>288008.2158181023</v>
      </c>
    </row>
    <row r="363" spans="1:57" s="1953" customFormat="1" ht="10.15" x14ac:dyDescent="0.3">
      <c r="A363" s="2042"/>
      <c r="B363" s="2475" t="s">
        <v>1064</v>
      </c>
      <c r="C363" s="1975">
        <f>$AR$363/4</f>
        <v>-29.25</v>
      </c>
      <c r="D363" s="1975">
        <f>$AR$363/4</f>
        <v>-29.25</v>
      </c>
      <c r="E363" s="1975">
        <f>$AR$363/4</f>
        <v>-29.25</v>
      </c>
      <c r="F363" s="1975">
        <f>$AR$363/4</f>
        <v>-29.25</v>
      </c>
      <c r="G363" s="1975">
        <v>-4</v>
      </c>
      <c r="H363" s="1974">
        <v>6</v>
      </c>
      <c r="I363" s="1975">
        <v>-31</v>
      </c>
      <c r="J363" s="1975">
        <v>-59</v>
      </c>
      <c r="K363" s="1975">
        <v>-34</v>
      </c>
      <c r="L363" s="1975">
        <v>-2</v>
      </c>
      <c r="M363" s="1975">
        <v>-47</v>
      </c>
      <c r="N363" s="1975">
        <v>24</v>
      </c>
      <c r="O363" s="1975">
        <v>27</v>
      </c>
      <c r="P363" s="1975">
        <v>51</v>
      </c>
      <c r="Q363" s="1975">
        <v>42</v>
      </c>
      <c r="R363" s="1975">
        <v>51</v>
      </c>
      <c r="S363" s="1975">
        <v>408</v>
      </c>
      <c r="T363" s="1975">
        <v>548</v>
      </c>
      <c r="U363" s="1975">
        <v>698</v>
      </c>
      <c r="V363" s="1975">
        <v>795</v>
      </c>
      <c r="W363" s="1948">
        <v>652</v>
      </c>
      <c r="X363" s="1948">
        <v>260</v>
      </c>
      <c r="Y363" s="1948">
        <v>741</v>
      </c>
      <c r="Z363" s="1948">
        <v>1028</v>
      </c>
      <c r="AA363" s="1948">
        <v>1070</v>
      </c>
      <c r="AB363" s="1948">
        <v>1892</v>
      </c>
      <c r="AC363" s="1948">
        <v>2156</v>
      </c>
      <c r="AD363" s="1948">
        <v>2534</v>
      </c>
      <c r="AE363" s="1948">
        <v>2326</v>
      </c>
      <c r="AF363" s="1948">
        <v>1843</v>
      </c>
      <c r="AG363" s="1948">
        <v>2042</v>
      </c>
      <c r="AH363" s="1948">
        <v>2872</v>
      </c>
      <c r="AI363" s="1948">
        <v>1096</v>
      </c>
      <c r="AJ363" s="1948">
        <f t="shared" ref="AJ363:AP363" si="377">AF363*1.1</f>
        <v>2027.3000000000002</v>
      </c>
      <c r="AK363" s="1948">
        <f t="shared" si="377"/>
        <v>2246.2000000000003</v>
      </c>
      <c r="AL363" s="1948">
        <f t="shared" si="377"/>
        <v>3159.2000000000003</v>
      </c>
      <c r="AM363" s="1948">
        <f t="shared" si="377"/>
        <v>1205.6000000000001</v>
      </c>
      <c r="AN363" s="1948">
        <f t="shared" si="377"/>
        <v>2230.0300000000002</v>
      </c>
      <c r="AO363" s="1948">
        <f t="shared" si="377"/>
        <v>2470.8200000000006</v>
      </c>
      <c r="AP363" s="1948">
        <f t="shared" si="377"/>
        <v>3475.1200000000008</v>
      </c>
      <c r="AQ363" s="1976">
        <v>-437</v>
      </c>
      <c r="AR363" s="1974">
        <v>-117</v>
      </c>
      <c r="AS363" s="1948">
        <v>-88</v>
      </c>
      <c r="AT363" s="1977">
        <f>SUM(K363:N363)</f>
        <v>-59</v>
      </c>
      <c r="AU363" s="1978">
        <f t="shared" si="369"/>
        <v>171</v>
      </c>
      <c r="AV363" s="1979">
        <f>SUM(S363:V363)</f>
        <v>2449</v>
      </c>
      <c r="AW363" s="1948">
        <f t="shared" si="371"/>
        <v>2681</v>
      </c>
      <c r="AX363" s="1949">
        <f>SUM(AA363:AD363)</f>
        <v>7652</v>
      </c>
      <c r="AY363" s="1948">
        <f>SUM(AE363:AH363)</f>
        <v>9083</v>
      </c>
      <c r="AZ363" s="1948">
        <f>SUM(AI363:AL363)</f>
        <v>8528.7000000000007</v>
      </c>
      <c r="BA363" s="1981">
        <f>SUM(AM363:AP363)</f>
        <v>9381.5700000000015</v>
      </c>
      <c r="BB363" s="1949">
        <f>BA363*1.1</f>
        <v>10319.727000000003</v>
      </c>
      <c r="BC363" s="1981">
        <f>BB363*1.1</f>
        <v>11351.699700000005</v>
      </c>
    </row>
    <row r="364" spans="1:57" s="1999" customFormat="1" ht="10.15" x14ac:dyDescent="0.3">
      <c r="A364" s="2042"/>
      <c r="B364" s="2487" t="s">
        <v>1065</v>
      </c>
      <c r="C364" s="2488"/>
      <c r="D364" s="2488"/>
      <c r="E364" s="2488"/>
      <c r="F364" s="2488"/>
      <c r="G364" s="2488">
        <f>SUM(G362:G363)</f>
        <v>4444</v>
      </c>
      <c r="H364" s="2488">
        <f>SUM(H362:H363)</f>
        <v>4943</v>
      </c>
      <c r="I364" s="2488">
        <v>8326</v>
      </c>
      <c r="J364" s="2488">
        <f t="shared" ref="J364:AP364" si="378">SUM(J362:J363)</f>
        <v>6732</v>
      </c>
      <c r="K364" s="2488">
        <f t="shared" si="378"/>
        <v>12404</v>
      </c>
      <c r="L364" s="2488">
        <f t="shared" si="378"/>
        <v>3028</v>
      </c>
      <c r="M364" s="2488">
        <f t="shared" si="378"/>
        <v>5936</v>
      </c>
      <c r="N364" s="2488">
        <f t="shared" si="378"/>
        <v>2893</v>
      </c>
      <c r="O364" s="2488">
        <f t="shared" si="378"/>
        <v>30843</v>
      </c>
      <c r="P364" s="2488">
        <f t="shared" si="378"/>
        <v>22754</v>
      </c>
      <c r="Q364" s="2488">
        <f t="shared" si="378"/>
        <v>12498</v>
      </c>
      <c r="R364" s="2488">
        <f t="shared" si="378"/>
        <v>5365</v>
      </c>
      <c r="S364" s="2488">
        <f t="shared" si="378"/>
        <v>7550</v>
      </c>
      <c r="T364" s="2488">
        <f t="shared" si="378"/>
        <v>7623</v>
      </c>
      <c r="U364" s="2488">
        <f t="shared" si="378"/>
        <v>17855</v>
      </c>
      <c r="V364" s="2488">
        <f t="shared" si="378"/>
        <v>10647</v>
      </c>
      <c r="W364" s="1995">
        <f t="shared" si="378"/>
        <v>14683</v>
      </c>
      <c r="X364" s="1995">
        <f t="shared" si="378"/>
        <v>17668</v>
      </c>
      <c r="Y364" s="1995">
        <f t="shared" si="378"/>
        <v>24073</v>
      </c>
      <c r="Z364" s="1995">
        <f t="shared" si="378"/>
        <v>7669</v>
      </c>
      <c r="AA364" s="1995">
        <f t="shared" si="378"/>
        <v>8720</v>
      </c>
      <c r="AB364" s="1995">
        <f t="shared" si="378"/>
        <v>20133</v>
      </c>
      <c r="AC364" s="1995">
        <f t="shared" si="378"/>
        <v>33120</v>
      </c>
      <c r="AD364" s="1995">
        <f t="shared" si="378"/>
        <v>25913</v>
      </c>
      <c r="AE364" s="1995">
        <f t="shared" si="378"/>
        <v>21448</v>
      </c>
      <c r="AF364" s="1995">
        <f t="shared" si="378"/>
        <v>72591</v>
      </c>
      <c r="AG364" s="1995">
        <f t="shared" si="378"/>
        <v>52174</v>
      </c>
      <c r="AH364" s="1995">
        <f t="shared" si="378"/>
        <v>3220</v>
      </c>
      <c r="AI364" s="1995">
        <f t="shared" si="378"/>
        <v>47533</v>
      </c>
      <c r="AJ364" s="1995">
        <f t="shared" si="378"/>
        <v>27694.084517145537</v>
      </c>
      <c r="AK364" s="1995">
        <f t="shared" si="378"/>
        <v>48358.478771047325</v>
      </c>
      <c r="AL364" s="1995">
        <f t="shared" si="378"/>
        <v>24142.097479818327</v>
      </c>
      <c r="AM364" s="1995">
        <f t="shared" si="378"/>
        <v>38755.548177489727</v>
      </c>
      <c r="AN364" s="1995">
        <f t="shared" si="378"/>
        <v>39467.849061862093</v>
      </c>
      <c r="AO364" s="1995">
        <f t="shared" si="378"/>
        <v>61624.349139699123</v>
      </c>
      <c r="AP364" s="1995">
        <f t="shared" si="378"/>
        <v>33793.543378464092</v>
      </c>
      <c r="AQ364" s="1993">
        <v>4228</v>
      </c>
      <c r="AR364" s="1994">
        <v>8532</v>
      </c>
      <c r="AS364" s="1994">
        <f>AS362+AS363</f>
        <v>21894.97</v>
      </c>
      <c r="AT364" s="2023">
        <f>SUM(K364:N364)</f>
        <v>24261</v>
      </c>
      <c r="AU364" s="2024">
        <f t="shared" si="369"/>
        <v>71460</v>
      </c>
      <c r="AV364" s="2025">
        <f>SUM(S364:V364)</f>
        <v>43675</v>
      </c>
      <c r="AW364" s="2025">
        <f t="shared" ref="AW364:BC364" si="379">SUM(AW362:AW363)</f>
        <v>64093</v>
      </c>
      <c r="AX364" s="2024">
        <f t="shared" si="379"/>
        <v>87886</v>
      </c>
      <c r="AY364" s="2025">
        <f t="shared" si="379"/>
        <v>149433</v>
      </c>
      <c r="AZ364" s="2025">
        <f t="shared" si="379"/>
        <v>147727.66076801121</v>
      </c>
      <c r="BA364" s="2023">
        <f t="shared" si="379"/>
        <v>173641.28975751507</v>
      </c>
      <c r="BB364" s="2024">
        <f t="shared" si="379"/>
        <v>232210.2565776133</v>
      </c>
      <c r="BC364" s="2023">
        <f t="shared" si="379"/>
        <v>299359.91551810229</v>
      </c>
    </row>
    <row r="365" spans="1:57" s="1953" customFormat="1" ht="10.15" x14ac:dyDescent="0.3">
      <c r="A365" s="2042"/>
      <c r="B365" s="2476" t="s">
        <v>1066</v>
      </c>
      <c r="C365" s="1950"/>
      <c r="D365" s="1950"/>
      <c r="E365" s="1950"/>
      <c r="F365" s="1950"/>
      <c r="G365" s="2477">
        <v>-8</v>
      </c>
      <c r="H365" s="1974">
        <v>-8</v>
      </c>
      <c r="I365" s="1975">
        <v>-8</v>
      </c>
      <c r="J365" s="1975">
        <v>-7</v>
      </c>
      <c r="K365" s="2477">
        <v>-8</v>
      </c>
      <c r="L365" s="2477">
        <v>-7</v>
      </c>
      <c r="M365" s="2477">
        <v>0</v>
      </c>
      <c r="N365" s="2477">
        <v>0</v>
      </c>
      <c r="O365" s="2477">
        <v>0</v>
      </c>
      <c r="P365" s="2477">
        <v>0</v>
      </c>
      <c r="Q365" s="2477">
        <v>0</v>
      </c>
      <c r="R365" s="2477">
        <v>0</v>
      </c>
      <c r="S365" s="2477">
        <v>0</v>
      </c>
      <c r="T365" s="2477">
        <v>0</v>
      </c>
      <c r="U365" s="2477">
        <v>0</v>
      </c>
      <c r="V365" s="2477">
        <v>0</v>
      </c>
      <c r="W365" s="1979">
        <v>0</v>
      </c>
      <c r="X365" s="1979">
        <v>0</v>
      </c>
      <c r="Y365" s="1979">
        <v>0</v>
      </c>
      <c r="Z365" s="1979">
        <v>0</v>
      </c>
      <c r="AA365" s="1979">
        <v>0</v>
      </c>
      <c r="AB365" s="1979">
        <v>0</v>
      </c>
      <c r="AC365" s="1979">
        <v>0</v>
      </c>
      <c r="AD365" s="1979">
        <v>0</v>
      </c>
      <c r="AE365" s="1979">
        <v>0</v>
      </c>
      <c r="AF365" s="1979">
        <v>0</v>
      </c>
      <c r="AG365" s="1979">
        <v>0</v>
      </c>
      <c r="AH365" s="1979">
        <v>0</v>
      </c>
      <c r="AI365" s="1979">
        <v>0</v>
      </c>
      <c r="AJ365" s="1979">
        <v>0</v>
      </c>
      <c r="AK365" s="1979">
        <v>0</v>
      </c>
      <c r="AL365" s="1979">
        <v>0</v>
      </c>
      <c r="AM365" s="1979">
        <v>0</v>
      </c>
      <c r="AN365" s="1979">
        <v>0</v>
      </c>
      <c r="AO365" s="1979">
        <v>0</v>
      </c>
      <c r="AP365" s="1979">
        <v>0</v>
      </c>
      <c r="AQ365" s="1978">
        <v>0</v>
      </c>
      <c r="AR365" s="1974">
        <v>-17</v>
      </c>
      <c r="AS365" s="1979">
        <v>-31</v>
      </c>
      <c r="AT365" s="1977">
        <f>SUM(K365:N365)</f>
        <v>-15</v>
      </c>
      <c r="AU365" s="1978">
        <f t="shared" si="369"/>
        <v>0</v>
      </c>
      <c r="AV365" s="1979">
        <f>SUM(S365:V365)</f>
        <v>0</v>
      </c>
      <c r="AW365" s="1948">
        <f>SUM(W365:Z365)</f>
        <v>0</v>
      </c>
      <c r="AX365" s="1949">
        <f>SUM(AA365:AD365)</f>
        <v>0</v>
      </c>
      <c r="AY365" s="1948">
        <f>SUM(AE365:AH365)</f>
        <v>0</v>
      </c>
      <c r="AZ365" s="1948">
        <f>SUM(AI365:AL365)</f>
        <v>0</v>
      </c>
      <c r="BA365" s="1981">
        <f>SUM(AM365:AP365)</f>
        <v>0</v>
      </c>
      <c r="BB365" s="1949"/>
      <c r="BC365" s="1981"/>
    </row>
    <row r="366" spans="1:57" s="1953" customFormat="1" ht="10.15" x14ac:dyDescent="0.3">
      <c r="A366" s="2042"/>
      <c r="B366" s="2476" t="s">
        <v>1067</v>
      </c>
      <c r="C366" s="1950"/>
      <c r="D366" s="1950"/>
      <c r="E366" s="1950"/>
      <c r="F366" s="1950"/>
      <c r="G366" s="2477">
        <v>-52</v>
      </c>
      <c r="H366" s="1974">
        <v>-52</v>
      </c>
      <c r="I366" s="2477">
        <v>-52</v>
      </c>
      <c r="J366" s="2477">
        <v>-52</v>
      </c>
      <c r="K366" s="2477">
        <v>-52</v>
      </c>
      <c r="L366" s="2477">
        <v>-45</v>
      </c>
      <c r="M366" s="2477">
        <v>0</v>
      </c>
      <c r="N366" s="2477">
        <v>0</v>
      </c>
      <c r="O366" s="2477">
        <f t="shared" ref="O366:AP366" si="380">N366</f>
        <v>0</v>
      </c>
      <c r="P366" s="2477">
        <f t="shared" si="380"/>
        <v>0</v>
      </c>
      <c r="Q366" s="2477">
        <f t="shared" si="380"/>
        <v>0</v>
      </c>
      <c r="R366" s="2477">
        <f t="shared" si="380"/>
        <v>0</v>
      </c>
      <c r="S366" s="2477">
        <f t="shared" si="380"/>
        <v>0</v>
      </c>
      <c r="T366" s="2477">
        <f t="shared" si="380"/>
        <v>0</v>
      </c>
      <c r="U366" s="2477">
        <f t="shared" si="380"/>
        <v>0</v>
      </c>
      <c r="V366" s="2477">
        <f t="shared" si="380"/>
        <v>0</v>
      </c>
      <c r="W366" s="1979">
        <f t="shared" si="380"/>
        <v>0</v>
      </c>
      <c r="X366" s="1979">
        <f t="shared" si="380"/>
        <v>0</v>
      </c>
      <c r="Y366" s="1979">
        <f t="shared" si="380"/>
        <v>0</v>
      </c>
      <c r="Z366" s="1979">
        <f t="shared" si="380"/>
        <v>0</v>
      </c>
      <c r="AA366" s="1979">
        <f t="shared" si="380"/>
        <v>0</v>
      </c>
      <c r="AB366" s="1979">
        <f t="shared" si="380"/>
        <v>0</v>
      </c>
      <c r="AC366" s="1979">
        <f t="shared" si="380"/>
        <v>0</v>
      </c>
      <c r="AD366" s="1979">
        <f t="shared" si="380"/>
        <v>0</v>
      </c>
      <c r="AE366" s="1979">
        <f t="shared" si="380"/>
        <v>0</v>
      </c>
      <c r="AF366" s="1979">
        <f t="shared" si="380"/>
        <v>0</v>
      </c>
      <c r="AG366" s="1979">
        <f t="shared" si="380"/>
        <v>0</v>
      </c>
      <c r="AH366" s="1979">
        <f t="shared" si="380"/>
        <v>0</v>
      </c>
      <c r="AI366" s="1979">
        <f t="shared" si="380"/>
        <v>0</v>
      </c>
      <c r="AJ366" s="1979">
        <f t="shared" si="380"/>
        <v>0</v>
      </c>
      <c r="AK366" s="1979">
        <f t="shared" si="380"/>
        <v>0</v>
      </c>
      <c r="AL366" s="1979">
        <f t="shared" si="380"/>
        <v>0</v>
      </c>
      <c r="AM366" s="1979">
        <f t="shared" si="380"/>
        <v>0</v>
      </c>
      <c r="AN366" s="1979">
        <f t="shared" si="380"/>
        <v>0</v>
      </c>
      <c r="AO366" s="1979">
        <f t="shared" si="380"/>
        <v>0</v>
      </c>
      <c r="AP366" s="1979">
        <f t="shared" si="380"/>
        <v>0</v>
      </c>
      <c r="AQ366" s="1978">
        <v>0</v>
      </c>
      <c r="AR366" s="1974">
        <v>-111</v>
      </c>
      <c r="AS366" s="1979">
        <v>-208</v>
      </c>
      <c r="AT366" s="1977">
        <f>SUM(K366:N366)</f>
        <v>-97</v>
      </c>
      <c r="AU366" s="1978">
        <f t="shared" si="369"/>
        <v>0</v>
      </c>
      <c r="AV366" s="1979">
        <f>SUM(S366:V366)</f>
        <v>0</v>
      </c>
      <c r="AW366" s="1948">
        <f>SUM(W366:Z366)</f>
        <v>0</v>
      </c>
      <c r="AX366" s="1949">
        <f>SUM(AA366:AD366)</f>
        <v>0</v>
      </c>
      <c r="AY366" s="1948">
        <f>SUM(AE366:AH366)</f>
        <v>0</v>
      </c>
      <c r="AZ366" s="1948">
        <f>SUM(AI366:AL366)</f>
        <v>0</v>
      </c>
      <c r="BA366" s="1981">
        <f>SUM(AM366:AP366)</f>
        <v>0</v>
      </c>
      <c r="BB366" s="1978">
        <f>BA366*1.1</f>
        <v>0</v>
      </c>
      <c r="BC366" s="1977">
        <f>BB366*1.1</f>
        <v>0</v>
      </c>
    </row>
    <row r="367" spans="1:57" s="1953" customFormat="1" ht="10.15" x14ac:dyDescent="0.3">
      <c r="A367" s="2042"/>
      <c r="B367" s="2476" t="s">
        <v>1068</v>
      </c>
      <c r="C367" s="1950"/>
      <c r="D367" s="1950"/>
      <c r="E367" s="1950"/>
      <c r="F367" s="1950"/>
      <c r="G367" s="2477"/>
      <c r="H367" s="1974"/>
      <c r="I367" s="2477"/>
      <c r="J367" s="2477"/>
      <c r="K367" s="2477"/>
      <c r="L367" s="2477"/>
      <c r="M367" s="2477"/>
      <c r="N367" s="2477"/>
      <c r="O367" s="2477"/>
      <c r="P367" s="2477"/>
      <c r="Q367" s="2477"/>
      <c r="R367" s="2477"/>
      <c r="S367" s="2477"/>
      <c r="T367" s="2477"/>
      <c r="U367" s="2477"/>
      <c r="V367" s="2477"/>
      <c r="W367" s="1979"/>
      <c r="X367" s="1979"/>
      <c r="Y367" s="1979"/>
      <c r="Z367" s="1948">
        <v>-108</v>
      </c>
      <c r="AA367" s="1979">
        <v>-35</v>
      </c>
      <c r="AB367" s="1979">
        <v>-100</v>
      </c>
      <c r="AC367" s="1979">
        <v>-68</v>
      </c>
      <c r="AD367" s="1979">
        <v>-83</v>
      </c>
      <c r="AE367" s="1979">
        <v>-196</v>
      </c>
      <c r="AF367" s="1979">
        <v>-51</v>
      </c>
      <c r="AG367" s="1979">
        <v>135</v>
      </c>
      <c r="AH367" s="1979">
        <v>-58</v>
      </c>
      <c r="AI367" s="1979">
        <v>58</v>
      </c>
      <c r="AJ367" s="1979">
        <f t="shared" ref="AJ367:AP367" si="381">AF367</f>
        <v>-51</v>
      </c>
      <c r="AK367" s="1979">
        <f t="shared" si="381"/>
        <v>135</v>
      </c>
      <c r="AL367" s="1979">
        <f t="shared" si="381"/>
        <v>-58</v>
      </c>
      <c r="AM367" s="1979">
        <f t="shared" si="381"/>
        <v>58</v>
      </c>
      <c r="AN367" s="1979">
        <f t="shared" si="381"/>
        <v>-51</v>
      </c>
      <c r="AO367" s="1979">
        <f t="shared" si="381"/>
        <v>135</v>
      </c>
      <c r="AP367" s="1979">
        <f t="shared" si="381"/>
        <v>-58</v>
      </c>
      <c r="AQ367" s="1978"/>
      <c r="AR367" s="1974"/>
      <c r="AS367" s="1979"/>
      <c r="AT367" s="1977"/>
      <c r="AU367" s="1978">
        <f t="shared" si="369"/>
        <v>0</v>
      </c>
      <c r="AV367" s="1979">
        <f>SUM(S367:V367)</f>
        <v>0</v>
      </c>
      <c r="AW367" s="1948">
        <f>SUM(W367:Z367)</f>
        <v>-108</v>
      </c>
      <c r="AX367" s="1949">
        <f>SUM(AA367:AD367)</f>
        <v>-286</v>
      </c>
      <c r="AY367" s="1948">
        <f>SUM(AE367:AH367)</f>
        <v>-170</v>
      </c>
      <c r="AZ367" s="1948">
        <f>SUM(AI367:AL367)</f>
        <v>84</v>
      </c>
      <c r="BA367" s="1981">
        <f>SUM(AM367:AP367)</f>
        <v>84</v>
      </c>
      <c r="BB367" s="1978">
        <f>BA367</f>
        <v>84</v>
      </c>
      <c r="BC367" s="1977">
        <f>BB367</f>
        <v>84</v>
      </c>
    </row>
    <row r="368" spans="1:57" s="1999" customFormat="1" ht="10.15" x14ac:dyDescent="0.3">
      <c r="A368" s="2042"/>
      <c r="B368" s="2487" t="s">
        <v>1069</v>
      </c>
      <c r="C368" s="1992">
        <v>1722</v>
      </c>
      <c r="D368" s="1992">
        <v>-1560</v>
      </c>
      <c r="E368" s="1992">
        <v>4045</v>
      </c>
      <c r="F368" s="1992">
        <v>4197</v>
      </c>
      <c r="G368" s="1992">
        <v>4384</v>
      </c>
      <c r="H368" s="2474">
        <v>4883</v>
      </c>
      <c r="I368" s="2474">
        <v>8266</v>
      </c>
      <c r="J368" s="2474">
        <v>5543</v>
      </c>
      <c r="K368" s="2474">
        <f t="shared" ref="K368:V368" si="382">SUM(K364:K366)</f>
        <v>12344</v>
      </c>
      <c r="L368" s="2474">
        <f t="shared" si="382"/>
        <v>2976</v>
      </c>
      <c r="M368" s="1992">
        <f t="shared" si="382"/>
        <v>5936</v>
      </c>
      <c r="N368" s="1992">
        <f t="shared" si="382"/>
        <v>2893</v>
      </c>
      <c r="O368" s="1992">
        <f t="shared" si="382"/>
        <v>30843</v>
      </c>
      <c r="P368" s="1992">
        <f t="shared" si="382"/>
        <v>22754</v>
      </c>
      <c r="Q368" s="1992">
        <f t="shared" si="382"/>
        <v>12498</v>
      </c>
      <c r="R368" s="1992">
        <f t="shared" si="382"/>
        <v>5365</v>
      </c>
      <c r="S368" s="2474">
        <f t="shared" si="382"/>
        <v>7550</v>
      </c>
      <c r="T368" s="2474">
        <f t="shared" si="382"/>
        <v>7623</v>
      </c>
      <c r="U368" s="2474">
        <f t="shared" si="382"/>
        <v>17855</v>
      </c>
      <c r="V368" s="2474">
        <f t="shared" si="382"/>
        <v>10647</v>
      </c>
      <c r="W368" s="1994">
        <f t="shared" ref="W368:AP368" si="383">SUM(W364:W367)</f>
        <v>14683</v>
      </c>
      <c r="X368" s="1994">
        <f t="shared" si="383"/>
        <v>17668</v>
      </c>
      <c r="Y368" s="1994">
        <f t="shared" si="383"/>
        <v>24073</v>
      </c>
      <c r="Z368" s="1994">
        <f t="shared" si="383"/>
        <v>7561</v>
      </c>
      <c r="AA368" s="1994">
        <f t="shared" si="383"/>
        <v>8685</v>
      </c>
      <c r="AB368" s="1994">
        <f t="shared" si="383"/>
        <v>20033</v>
      </c>
      <c r="AC368" s="1994">
        <f t="shared" si="383"/>
        <v>33052</v>
      </c>
      <c r="AD368" s="1994">
        <f t="shared" si="383"/>
        <v>25830</v>
      </c>
      <c r="AE368" s="1994">
        <f t="shared" si="383"/>
        <v>21252</v>
      </c>
      <c r="AF368" s="1994">
        <f t="shared" si="383"/>
        <v>72540</v>
      </c>
      <c r="AG368" s="1994">
        <f t="shared" si="383"/>
        <v>52309</v>
      </c>
      <c r="AH368" s="1994">
        <f t="shared" si="383"/>
        <v>3162</v>
      </c>
      <c r="AI368" s="1994">
        <f t="shared" si="383"/>
        <v>47591</v>
      </c>
      <c r="AJ368" s="1994">
        <f t="shared" si="383"/>
        <v>27643.084517145537</v>
      </c>
      <c r="AK368" s="1994">
        <f t="shared" si="383"/>
        <v>48493.478771047325</v>
      </c>
      <c r="AL368" s="1994">
        <f t="shared" si="383"/>
        <v>24084.097479818327</v>
      </c>
      <c r="AM368" s="1994">
        <f t="shared" si="383"/>
        <v>38813.548177489727</v>
      </c>
      <c r="AN368" s="1994">
        <f t="shared" si="383"/>
        <v>39416.849061862093</v>
      </c>
      <c r="AO368" s="1994">
        <f t="shared" si="383"/>
        <v>61759.349139699123</v>
      </c>
      <c r="AP368" s="1994">
        <f t="shared" si="383"/>
        <v>33735.543378464092</v>
      </c>
      <c r="AQ368" s="1993">
        <v>4228</v>
      </c>
      <c r="AR368" s="1994">
        <v>8404</v>
      </c>
      <c r="AS368" s="2025">
        <f>SUM(AS364:AS366)</f>
        <v>21655.97</v>
      </c>
      <c r="AT368" s="2023">
        <f>SUM(K368:N368)</f>
        <v>24149</v>
      </c>
      <c r="AU368" s="2024">
        <f t="shared" si="369"/>
        <v>71460</v>
      </c>
      <c r="AV368" s="2025">
        <f>SUM(AV364:AV366)</f>
        <v>43675</v>
      </c>
      <c r="AW368" s="2025">
        <f t="shared" ref="AW368:BC368" si="384">SUM(AW364:AW367)</f>
        <v>63985</v>
      </c>
      <c r="AX368" s="2024">
        <f t="shared" si="384"/>
        <v>87600</v>
      </c>
      <c r="AY368" s="2025">
        <f t="shared" si="384"/>
        <v>149263</v>
      </c>
      <c r="AZ368" s="2025">
        <f t="shared" si="384"/>
        <v>147811.66076801121</v>
      </c>
      <c r="BA368" s="2023">
        <f t="shared" si="384"/>
        <v>173725.28975751507</v>
      </c>
      <c r="BB368" s="2024">
        <f t="shared" si="384"/>
        <v>232294.2565776133</v>
      </c>
      <c r="BC368" s="2023">
        <f t="shared" si="384"/>
        <v>299443.91551810229</v>
      </c>
    </row>
    <row r="369" spans="1:55" s="1999" customFormat="1" ht="10.15" x14ac:dyDescent="0.3">
      <c r="A369" s="2042"/>
      <c r="B369" s="2476" t="s">
        <v>1070</v>
      </c>
      <c r="C369" s="1992"/>
      <c r="D369" s="1992"/>
      <c r="E369" s="1992"/>
      <c r="F369" s="1992"/>
      <c r="G369" s="1992"/>
      <c r="H369" s="2474"/>
      <c r="I369" s="2474"/>
      <c r="J369" s="2474"/>
      <c r="K369" s="2474"/>
      <c r="L369" s="2474"/>
      <c r="M369" s="1992"/>
      <c r="N369" s="1992"/>
      <c r="O369" s="1992"/>
      <c r="P369" s="1992"/>
      <c r="Q369" s="1992"/>
      <c r="R369" s="1992"/>
      <c r="S369" s="2474"/>
      <c r="T369" s="2474"/>
      <c r="U369" s="2474"/>
      <c r="V369" s="2474"/>
      <c r="W369" s="1994"/>
      <c r="X369" s="1994"/>
      <c r="Y369" s="1994"/>
      <c r="Z369" s="1994"/>
      <c r="AA369" s="1994"/>
      <c r="AB369" s="1994"/>
      <c r="AC369" s="1994"/>
      <c r="AD369" s="1994"/>
      <c r="AE369" s="1994"/>
      <c r="AF369" s="1994"/>
      <c r="AG369" s="1994"/>
      <c r="AH369" s="1994"/>
      <c r="AI369" s="1994"/>
      <c r="AJ369" s="1994"/>
      <c r="AK369" s="1994"/>
      <c r="AL369" s="1994"/>
      <c r="AM369" s="1994"/>
      <c r="AN369" s="1994"/>
      <c r="AO369" s="1994"/>
      <c r="AP369" s="1994"/>
      <c r="AQ369" s="1993"/>
      <c r="AR369" s="1994"/>
      <c r="AS369" s="1979">
        <v>31</v>
      </c>
      <c r="AT369" s="1977">
        <v>15</v>
      </c>
      <c r="AU369" s="1978">
        <f t="shared" si="369"/>
        <v>0</v>
      </c>
      <c r="AV369" s="2025"/>
      <c r="AW369" s="2025"/>
      <c r="AX369" s="2024"/>
      <c r="AY369" s="2025"/>
      <c r="AZ369" s="2025"/>
      <c r="BA369" s="2023"/>
      <c r="BB369" s="2024"/>
      <c r="BC369" s="2023"/>
    </row>
    <row r="370" spans="1:55" s="1999" customFormat="1" ht="10.15" x14ac:dyDescent="0.3">
      <c r="A370" s="2042"/>
      <c r="B370" s="2476" t="s">
        <v>1071</v>
      </c>
      <c r="C370" s="1992"/>
      <c r="D370" s="1992"/>
      <c r="E370" s="1992"/>
      <c r="F370" s="1992"/>
      <c r="G370" s="1992"/>
      <c r="H370" s="2474"/>
      <c r="I370" s="2474"/>
      <c r="J370" s="2474"/>
      <c r="K370" s="2474"/>
      <c r="L370" s="2474"/>
      <c r="M370" s="1992"/>
      <c r="N370" s="1992"/>
      <c r="O370" s="1992"/>
      <c r="P370" s="1992"/>
      <c r="Q370" s="1992"/>
      <c r="R370" s="1992"/>
      <c r="S370" s="2474"/>
      <c r="T370" s="2474"/>
      <c r="U370" s="2474"/>
      <c r="V370" s="2474"/>
      <c r="W370" s="1994"/>
      <c r="X370" s="1994"/>
      <c r="Y370" s="1994"/>
      <c r="Z370" s="1994"/>
      <c r="AA370" s="1994"/>
      <c r="AB370" s="1994"/>
      <c r="AC370" s="1994"/>
      <c r="AD370" s="1994"/>
      <c r="AE370" s="1994"/>
      <c r="AF370" s="1994"/>
      <c r="AG370" s="1994"/>
      <c r="AH370" s="1994"/>
      <c r="AI370" s="1994"/>
      <c r="AJ370" s="1994"/>
      <c r="AK370" s="1994"/>
      <c r="AL370" s="1994"/>
      <c r="AM370" s="1994"/>
      <c r="AN370" s="1994"/>
      <c r="AO370" s="1994"/>
      <c r="AP370" s="1994"/>
      <c r="AQ370" s="1993"/>
      <c r="AR370" s="1994"/>
      <c r="AS370" s="1979">
        <v>208</v>
      </c>
      <c r="AT370" s="1977">
        <v>97</v>
      </c>
      <c r="AU370" s="1978">
        <f t="shared" si="369"/>
        <v>0</v>
      </c>
      <c r="AV370" s="2025"/>
      <c r="AW370" s="2025"/>
      <c r="AX370" s="2024"/>
      <c r="AY370" s="2025"/>
      <c r="AZ370" s="2025"/>
      <c r="BA370" s="2023"/>
      <c r="BB370" s="2024"/>
      <c r="BC370" s="2023"/>
    </row>
    <row r="371" spans="1:55" s="1953" customFormat="1" ht="20.25" x14ac:dyDescent="0.3">
      <c r="A371" s="2042"/>
      <c r="B371" s="2500" t="s">
        <v>1072</v>
      </c>
      <c r="C371" s="2501"/>
      <c r="D371" s="2501"/>
      <c r="E371" s="2501"/>
      <c r="F371" s="2501"/>
      <c r="G371" s="2501"/>
      <c r="H371" s="2501"/>
      <c r="I371" s="2501"/>
      <c r="J371" s="2501"/>
      <c r="K371" s="2501"/>
      <c r="L371" s="2501"/>
      <c r="M371" s="2501"/>
      <c r="N371" s="2501"/>
      <c r="O371" s="2490"/>
      <c r="P371" s="2490"/>
      <c r="Q371" s="2490"/>
      <c r="R371" s="2490"/>
      <c r="S371" s="2490"/>
      <c r="T371" s="2490"/>
      <c r="U371" s="2490">
        <v>-3</v>
      </c>
      <c r="V371" s="2490">
        <v>-5</v>
      </c>
      <c r="W371" s="2490">
        <v>-3</v>
      </c>
      <c r="X371" s="2490">
        <v>-3</v>
      </c>
      <c r="Y371" s="2490">
        <v>-4</v>
      </c>
      <c r="Z371" s="2490">
        <v>-11</v>
      </c>
      <c r="AA371" s="2490">
        <v>-3</v>
      </c>
      <c r="AB371" s="2490">
        <v>-12</v>
      </c>
      <c r="AC371" s="2490">
        <v>-16</v>
      </c>
      <c r="AD371" s="2490">
        <v>-11</v>
      </c>
      <c r="AE371" s="2490">
        <v>-11</v>
      </c>
      <c r="AF371" s="2490">
        <v>-4</v>
      </c>
      <c r="AG371" s="2490">
        <v>-32</v>
      </c>
      <c r="AH371" s="2490">
        <v>-1</v>
      </c>
      <c r="AI371" s="2490">
        <v>-13</v>
      </c>
      <c r="AJ371" s="2490">
        <f t="shared" ref="AJ371:AP371" si="385">AF371</f>
        <v>-4</v>
      </c>
      <c r="AK371" s="2490">
        <f t="shared" si="385"/>
        <v>-32</v>
      </c>
      <c r="AL371" s="2490">
        <f t="shared" si="385"/>
        <v>-1</v>
      </c>
      <c r="AM371" s="2490">
        <f t="shared" si="385"/>
        <v>-13</v>
      </c>
      <c r="AN371" s="2490">
        <f t="shared" si="385"/>
        <v>-4</v>
      </c>
      <c r="AO371" s="2490">
        <f t="shared" si="385"/>
        <v>-32</v>
      </c>
      <c r="AP371" s="2490">
        <f t="shared" si="385"/>
        <v>-1</v>
      </c>
      <c r="AQ371" s="2492"/>
      <c r="AR371" s="2490"/>
      <c r="AS371" s="2490"/>
      <c r="AT371" s="2493"/>
      <c r="AU371" s="2080">
        <f t="shared" si="369"/>
        <v>0</v>
      </c>
      <c r="AV371" s="2490">
        <v>-11</v>
      </c>
      <c r="AW371" s="2490">
        <f>SUM(W371:Z371)</f>
        <v>-21</v>
      </c>
      <c r="AX371" s="2492">
        <f>SUM(AA371:AD371)</f>
        <v>-42</v>
      </c>
      <c r="AY371" s="2490">
        <f>SUM(AE371:AH371)</f>
        <v>-48</v>
      </c>
      <c r="AZ371" s="2490">
        <f>SUM(AI371:AL371)</f>
        <v>-50</v>
      </c>
      <c r="BA371" s="2493">
        <f>SUM(AM371:AP371)</f>
        <v>-50</v>
      </c>
      <c r="BB371" s="2492">
        <f>BA371</f>
        <v>-50</v>
      </c>
      <c r="BC371" s="2493">
        <f>BB371</f>
        <v>-50</v>
      </c>
    </row>
    <row r="372" spans="1:55" s="1999" customFormat="1" ht="10.15" x14ac:dyDescent="0.3">
      <c r="A372" s="2042"/>
      <c r="B372" s="2487" t="s">
        <v>1073</v>
      </c>
      <c r="C372" s="1992">
        <f t="shared" ref="C372:BC372" si="386">C368+C369+C370+C371</f>
        <v>1722</v>
      </c>
      <c r="D372" s="1992">
        <f t="shared" si="386"/>
        <v>-1560</v>
      </c>
      <c r="E372" s="1992">
        <f t="shared" si="386"/>
        <v>4045</v>
      </c>
      <c r="F372" s="1992">
        <f t="shared" si="386"/>
        <v>4197</v>
      </c>
      <c r="G372" s="1992">
        <f t="shared" si="386"/>
        <v>4384</v>
      </c>
      <c r="H372" s="2474">
        <f t="shared" si="386"/>
        <v>4883</v>
      </c>
      <c r="I372" s="2474">
        <f t="shared" si="386"/>
        <v>8266</v>
      </c>
      <c r="J372" s="2474">
        <f t="shared" si="386"/>
        <v>5543</v>
      </c>
      <c r="K372" s="2474">
        <f t="shared" si="386"/>
        <v>12344</v>
      </c>
      <c r="L372" s="2474">
        <f t="shared" si="386"/>
        <v>2976</v>
      </c>
      <c r="M372" s="1992">
        <f t="shared" si="386"/>
        <v>5936</v>
      </c>
      <c r="N372" s="1992">
        <f t="shared" si="386"/>
        <v>2893</v>
      </c>
      <c r="O372" s="1992">
        <f t="shared" si="386"/>
        <v>30843</v>
      </c>
      <c r="P372" s="1992">
        <f t="shared" si="386"/>
        <v>22754</v>
      </c>
      <c r="Q372" s="1992">
        <f t="shared" si="386"/>
        <v>12498</v>
      </c>
      <c r="R372" s="1992">
        <f t="shared" si="386"/>
        <v>5365</v>
      </c>
      <c r="S372" s="2474">
        <f t="shared" si="386"/>
        <v>7550</v>
      </c>
      <c r="T372" s="2474">
        <f t="shared" si="386"/>
        <v>7623</v>
      </c>
      <c r="U372" s="2474">
        <f t="shared" si="386"/>
        <v>17852</v>
      </c>
      <c r="V372" s="2474">
        <f t="shared" si="386"/>
        <v>10642</v>
      </c>
      <c r="W372" s="1994">
        <f t="shared" si="386"/>
        <v>14680</v>
      </c>
      <c r="X372" s="1994">
        <f t="shared" si="386"/>
        <v>17665</v>
      </c>
      <c r="Y372" s="1994">
        <f t="shared" si="386"/>
        <v>24069</v>
      </c>
      <c r="Z372" s="1994">
        <f t="shared" si="386"/>
        <v>7550</v>
      </c>
      <c r="AA372" s="1994">
        <f t="shared" si="386"/>
        <v>8682</v>
      </c>
      <c r="AB372" s="1994">
        <f t="shared" si="386"/>
        <v>20021</v>
      </c>
      <c r="AC372" s="1994">
        <f t="shared" si="386"/>
        <v>33036</v>
      </c>
      <c r="AD372" s="1994">
        <f t="shared" si="386"/>
        <v>25819</v>
      </c>
      <c r="AE372" s="1994">
        <f t="shared" si="386"/>
        <v>21241</v>
      </c>
      <c r="AF372" s="1994">
        <f t="shared" si="386"/>
        <v>72536</v>
      </c>
      <c r="AG372" s="1994">
        <f t="shared" si="386"/>
        <v>52277</v>
      </c>
      <c r="AH372" s="1994">
        <f t="shared" si="386"/>
        <v>3161</v>
      </c>
      <c r="AI372" s="1994">
        <f t="shared" si="386"/>
        <v>47578</v>
      </c>
      <c r="AJ372" s="1994">
        <f t="shared" si="386"/>
        <v>27639.084517145537</v>
      </c>
      <c r="AK372" s="1994">
        <f t="shared" si="386"/>
        <v>48461.478771047325</v>
      </c>
      <c r="AL372" s="1994">
        <f t="shared" si="386"/>
        <v>24083.097479818327</v>
      </c>
      <c r="AM372" s="1994">
        <f t="shared" si="386"/>
        <v>38800.548177489727</v>
      </c>
      <c r="AN372" s="1994">
        <f t="shared" si="386"/>
        <v>39412.849061862093</v>
      </c>
      <c r="AO372" s="1994">
        <f t="shared" si="386"/>
        <v>61727.349139699123</v>
      </c>
      <c r="AP372" s="1994">
        <f t="shared" si="386"/>
        <v>33734.543378464092</v>
      </c>
      <c r="AQ372" s="1993">
        <f t="shared" si="386"/>
        <v>4228</v>
      </c>
      <c r="AR372" s="1994">
        <f t="shared" si="386"/>
        <v>8404</v>
      </c>
      <c r="AS372" s="2025">
        <f t="shared" si="386"/>
        <v>21894.97</v>
      </c>
      <c r="AT372" s="2023">
        <f t="shared" si="386"/>
        <v>24261</v>
      </c>
      <c r="AU372" s="2024">
        <f t="shared" si="386"/>
        <v>71460</v>
      </c>
      <c r="AV372" s="2025">
        <f t="shared" si="386"/>
        <v>43664</v>
      </c>
      <c r="AW372" s="2025">
        <f t="shared" si="386"/>
        <v>63964</v>
      </c>
      <c r="AX372" s="2024">
        <f t="shared" si="386"/>
        <v>87558</v>
      </c>
      <c r="AY372" s="2025">
        <f t="shared" si="386"/>
        <v>149215</v>
      </c>
      <c r="AZ372" s="2025">
        <f t="shared" si="386"/>
        <v>147761.66076801121</v>
      </c>
      <c r="BA372" s="2023">
        <f t="shared" si="386"/>
        <v>173675.28975751507</v>
      </c>
      <c r="BB372" s="2024">
        <f t="shared" si="386"/>
        <v>232244.2565776133</v>
      </c>
      <c r="BC372" s="2023">
        <f t="shared" si="386"/>
        <v>299393.91551810229</v>
      </c>
    </row>
    <row r="373" spans="1:55" s="1953" customFormat="1" ht="10.15" x14ac:dyDescent="0.3">
      <c r="A373" s="2042"/>
      <c r="B373" s="2487" t="s">
        <v>1074</v>
      </c>
      <c r="C373" s="1950"/>
      <c r="D373" s="1950"/>
      <c r="E373" s="1950"/>
      <c r="F373" s="1950"/>
      <c r="G373" s="1950"/>
      <c r="H373" s="1950"/>
      <c r="I373" s="1950"/>
      <c r="J373" s="2502"/>
      <c r="K373" s="1950"/>
      <c r="L373" s="1950"/>
      <c r="M373" s="1950"/>
      <c r="N373" s="1950"/>
      <c r="O373" s="1950"/>
      <c r="P373" s="1950"/>
      <c r="Q373" s="1950"/>
      <c r="R373" s="1950"/>
      <c r="S373" s="1975"/>
      <c r="T373" s="1975"/>
      <c r="U373" s="1975"/>
      <c r="V373" s="1975"/>
      <c r="W373" s="1948"/>
      <c r="X373" s="1948"/>
      <c r="Y373" s="1948"/>
      <c r="Z373" s="1948"/>
      <c r="AA373" s="1948"/>
      <c r="AB373" s="1948"/>
      <c r="AC373" s="1948"/>
      <c r="AD373" s="1948"/>
      <c r="AE373" s="1948"/>
      <c r="AF373" s="1948"/>
      <c r="AG373" s="1948"/>
      <c r="AH373" s="1948"/>
      <c r="AI373" s="1948"/>
      <c r="AJ373" s="1948"/>
      <c r="AK373" s="1948"/>
      <c r="AL373" s="1948"/>
      <c r="AM373" s="1948"/>
      <c r="AN373" s="1948"/>
      <c r="AO373" s="1948"/>
      <c r="AP373" s="1948"/>
      <c r="AQ373" s="1976"/>
      <c r="AR373" s="1974"/>
      <c r="AS373" s="1948"/>
      <c r="AT373" s="1981"/>
      <c r="AU373" s="1949"/>
      <c r="AV373" s="1948"/>
      <c r="AW373" s="1948"/>
      <c r="AX373" s="1949"/>
      <c r="AY373" s="1948"/>
      <c r="AZ373" s="1948"/>
      <c r="BA373" s="1981"/>
      <c r="BB373" s="1949"/>
      <c r="BC373" s="1981"/>
    </row>
    <row r="374" spans="1:55" s="1953" customFormat="1" ht="10.15" x14ac:dyDescent="0.3">
      <c r="A374" s="2042"/>
      <c r="B374" s="2498" t="s">
        <v>1075</v>
      </c>
      <c r="C374" s="2503">
        <f t="shared" ref="C374:AC375" si="387">C$372/C377</f>
        <v>0.75065387968613773</v>
      </c>
      <c r="D374" s="2503">
        <f t="shared" si="387"/>
        <v>-0.68003487358326065</v>
      </c>
      <c r="E374" s="2503">
        <f t="shared" si="387"/>
        <v>1.7632955536181343</v>
      </c>
      <c r="F374" s="2503">
        <f t="shared" si="387"/>
        <v>1.8295553618134264</v>
      </c>
      <c r="G374" s="2503">
        <f t="shared" si="387"/>
        <v>2.0156321839080458</v>
      </c>
      <c r="H374" s="2503">
        <f t="shared" si="387"/>
        <v>2.2554272517321015</v>
      </c>
      <c r="I374" s="2503">
        <f t="shared" si="387"/>
        <v>3.7917431192660551</v>
      </c>
      <c r="J374" s="2503">
        <f t="shared" si="387"/>
        <v>2.533363802559415</v>
      </c>
      <c r="K374" s="2503">
        <f t="shared" si="387"/>
        <v>5.3640126116870732</v>
      </c>
      <c r="L374" s="2503">
        <f t="shared" si="387"/>
        <v>1.3297587131367292</v>
      </c>
      <c r="M374" s="2503">
        <f t="shared" si="387"/>
        <v>2.422857142857143</v>
      </c>
      <c r="N374" s="2503">
        <f t="shared" si="387"/>
        <v>1.1755383990247867</v>
      </c>
      <c r="O374" s="2503">
        <f t="shared" si="387"/>
        <v>12.451756156641098</v>
      </c>
      <c r="P374" s="2503">
        <f t="shared" si="387"/>
        <v>9.2458350264120277</v>
      </c>
      <c r="Q374" s="2503">
        <f t="shared" si="387"/>
        <v>5.109566639411284</v>
      </c>
      <c r="R374" s="2503">
        <f t="shared" si="387"/>
        <v>2.1915849673202614</v>
      </c>
      <c r="S374" s="2503">
        <f t="shared" si="387"/>
        <v>3.0529720986655882</v>
      </c>
      <c r="T374" s="2503">
        <f t="shared" si="387"/>
        <v>3.0762711864406778</v>
      </c>
      <c r="U374" s="2503">
        <f t="shared" si="387"/>
        <v>7.1839034205231389</v>
      </c>
      <c r="V374" s="2503">
        <f t="shared" si="387"/>
        <v>4.2347791484281734</v>
      </c>
      <c r="W374" s="2504">
        <f t="shared" si="387"/>
        <v>5.7727093983484075</v>
      </c>
      <c r="X374" s="2504">
        <f t="shared" si="387"/>
        <v>6.9220219435736681</v>
      </c>
      <c r="Y374" s="2504">
        <f t="shared" si="387"/>
        <v>9.4129839655846688</v>
      </c>
      <c r="Z374" s="2504">
        <f t="shared" si="387"/>
        <v>2.94921875</v>
      </c>
      <c r="AA374" s="2504">
        <f t="shared" si="387"/>
        <v>3.3638124757845795</v>
      </c>
      <c r="AB374" s="2504">
        <f t="shared" si="387"/>
        <v>7.7480650154798765</v>
      </c>
      <c r="AC374" s="2504">
        <f t="shared" si="387"/>
        <v>12.824534161490684</v>
      </c>
      <c r="AD374" s="2504">
        <f>AD$368/AD377</f>
        <v>10.015509887553316</v>
      </c>
      <c r="AE374" s="2504">
        <f t="shared" ref="AE374:BC375" si="388">AE$372/AE377</f>
        <v>8.1790527531767427</v>
      </c>
      <c r="AF374" s="2504">
        <f t="shared" si="388"/>
        <v>27.89846153846154</v>
      </c>
      <c r="AG374" s="2504">
        <f t="shared" si="388"/>
        <v>19.862082066869302</v>
      </c>
      <c r="AH374" s="2504">
        <f t="shared" si="388"/>
        <v>1.1799178798058978</v>
      </c>
      <c r="AI374" s="2504">
        <f t="shared" si="388"/>
        <v>17.636995505305592</v>
      </c>
      <c r="AJ374" s="2504">
        <f t="shared" si="388"/>
        <v>10.225259879997397</v>
      </c>
      <c r="AK374" s="2504">
        <f t="shared" si="388"/>
        <v>17.892854954565109</v>
      </c>
      <c r="AL374" s="2504">
        <f t="shared" si="388"/>
        <v>8.8741670797071261</v>
      </c>
      <c r="AM374" s="2504">
        <f t="shared" si="388"/>
        <v>14.268732543466266</v>
      </c>
      <c r="AN374" s="2504">
        <f t="shared" si="388"/>
        <v>14.464973578823392</v>
      </c>
      <c r="AO374" s="2504">
        <f t="shared" si="388"/>
        <v>22.609435528453524</v>
      </c>
      <c r="AP374" s="2504">
        <f t="shared" si="388"/>
        <v>12.33159371049058</v>
      </c>
      <c r="AQ374" s="2505">
        <f t="shared" si="388"/>
        <v>1.7055264219443325</v>
      </c>
      <c r="AR374" s="2066">
        <f t="shared" si="388"/>
        <v>3.6634699215344377</v>
      </c>
      <c r="AS374" s="2504">
        <f t="shared" si="388"/>
        <v>10.066652873563219</v>
      </c>
      <c r="AT374" s="2506">
        <f t="shared" si="388"/>
        <v>10.268921318723608</v>
      </c>
      <c r="AU374" s="2507">
        <f t="shared" si="388"/>
        <v>29.072416598860862</v>
      </c>
      <c r="AV374" s="2504">
        <f t="shared" si="388"/>
        <v>17.555131168961704</v>
      </c>
      <c r="AW374" s="2504">
        <f t="shared" si="388"/>
        <v>25.054445750097923</v>
      </c>
      <c r="AX374" s="2507">
        <f t="shared" si="388"/>
        <v>33.937209302325584</v>
      </c>
      <c r="AY374" s="2504">
        <f t="shared" si="388"/>
        <v>56.800532927293489</v>
      </c>
      <c r="AZ374" s="2504">
        <f t="shared" si="388"/>
        <v>54.610671926361711</v>
      </c>
      <c r="BA374" s="2506">
        <f t="shared" si="388"/>
        <v>63.677045157281007</v>
      </c>
      <c r="BB374" s="2507">
        <f t="shared" si="388"/>
        <v>84.30794026320342</v>
      </c>
      <c r="BC374" s="2506">
        <f t="shared" si="388"/>
        <v>107.60813208714195</v>
      </c>
    </row>
    <row r="375" spans="1:55" s="1953" customFormat="1" ht="10.15" x14ac:dyDescent="0.3">
      <c r="A375" s="2042"/>
      <c r="B375" s="2498" t="s">
        <v>1076</v>
      </c>
      <c r="C375" s="2503">
        <f t="shared" si="387"/>
        <v>9.0100460443700292E-2</v>
      </c>
      <c r="D375" s="2503">
        <f t="shared" si="387"/>
        <v>-8.1624110506488073E-2</v>
      </c>
      <c r="E375" s="2503">
        <f t="shared" si="387"/>
        <v>0.21164713269150273</v>
      </c>
      <c r="F375" s="2503">
        <f t="shared" si="387"/>
        <v>0.21960025115110926</v>
      </c>
      <c r="G375" s="2503">
        <f t="shared" si="387"/>
        <v>0.23499142367066894</v>
      </c>
      <c r="H375" s="2503">
        <f t="shared" si="387"/>
        <v>0.26343331894691413</v>
      </c>
      <c r="I375" s="2503">
        <f t="shared" si="387"/>
        <v>0.44099445155783185</v>
      </c>
      <c r="J375" s="2503">
        <f t="shared" si="387"/>
        <v>0.29321836648328398</v>
      </c>
      <c r="K375" s="2503">
        <f t="shared" si="387"/>
        <v>0.66166380789022294</v>
      </c>
      <c r="L375" s="2503">
        <f t="shared" si="387"/>
        <v>0.15258408531583265</v>
      </c>
      <c r="M375" s="2503">
        <f t="shared" si="387"/>
        <v>0.28670788253477592</v>
      </c>
      <c r="N375" s="2503">
        <f t="shared" si="387"/>
        <v>0.13989361702127659</v>
      </c>
      <c r="O375" s="2503">
        <f t="shared" si="387"/>
        <v>1.4897121329211747</v>
      </c>
      <c r="P375" s="2503">
        <f t="shared" si="387"/>
        <v>1.1093018720748831</v>
      </c>
      <c r="Q375" s="2503">
        <f t="shared" si="387"/>
        <v>0.61264705882352943</v>
      </c>
      <c r="R375" s="2503">
        <f t="shared" si="387"/>
        <v>0.26340337784760409</v>
      </c>
      <c r="S375" s="2503">
        <f t="shared" si="387"/>
        <v>0.36750389408099687</v>
      </c>
      <c r="T375" s="2503">
        <f t="shared" si="387"/>
        <v>0.37134645362431801</v>
      </c>
      <c r="U375" s="2503">
        <f t="shared" si="387"/>
        <v>0.86795021392454297</v>
      </c>
      <c r="V375" s="2503">
        <f t="shared" si="387"/>
        <v>0.51540100736148775</v>
      </c>
      <c r="W375" s="2504">
        <f t="shared" si="387"/>
        <v>0.70604078491727584</v>
      </c>
      <c r="X375" s="2504">
        <f t="shared" si="387"/>
        <v>0.84699846566935177</v>
      </c>
      <c r="Y375" s="2504">
        <f t="shared" si="387"/>
        <v>1.1505258126195028</v>
      </c>
      <c r="Z375" s="2504">
        <f t="shared" si="387"/>
        <v>0.3603474608629248</v>
      </c>
      <c r="AA375" s="2504">
        <f t="shared" si="387"/>
        <v>0.41311381804339553</v>
      </c>
      <c r="AB375" s="2504">
        <f t="shared" si="387"/>
        <v>0.95229261796042619</v>
      </c>
      <c r="AC375" s="2504">
        <f t="shared" si="387"/>
        <v>1.5797628156082633</v>
      </c>
      <c r="AD375" s="2504">
        <f>AD$372/AD378</f>
        <v>1.2294761904761904</v>
      </c>
      <c r="AE375" s="2504">
        <f t="shared" si="388"/>
        <v>1.007876631079478</v>
      </c>
      <c r="AF375" s="2504">
        <f t="shared" si="388"/>
        <v>3.4383769434963973</v>
      </c>
      <c r="AG375" s="2504">
        <f t="shared" si="388"/>
        <v>2.4436497919880336</v>
      </c>
      <c r="AH375" s="2504">
        <f t="shared" si="388"/>
        <v>0.14746909260555166</v>
      </c>
      <c r="AI375" s="2504">
        <f t="shared" si="388"/>
        <v>2.1699352367052813</v>
      </c>
      <c r="AJ375" s="2504">
        <f t="shared" si="388"/>
        <v>1.2580460040033741</v>
      </c>
      <c r="AK375" s="2504">
        <f t="shared" si="388"/>
        <v>2.2014144324915033</v>
      </c>
      <c r="AL375" s="2504">
        <f t="shared" si="388"/>
        <v>1.0918167914072308</v>
      </c>
      <c r="AM375" s="2504">
        <f t="shared" si="388"/>
        <v>1.7555272109627014</v>
      </c>
      <c r="AN375" s="2504">
        <f t="shared" si="388"/>
        <v>1.7796713650722185</v>
      </c>
      <c r="AO375" s="2504">
        <f t="shared" si="388"/>
        <v>2.7817102306596939</v>
      </c>
      <c r="AP375" s="2504">
        <f t="shared" si="388"/>
        <v>1.5171949048281566</v>
      </c>
      <c r="AQ375" s="2505">
        <f t="shared" si="388"/>
        <v>0.20955590800951626</v>
      </c>
      <c r="AR375" s="2066">
        <f t="shared" si="388"/>
        <v>0.43972373377982421</v>
      </c>
      <c r="AS375" s="2504">
        <f t="shared" si="388"/>
        <v>1.1702282202031</v>
      </c>
      <c r="AT375" s="2506">
        <f t="shared" si="388"/>
        <v>1.220004022930705</v>
      </c>
      <c r="AU375" s="2507">
        <f t="shared" si="388"/>
        <v>3.4865339578454333</v>
      </c>
      <c r="AV375" s="2504">
        <f t="shared" si="388"/>
        <v>2.1224965973167413</v>
      </c>
      <c r="AW375" s="2504">
        <f t="shared" si="388"/>
        <v>3.0634099616858239</v>
      </c>
      <c r="AX375" s="2507">
        <f t="shared" si="388"/>
        <v>4.1718124642652947</v>
      </c>
      <c r="AY375" s="2504">
        <f t="shared" si="388"/>
        <v>6.9903026328117681</v>
      </c>
      <c r="AZ375" s="2504">
        <f t="shared" si="388"/>
        <v>6.7189233720401127</v>
      </c>
      <c r="BA375" s="2506">
        <f t="shared" si="388"/>
        <v>7.8343878930224484</v>
      </c>
      <c r="BB375" s="2507">
        <f t="shared" si="388"/>
        <v>10.372672049280496</v>
      </c>
      <c r="BC375" s="2506">
        <f t="shared" si="388"/>
        <v>13.239368207679304</v>
      </c>
    </row>
    <row r="376" spans="1:55" s="1953" customFormat="1" ht="10.15" x14ac:dyDescent="0.3">
      <c r="A376" s="2042"/>
      <c r="B376" s="2475" t="s">
        <v>1077</v>
      </c>
      <c r="C376" s="2503">
        <f t="shared" ref="C376:BC376" si="389">C372/C379</f>
        <v>0.72080368354960234</v>
      </c>
      <c r="D376" s="2503">
        <f t="shared" si="389"/>
        <v>-0.65299288405190459</v>
      </c>
      <c r="E376" s="2503">
        <f t="shared" si="389"/>
        <v>1.6931770615320219</v>
      </c>
      <c r="F376" s="2503">
        <f t="shared" si="389"/>
        <v>1.7568020092088741</v>
      </c>
      <c r="G376" s="2503">
        <f t="shared" si="389"/>
        <v>1.8799313893653515</v>
      </c>
      <c r="H376" s="2503">
        <f t="shared" si="389"/>
        <v>2.107466551575313</v>
      </c>
      <c r="I376" s="2503">
        <f t="shared" si="389"/>
        <v>3.5279556124626548</v>
      </c>
      <c r="J376" s="2503">
        <f t="shared" si="389"/>
        <v>2.3457469318662718</v>
      </c>
      <c r="K376" s="2503">
        <f t="shared" si="389"/>
        <v>5.2933104631217835</v>
      </c>
      <c r="L376" s="2503">
        <f t="shared" si="389"/>
        <v>1.2206726825266612</v>
      </c>
      <c r="M376" s="2503">
        <f t="shared" si="389"/>
        <v>2.2936630602782073</v>
      </c>
      <c r="N376" s="2503">
        <f t="shared" si="389"/>
        <v>1.1191489361702127</v>
      </c>
      <c r="O376" s="2503">
        <f t="shared" si="389"/>
        <v>11.917697063369397</v>
      </c>
      <c r="P376" s="2503">
        <f t="shared" si="389"/>
        <v>8.8744149765990645</v>
      </c>
      <c r="Q376" s="2503">
        <f t="shared" si="389"/>
        <v>4.9011764705882355</v>
      </c>
      <c r="R376" s="2503">
        <f t="shared" si="389"/>
        <v>2.1072270227808327</v>
      </c>
      <c r="S376" s="2503">
        <f t="shared" si="389"/>
        <v>2.940031152647975</v>
      </c>
      <c r="T376" s="2503">
        <f t="shared" si="389"/>
        <v>2.9707716289945441</v>
      </c>
      <c r="U376" s="2503">
        <f t="shared" si="389"/>
        <v>6.9436017113963437</v>
      </c>
      <c r="V376" s="2503">
        <f t="shared" si="389"/>
        <v>4.123208058891902</v>
      </c>
      <c r="W376" s="2504">
        <f t="shared" si="389"/>
        <v>5.6483262793382067</v>
      </c>
      <c r="X376" s="2504">
        <f t="shared" si="389"/>
        <v>6.7759877253548142</v>
      </c>
      <c r="Y376" s="2504">
        <f t="shared" si="389"/>
        <v>9.2042065009560226</v>
      </c>
      <c r="Z376" s="2504">
        <f t="shared" si="389"/>
        <v>2.8827796869033984</v>
      </c>
      <c r="AA376" s="2504">
        <f t="shared" si="389"/>
        <v>3.3049105443471642</v>
      </c>
      <c r="AB376" s="2504">
        <f t="shared" si="389"/>
        <v>7.6183409436834095</v>
      </c>
      <c r="AC376" s="2504">
        <f t="shared" si="389"/>
        <v>12.638102524866106</v>
      </c>
      <c r="AD376" s="2504">
        <f t="shared" si="389"/>
        <v>9.8358095238095231</v>
      </c>
      <c r="AE376" s="2504">
        <f t="shared" si="389"/>
        <v>8.0641609719058458</v>
      </c>
      <c r="AF376" s="2504">
        <f t="shared" si="389"/>
        <v>27.507015547971179</v>
      </c>
      <c r="AG376" s="2504">
        <f t="shared" si="389"/>
        <v>19.550112191473449</v>
      </c>
      <c r="AH376" s="2504">
        <f t="shared" si="389"/>
        <v>1.1591492482581591</v>
      </c>
      <c r="AI376" s="2504">
        <f t="shared" si="389"/>
        <v>17.359481893642251</v>
      </c>
      <c r="AJ376" s="2504">
        <f t="shared" si="389"/>
        <v>10.064368032026993</v>
      </c>
      <c r="AK376" s="2504">
        <f t="shared" si="389"/>
        <v>17.611315459932026</v>
      </c>
      <c r="AL376" s="2504">
        <f t="shared" si="389"/>
        <v>8.7345343312578461</v>
      </c>
      <c r="AM376" s="2504">
        <f t="shared" si="389"/>
        <v>14.044217687701611</v>
      </c>
      <c r="AN376" s="2504">
        <f t="shared" si="389"/>
        <v>14.237370920577748</v>
      </c>
      <c r="AO376" s="2504">
        <f t="shared" si="389"/>
        <v>22.253681845277551</v>
      </c>
      <c r="AP376" s="2504">
        <f t="shared" si="389"/>
        <v>12.137559238625252</v>
      </c>
      <c r="AQ376" s="2505">
        <f t="shared" si="389"/>
        <v>1.6764472640761301</v>
      </c>
      <c r="AR376" s="2066">
        <f t="shared" si="389"/>
        <v>3.5177898702385937</v>
      </c>
      <c r="AS376" s="2504">
        <f t="shared" si="389"/>
        <v>9.3889236706689534</v>
      </c>
      <c r="AT376" s="2506">
        <f t="shared" si="389"/>
        <v>9.7590506838294448</v>
      </c>
      <c r="AU376" s="2507">
        <f t="shared" si="389"/>
        <v>27.892271662763466</v>
      </c>
      <c r="AV376" s="2504">
        <f t="shared" si="389"/>
        <v>16.970073843762144</v>
      </c>
      <c r="AW376" s="2504">
        <f t="shared" si="389"/>
        <v>24.507279693486591</v>
      </c>
      <c r="AX376" s="2507">
        <f t="shared" si="389"/>
        <v>33.380861608844832</v>
      </c>
      <c r="AY376" s="2504">
        <f t="shared" si="389"/>
        <v>55.927661169415295</v>
      </c>
      <c r="AZ376" s="2504">
        <f t="shared" si="389"/>
        <v>53.751386976320902</v>
      </c>
      <c r="BA376" s="2506">
        <f t="shared" si="389"/>
        <v>62.675103144179587</v>
      </c>
      <c r="BB376" s="2507">
        <f t="shared" si="389"/>
        <v>82.981376394243966</v>
      </c>
      <c r="BC376" s="2506">
        <f t="shared" si="389"/>
        <v>105.91494566143443</v>
      </c>
    </row>
    <row r="377" spans="1:55" s="1953" customFormat="1" ht="10.15" x14ac:dyDescent="0.3">
      <c r="A377" s="2042"/>
      <c r="B377" s="2475" t="s">
        <v>1078</v>
      </c>
      <c r="C377" s="1975">
        <v>2294</v>
      </c>
      <c r="D377" s="1975">
        <v>2294</v>
      </c>
      <c r="E377" s="1975">
        <v>2294</v>
      </c>
      <c r="F377" s="1975">
        <v>2294</v>
      </c>
      <c r="G377" s="1948">
        <v>2175</v>
      </c>
      <c r="H377" s="1975">
        <v>2165</v>
      </c>
      <c r="I377" s="1948">
        <v>2180</v>
      </c>
      <c r="J377" s="1948">
        <v>2188</v>
      </c>
      <c r="K377" s="2477">
        <v>2301.2622999999999</v>
      </c>
      <c r="L377" s="2477">
        <v>2238</v>
      </c>
      <c r="M377" s="1975">
        <v>2450</v>
      </c>
      <c r="N377" s="1975">
        <v>2461</v>
      </c>
      <c r="O377" s="1975">
        <v>2477</v>
      </c>
      <c r="P377" s="1975">
        <v>2461</v>
      </c>
      <c r="Q377" s="1975">
        <v>2446</v>
      </c>
      <c r="R377" s="1975">
        <v>2448</v>
      </c>
      <c r="S377" s="1975">
        <v>2473</v>
      </c>
      <c r="T377" s="1975">
        <v>2478</v>
      </c>
      <c r="U377" s="1975">
        <v>2485</v>
      </c>
      <c r="V377" s="1975">
        <v>2513</v>
      </c>
      <c r="W377" s="1948">
        <v>2543</v>
      </c>
      <c r="X377" s="1948">
        <v>2552</v>
      </c>
      <c r="Y377" s="1948">
        <v>2557</v>
      </c>
      <c r="Z377" s="1948">
        <v>2560</v>
      </c>
      <c r="AA377" s="1948">
        <v>2581</v>
      </c>
      <c r="AB377" s="1948">
        <v>2584</v>
      </c>
      <c r="AC377" s="1948">
        <v>2576</v>
      </c>
      <c r="AD377" s="1948">
        <v>2579</v>
      </c>
      <c r="AE377" s="1948">
        <v>2597</v>
      </c>
      <c r="AF377" s="1948">
        <v>2600</v>
      </c>
      <c r="AG377" s="1948">
        <v>2632</v>
      </c>
      <c r="AH377" s="1948">
        <v>2679</v>
      </c>
      <c r="AI377" s="1948">
        <f>21581/8</f>
        <v>2697.625</v>
      </c>
      <c r="AJ377" s="1948">
        <f t="shared" ref="AJ377:AP377" si="390">AI377*(1+0.2%)</f>
        <v>2703.02025</v>
      </c>
      <c r="AK377" s="1948">
        <f t="shared" si="390"/>
        <v>2708.4262905000001</v>
      </c>
      <c r="AL377" s="1948">
        <f t="shared" si="390"/>
        <v>2713.8431430810001</v>
      </c>
      <c r="AM377" s="1948">
        <f t="shared" si="390"/>
        <v>2719.2708293671622</v>
      </c>
      <c r="AN377" s="1948">
        <f t="shared" si="390"/>
        <v>2724.7093710258964</v>
      </c>
      <c r="AO377" s="1948">
        <f t="shared" si="390"/>
        <v>2730.1587897679483</v>
      </c>
      <c r="AP377" s="1948">
        <f t="shared" si="390"/>
        <v>2735.6191073474843</v>
      </c>
      <c r="AQ377" s="1976">
        <v>2479</v>
      </c>
      <c r="AR377" s="1974">
        <v>2294</v>
      </c>
      <c r="AS377" s="1948">
        <v>2175</v>
      </c>
      <c r="AT377" s="1981">
        <f>AVERAGE(K377:N377)</f>
        <v>2362.5655750000001</v>
      </c>
      <c r="AU377" s="1949">
        <f>AVERAGE(O377:R377)</f>
        <v>2458</v>
      </c>
      <c r="AV377" s="1948">
        <f>AVERAGE(S377:V377)</f>
        <v>2487.25</v>
      </c>
      <c r="AW377" s="1948">
        <f>AVERAGE(W377:Z377)</f>
        <v>2553</v>
      </c>
      <c r="AX377" s="1949">
        <f>AVERAGE(AA377:AD377)</f>
        <v>2580</v>
      </c>
      <c r="AY377" s="1948">
        <f>AVERAGE(AE377:AH377)</f>
        <v>2627</v>
      </c>
      <c r="AZ377" s="1948">
        <f>AVERAGE(AI377:AL377)</f>
        <v>2705.7286708952497</v>
      </c>
      <c r="BA377" s="1981">
        <f>AVERAGE(AM377:AP377)</f>
        <v>2727.4395243771228</v>
      </c>
      <c r="BB377" s="1949">
        <f t="shared" ref="BB377:BC379" si="391">BA377*1.01</f>
        <v>2754.7139196208941</v>
      </c>
      <c r="BC377" s="1981">
        <f t="shared" si="391"/>
        <v>2782.2610588171033</v>
      </c>
    </row>
    <row r="378" spans="1:55" s="1999" customFormat="1" ht="10.15" x14ac:dyDescent="0.3">
      <c r="A378" s="2042"/>
      <c r="B378" s="2473" t="s">
        <v>1079</v>
      </c>
      <c r="C378" s="2488">
        <f t="shared" ref="C378:AD378" si="392">C379*8</f>
        <v>19112</v>
      </c>
      <c r="D378" s="2488">
        <f t="shared" si="392"/>
        <v>19112</v>
      </c>
      <c r="E378" s="2488">
        <f t="shared" si="392"/>
        <v>19112</v>
      </c>
      <c r="F378" s="2488">
        <f t="shared" si="392"/>
        <v>19112</v>
      </c>
      <c r="G378" s="1995">
        <f t="shared" si="392"/>
        <v>18656</v>
      </c>
      <c r="H378" s="2488">
        <f t="shared" si="392"/>
        <v>18536</v>
      </c>
      <c r="I378" s="1995">
        <f t="shared" si="392"/>
        <v>18744</v>
      </c>
      <c r="J378" s="1995">
        <f t="shared" si="392"/>
        <v>18904</v>
      </c>
      <c r="K378" s="2508">
        <f t="shared" si="392"/>
        <v>18656</v>
      </c>
      <c r="L378" s="2508">
        <f t="shared" si="392"/>
        <v>19504</v>
      </c>
      <c r="M378" s="2488">
        <f t="shared" si="392"/>
        <v>20704</v>
      </c>
      <c r="N378" s="2488">
        <f t="shared" si="392"/>
        <v>20680</v>
      </c>
      <c r="O378" s="2488">
        <f t="shared" si="392"/>
        <v>20704</v>
      </c>
      <c r="P378" s="2488">
        <f t="shared" si="392"/>
        <v>20512</v>
      </c>
      <c r="Q378" s="2488">
        <f t="shared" si="392"/>
        <v>20400</v>
      </c>
      <c r="R378" s="2488">
        <f t="shared" si="392"/>
        <v>20368</v>
      </c>
      <c r="S378" s="2488">
        <f t="shared" si="392"/>
        <v>20544</v>
      </c>
      <c r="T378" s="2488">
        <f t="shared" si="392"/>
        <v>20528</v>
      </c>
      <c r="U378" s="2488">
        <f t="shared" si="392"/>
        <v>20568</v>
      </c>
      <c r="V378" s="2488">
        <f t="shared" si="392"/>
        <v>20648</v>
      </c>
      <c r="W378" s="1995">
        <f t="shared" si="392"/>
        <v>20792</v>
      </c>
      <c r="X378" s="1995">
        <f t="shared" si="392"/>
        <v>20856</v>
      </c>
      <c r="Y378" s="1995">
        <f t="shared" si="392"/>
        <v>20920</v>
      </c>
      <c r="Z378" s="1995">
        <f t="shared" si="392"/>
        <v>20952</v>
      </c>
      <c r="AA378" s="1995">
        <f t="shared" si="392"/>
        <v>21016</v>
      </c>
      <c r="AB378" s="1995">
        <f t="shared" si="392"/>
        <v>21024</v>
      </c>
      <c r="AC378" s="1995">
        <f t="shared" si="392"/>
        <v>20912</v>
      </c>
      <c r="AD378" s="1995">
        <f t="shared" si="392"/>
        <v>21000</v>
      </c>
      <c r="AE378" s="1995">
        <v>21075</v>
      </c>
      <c r="AF378" s="2509">
        <f>AF379*8</f>
        <v>21096</v>
      </c>
      <c r="AG378" s="2509">
        <v>21393</v>
      </c>
      <c r="AH378" s="1995">
        <v>21435</v>
      </c>
      <c r="AI378" s="1995">
        <v>21926</v>
      </c>
      <c r="AJ378" s="1995">
        <f t="shared" ref="AJ378:AQ378" si="393">AJ379*8</f>
        <v>21969.851999999999</v>
      </c>
      <c r="AK378" s="1995">
        <f t="shared" si="393"/>
        <v>22013.791703999999</v>
      </c>
      <c r="AL378" s="1995">
        <f t="shared" si="393"/>
        <v>22057.819287407998</v>
      </c>
      <c r="AM378" s="1995">
        <f t="shared" si="393"/>
        <v>22101.934925982812</v>
      </c>
      <c r="AN378" s="1995">
        <f t="shared" si="393"/>
        <v>22146.138795834777</v>
      </c>
      <c r="AO378" s="1995">
        <f t="shared" si="393"/>
        <v>22190.431073426447</v>
      </c>
      <c r="AP378" s="1995">
        <f t="shared" si="393"/>
        <v>22234.8119355733</v>
      </c>
      <c r="AQ378" s="1993">
        <f t="shared" si="393"/>
        <v>20176</v>
      </c>
      <c r="AR378" s="1994">
        <f>AVERAGE(C378:F378)</f>
        <v>19112</v>
      </c>
      <c r="AS378" s="1995">
        <f>AVERAGE(G378:J378)</f>
        <v>18710</v>
      </c>
      <c r="AT378" s="1996">
        <f>AVERAGE(K378:N378)</f>
        <v>19886</v>
      </c>
      <c r="AU378" s="1997">
        <f>AVERAGE(O378:R378)</f>
        <v>20496</v>
      </c>
      <c r="AV378" s="1995">
        <f>AVERAGE(S378:V378)</f>
        <v>20572</v>
      </c>
      <c r="AW378" s="1995">
        <f>AVERAGE(W378:Z378)</f>
        <v>20880</v>
      </c>
      <c r="AX378" s="1997">
        <f>AVERAGE(AA378:AD378)</f>
        <v>20988</v>
      </c>
      <c r="AY378" s="1995">
        <v>21346</v>
      </c>
      <c r="AZ378" s="1995">
        <f>AZ379*8</f>
        <v>21991.865747852</v>
      </c>
      <c r="BA378" s="1996">
        <f>AVERAGE(AM378:AP378)</f>
        <v>22168.329182704336</v>
      </c>
      <c r="BB378" s="1997">
        <f t="shared" si="391"/>
        <v>22390.012474531381</v>
      </c>
      <c r="BC378" s="1996">
        <f t="shared" si="391"/>
        <v>22613.912599276693</v>
      </c>
    </row>
    <row r="379" spans="1:55" s="1999" customFormat="1" ht="10.15" x14ac:dyDescent="0.3">
      <c r="A379" s="2042"/>
      <c r="B379" s="2473" t="s">
        <v>1080</v>
      </c>
      <c r="C379" s="2488">
        <v>2389</v>
      </c>
      <c r="D379" s="2488">
        <v>2389</v>
      </c>
      <c r="E379" s="2488">
        <v>2389</v>
      </c>
      <c r="F379" s="2488">
        <v>2389</v>
      </c>
      <c r="G379" s="1995">
        <v>2332</v>
      </c>
      <c r="H379" s="2488">
        <v>2317</v>
      </c>
      <c r="I379" s="1995">
        <v>2343</v>
      </c>
      <c r="J379" s="1995">
        <v>2363</v>
      </c>
      <c r="K379" s="2508">
        <v>2332</v>
      </c>
      <c r="L379" s="2508">
        <v>2438</v>
      </c>
      <c r="M379" s="2488">
        <v>2588</v>
      </c>
      <c r="N379" s="2488">
        <v>2585</v>
      </c>
      <c r="O379" s="2488">
        <v>2588</v>
      </c>
      <c r="P379" s="2488">
        <v>2564</v>
      </c>
      <c r="Q379" s="2488">
        <v>2550</v>
      </c>
      <c r="R379" s="2488">
        <v>2546</v>
      </c>
      <c r="S379" s="2488">
        <v>2568</v>
      </c>
      <c r="T379" s="2488">
        <v>2566</v>
      </c>
      <c r="U379" s="2488">
        <v>2571</v>
      </c>
      <c r="V379" s="2488">
        <v>2581</v>
      </c>
      <c r="W379" s="1995">
        <v>2599</v>
      </c>
      <c r="X379" s="1995">
        <v>2607</v>
      </c>
      <c r="Y379" s="1995">
        <v>2615</v>
      </c>
      <c r="Z379" s="1995">
        <v>2619</v>
      </c>
      <c r="AA379" s="1995">
        <v>2627</v>
      </c>
      <c r="AB379" s="1995">
        <v>2628</v>
      </c>
      <c r="AC379" s="1995">
        <v>2614</v>
      </c>
      <c r="AD379" s="1995">
        <v>2625</v>
      </c>
      <c r="AE379" s="1995">
        <v>2634</v>
      </c>
      <c r="AF379" s="1995">
        <v>2637</v>
      </c>
      <c r="AG379" s="1995">
        <v>2674</v>
      </c>
      <c r="AH379" s="1995">
        <v>2727</v>
      </c>
      <c r="AI379" s="1995">
        <f>AI378/8</f>
        <v>2740.75</v>
      </c>
      <c r="AJ379" s="1995">
        <f t="shared" ref="AJ379:AP379" si="394">AI379*(1+0.2%)</f>
        <v>2746.2314999999999</v>
      </c>
      <c r="AK379" s="1995">
        <f t="shared" si="394"/>
        <v>2751.7239629999999</v>
      </c>
      <c r="AL379" s="1995">
        <f t="shared" si="394"/>
        <v>2757.2274109259997</v>
      </c>
      <c r="AM379" s="1995">
        <f t="shared" si="394"/>
        <v>2762.7418657478515</v>
      </c>
      <c r="AN379" s="1995">
        <f t="shared" si="394"/>
        <v>2768.2673494793471</v>
      </c>
      <c r="AO379" s="1995">
        <f t="shared" si="394"/>
        <v>2773.8038841783059</v>
      </c>
      <c r="AP379" s="1995">
        <f t="shared" si="394"/>
        <v>2779.3514919466625</v>
      </c>
      <c r="AQ379" s="1993">
        <v>2522</v>
      </c>
      <c r="AR379" s="1994">
        <v>2389</v>
      </c>
      <c r="AS379" s="1995">
        <v>2332</v>
      </c>
      <c r="AT379" s="1996">
        <v>2486</v>
      </c>
      <c r="AU379" s="1997">
        <v>2562</v>
      </c>
      <c r="AV379" s="1995">
        <v>2573</v>
      </c>
      <c r="AW379" s="1995">
        <v>2610</v>
      </c>
      <c r="AX379" s="1997">
        <v>2623</v>
      </c>
      <c r="AY379" s="1995">
        <v>2668</v>
      </c>
      <c r="AZ379" s="1995">
        <f>AVERAGE(AI379:AL379)</f>
        <v>2748.9832184815</v>
      </c>
      <c r="BA379" s="1996">
        <f>AVERAGE(AM379:AP379)</f>
        <v>2771.041147838042</v>
      </c>
      <c r="BB379" s="1997">
        <f t="shared" si="391"/>
        <v>2798.7515593164226</v>
      </c>
      <c r="BC379" s="1996">
        <f t="shared" si="391"/>
        <v>2826.7390749095866</v>
      </c>
    </row>
    <row r="380" spans="1:55" s="1953" customFormat="1" ht="10.15" x14ac:dyDescent="0.3">
      <c r="A380" s="2042"/>
      <c r="B380" s="2510" t="s">
        <v>1081</v>
      </c>
      <c r="C380" s="2511"/>
      <c r="D380" s="2511"/>
      <c r="E380" s="2511"/>
      <c r="F380" s="2511"/>
      <c r="G380" s="2511"/>
      <c r="H380" s="2511"/>
      <c r="I380" s="2511"/>
      <c r="J380" s="2511"/>
      <c r="K380" s="2511"/>
      <c r="L380" s="2511"/>
      <c r="M380" s="2511"/>
      <c r="N380" s="2511"/>
      <c r="O380" s="2511"/>
      <c r="P380" s="2511"/>
      <c r="Q380" s="2511"/>
      <c r="R380" s="2511"/>
      <c r="S380" s="2399"/>
      <c r="T380" s="2399"/>
      <c r="U380" s="2399"/>
      <c r="V380" s="2399"/>
      <c r="W380" s="2399"/>
      <c r="X380" s="2512"/>
      <c r="Y380" s="2399"/>
      <c r="Z380" s="2399"/>
      <c r="AA380" s="2399"/>
      <c r="AB380" s="2399"/>
      <c r="AC380" s="2399"/>
      <c r="AD380" s="2399"/>
      <c r="AE380" s="2399"/>
      <c r="AF380" s="2399"/>
      <c r="AG380" s="2513"/>
      <c r="AH380" s="2399"/>
      <c r="AI380" s="2399"/>
      <c r="AJ380" s="2399"/>
      <c r="AK380" s="2399"/>
      <c r="AL380" s="2399"/>
      <c r="AM380" s="2399"/>
      <c r="AN380" s="2399"/>
      <c r="AO380" s="2399"/>
      <c r="AP380" s="2399"/>
      <c r="AQ380" s="2403"/>
      <c r="AR380" s="2399"/>
      <c r="AS380" s="2399"/>
      <c r="AT380" s="2404"/>
      <c r="AU380" s="2403"/>
      <c r="AV380" s="2399"/>
      <c r="AW380" s="2399"/>
      <c r="AX380" s="2403"/>
      <c r="AY380" s="2399"/>
      <c r="AZ380" s="2399"/>
      <c r="BA380" s="2404"/>
      <c r="BB380" s="2403"/>
      <c r="BC380" s="2404"/>
    </row>
    <row r="381" spans="1:55" s="2518" customFormat="1" ht="10.15" x14ac:dyDescent="0.3">
      <c r="A381" s="2042"/>
      <c r="B381" s="2514" t="s">
        <v>1082</v>
      </c>
      <c r="C381" s="2515">
        <v>279</v>
      </c>
      <c r="D381" s="2515">
        <v>462</v>
      </c>
      <c r="E381" s="2515">
        <v>293</v>
      </c>
      <c r="F381" s="2515">
        <v>225</v>
      </c>
      <c r="G381" s="2515">
        <v>396</v>
      </c>
      <c r="H381" s="2515">
        <v>864</v>
      </c>
      <c r="I381" s="2515">
        <v>659</v>
      </c>
      <c r="J381" s="2515">
        <v>925</v>
      </c>
      <c r="K381" s="2515">
        <v>1073</v>
      </c>
      <c r="L381" s="2515">
        <v>3010</v>
      </c>
      <c r="M381" s="2515">
        <v>4313</v>
      </c>
      <c r="N381" s="2515">
        <v>4632</v>
      </c>
      <c r="O381" s="2515">
        <v>3995</v>
      </c>
      <c r="P381" s="2515">
        <f>P383+P384+P385+P386</f>
        <v>3164</v>
      </c>
      <c r="Q381" s="2515">
        <f>Q383+Q384+Q385+Q386</f>
        <v>4370</v>
      </c>
      <c r="R381" s="2515">
        <f t="shared" ref="R381:AP381" si="395">SUM(R383:R386)</f>
        <v>4553</v>
      </c>
      <c r="S381" s="2515">
        <f t="shared" si="395"/>
        <v>3694</v>
      </c>
      <c r="T381" s="2515">
        <f t="shared" si="395"/>
        <v>4251</v>
      </c>
      <c r="U381" s="2515">
        <f t="shared" si="395"/>
        <v>3744</v>
      </c>
      <c r="V381" s="2515">
        <f t="shared" si="395"/>
        <v>4306</v>
      </c>
      <c r="W381" s="2515">
        <f t="shared" si="395"/>
        <v>4019</v>
      </c>
      <c r="X381" s="2515">
        <f t="shared" si="395"/>
        <v>4686</v>
      </c>
      <c r="Y381" s="2515">
        <f t="shared" si="395"/>
        <v>5115</v>
      </c>
      <c r="Z381" s="2515">
        <f t="shared" si="395"/>
        <v>6255</v>
      </c>
      <c r="AA381" s="2515">
        <f t="shared" si="395"/>
        <v>16378</v>
      </c>
      <c r="AB381" s="2515">
        <f t="shared" si="395"/>
        <v>7043</v>
      </c>
      <c r="AC381" s="2515">
        <f t="shared" si="395"/>
        <v>6960</v>
      </c>
      <c r="AD381" s="2515">
        <f t="shared" si="395"/>
        <v>7110</v>
      </c>
      <c r="AE381" s="2515">
        <f t="shared" si="395"/>
        <v>7115</v>
      </c>
      <c r="AF381" s="2515">
        <f t="shared" si="395"/>
        <v>8145</v>
      </c>
      <c r="AG381" s="2515">
        <f t="shared" si="395"/>
        <v>7830</v>
      </c>
      <c r="AH381" s="2515">
        <f t="shared" si="395"/>
        <v>8652</v>
      </c>
      <c r="AI381" s="2515">
        <f t="shared" si="395"/>
        <v>7715</v>
      </c>
      <c r="AJ381" s="2515">
        <f t="shared" si="395"/>
        <v>8673.6</v>
      </c>
      <c r="AK381" s="2515">
        <f t="shared" si="395"/>
        <v>8502.7428</v>
      </c>
      <c r="AL381" s="2515">
        <f t="shared" si="395"/>
        <v>9024.531828000001</v>
      </c>
      <c r="AM381" s="2515">
        <f t="shared" si="395"/>
        <v>8010.0385462799995</v>
      </c>
      <c r="AN381" s="2515">
        <f t="shared" si="395"/>
        <v>8985.1058317427996</v>
      </c>
      <c r="AO381" s="2515">
        <f t="shared" si="395"/>
        <v>8791.5787860602286</v>
      </c>
      <c r="AP381" s="2515">
        <f t="shared" si="395"/>
        <v>9308.7153469208297</v>
      </c>
      <c r="AQ381" s="2516">
        <v>1254</v>
      </c>
      <c r="AR381" s="2515">
        <v>1259</v>
      </c>
      <c r="AS381" s="2515">
        <f>SUM(G381:J381)</f>
        <v>2844</v>
      </c>
      <c r="AT381" s="2517">
        <f>SUM(K381:N381)</f>
        <v>13028</v>
      </c>
      <c r="AU381" s="2516">
        <f>SUM(AU383:AU386)</f>
        <v>16082</v>
      </c>
      <c r="AV381" s="2515">
        <f>SUM(AV383:AV386)</f>
        <v>15995</v>
      </c>
      <c r="AW381" s="2515">
        <f>SUM(W381:Z381)</f>
        <v>20075</v>
      </c>
      <c r="AX381" s="2516">
        <f>SUM(AA381:AD381)</f>
        <v>37491</v>
      </c>
      <c r="AY381" s="2515">
        <f>SUM(AY383:AY386)</f>
        <v>31742</v>
      </c>
      <c r="AZ381" s="2515">
        <f>SUM(AZ383:AZ386)</f>
        <v>33915.874627999998</v>
      </c>
      <c r="BA381" s="2517">
        <f>SUM(BA383:BA386)</f>
        <v>35095.438511003857</v>
      </c>
      <c r="BB381" s="2516">
        <f>SUM(BB383:BB386)</f>
        <v>34359.234364019358</v>
      </c>
      <c r="BC381" s="2517">
        <f>SUM(BC383:BC386)</f>
        <v>35853.146082220323</v>
      </c>
    </row>
    <row r="382" spans="1:55" s="2518" customFormat="1" ht="10.15" x14ac:dyDescent="0.3">
      <c r="A382" s="2042"/>
      <c r="B382" s="2514" t="s">
        <v>1083</v>
      </c>
      <c r="C382" s="1948"/>
      <c r="D382" s="1948"/>
      <c r="E382" s="1948"/>
      <c r="F382" s="1948"/>
      <c r="G382" s="1948"/>
      <c r="H382" s="1948"/>
      <c r="I382" s="1948"/>
      <c r="J382" s="1948"/>
      <c r="K382" s="1948"/>
      <c r="L382" s="1948"/>
      <c r="M382" s="1948"/>
      <c r="N382" s="1948"/>
      <c r="O382" s="2515"/>
      <c r="P382" s="2515"/>
      <c r="Q382" s="2515"/>
      <c r="R382" s="2515"/>
      <c r="S382" s="1948">
        <f t="shared" ref="S382:BC382" si="396">S329</f>
        <v>3694</v>
      </c>
      <c r="T382" s="1948">
        <f t="shared" si="396"/>
        <v>4251</v>
      </c>
      <c r="U382" s="1948">
        <f t="shared" si="396"/>
        <v>3744</v>
      </c>
      <c r="V382" s="1948">
        <f t="shared" si="396"/>
        <v>4306</v>
      </c>
      <c r="W382" s="1948">
        <f t="shared" si="396"/>
        <v>4019</v>
      </c>
      <c r="X382" s="1948">
        <f t="shared" si="396"/>
        <v>4686</v>
      </c>
      <c r="Y382" s="1948">
        <f t="shared" si="396"/>
        <v>5115</v>
      </c>
      <c r="Z382" s="1948">
        <f t="shared" si="396"/>
        <v>6255</v>
      </c>
      <c r="AA382" s="1948">
        <f t="shared" si="396"/>
        <v>16378</v>
      </c>
      <c r="AB382" s="1948">
        <f t="shared" si="396"/>
        <v>7043</v>
      </c>
      <c r="AC382" s="1948">
        <f t="shared" si="396"/>
        <v>6960</v>
      </c>
      <c r="AD382" s="1948">
        <f t="shared" si="396"/>
        <v>7110</v>
      </c>
      <c r="AE382" s="1948">
        <f t="shared" si="396"/>
        <v>7115</v>
      </c>
      <c r="AF382" s="1948">
        <f t="shared" si="396"/>
        <v>8145</v>
      </c>
      <c r="AG382" s="1948">
        <f t="shared" si="396"/>
        <v>7830</v>
      </c>
      <c r="AH382" s="1948">
        <f t="shared" si="396"/>
        <v>8652</v>
      </c>
      <c r="AI382" s="1948">
        <f t="shared" si="396"/>
        <v>7715</v>
      </c>
      <c r="AJ382" s="1948">
        <f t="shared" si="396"/>
        <v>8673.6</v>
      </c>
      <c r="AK382" s="1948">
        <f t="shared" si="396"/>
        <v>8502.7428</v>
      </c>
      <c r="AL382" s="1948">
        <f t="shared" si="396"/>
        <v>9024.531828000001</v>
      </c>
      <c r="AM382" s="1948">
        <f t="shared" si="396"/>
        <v>8010.0385462799995</v>
      </c>
      <c r="AN382" s="1948">
        <f t="shared" si="396"/>
        <v>8985.1058317427996</v>
      </c>
      <c r="AO382" s="1948">
        <f t="shared" si="396"/>
        <v>8791.5787860602286</v>
      </c>
      <c r="AP382" s="1948">
        <f t="shared" si="396"/>
        <v>9308.7153469208297</v>
      </c>
      <c r="AQ382" s="2516">
        <f t="shared" si="396"/>
        <v>0</v>
      </c>
      <c r="AR382" s="2515">
        <f t="shared" si="396"/>
        <v>0</v>
      </c>
      <c r="AS382" s="2515">
        <f t="shared" si="396"/>
        <v>0</v>
      </c>
      <c r="AT382" s="2517">
        <f t="shared" si="396"/>
        <v>0</v>
      </c>
      <c r="AU382" s="2516">
        <f t="shared" si="396"/>
        <v>16082</v>
      </c>
      <c r="AV382" s="2515">
        <f t="shared" si="396"/>
        <v>15995</v>
      </c>
      <c r="AW382" s="2515">
        <f t="shared" si="396"/>
        <v>20075</v>
      </c>
      <c r="AX382" s="2516">
        <f t="shared" si="396"/>
        <v>37491</v>
      </c>
      <c r="AY382" s="2515">
        <f t="shared" si="396"/>
        <v>31742</v>
      </c>
      <c r="AZ382" s="2515">
        <f t="shared" si="396"/>
        <v>33915.874627999998</v>
      </c>
      <c r="BA382" s="2517">
        <f t="shared" si="396"/>
        <v>35095.438511003857</v>
      </c>
      <c r="BB382" s="2516">
        <f t="shared" si="396"/>
        <v>34359.234364019358</v>
      </c>
      <c r="BC382" s="2517">
        <f t="shared" si="396"/>
        <v>35853.146082220323</v>
      </c>
    </row>
    <row r="383" spans="1:55" s="1953" customFormat="1" ht="10.15" x14ac:dyDescent="0.3">
      <c r="A383" s="2042"/>
      <c r="B383" s="2519" t="s">
        <v>1084</v>
      </c>
      <c r="C383" s="1948"/>
      <c r="D383" s="1948"/>
      <c r="E383" s="1948"/>
      <c r="F383" s="1948"/>
      <c r="G383" s="1948">
        <f>398-H383</f>
        <v>151</v>
      </c>
      <c r="H383" s="1948">
        <v>247</v>
      </c>
      <c r="I383" s="1948">
        <v>226</v>
      </c>
      <c r="J383" s="1948">
        <v>530</v>
      </c>
      <c r="K383" s="1948">
        <f>1748-L383</f>
        <v>593</v>
      </c>
      <c r="L383" s="1948">
        <v>1155</v>
      </c>
      <c r="M383" s="1948">
        <v>1413</v>
      </c>
      <c r="N383" s="1948">
        <f>AT383-SUM(K383:M383)</f>
        <v>1015</v>
      </c>
      <c r="O383" s="1948">
        <v>983</v>
      </c>
      <c r="P383" s="1948">
        <v>506</v>
      </c>
      <c r="Q383" s="1948">
        <v>1467</v>
      </c>
      <c r="R383" s="1948">
        <v>1047</v>
      </c>
      <c r="S383" s="1948">
        <v>894</v>
      </c>
      <c r="T383" s="1948">
        <v>1183</v>
      </c>
      <c r="U383" s="1948">
        <v>590</v>
      </c>
      <c r="V383" s="1948">
        <v>1226</v>
      </c>
      <c r="W383" s="1948">
        <v>1128</v>
      </c>
      <c r="X383" s="1948">
        <v>1369</v>
      </c>
      <c r="Y383" s="1948">
        <v>1328</v>
      </c>
      <c r="Z383" s="1948">
        <v>1680</v>
      </c>
      <c r="AA383" s="1948">
        <v>3816</v>
      </c>
      <c r="AB383" s="1948">
        <v>1566</v>
      </c>
      <c r="AC383" s="1948">
        <v>1582</v>
      </c>
      <c r="AD383" s="1948">
        <v>1951</v>
      </c>
      <c r="AE383" s="1948">
        <v>1747</v>
      </c>
      <c r="AF383" s="1948">
        <v>2033</v>
      </c>
      <c r="AG383" s="1948">
        <v>1685</v>
      </c>
      <c r="AH383" s="1948">
        <v>1857</v>
      </c>
      <c r="AI383" s="1948">
        <v>1934</v>
      </c>
      <c r="AJ383" s="1948">
        <f t="shared" ref="AJ383:AP383" si="397">0.28*AJ$382</f>
        <v>2428.6080000000002</v>
      </c>
      <c r="AK383" s="1948">
        <f t="shared" si="397"/>
        <v>2380.7679840000001</v>
      </c>
      <c r="AL383" s="1948">
        <f t="shared" si="397"/>
        <v>2526.8689118400007</v>
      </c>
      <c r="AM383" s="1948">
        <f t="shared" si="397"/>
        <v>2242.8107929584003</v>
      </c>
      <c r="AN383" s="1948">
        <f t="shared" si="397"/>
        <v>2515.8296328879842</v>
      </c>
      <c r="AO383" s="1948">
        <f t="shared" si="397"/>
        <v>2461.642060096864</v>
      </c>
      <c r="AP383" s="1948">
        <f t="shared" si="397"/>
        <v>2606.4402971378327</v>
      </c>
      <c r="AQ383" s="1949"/>
      <c r="AR383" s="1948"/>
      <c r="AS383" s="1948">
        <f t="shared" ref="AS383:AS389" si="398">SUM(G383:J383)</f>
        <v>1154</v>
      </c>
      <c r="AT383" s="1981">
        <f>23834-19658</f>
        <v>4176</v>
      </c>
      <c r="AU383" s="1949">
        <f>SUM(O383:R383)</f>
        <v>4003</v>
      </c>
      <c r="AV383" s="1948">
        <f>SUM(S383:V383)</f>
        <v>3893</v>
      </c>
      <c r="AW383" s="1948">
        <f>SUM(W383:Z383)</f>
        <v>5505</v>
      </c>
      <c r="AX383" s="1949">
        <f>SUM(AA383:AD383)</f>
        <v>8915</v>
      </c>
      <c r="AY383" s="1948">
        <f>SUM(AE383:AH383)</f>
        <v>7322</v>
      </c>
      <c r="AZ383" s="1948">
        <f>SUM(AI383:AL383)</f>
        <v>9270.2448958400018</v>
      </c>
      <c r="BA383" s="1981">
        <f>SUM(AM383:AP383)</f>
        <v>9826.7227830810807</v>
      </c>
      <c r="BB383" s="1949">
        <f>0.28*BB$382</f>
        <v>9620.5856219254219</v>
      </c>
      <c r="BC383" s="1981">
        <f>0.28*BC$382</f>
        <v>10038.880903021691</v>
      </c>
    </row>
    <row r="384" spans="1:55" s="1953" customFormat="1" ht="10.15" x14ac:dyDescent="0.3">
      <c r="A384" s="2042"/>
      <c r="B384" s="2519" t="s">
        <v>1085</v>
      </c>
      <c r="C384" s="1948"/>
      <c r="D384" s="1948"/>
      <c r="E384" s="1948"/>
      <c r="F384" s="1948"/>
      <c r="G384" s="1948">
        <f>340-H384</f>
        <v>122</v>
      </c>
      <c r="H384" s="1948">
        <v>218</v>
      </c>
      <c r="I384" s="1948">
        <v>248</v>
      </c>
      <c r="J384" s="1948">
        <v>207</v>
      </c>
      <c r="K384" s="1948">
        <f>945-L384</f>
        <v>245</v>
      </c>
      <c r="L384" s="1948">
        <v>700</v>
      </c>
      <c r="M384" s="1948">
        <v>1266</v>
      </c>
      <c r="N384" s="1948">
        <v>1665</v>
      </c>
      <c r="O384" s="1948">
        <v>1284</v>
      </c>
      <c r="P384" s="1948">
        <v>1273</v>
      </c>
      <c r="Q384" s="1948">
        <v>1561</v>
      </c>
      <c r="R384" s="1948">
        <v>1585</v>
      </c>
      <c r="S384" s="1948">
        <v>1276</v>
      </c>
      <c r="T384" s="1948">
        <v>1451</v>
      </c>
      <c r="U384" s="1948">
        <v>1591</v>
      </c>
      <c r="V384" s="1948">
        <v>1394</v>
      </c>
      <c r="W384" s="1948">
        <v>1332</v>
      </c>
      <c r="X384" s="1948">
        <v>1686</v>
      </c>
      <c r="Y384" s="1948">
        <v>1895</v>
      </c>
      <c r="Z384" s="1948">
        <v>2461</v>
      </c>
      <c r="AA384" s="1948">
        <v>6512</v>
      </c>
      <c r="AB384" s="1948">
        <v>3078</v>
      </c>
      <c r="AC384" s="1948">
        <v>2987</v>
      </c>
      <c r="AD384" s="1948">
        <v>2801</v>
      </c>
      <c r="AE384" s="1948">
        <v>3009</v>
      </c>
      <c r="AF384" s="1948">
        <v>3517</v>
      </c>
      <c r="AG384" s="1948">
        <v>3644</v>
      </c>
      <c r="AH384" s="1948">
        <v>3484</v>
      </c>
      <c r="AI384" s="1948">
        <v>3125</v>
      </c>
      <c r="AJ384" s="1948">
        <f t="shared" ref="AJ384:AP384" si="399">0.32*AJ$382</f>
        <v>2775.5520000000001</v>
      </c>
      <c r="AK384" s="1948">
        <f t="shared" si="399"/>
        <v>2720.877696</v>
      </c>
      <c r="AL384" s="1948">
        <f t="shared" si="399"/>
        <v>2887.8501849600002</v>
      </c>
      <c r="AM384" s="1948">
        <f t="shared" si="399"/>
        <v>2563.2123348095997</v>
      </c>
      <c r="AN384" s="1948">
        <f t="shared" si="399"/>
        <v>2875.233866157696</v>
      </c>
      <c r="AO384" s="1948">
        <f t="shared" si="399"/>
        <v>2813.3052115392734</v>
      </c>
      <c r="AP384" s="1948">
        <f t="shared" si="399"/>
        <v>2978.7889110146657</v>
      </c>
      <c r="AQ384" s="1949"/>
      <c r="AR384" s="1948"/>
      <c r="AS384" s="1948">
        <f t="shared" si="398"/>
        <v>795</v>
      </c>
      <c r="AT384" s="1981">
        <f>SUM(K384:N384)</f>
        <v>3876</v>
      </c>
      <c r="AU384" s="1949">
        <f>SUM(O384:R384)</f>
        <v>5703</v>
      </c>
      <c r="AV384" s="1948">
        <f>SUM(S384:V384)</f>
        <v>5712</v>
      </c>
      <c r="AW384" s="1948">
        <f>SUM(W384:Z384)</f>
        <v>7374</v>
      </c>
      <c r="AX384" s="1949">
        <f>SUM(AA384:AD384)</f>
        <v>15378</v>
      </c>
      <c r="AY384" s="1948">
        <f>SUM(AE384:AH384)</f>
        <v>13654</v>
      </c>
      <c r="AZ384" s="1948">
        <f>SUM(AI384:AL384)</f>
        <v>11509.279880959999</v>
      </c>
      <c r="BA384" s="1981">
        <f>SUM(AM384:AP384)</f>
        <v>11230.540323521234</v>
      </c>
      <c r="BB384" s="1949">
        <f>0.32*BB$382</f>
        <v>10994.954996486194</v>
      </c>
      <c r="BC384" s="1981">
        <f>0.32*BC$382</f>
        <v>11473.006746310504</v>
      </c>
    </row>
    <row r="385" spans="1:71" s="1953" customFormat="1" ht="10.15" x14ac:dyDescent="0.3">
      <c r="A385" s="2042"/>
      <c r="B385" s="2519" t="s">
        <v>1086</v>
      </c>
      <c r="C385" s="1948"/>
      <c r="D385" s="1948"/>
      <c r="E385" s="1948"/>
      <c r="F385" s="1948"/>
      <c r="G385" s="1948">
        <f>91-H385</f>
        <v>34</v>
      </c>
      <c r="H385" s="1948">
        <v>57</v>
      </c>
      <c r="I385" s="1948">
        <v>55</v>
      </c>
      <c r="J385" s="1948">
        <v>43</v>
      </c>
      <c r="K385" s="1948">
        <f>235-L385</f>
        <v>62</v>
      </c>
      <c r="L385" s="1948">
        <v>173</v>
      </c>
      <c r="M385" s="1948">
        <v>402</v>
      </c>
      <c r="N385" s="1948">
        <v>598</v>
      </c>
      <c r="O385" s="1948">
        <v>497</v>
      </c>
      <c r="P385" s="1948">
        <v>403</v>
      </c>
      <c r="Q385" s="1948">
        <v>492</v>
      </c>
      <c r="R385" s="1948">
        <v>571</v>
      </c>
      <c r="S385" s="1948">
        <v>447</v>
      </c>
      <c r="T385" s="1948">
        <v>478</v>
      </c>
      <c r="U385" s="1948">
        <v>386</v>
      </c>
      <c r="V385" s="1948">
        <v>461</v>
      </c>
      <c r="W385" s="1948">
        <v>396</v>
      </c>
      <c r="X385" s="1948">
        <v>501</v>
      </c>
      <c r="Y385" s="1948">
        <v>469</v>
      </c>
      <c r="Z385" s="1948">
        <v>671</v>
      </c>
      <c r="AA385" s="1948">
        <v>2063</v>
      </c>
      <c r="AB385" s="1948">
        <v>746</v>
      </c>
      <c r="AC385" s="1948">
        <v>838</v>
      </c>
      <c r="AD385" s="1948">
        <v>764</v>
      </c>
      <c r="AE385" s="1948">
        <v>862</v>
      </c>
      <c r="AF385" s="1948">
        <v>990</v>
      </c>
      <c r="AG385" s="1948">
        <v>961</v>
      </c>
      <c r="AH385" s="1948">
        <v>1017</v>
      </c>
      <c r="AI385" s="1948">
        <v>738</v>
      </c>
      <c r="AJ385" s="1948">
        <f t="shared" ref="AJ385:AP385" si="400">0.1*AJ$382</f>
        <v>867.36000000000013</v>
      </c>
      <c r="AK385" s="1948">
        <f t="shared" si="400"/>
        <v>850.27428000000009</v>
      </c>
      <c r="AL385" s="1948">
        <f t="shared" si="400"/>
        <v>902.45318280000015</v>
      </c>
      <c r="AM385" s="1948">
        <f t="shared" si="400"/>
        <v>801.003854628</v>
      </c>
      <c r="AN385" s="1948">
        <f t="shared" si="400"/>
        <v>898.51058317427999</v>
      </c>
      <c r="AO385" s="1948">
        <f t="shared" si="400"/>
        <v>879.1578786060229</v>
      </c>
      <c r="AP385" s="1948">
        <f t="shared" si="400"/>
        <v>930.87153469208306</v>
      </c>
      <c r="AQ385" s="1949"/>
      <c r="AR385" s="1948"/>
      <c r="AS385" s="1948">
        <f t="shared" si="398"/>
        <v>189</v>
      </c>
      <c r="AT385" s="1981">
        <f>SUM(K385:N385)</f>
        <v>1235</v>
      </c>
      <c r="AU385" s="1949">
        <f>SUM(O385:R385)</f>
        <v>1963</v>
      </c>
      <c r="AV385" s="1948">
        <f>SUM(S385:V385)</f>
        <v>1772</v>
      </c>
      <c r="AW385" s="1948">
        <f>SUM(W385:Z385)</f>
        <v>2037</v>
      </c>
      <c r="AX385" s="1949">
        <f>SUM(AA385:AD385)</f>
        <v>4411</v>
      </c>
      <c r="AY385" s="1948">
        <f>SUM(AE385:AH385)</f>
        <v>3830</v>
      </c>
      <c r="AZ385" s="1948">
        <f>SUM(AI385:AL385)</f>
        <v>3358.0874628000001</v>
      </c>
      <c r="BA385" s="1981">
        <f>SUM(AM385:AP385)</f>
        <v>3509.5438511003863</v>
      </c>
      <c r="BB385" s="1949">
        <f>0.1*BB$382</f>
        <v>3435.9234364019358</v>
      </c>
      <c r="BC385" s="1981">
        <f>0.1*BC$382</f>
        <v>3585.3146082220323</v>
      </c>
    </row>
    <row r="386" spans="1:71" s="1953" customFormat="1" ht="10.15" x14ac:dyDescent="0.3">
      <c r="A386" s="2042"/>
      <c r="B386" s="2519" t="s">
        <v>1087</v>
      </c>
      <c r="C386" s="1948"/>
      <c r="D386" s="1948"/>
      <c r="E386" s="1948"/>
      <c r="F386" s="1948"/>
      <c r="G386" s="1948">
        <f>431-H386</f>
        <v>89</v>
      </c>
      <c r="H386" s="1948">
        <v>342</v>
      </c>
      <c r="I386" s="1948">
        <v>130</v>
      </c>
      <c r="J386" s="1948">
        <v>145</v>
      </c>
      <c r="K386" s="1948">
        <f>188-L386</f>
        <v>-794</v>
      </c>
      <c r="L386" s="1948">
        <v>982</v>
      </c>
      <c r="M386" s="1948">
        <v>1232</v>
      </c>
      <c r="N386" s="1948">
        <v>1354</v>
      </c>
      <c r="O386" s="1948">
        <v>1231</v>
      </c>
      <c r="P386" s="1948">
        <v>982</v>
      </c>
      <c r="Q386" s="1948">
        <v>850</v>
      </c>
      <c r="R386" s="1948">
        <v>1350</v>
      </c>
      <c r="S386" s="1948">
        <v>1077</v>
      </c>
      <c r="T386" s="1948">
        <v>1139</v>
      </c>
      <c r="U386" s="1948">
        <v>1177</v>
      </c>
      <c r="V386" s="1948">
        <v>1225</v>
      </c>
      <c r="W386" s="1948">
        <v>1163</v>
      </c>
      <c r="X386" s="1948">
        <v>1130</v>
      </c>
      <c r="Y386" s="1948">
        <v>1423</v>
      </c>
      <c r="Z386" s="1948">
        <v>1443</v>
      </c>
      <c r="AA386" s="1948">
        <v>3987</v>
      </c>
      <c r="AB386" s="1948">
        <v>1653</v>
      </c>
      <c r="AC386" s="1948">
        <v>1553</v>
      </c>
      <c r="AD386" s="1948">
        <v>1594</v>
      </c>
      <c r="AE386" s="1948">
        <v>1497</v>
      </c>
      <c r="AF386" s="1948">
        <v>1605</v>
      </c>
      <c r="AG386" s="1948">
        <v>1540</v>
      </c>
      <c r="AH386" s="1948">
        <v>2294</v>
      </c>
      <c r="AI386" s="1948">
        <v>1918</v>
      </c>
      <c r="AJ386" s="1948">
        <f t="shared" ref="AJ386:AP386" si="401">0.3*AJ$382</f>
        <v>2602.08</v>
      </c>
      <c r="AK386" s="1948">
        <f t="shared" si="401"/>
        <v>2550.8228399999998</v>
      </c>
      <c r="AL386" s="1948">
        <f t="shared" si="401"/>
        <v>2707.3595484000002</v>
      </c>
      <c r="AM386" s="1948">
        <f t="shared" si="401"/>
        <v>2403.0115638839998</v>
      </c>
      <c r="AN386" s="1948">
        <f t="shared" si="401"/>
        <v>2695.5317495228396</v>
      </c>
      <c r="AO386" s="1948">
        <f t="shared" si="401"/>
        <v>2637.4736358180685</v>
      </c>
      <c r="AP386" s="1948">
        <f t="shared" si="401"/>
        <v>2792.6146040762487</v>
      </c>
      <c r="AQ386" s="1949"/>
      <c r="AR386" s="1948"/>
      <c r="AS386" s="1948">
        <f t="shared" si="398"/>
        <v>706</v>
      </c>
      <c r="AT386" s="1981">
        <f>SUM(K386:N386)</f>
        <v>2774</v>
      </c>
      <c r="AU386" s="1949">
        <f>SUM(O386:R386)</f>
        <v>4413</v>
      </c>
      <c r="AV386" s="1948">
        <f>SUM(S386:V386)</f>
        <v>4618</v>
      </c>
      <c r="AW386" s="1948">
        <f>SUM(W386:Z386)</f>
        <v>5159</v>
      </c>
      <c r="AX386" s="1949">
        <f>SUM(AA386:AD386)</f>
        <v>8787</v>
      </c>
      <c r="AY386" s="1948">
        <f>SUM(AE386:AH386)</f>
        <v>6936</v>
      </c>
      <c r="AZ386" s="1948">
        <f>SUM(AI386:AL386)</f>
        <v>9778.2623884000004</v>
      </c>
      <c r="BA386" s="1981">
        <f>SUM(AM386:AP386)</f>
        <v>10528.631553301157</v>
      </c>
      <c r="BB386" s="1949">
        <f>0.3*BB$382</f>
        <v>10307.770309205807</v>
      </c>
      <c r="BC386" s="1981">
        <f>0.3*BC$382</f>
        <v>10755.943824666096</v>
      </c>
    </row>
    <row r="387" spans="1:71" s="1953" customFormat="1" ht="10.15" x14ac:dyDescent="0.3">
      <c r="A387" s="2042"/>
      <c r="B387" s="2520" t="s">
        <v>579</v>
      </c>
      <c r="C387" s="1948">
        <f>AR387/4</f>
        <v>201.25</v>
      </c>
      <c r="D387" s="1948">
        <f>C387</f>
        <v>201.25</v>
      </c>
      <c r="E387" s="1948">
        <f>D387</f>
        <v>201.25</v>
      </c>
      <c r="F387" s="1948">
        <f>E387</f>
        <v>201.25</v>
      </c>
      <c r="G387" s="1948">
        <v>243</v>
      </c>
      <c r="H387" s="1948">
        <v>310</v>
      </c>
      <c r="I387" s="1948">
        <v>394</v>
      </c>
      <c r="J387" s="1948">
        <v>392</v>
      </c>
      <c r="K387" s="1948">
        <v>423</v>
      </c>
      <c r="L387" s="1948">
        <v>540</v>
      </c>
      <c r="M387" s="1948">
        <v>654</v>
      </c>
      <c r="N387" s="1948">
        <v>709</v>
      </c>
      <c r="O387" s="1948">
        <v>782</v>
      </c>
      <c r="P387" s="1948">
        <v>859</v>
      </c>
      <c r="Q387" s="1948">
        <v>1039</v>
      </c>
      <c r="R387" s="1948">
        <f>1090</f>
        <v>1090</v>
      </c>
      <c r="S387" s="1948">
        <v>1204</v>
      </c>
      <c r="T387" s="1948">
        <v>1282</v>
      </c>
      <c r="U387" s="1948">
        <v>1352</v>
      </c>
      <c r="V387" s="1948">
        <v>1446</v>
      </c>
      <c r="W387" s="1948">
        <v>1606</v>
      </c>
      <c r="X387" s="1948">
        <v>2013</v>
      </c>
      <c r="Y387" s="1948">
        <v>2521</v>
      </c>
      <c r="Z387" s="1948">
        <v>2649</v>
      </c>
      <c r="AA387" s="1948">
        <v>2857</v>
      </c>
      <c r="AB387" s="1948">
        <v>3555</v>
      </c>
      <c r="AC387" s="1948">
        <v>4141</v>
      </c>
      <c r="AD387" s="1948">
        <v>4409</v>
      </c>
      <c r="AE387" s="1948">
        <v>4682</v>
      </c>
      <c r="AF387" s="1948">
        <v>5010</v>
      </c>
      <c r="AG387" s="1948">
        <v>5218</v>
      </c>
      <c r="AH387" s="1948">
        <v>5613</v>
      </c>
      <c r="AI387" s="1948">
        <v>5667</v>
      </c>
      <c r="AJ387" s="1948">
        <f t="shared" ref="AJ387:AP387" si="402">AI387*1.05</f>
        <v>5950.35</v>
      </c>
      <c r="AK387" s="1948">
        <f t="shared" si="402"/>
        <v>6247.8675000000003</v>
      </c>
      <c r="AL387" s="1948">
        <f t="shared" si="402"/>
        <v>6560.2608750000009</v>
      </c>
      <c r="AM387" s="1948">
        <f t="shared" si="402"/>
        <v>6888.273918750001</v>
      </c>
      <c r="AN387" s="1948">
        <f t="shared" si="402"/>
        <v>7232.6876146875011</v>
      </c>
      <c r="AO387" s="1948">
        <f t="shared" si="402"/>
        <v>7594.3219954218766</v>
      </c>
      <c r="AP387" s="1948">
        <f t="shared" si="402"/>
        <v>7974.038095192971</v>
      </c>
      <c r="AQ387" s="1949">
        <v>715</v>
      </c>
      <c r="AR387" s="1948">
        <v>805</v>
      </c>
      <c r="AS387" s="1948">
        <f t="shared" si="398"/>
        <v>1339</v>
      </c>
      <c r="AT387" s="1981">
        <f>SUM(K387:N387)</f>
        <v>2326</v>
      </c>
      <c r="AU387" s="1949">
        <f>SUM(O387:R387)</f>
        <v>3770</v>
      </c>
      <c r="AV387" s="1948">
        <f>SUM(S387:V387)</f>
        <v>5284</v>
      </c>
      <c r="AW387" s="1948">
        <f>AW589</f>
        <v>8789</v>
      </c>
      <c r="AX387" s="1949">
        <f>SUM(AA387:AD387)</f>
        <v>14962</v>
      </c>
      <c r="AY387" s="1948">
        <f>SUM(AE387:AH387)</f>
        <v>20523</v>
      </c>
      <c r="AZ387" s="1948">
        <f>SUM(AI387:AL387)</f>
        <v>24425.478374999999</v>
      </c>
      <c r="BA387" s="1981">
        <f>SUM(AM387:AP387)</f>
        <v>29689.321624052347</v>
      </c>
      <c r="BB387" s="1949">
        <f>BA387*1.03</f>
        <v>30580.001272773919</v>
      </c>
      <c r="BC387" s="1981">
        <f>BB387*1.03</f>
        <v>31497.401310957139</v>
      </c>
    </row>
    <row r="388" spans="1:71" s="1953" customFormat="1" ht="10.15" x14ac:dyDescent="0.3">
      <c r="A388" s="2042"/>
      <c r="B388" s="2498" t="s">
        <v>1088</v>
      </c>
      <c r="C388" s="1948"/>
      <c r="D388" s="1948"/>
      <c r="E388" s="1948"/>
      <c r="F388" s="1948"/>
      <c r="G388" s="1948">
        <v>0</v>
      </c>
      <c r="H388" s="1948"/>
      <c r="I388" s="1948">
        <v>1269</v>
      </c>
      <c r="J388" s="1948">
        <v>0</v>
      </c>
      <c r="K388" s="1948">
        <v>0</v>
      </c>
      <c r="L388" s="1948">
        <v>0</v>
      </c>
      <c r="M388" s="1948">
        <v>0</v>
      </c>
      <c r="N388" s="1948">
        <v>0</v>
      </c>
      <c r="O388" s="1948"/>
      <c r="P388" s="1972"/>
      <c r="Q388" s="1972"/>
      <c r="R388" s="1972"/>
      <c r="S388" s="1974"/>
      <c r="T388" s="1974"/>
      <c r="U388" s="1974"/>
      <c r="V388" s="1974"/>
      <c r="W388" s="1974"/>
      <c r="X388" s="1974"/>
      <c r="Y388" s="1974"/>
      <c r="Z388" s="1974"/>
      <c r="AA388" s="1974"/>
      <c r="AB388" s="1974"/>
      <c r="AC388" s="1974"/>
      <c r="AD388" s="1974"/>
      <c r="AE388" s="1974"/>
      <c r="AF388" s="1974"/>
      <c r="AG388" s="1974"/>
      <c r="AH388" s="1974"/>
      <c r="AI388" s="1974"/>
      <c r="AJ388" s="1974"/>
      <c r="AK388" s="1974"/>
      <c r="AL388" s="1974"/>
      <c r="AM388" s="1974"/>
      <c r="AN388" s="1974"/>
      <c r="AO388" s="1974"/>
      <c r="AP388" s="1974"/>
      <c r="AQ388" s="1949">
        <v>0</v>
      </c>
      <c r="AR388" s="1948">
        <v>0</v>
      </c>
      <c r="AS388" s="1948">
        <f t="shared" si="398"/>
        <v>1269</v>
      </c>
      <c r="AT388" s="1981">
        <f>N388</f>
        <v>0</v>
      </c>
      <c r="AU388" s="1949">
        <v>0</v>
      </c>
      <c r="AV388" s="1948">
        <f>AU388</f>
        <v>0</v>
      </c>
      <c r="AW388" s="1948"/>
      <c r="AX388" s="1949"/>
      <c r="AY388" s="1948"/>
      <c r="AZ388" s="1948"/>
      <c r="BA388" s="1981"/>
      <c r="BB388" s="1949"/>
      <c r="BC388" s="1981"/>
    </row>
    <row r="389" spans="1:71" s="1953" customFormat="1" ht="10.15" x14ac:dyDescent="0.3">
      <c r="A389" s="2042"/>
      <c r="B389" s="2520" t="s">
        <v>1089</v>
      </c>
      <c r="C389" s="1948"/>
      <c r="D389" s="1948"/>
      <c r="E389" s="1948"/>
      <c r="F389" s="1948"/>
      <c r="G389" s="1948"/>
      <c r="H389" s="1948"/>
      <c r="I389" s="1948"/>
      <c r="J389" s="1948"/>
      <c r="K389" s="1948"/>
      <c r="L389" s="1948"/>
      <c r="M389" s="1948">
        <v>830</v>
      </c>
      <c r="N389" s="1948">
        <v>0</v>
      </c>
      <c r="O389" s="1948">
        <v>0</v>
      </c>
      <c r="P389" s="1948">
        <v>0</v>
      </c>
      <c r="Q389" s="1948">
        <v>0</v>
      </c>
      <c r="R389" s="1948">
        <v>0</v>
      </c>
      <c r="S389" s="1948">
        <v>0</v>
      </c>
      <c r="T389" s="1948">
        <v>0</v>
      </c>
      <c r="U389" s="1948">
        <v>0</v>
      </c>
      <c r="V389" s="1948">
        <v>0</v>
      </c>
      <c r="W389" s="1948">
        <v>0</v>
      </c>
      <c r="X389" s="1948">
        <v>0</v>
      </c>
      <c r="Y389" s="1948">
        <v>0</v>
      </c>
      <c r="Z389" s="1948">
        <v>0</v>
      </c>
      <c r="AA389" s="1948">
        <v>0</v>
      </c>
      <c r="AB389" s="1948">
        <v>0</v>
      </c>
      <c r="AC389" s="1948">
        <v>0</v>
      </c>
      <c r="AD389" s="1948">
        <v>0</v>
      </c>
      <c r="AE389" s="1948">
        <v>0</v>
      </c>
      <c r="AF389" s="1948">
        <v>0</v>
      </c>
      <c r="AG389" s="1948">
        <v>0</v>
      </c>
      <c r="AH389" s="1948">
        <v>0</v>
      </c>
      <c r="AI389" s="1948">
        <v>0</v>
      </c>
      <c r="AJ389" s="1948">
        <v>0</v>
      </c>
      <c r="AK389" s="1948">
        <v>0</v>
      </c>
      <c r="AL389" s="1948">
        <v>0</v>
      </c>
      <c r="AM389" s="1948">
        <v>0</v>
      </c>
      <c r="AN389" s="1948">
        <v>0</v>
      </c>
      <c r="AO389" s="1948">
        <v>0</v>
      </c>
      <c r="AP389" s="1948">
        <v>0</v>
      </c>
      <c r="AQ389" s="1949"/>
      <c r="AR389" s="1948"/>
      <c r="AS389" s="1948">
        <f t="shared" si="398"/>
        <v>0</v>
      </c>
      <c r="AT389" s="1981">
        <f>M389+N389</f>
        <v>830</v>
      </c>
      <c r="AU389" s="1949"/>
      <c r="AV389" s="1948"/>
      <c r="AW389" s="1948"/>
      <c r="AX389" s="1949"/>
      <c r="AY389" s="1948"/>
      <c r="AZ389" s="1948"/>
      <c r="BA389" s="1981"/>
      <c r="BB389" s="1949"/>
      <c r="BC389" s="1981"/>
    </row>
    <row r="390" spans="1:71" s="1953" customFormat="1" ht="10.15" x14ac:dyDescent="0.3">
      <c r="A390" s="2042"/>
      <c r="B390" s="2520" t="s">
        <v>1090</v>
      </c>
      <c r="C390" s="1948"/>
      <c r="D390" s="1948"/>
      <c r="E390" s="1948"/>
      <c r="F390" s="1948"/>
      <c r="G390" s="1948">
        <v>0</v>
      </c>
      <c r="H390" s="1948">
        <v>53</v>
      </c>
      <c r="I390" s="1948">
        <v>55</v>
      </c>
      <c r="J390" s="1948">
        <v>39</v>
      </c>
      <c r="K390" s="1948">
        <v>0</v>
      </c>
      <c r="L390" s="1948"/>
      <c r="M390" s="1948">
        <v>1032</v>
      </c>
      <c r="N390" s="1948">
        <v>0</v>
      </c>
      <c r="O390" s="1948">
        <v>60</v>
      </c>
      <c r="P390" s="1975">
        <v>645</v>
      </c>
      <c r="Q390" s="1948">
        <v>1611</v>
      </c>
      <c r="R390" s="1948">
        <v>3</v>
      </c>
      <c r="S390" s="1948">
        <v>77</v>
      </c>
      <c r="T390" s="1948">
        <v>856</v>
      </c>
      <c r="U390" s="1948">
        <v>1476</v>
      </c>
      <c r="V390" s="1948">
        <v>133</v>
      </c>
      <c r="W390" s="1948">
        <v>952</v>
      </c>
      <c r="X390" s="1948">
        <v>389</v>
      </c>
      <c r="Y390" s="1948">
        <v>19033</v>
      </c>
      <c r="Z390" s="1948">
        <v>89</v>
      </c>
      <c r="AA390" s="1948">
        <v>0</v>
      </c>
      <c r="AB390" s="1948">
        <v>358</v>
      </c>
      <c r="AC390" s="1948">
        <v>7552</v>
      </c>
      <c r="AD390" s="1948">
        <v>3450</v>
      </c>
      <c r="AE390" s="1948">
        <v>250</v>
      </c>
      <c r="AF390" s="1948">
        <v>19855</v>
      </c>
      <c r="AG390" s="1948">
        <v>4842</v>
      </c>
      <c r="AH390" s="1948">
        <v>709</v>
      </c>
      <c r="AI390" s="1948">
        <v>103</v>
      </c>
      <c r="AJ390" s="1948">
        <f>$AZ390/4</f>
        <v>2859.04025</v>
      </c>
      <c r="AK390" s="1948">
        <f>$AZ390/4</f>
        <v>2859.04025</v>
      </c>
      <c r="AL390" s="1948">
        <f>AZ390-SUM(AI390:AK390)</f>
        <v>5615.0805</v>
      </c>
      <c r="AM390" s="1948">
        <f>$BA390/4</f>
        <v>3144.9442750000007</v>
      </c>
      <c r="AN390" s="1948">
        <f>$BA390/4</f>
        <v>3144.9442750000007</v>
      </c>
      <c r="AO390" s="1948">
        <f>$BA390/4</f>
        <v>3144.9442750000007</v>
      </c>
      <c r="AP390" s="1948">
        <f>BA390-SUM(AM390:AO390)</f>
        <v>3144.9442750000017</v>
      </c>
      <c r="AQ390" s="1949">
        <v>399</v>
      </c>
      <c r="AR390" s="1948">
        <v>420</v>
      </c>
      <c r="AS390" s="1948">
        <v>163</v>
      </c>
      <c r="AT390" s="1981">
        <f>SUM(K390:N390)</f>
        <v>1032</v>
      </c>
      <c r="AU390" s="1949">
        <f>SUM(O390:R390)</f>
        <v>2319</v>
      </c>
      <c r="AV390" s="1948">
        <f>SUM(S390:V390)</f>
        <v>2542</v>
      </c>
      <c r="AW390" s="1948">
        <f>SUM(W390:Z390)</f>
        <v>20463</v>
      </c>
      <c r="AX390" s="1949">
        <f>AX594+AX595</f>
        <v>13710</v>
      </c>
      <c r="AY390" s="1948">
        <f>SUM(AE390:AH390)</f>
        <v>25656</v>
      </c>
      <c r="AZ390" s="1948">
        <f>AZ594+AZ595</f>
        <v>11436.161</v>
      </c>
      <c r="BA390" s="1981">
        <f>BA594+BA595</f>
        <v>12579.777100000003</v>
      </c>
      <c r="BB390" s="1949">
        <f>BB594+BB595</f>
        <v>13837.754810000004</v>
      </c>
      <c r="BC390" s="1981">
        <f>BC594+BC595</f>
        <v>15221.530291000006</v>
      </c>
    </row>
    <row r="391" spans="1:71" s="1953" customFormat="1" ht="10.15" x14ac:dyDescent="0.3">
      <c r="A391" s="2042"/>
      <c r="B391" s="2520" t="s">
        <v>1091</v>
      </c>
      <c r="C391" s="1948"/>
      <c r="D391" s="1948"/>
      <c r="E391" s="1948"/>
      <c r="F391" s="1948"/>
      <c r="G391" s="1948">
        <v>-312</v>
      </c>
      <c r="H391" s="1948"/>
      <c r="I391" s="1948"/>
      <c r="J391" s="1948">
        <v>-72</v>
      </c>
      <c r="K391" s="1948">
        <v>-6428</v>
      </c>
      <c r="L391" s="1948">
        <v>-60</v>
      </c>
      <c r="M391" s="1948">
        <v>241</v>
      </c>
      <c r="N391" s="1948">
        <v>-468</v>
      </c>
      <c r="O391" s="1948">
        <v>-26088</v>
      </c>
      <c r="P391" s="1948">
        <v>-18054</v>
      </c>
      <c r="Q391" s="1948">
        <v>-2959</v>
      </c>
      <c r="R391" s="1948">
        <v>-3334</v>
      </c>
      <c r="S391" s="1975">
        <v>-55</v>
      </c>
      <c r="T391" s="1975">
        <v>-527</v>
      </c>
      <c r="U391" s="1975">
        <v>-1161</v>
      </c>
      <c r="V391" s="1975">
        <v>-5603</v>
      </c>
      <c r="W391" s="1948">
        <v>-1089</v>
      </c>
      <c r="X391" s="1948">
        <v>-2297</v>
      </c>
      <c r="Y391" s="1948">
        <v>-22406</v>
      </c>
      <c r="Z391" s="1948">
        <v>-153</v>
      </c>
      <c r="AA391" s="1948">
        <v>-5408</v>
      </c>
      <c r="AB391" s="1948">
        <v>-5297</v>
      </c>
      <c r="AC391" s="1948">
        <v>-16859</v>
      </c>
      <c r="AD391" s="1948">
        <v>-19961</v>
      </c>
      <c r="AE391" s="1948">
        <v>1626</v>
      </c>
      <c r="AF391" s="1948">
        <v>291</v>
      </c>
      <c r="AG391" s="1948">
        <v>-17015</v>
      </c>
      <c r="AH391" s="1948">
        <v>10334</v>
      </c>
      <c r="AI391" s="1948">
        <v>-19030</v>
      </c>
      <c r="AJ391" s="1948">
        <v>-750</v>
      </c>
      <c r="AK391" s="1948">
        <v>-750</v>
      </c>
      <c r="AL391" s="1948">
        <v>-750</v>
      </c>
      <c r="AM391" s="1948">
        <v>-750</v>
      </c>
      <c r="AN391" s="1948">
        <v>-750</v>
      </c>
      <c r="AO391" s="1948">
        <v>-750</v>
      </c>
      <c r="AP391" s="1948">
        <v>-750</v>
      </c>
      <c r="AQ391" s="1949">
        <v>-21</v>
      </c>
      <c r="AR391" s="1948">
        <v>-76</v>
      </c>
      <c r="AS391" s="1948">
        <f>SUM(G391:J391)</f>
        <v>-384</v>
      </c>
      <c r="AT391" s="1981">
        <f>SUM(K391:N391)</f>
        <v>-6715</v>
      </c>
      <c r="AU391" s="1949">
        <f>SUM(O391:R391)</f>
        <v>-50435</v>
      </c>
      <c r="AV391" s="1948">
        <f>SUM(S391:V391)</f>
        <v>-7346</v>
      </c>
      <c r="AW391" s="1948">
        <f>SUM(W391:Z391)</f>
        <v>-25945</v>
      </c>
      <c r="AX391" s="1949">
        <f>SUM(AA391:AD391)</f>
        <v>-47525</v>
      </c>
      <c r="AY391" s="1948">
        <f>SUM(AE391:AH391)</f>
        <v>-4764</v>
      </c>
      <c r="AZ391" s="1948">
        <f t="shared" ref="AZ391:AZ397" si="403">SUM(AI391:AL391)</f>
        <v>-21280</v>
      </c>
      <c r="BA391" s="1981">
        <f t="shared" ref="BA391:BA397" si="404">SUM(AM391:AP391)</f>
        <v>-3000</v>
      </c>
      <c r="BB391" s="1949">
        <v>-3000</v>
      </c>
      <c r="BC391" s="1981">
        <v>-3000</v>
      </c>
    </row>
    <row r="392" spans="1:71" s="1953" customFormat="1" ht="10.15" x14ac:dyDescent="0.3">
      <c r="A392" s="2042"/>
      <c r="B392" s="2520" t="s">
        <v>1092</v>
      </c>
      <c r="C392" s="1948"/>
      <c r="D392" s="1948"/>
      <c r="E392" s="1948"/>
      <c r="F392" s="1948"/>
      <c r="G392" s="1948"/>
      <c r="H392" s="1948"/>
      <c r="I392" s="1948"/>
      <c r="J392" s="1948"/>
      <c r="K392" s="1948"/>
      <c r="L392" s="1948"/>
      <c r="M392" s="1948"/>
      <c r="N392" s="1948"/>
      <c r="O392" s="1948"/>
      <c r="P392" s="1948"/>
      <c r="Q392" s="1948"/>
      <c r="R392" s="1948"/>
      <c r="S392" s="1975"/>
      <c r="T392" s="1975"/>
      <c r="U392" s="1975"/>
      <c r="V392" s="1975"/>
      <c r="W392" s="1948"/>
      <c r="X392" s="1948"/>
      <c r="Y392" s="1948"/>
      <c r="Z392" s="1948"/>
      <c r="AA392" s="1948"/>
      <c r="AB392" s="1948"/>
      <c r="AC392" s="1948"/>
      <c r="AD392" s="1948"/>
      <c r="AE392" s="1948"/>
      <c r="AF392" s="1948">
        <v>-69225</v>
      </c>
      <c r="AG392" s="1948">
        <v>-2336</v>
      </c>
      <c r="AH392" s="1948"/>
      <c r="AI392" s="1948"/>
      <c r="AJ392" s="1948"/>
      <c r="AK392" s="1948"/>
      <c r="AL392" s="1948"/>
      <c r="AM392" s="1948"/>
      <c r="AN392" s="1948"/>
      <c r="AO392" s="1948"/>
      <c r="AP392" s="1948"/>
      <c r="AQ392" s="1949"/>
      <c r="AR392" s="1948"/>
      <c r="AS392" s="1948"/>
      <c r="AT392" s="1981"/>
      <c r="AU392" s="1949"/>
      <c r="AV392" s="1948"/>
      <c r="AW392" s="1948"/>
      <c r="AX392" s="1949"/>
      <c r="AY392" s="1948">
        <f>SUM(AE392:AH392)</f>
        <v>-71561</v>
      </c>
      <c r="AZ392" s="1948">
        <f t="shared" si="403"/>
        <v>0</v>
      </c>
      <c r="BA392" s="1981">
        <f t="shared" si="404"/>
        <v>0</v>
      </c>
      <c r="BB392" s="1949"/>
      <c r="BC392" s="1981"/>
    </row>
    <row r="393" spans="1:71" s="1953" customFormat="1" ht="10.15" x14ac:dyDescent="0.3">
      <c r="A393" s="2042"/>
      <c r="B393" s="2498" t="s">
        <v>1093</v>
      </c>
      <c r="C393" s="1948"/>
      <c r="D393" s="1948"/>
      <c r="E393" s="1948"/>
      <c r="F393" s="1948"/>
      <c r="G393" s="1948"/>
      <c r="H393" s="1948"/>
      <c r="I393" s="1948"/>
      <c r="J393" s="1948"/>
      <c r="K393" s="1948"/>
      <c r="L393" s="1948"/>
      <c r="M393" s="1948"/>
      <c r="N393" s="1948"/>
      <c r="O393" s="1948"/>
      <c r="P393" s="1948"/>
      <c r="Q393" s="1948"/>
      <c r="R393" s="1948"/>
      <c r="S393" s="1975"/>
      <c r="T393" s="1975"/>
      <c r="U393" s="1975"/>
      <c r="V393" s="1975"/>
      <c r="W393" s="1948"/>
      <c r="X393" s="1948"/>
      <c r="Y393" s="1948"/>
      <c r="Z393" s="1948"/>
      <c r="AA393" s="1948"/>
      <c r="AB393" s="1948"/>
      <c r="AC393" s="1948"/>
      <c r="AD393" s="1948">
        <v>1679</v>
      </c>
      <c r="AE393" s="1948"/>
      <c r="AF393" s="1948"/>
      <c r="AG393" s="1948"/>
      <c r="AH393" s="1948"/>
      <c r="AI393" s="1948"/>
      <c r="AJ393" s="1948"/>
      <c r="AK393" s="1948"/>
      <c r="AL393" s="1948"/>
      <c r="AM393" s="1948"/>
      <c r="AN393" s="1948"/>
      <c r="AO393" s="1948"/>
      <c r="AP393" s="1948"/>
      <c r="AQ393" s="1949"/>
      <c r="AR393" s="1948"/>
      <c r="AS393" s="1948"/>
      <c r="AT393" s="1981"/>
      <c r="AU393" s="1949"/>
      <c r="AV393" s="1948"/>
      <c r="AW393" s="1948"/>
      <c r="AX393" s="1949"/>
      <c r="AY393" s="1948"/>
      <c r="AZ393" s="1948">
        <f t="shared" si="403"/>
        <v>0</v>
      </c>
      <c r="BA393" s="1981">
        <f t="shared" si="404"/>
        <v>0</v>
      </c>
      <c r="BB393" s="1949"/>
      <c r="BC393" s="1981"/>
    </row>
    <row r="394" spans="1:71" s="1953" customFormat="1" ht="10.15" x14ac:dyDescent="0.3">
      <c r="A394" s="2042"/>
      <c r="B394" s="2520" t="s">
        <v>1094</v>
      </c>
      <c r="C394" s="1948"/>
      <c r="D394" s="1948"/>
      <c r="E394" s="1948"/>
      <c r="F394" s="1948"/>
      <c r="G394" s="1948"/>
      <c r="H394" s="1948"/>
      <c r="I394" s="1948"/>
      <c r="J394" s="1948">
        <v>0</v>
      </c>
      <c r="K394" s="1948"/>
      <c r="L394" s="1948">
        <v>35</v>
      </c>
      <c r="M394" s="1948">
        <v>66</v>
      </c>
      <c r="N394" s="1948">
        <v>65</v>
      </c>
      <c r="O394" s="1948">
        <v>66</v>
      </c>
      <c r="P394" s="1948">
        <v>66</v>
      </c>
      <c r="Q394" s="1948">
        <v>67</v>
      </c>
      <c r="R394" s="1948">
        <v>65</v>
      </c>
      <c r="S394" s="1948">
        <v>66</v>
      </c>
      <c r="T394" s="1948">
        <f>S394</f>
        <v>66</v>
      </c>
      <c r="U394" s="1948">
        <v>67</v>
      </c>
      <c r="V394" s="1948">
        <v>65</v>
      </c>
      <c r="W394" s="1948">
        <v>67</v>
      </c>
      <c r="X394" s="1948">
        <v>66</v>
      </c>
      <c r="Y394" s="1948">
        <v>66</v>
      </c>
      <c r="Z394" s="1948">
        <v>65</v>
      </c>
      <c r="AA394" s="1948">
        <v>66</v>
      </c>
      <c r="AB394" s="1948">
        <f>AA394</f>
        <v>66</v>
      </c>
      <c r="AC394" s="1948">
        <f>AB394</f>
        <v>66</v>
      </c>
      <c r="AD394" s="1948">
        <f>AC394</f>
        <v>66</v>
      </c>
      <c r="AE394" s="1948">
        <v>66</v>
      </c>
      <c r="AF394" s="1948">
        <v>31</v>
      </c>
      <c r="AG394" s="1948">
        <v>0</v>
      </c>
      <c r="AH394" s="1948">
        <f t="shared" ref="AH394:AP394" si="405">AG394</f>
        <v>0</v>
      </c>
      <c r="AI394" s="1948">
        <f t="shared" si="405"/>
        <v>0</v>
      </c>
      <c r="AJ394" s="1948">
        <f t="shared" si="405"/>
        <v>0</v>
      </c>
      <c r="AK394" s="1948">
        <f t="shared" si="405"/>
        <v>0</v>
      </c>
      <c r="AL394" s="1948">
        <f t="shared" si="405"/>
        <v>0</v>
      </c>
      <c r="AM394" s="1948">
        <f t="shared" si="405"/>
        <v>0</v>
      </c>
      <c r="AN394" s="1948">
        <f t="shared" si="405"/>
        <v>0</v>
      </c>
      <c r="AO394" s="1948">
        <f t="shared" si="405"/>
        <v>0</v>
      </c>
      <c r="AP394" s="1948">
        <f t="shared" si="405"/>
        <v>0</v>
      </c>
      <c r="AQ394" s="1949"/>
      <c r="AR394" s="1948"/>
      <c r="AS394" s="1948">
        <f>SUM(G394:J394)</f>
        <v>0</v>
      </c>
      <c r="AT394" s="1981">
        <f>SUM(K394:N394)</f>
        <v>166</v>
      </c>
      <c r="AU394" s="1949">
        <f>SUM(O394:R394)</f>
        <v>264</v>
      </c>
      <c r="AV394" s="1948">
        <f>SUM(S394:V394)</f>
        <v>264</v>
      </c>
      <c r="AW394" s="1948">
        <f>SUM(W394:Z394)</f>
        <v>264</v>
      </c>
      <c r="AX394" s="1949">
        <f>SUM(AA394:AD394)</f>
        <v>264</v>
      </c>
      <c r="AY394" s="1948">
        <f>SUM(AE394:AH394)</f>
        <v>97</v>
      </c>
      <c r="AZ394" s="1948">
        <f t="shared" si="403"/>
        <v>0</v>
      </c>
      <c r="BA394" s="1981">
        <f t="shared" si="404"/>
        <v>0</v>
      </c>
      <c r="BB394" s="1949">
        <f>BA394</f>
        <v>0</v>
      </c>
      <c r="BC394" s="1981">
        <f>BB394</f>
        <v>0</v>
      </c>
    </row>
    <row r="395" spans="1:71" s="1953" customFormat="1" ht="10.15" x14ac:dyDescent="0.3">
      <c r="A395" s="2042"/>
      <c r="B395" s="2520" t="s">
        <v>1095</v>
      </c>
      <c r="C395" s="1948"/>
      <c r="D395" s="1948"/>
      <c r="E395" s="1948"/>
      <c r="F395" s="1948"/>
      <c r="G395" s="1948"/>
      <c r="H395" s="1948"/>
      <c r="I395" s="1948"/>
      <c r="J395" s="1948"/>
      <c r="K395" s="1948"/>
      <c r="L395" s="1948"/>
      <c r="M395" s="1948"/>
      <c r="N395" s="1948"/>
      <c r="O395" s="1948"/>
      <c r="P395" s="1948"/>
      <c r="Q395" s="1948"/>
      <c r="R395" s="1948"/>
      <c r="S395" s="1948"/>
      <c r="T395" s="1948"/>
      <c r="U395" s="1948"/>
      <c r="V395" s="1948"/>
      <c r="W395" s="1948">
        <v>92</v>
      </c>
      <c r="X395" s="1948"/>
      <c r="Y395" s="1948"/>
      <c r="Z395" s="1948"/>
      <c r="AA395" s="1948">
        <v>0</v>
      </c>
      <c r="AB395" s="1948"/>
      <c r="AC395" s="1948"/>
      <c r="AD395" s="1948"/>
      <c r="AE395" s="1948"/>
      <c r="AF395" s="1948"/>
      <c r="AG395" s="1948"/>
      <c r="AH395" s="1948"/>
      <c r="AI395" s="1948"/>
      <c r="AJ395" s="1948"/>
      <c r="AK395" s="1948"/>
      <c r="AL395" s="1948"/>
      <c r="AM395" s="1948"/>
      <c r="AN395" s="1948"/>
      <c r="AO395" s="1948"/>
      <c r="AP395" s="1948"/>
      <c r="AQ395" s="1949"/>
      <c r="AR395" s="1948"/>
      <c r="AS395" s="1948">
        <v>664</v>
      </c>
      <c r="AT395" s="1981">
        <v>830</v>
      </c>
      <c r="AU395" s="1949">
        <f>SUM(O395:R395)</f>
        <v>0</v>
      </c>
      <c r="AV395" s="1948">
        <f>SUM(S395:V395)</f>
        <v>0</v>
      </c>
      <c r="AW395" s="1948">
        <v>92</v>
      </c>
      <c r="AX395" s="1949">
        <f>SUM(AA395:AD395)</f>
        <v>0</v>
      </c>
      <c r="AY395" s="1948">
        <f>SUM(AE395:AH395)</f>
        <v>0</v>
      </c>
      <c r="AZ395" s="1948">
        <f t="shared" si="403"/>
        <v>0</v>
      </c>
      <c r="BA395" s="1981">
        <f t="shared" si="404"/>
        <v>0</v>
      </c>
      <c r="BB395" s="1949"/>
      <c r="BC395" s="1981"/>
    </row>
    <row r="396" spans="1:71" s="1953" customFormat="1" ht="10.15" x14ac:dyDescent="0.3">
      <c r="A396" s="2042"/>
      <c r="B396" s="2498" t="s">
        <v>1096</v>
      </c>
      <c r="C396" s="1948"/>
      <c r="D396" s="1948"/>
      <c r="E396" s="1948"/>
      <c r="F396" s="1948"/>
      <c r="G396" s="1948"/>
      <c r="H396" s="1948"/>
      <c r="I396" s="1948"/>
      <c r="J396" s="1948"/>
      <c r="K396" s="1948"/>
      <c r="L396" s="1948"/>
      <c r="M396" s="1948"/>
      <c r="N396" s="1948"/>
      <c r="O396" s="1948">
        <f>AU396-SUM(P396:R396)</f>
        <v>-37</v>
      </c>
      <c r="P396" s="1948">
        <v>-51</v>
      </c>
      <c r="Q396" s="1948">
        <v>217</v>
      </c>
      <c r="R396" s="1948">
        <v>212</v>
      </c>
      <c r="S396" s="1948">
        <v>-184</v>
      </c>
      <c r="T396" s="1948">
        <v>-69</v>
      </c>
      <c r="U396" s="1948">
        <v>-53</v>
      </c>
      <c r="V396" s="1948">
        <v>374</v>
      </c>
      <c r="W396" s="1948">
        <v>-39</v>
      </c>
      <c r="X396" s="1948">
        <v>89</v>
      </c>
      <c r="Y396" s="1948">
        <v>-190</v>
      </c>
      <c r="Z396" s="1948">
        <v>-127</v>
      </c>
      <c r="AA396" s="1948">
        <v>-689</v>
      </c>
      <c r="AB396" s="1948">
        <v>431</v>
      </c>
      <c r="AC396" s="1948">
        <v>-1695</v>
      </c>
      <c r="AD396" s="1948">
        <v>1130</v>
      </c>
      <c r="AE396" s="1948">
        <v>-296</v>
      </c>
      <c r="AF396" s="1948">
        <v>-101</v>
      </c>
      <c r="AG396" s="1948">
        <v>-232</v>
      </c>
      <c r="AH396" s="1948">
        <v>-1800</v>
      </c>
      <c r="AI396" s="1948">
        <v>1297</v>
      </c>
      <c r="AJ396" s="1948">
        <f t="shared" ref="AJ396:AP396" si="406">AF396</f>
        <v>-101</v>
      </c>
      <c r="AK396" s="1948">
        <f t="shared" si="406"/>
        <v>-232</v>
      </c>
      <c r="AL396" s="1948">
        <f t="shared" si="406"/>
        <v>-1800</v>
      </c>
      <c r="AM396" s="1948">
        <f t="shared" si="406"/>
        <v>1297</v>
      </c>
      <c r="AN396" s="1948">
        <f t="shared" si="406"/>
        <v>-101</v>
      </c>
      <c r="AO396" s="1948">
        <f t="shared" si="406"/>
        <v>-232</v>
      </c>
      <c r="AP396" s="1948">
        <f t="shared" si="406"/>
        <v>-1800</v>
      </c>
      <c r="AQ396" s="1949"/>
      <c r="AR396" s="1948"/>
      <c r="AS396" s="1948">
        <v>-11</v>
      </c>
      <c r="AT396" s="1981">
        <v>-105</v>
      </c>
      <c r="AU396" s="1949">
        <v>341</v>
      </c>
      <c r="AV396" s="1948">
        <v>68</v>
      </c>
      <c r="AW396" s="1948">
        <f>SUM(W396:Z396)</f>
        <v>-267</v>
      </c>
      <c r="AX396" s="1949">
        <f>SUM(AA396:AD396)</f>
        <v>-823</v>
      </c>
      <c r="AY396" s="1948">
        <f>SUM(AE396:AH396)</f>
        <v>-2429</v>
      </c>
      <c r="AZ396" s="1948">
        <f t="shared" si="403"/>
        <v>-836</v>
      </c>
      <c r="BA396" s="1981">
        <f t="shared" si="404"/>
        <v>-836</v>
      </c>
      <c r="BB396" s="1949">
        <f>BA396</f>
        <v>-836</v>
      </c>
      <c r="BC396" s="1981">
        <f>BB396</f>
        <v>-836</v>
      </c>
    </row>
    <row r="397" spans="1:71" s="1953" customFormat="1" ht="20.25" x14ac:dyDescent="0.3">
      <c r="A397" s="2042"/>
      <c r="B397" s="2498" t="s">
        <v>1097</v>
      </c>
      <c r="C397" s="1948"/>
      <c r="D397" s="1948"/>
      <c r="E397" s="1948"/>
      <c r="F397" s="1948"/>
      <c r="G397" s="1948"/>
      <c r="H397" s="1948"/>
      <c r="I397" s="1948"/>
      <c r="J397" s="1948">
        <v>0</v>
      </c>
      <c r="K397" s="1948"/>
      <c r="L397" s="1948">
        <v>195</v>
      </c>
      <c r="M397" s="1948">
        <v>36</v>
      </c>
      <c r="N397" s="1948">
        <v>0</v>
      </c>
      <c r="O397" s="1948">
        <v>0</v>
      </c>
      <c r="P397" s="1948">
        <v>0</v>
      </c>
      <c r="Q397" s="1948">
        <f t="shared" ref="Q397:AP397" si="407">P397</f>
        <v>0</v>
      </c>
      <c r="R397" s="1948">
        <f t="shared" si="407"/>
        <v>0</v>
      </c>
      <c r="S397" s="1948">
        <f t="shared" si="407"/>
        <v>0</v>
      </c>
      <c r="T397" s="1948">
        <f t="shared" si="407"/>
        <v>0</v>
      </c>
      <c r="U397" s="1948">
        <f t="shared" si="407"/>
        <v>0</v>
      </c>
      <c r="V397" s="1948">
        <f t="shared" si="407"/>
        <v>0</v>
      </c>
      <c r="W397" s="1948">
        <f t="shared" si="407"/>
        <v>0</v>
      </c>
      <c r="X397" s="1948">
        <f t="shared" si="407"/>
        <v>0</v>
      </c>
      <c r="Y397" s="1948">
        <f t="shared" si="407"/>
        <v>0</v>
      </c>
      <c r="Z397" s="1948">
        <f t="shared" si="407"/>
        <v>0</v>
      </c>
      <c r="AA397" s="1948">
        <f t="shared" si="407"/>
        <v>0</v>
      </c>
      <c r="AB397" s="1948">
        <f t="shared" si="407"/>
        <v>0</v>
      </c>
      <c r="AC397" s="1948">
        <f t="shared" si="407"/>
        <v>0</v>
      </c>
      <c r="AD397" s="1948">
        <f t="shared" si="407"/>
        <v>0</v>
      </c>
      <c r="AE397" s="1948">
        <f t="shared" si="407"/>
        <v>0</v>
      </c>
      <c r="AF397" s="1948">
        <f t="shared" si="407"/>
        <v>0</v>
      </c>
      <c r="AG397" s="1948">
        <f t="shared" si="407"/>
        <v>0</v>
      </c>
      <c r="AH397" s="1948">
        <f t="shared" si="407"/>
        <v>0</v>
      </c>
      <c r="AI397" s="1948">
        <f t="shared" si="407"/>
        <v>0</v>
      </c>
      <c r="AJ397" s="1948">
        <f t="shared" si="407"/>
        <v>0</v>
      </c>
      <c r="AK397" s="1948">
        <f t="shared" si="407"/>
        <v>0</v>
      </c>
      <c r="AL397" s="1948">
        <f t="shared" si="407"/>
        <v>0</v>
      </c>
      <c r="AM397" s="1948">
        <f t="shared" si="407"/>
        <v>0</v>
      </c>
      <c r="AN397" s="1948">
        <f t="shared" si="407"/>
        <v>0</v>
      </c>
      <c r="AO397" s="1948">
        <f t="shared" si="407"/>
        <v>0</v>
      </c>
      <c r="AP397" s="1948">
        <f t="shared" si="407"/>
        <v>0</v>
      </c>
      <c r="AQ397" s="1949"/>
      <c r="AR397" s="1948"/>
      <c r="AS397" s="1948">
        <v>0</v>
      </c>
      <c r="AT397" s="1981">
        <f>SUM(K397:N397)</f>
        <v>231</v>
      </c>
      <c r="AU397" s="1949">
        <f>SUM(O397:R397)</f>
        <v>0</v>
      </c>
      <c r="AV397" s="1948">
        <f>SUM(S397:V397)</f>
        <v>0</v>
      </c>
      <c r="AW397" s="1948">
        <f>AV397</f>
        <v>0</v>
      </c>
      <c r="AX397" s="1949">
        <f>SUM(AA397:AD397)</f>
        <v>0</v>
      </c>
      <c r="AY397" s="1948">
        <f>SUM(AE397:AH397)</f>
        <v>0</v>
      </c>
      <c r="AZ397" s="1948">
        <f t="shared" si="403"/>
        <v>0</v>
      </c>
      <c r="BA397" s="1981">
        <f t="shared" si="404"/>
        <v>0</v>
      </c>
      <c r="BB397" s="1949">
        <f>BA397</f>
        <v>0</v>
      </c>
      <c r="BC397" s="1981">
        <f>BB397</f>
        <v>0</v>
      </c>
    </row>
    <row r="398" spans="1:71" s="2522" customFormat="1" ht="10.15" x14ac:dyDescent="0.3">
      <c r="A398" s="2042"/>
      <c r="B398" s="1999" t="s">
        <v>1098</v>
      </c>
      <c r="C398" s="1995">
        <f>C345+SUM(C381:C388)-SUM(C341:C343)</f>
        <v>2861.25</v>
      </c>
      <c r="D398" s="1995">
        <f>D345+SUM(D381:D388)-SUM(D341:D343)</f>
        <v>3081.25</v>
      </c>
      <c r="E398" s="1995">
        <f>E345+SUM(E381:E388)-SUM(E341:E343)</f>
        <v>5761.25</v>
      </c>
      <c r="F398" s="1995">
        <f>F345+SUM(F381:F388)-SUM(F341:F343)</f>
        <v>4903.25</v>
      </c>
      <c r="G398" s="1995">
        <f>G345+G381+G387-SUM(G341:G343)</f>
        <v>6094</v>
      </c>
      <c r="H398" s="1995">
        <f>H345+H381+H387-SUM(H341:H343)</f>
        <v>6505</v>
      </c>
      <c r="I398" s="1995">
        <f>I345+I381+I387-SUM(I341:I343)+I388</f>
        <v>11246</v>
      </c>
      <c r="J398" s="1995">
        <f>J345+J381+J387-J341</f>
        <v>6886</v>
      </c>
      <c r="K398" s="1995">
        <f>K345+K381+K387-SUM(K341:K343)</f>
        <v>8574</v>
      </c>
      <c r="L398" s="1995">
        <f>L345+L381+L387-SUM(L341:L343)</f>
        <v>8493</v>
      </c>
      <c r="M398" s="1995">
        <f>M345+M381+M387-SUM(M341:M343)</f>
        <v>15103</v>
      </c>
      <c r="N398" s="1995">
        <f>N345+N381+N387-N341</f>
        <v>8583</v>
      </c>
      <c r="O398" s="1995">
        <f>O345+O381+O387-SUM(O341:O343)+O388</f>
        <v>10585</v>
      </c>
      <c r="P398" s="1995">
        <f>P345+P381+P387-SUM(P341:P343)</f>
        <v>11146</v>
      </c>
      <c r="Q398" s="1995">
        <f t="shared" ref="Q398:W398" si="408">Q345+Q381+Q387-SUM(Q341:Q343)+Q388</f>
        <v>19111</v>
      </c>
      <c r="R398" s="1995">
        <f t="shared" si="408"/>
        <v>11498</v>
      </c>
      <c r="S398" s="1995">
        <f t="shared" si="408"/>
        <v>14963</v>
      </c>
      <c r="T398" s="1995">
        <f t="shared" si="408"/>
        <v>15875</v>
      </c>
      <c r="U398" s="1995">
        <f t="shared" si="408"/>
        <v>27021</v>
      </c>
      <c r="V398" s="1995">
        <f t="shared" si="408"/>
        <v>16597</v>
      </c>
      <c r="W398" s="1995">
        <f t="shared" si="408"/>
        <v>25124</v>
      </c>
      <c r="X398" s="1995">
        <f t="shared" ref="X398:AP398" si="409">X399+X387</f>
        <v>25031</v>
      </c>
      <c r="Y398" s="1995">
        <f t="shared" si="409"/>
        <v>36183</v>
      </c>
      <c r="Z398" s="1995">
        <f t="shared" si="409"/>
        <v>19454</v>
      </c>
      <c r="AA398" s="1995">
        <f t="shared" si="409"/>
        <v>29359</v>
      </c>
      <c r="AB398" s="1995">
        <f t="shared" si="409"/>
        <v>26710</v>
      </c>
      <c r="AC398" s="1995">
        <f t="shared" si="409"/>
        <v>40708</v>
      </c>
      <c r="AD398" s="1995">
        <f t="shared" si="409"/>
        <v>25166</v>
      </c>
      <c r="AE398" s="1995">
        <f t="shared" si="409"/>
        <v>39238</v>
      </c>
      <c r="AF398" s="1995">
        <f t="shared" si="409"/>
        <v>37101</v>
      </c>
      <c r="AG398" s="1995">
        <f t="shared" si="409"/>
        <v>55880</v>
      </c>
      <c r="AH398" s="1995">
        <f t="shared" si="409"/>
        <v>25440</v>
      </c>
      <c r="AI398" s="1995">
        <f t="shared" si="409"/>
        <v>51039</v>
      </c>
      <c r="AJ398" s="1995">
        <f t="shared" si="409"/>
        <v>48224.278208931915</v>
      </c>
      <c r="AK398" s="1995">
        <f t="shared" si="409"/>
        <v>73885.372651309153</v>
      </c>
      <c r="AL398" s="1995">
        <f t="shared" si="409"/>
        <v>43142.309816022913</v>
      </c>
      <c r="AM398" s="1995">
        <f t="shared" si="409"/>
        <v>64563.753370274659</v>
      </c>
      <c r="AN398" s="1995">
        <f t="shared" si="409"/>
        <v>63296.569628286743</v>
      </c>
      <c r="AO398" s="1995">
        <f t="shared" si="409"/>
        <v>90661.316642492631</v>
      </c>
      <c r="AP398" s="1995">
        <f t="shared" si="409"/>
        <v>54457.102397256895</v>
      </c>
      <c r="AQ398" s="1997">
        <f t="shared" ref="AQ398:AY398" si="410">AQ345+AQ381+AQ387-SUM(AQ341:AQ343)+AQ388</f>
        <v>7274</v>
      </c>
      <c r="AR398" s="1995">
        <f t="shared" si="410"/>
        <v>16607</v>
      </c>
      <c r="AS398" s="1995">
        <f t="shared" si="410"/>
        <v>30731</v>
      </c>
      <c r="AT398" s="1996">
        <f t="shared" si="410"/>
        <v>40753</v>
      </c>
      <c r="AU398" s="1997">
        <f t="shared" si="410"/>
        <v>52340</v>
      </c>
      <c r="AV398" s="1995">
        <f t="shared" si="410"/>
        <v>74456</v>
      </c>
      <c r="AW398" s="1995">
        <f t="shared" si="410"/>
        <v>105792</v>
      </c>
      <c r="AX398" s="1997">
        <f t="shared" si="410"/>
        <v>120264</v>
      </c>
      <c r="AY398" s="1995">
        <f t="shared" si="410"/>
        <v>157659</v>
      </c>
      <c r="AZ398" s="1995">
        <f>AZ399+AZ387</f>
        <v>216290.96067626402</v>
      </c>
      <c r="BA398" s="1996">
        <f>BA399+BA387</f>
        <v>272978.74203831097</v>
      </c>
      <c r="BB398" s="1997">
        <f>BB399+BB387</f>
        <v>340829.02908610512</v>
      </c>
      <c r="BC398" s="1996">
        <f>BC399+BC387</f>
        <v>420885.51034639048</v>
      </c>
      <c r="BD398" s="2521"/>
      <c r="BE398" s="2521"/>
      <c r="BF398" s="2521"/>
      <c r="BG398" s="2521"/>
      <c r="BH398" s="2521"/>
      <c r="BI398" s="2521"/>
      <c r="BJ398" s="2521"/>
      <c r="BK398" s="2521"/>
      <c r="BL398" s="2521"/>
      <c r="BM398" s="2521"/>
      <c r="BN398" s="2521"/>
      <c r="BO398" s="2521"/>
      <c r="BP398" s="2521"/>
      <c r="BQ398" s="2521"/>
      <c r="BR398" s="2521"/>
      <c r="BS398" s="2521"/>
    </row>
    <row r="399" spans="1:71" s="2522" customFormat="1" ht="10.15" x14ac:dyDescent="0.3">
      <c r="A399" s="2042"/>
      <c r="B399" s="1999" t="s">
        <v>987</v>
      </c>
      <c r="C399" s="1995">
        <f t="shared" ref="C399:V399" si="411">C398-C387</f>
        <v>2660</v>
      </c>
      <c r="D399" s="1995">
        <f t="shared" si="411"/>
        <v>2880</v>
      </c>
      <c r="E399" s="1995">
        <f t="shared" si="411"/>
        <v>5560</v>
      </c>
      <c r="F399" s="1995">
        <f t="shared" si="411"/>
        <v>4702</v>
      </c>
      <c r="G399" s="1995">
        <f t="shared" si="411"/>
        <v>5851</v>
      </c>
      <c r="H399" s="1995">
        <f t="shared" si="411"/>
        <v>6195</v>
      </c>
      <c r="I399" s="1995">
        <f t="shared" si="411"/>
        <v>10852</v>
      </c>
      <c r="J399" s="1995">
        <f t="shared" si="411"/>
        <v>6494</v>
      </c>
      <c r="K399" s="1995">
        <f t="shared" si="411"/>
        <v>8151</v>
      </c>
      <c r="L399" s="1995">
        <f t="shared" si="411"/>
        <v>7953</v>
      </c>
      <c r="M399" s="1995">
        <f t="shared" si="411"/>
        <v>14449</v>
      </c>
      <c r="N399" s="1995">
        <f t="shared" si="411"/>
        <v>7874</v>
      </c>
      <c r="O399" s="1995">
        <f t="shared" si="411"/>
        <v>9803</v>
      </c>
      <c r="P399" s="1995">
        <f t="shared" si="411"/>
        <v>10287</v>
      </c>
      <c r="Q399" s="1995">
        <f t="shared" si="411"/>
        <v>18072</v>
      </c>
      <c r="R399" s="1995">
        <f t="shared" si="411"/>
        <v>10408</v>
      </c>
      <c r="S399" s="1995">
        <f t="shared" si="411"/>
        <v>13759</v>
      </c>
      <c r="T399" s="1995">
        <f t="shared" si="411"/>
        <v>14593</v>
      </c>
      <c r="U399" s="1995">
        <f t="shared" si="411"/>
        <v>25669</v>
      </c>
      <c r="V399" s="1995">
        <f t="shared" si="411"/>
        <v>15151</v>
      </c>
      <c r="W399" s="1995">
        <f t="shared" ref="W399:AP399" si="412">W332</f>
        <v>23518</v>
      </c>
      <c r="X399" s="1995">
        <f t="shared" si="412"/>
        <v>23018</v>
      </c>
      <c r="Y399" s="1995">
        <f t="shared" si="412"/>
        <v>33662</v>
      </c>
      <c r="Z399" s="1995">
        <f t="shared" si="412"/>
        <v>16805</v>
      </c>
      <c r="AA399" s="1995">
        <f t="shared" si="412"/>
        <v>26502</v>
      </c>
      <c r="AB399" s="1995">
        <f t="shared" si="412"/>
        <v>23155</v>
      </c>
      <c r="AC399" s="1995">
        <f t="shared" si="412"/>
        <v>36567</v>
      </c>
      <c r="AD399" s="1995">
        <f t="shared" si="412"/>
        <v>20757</v>
      </c>
      <c r="AE399" s="1995">
        <f t="shared" si="412"/>
        <v>34556</v>
      </c>
      <c r="AF399" s="1995">
        <f t="shared" si="412"/>
        <v>32091</v>
      </c>
      <c r="AG399" s="1995">
        <f t="shared" si="412"/>
        <v>50662</v>
      </c>
      <c r="AH399" s="1995">
        <f t="shared" si="412"/>
        <v>19827</v>
      </c>
      <c r="AI399" s="1995">
        <f t="shared" si="412"/>
        <v>45372</v>
      </c>
      <c r="AJ399" s="1995">
        <f t="shared" si="412"/>
        <v>42273.928208931917</v>
      </c>
      <c r="AK399" s="1995">
        <f t="shared" si="412"/>
        <v>67637.50515130916</v>
      </c>
      <c r="AL399" s="1995">
        <f t="shared" si="412"/>
        <v>36582.048941022913</v>
      </c>
      <c r="AM399" s="1995">
        <f t="shared" si="412"/>
        <v>57675.479451524661</v>
      </c>
      <c r="AN399" s="1995">
        <f t="shared" si="412"/>
        <v>56063.882013599243</v>
      </c>
      <c r="AO399" s="1995">
        <f t="shared" si="412"/>
        <v>83066.994647070751</v>
      </c>
      <c r="AP399" s="1995">
        <f t="shared" si="412"/>
        <v>46483.064302063925</v>
      </c>
      <c r="AQ399" s="1997">
        <f>AQ398-AQ387</f>
        <v>6559</v>
      </c>
      <c r="AR399" s="1995">
        <f>AR398-AR387</f>
        <v>15802</v>
      </c>
      <c r="AS399" s="1995">
        <f>AS398-AS387</f>
        <v>29392</v>
      </c>
      <c r="AT399" s="1996">
        <f>SUM(K399:N399)</f>
        <v>38427</v>
      </c>
      <c r="AU399" s="1997">
        <f>SUM(O399:R399)</f>
        <v>48570</v>
      </c>
      <c r="AV399" s="1995">
        <f>SUM(S399:V399)</f>
        <v>69172</v>
      </c>
      <c r="AW399" s="1995">
        <f>SUM(W399:Z399)</f>
        <v>97003</v>
      </c>
      <c r="AX399" s="1997">
        <f>AX345+AX381+AX330-AX342</f>
        <v>105302</v>
      </c>
      <c r="AY399" s="1995">
        <f>AY345+AY381+AY330-AY342</f>
        <v>137136</v>
      </c>
      <c r="AZ399" s="1995">
        <f>AZ332</f>
        <v>191865.48230126401</v>
      </c>
      <c r="BA399" s="1996">
        <f>BA332</f>
        <v>243289.42041425861</v>
      </c>
      <c r="BB399" s="1997">
        <f>BB332</f>
        <v>310249.02781333122</v>
      </c>
      <c r="BC399" s="1996">
        <f>BC332</f>
        <v>389388.10903543333</v>
      </c>
      <c r="BD399" s="2521"/>
      <c r="BE399" s="2521"/>
      <c r="BF399" s="2521"/>
      <c r="BG399" s="2521"/>
      <c r="BH399" s="2521"/>
      <c r="BI399" s="2521"/>
      <c r="BJ399" s="2521"/>
      <c r="BK399" s="2521"/>
      <c r="BL399" s="2521"/>
      <c r="BM399" s="2521"/>
      <c r="BN399" s="2521"/>
      <c r="BO399" s="2521"/>
      <c r="BP399" s="2521"/>
      <c r="BQ399" s="2521"/>
      <c r="BR399" s="2521"/>
      <c r="BS399" s="2521"/>
    </row>
    <row r="400" spans="1:71" s="2008" customFormat="1" ht="10.15" x14ac:dyDescent="0.3">
      <c r="A400" s="2042"/>
      <c r="B400" s="2008" t="s">
        <v>1099</v>
      </c>
      <c r="C400" s="1948">
        <f t="shared" ref="C400:K400" si="413">C345-C343+C381+C388</f>
        <v>2624</v>
      </c>
      <c r="D400" s="1948">
        <f t="shared" si="413"/>
        <v>2843</v>
      </c>
      <c r="E400" s="1948">
        <f t="shared" si="413"/>
        <v>5353</v>
      </c>
      <c r="F400" s="1948">
        <f t="shared" si="413"/>
        <v>4677</v>
      </c>
      <c r="G400" s="1948">
        <f t="shared" si="413"/>
        <v>5816</v>
      </c>
      <c r="H400" s="1948">
        <f t="shared" si="413"/>
        <v>6112</v>
      </c>
      <c r="I400" s="1948">
        <f t="shared" si="413"/>
        <v>10729</v>
      </c>
      <c r="J400" s="1948">
        <f t="shared" si="413"/>
        <v>6376</v>
      </c>
      <c r="K400" s="1948">
        <f t="shared" si="413"/>
        <v>7917</v>
      </c>
      <c r="L400" s="1948">
        <f>L345+L381+L388</f>
        <v>7355</v>
      </c>
      <c r="M400" s="1948">
        <f t="shared" ref="M400:W400" si="414">M345-M343+M381+M388</f>
        <v>13660</v>
      </c>
      <c r="N400" s="1948">
        <f t="shared" si="414"/>
        <v>7231</v>
      </c>
      <c r="O400" s="1948">
        <f t="shared" si="414"/>
        <v>9156</v>
      </c>
      <c r="P400" s="1948">
        <f t="shared" si="414"/>
        <v>9559</v>
      </c>
      <c r="Q400" s="1948">
        <f t="shared" si="414"/>
        <v>16804</v>
      </c>
      <c r="R400" s="1948">
        <f t="shared" si="414"/>
        <v>9665</v>
      </c>
      <c r="S400" s="1948">
        <f t="shared" si="414"/>
        <v>12508</v>
      </c>
      <c r="T400" s="1948">
        <f t="shared" si="414"/>
        <v>13296</v>
      </c>
      <c r="U400" s="1948">
        <f t="shared" si="414"/>
        <v>24408</v>
      </c>
      <c r="V400" s="1948">
        <f t="shared" si="414"/>
        <v>13838</v>
      </c>
      <c r="W400" s="1948">
        <f t="shared" si="414"/>
        <v>21532</v>
      </c>
      <c r="X400" s="1948">
        <f t="shared" ref="X400:AC400" si="415">X399+X341</f>
        <v>21270</v>
      </c>
      <c r="Y400" s="1948">
        <f t="shared" si="415"/>
        <v>31605</v>
      </c>
      <c r="Z400" s="1948">
        <f t="shared" si="415"/>
        <v>15476</v>
      </c>
      <c r="AA400" s="1948">
        <f t="shared" si="415"/>
        <v>24398</v>
      </c>
      <c r="AB400" s="1948">
        <f t="shared" si="415"/>
        <v>20544</v>
      </c>
      <c r="AC400" s="1948">
        <f t="shared" si="415"/>
        <v>33758</v>
      </c>
      <c r="AD400" s="1948">
        <f>AD399+AD341-AD331</f>
        <v>15875</v>
      </c>
      <c r="AE400" s="1948">
        <f>AE399+AE341</f>
        <v>31490</v>
      </c>
      <c r="AF400" s="1948">
        <f>AF399+AF341+AF342</f>
        <v>28509</v>
      </c>
      <c r="AG400" s="1948">
        <f t="shared" ref="AG400:AP400" si="416">AG399+AG341</f>
        <v>47390</v>
      </c>
      <c r="AH400" s="1948">
        <f t="shared" si="416"/>
        <v>15783</v>
      </c>
      <c r="AI400" s="1948">
        <f t="shared" si="416"/>
        <v>42420</v>
      </c>
      <c r="AJ400" s="1948">
        <f t="shared" si="416"/>
        <v>39316.938208931919</v>
      </c>
      <c r="AK400" s="1948">
        <f t="shared" si="416"/>
        <v>64411.130651309162</v>
      </c>
      <c r="AL400" s="1948">
        <f t="shared" si="416"/>
        <v>32635.655196022912</v>
      </c>
      <c r="AM400" s="1948">
        <f t="shared" si="416"/>
        <v>54681.631469074659</v>
      </c>
      <c r="AN400" s="1948">
        <f t="shared" si="416"/>
        <v>53065.594151324745</v>
      </c>
      <c r="AO400" s="1948">
        <f t="shared" si="416"/>
        <v>79796.2557101735</v>
      </c>
      <c r="AP400" s="1948">
        <f t="shared" si="416"/>
        <v>42487.900440797705</v>
      </c>
      <c r="AQ400" s="1949">
        <f>AQ345-AQ343+AQ381+AQ388</f>
        <v>6269</v>
      </c>
      <c r="AR400" s="1948">
        <f>AR345-AR343+AR381+AR388</f>
        <v>15497</v>
      </c>
      <c r="AS400" s="1948">
        <f>SUM(G400:J400)</f>
        <v>29033</v>
      </c>
      <c r="AT400" s="1981">
        <f>SUM(K400:N400)</f>
        <v>36163</v>
      </c>
      <c r="AU400" s="1949">
        <f>SUM(O400:R400)</f>
        <v>45184</v>
      </c>
      <c r="AV400" s="1948">
        <f>SUM(S400:V400)</f>
        <v>64050</v>
      </c>
      <c r="AW400" s="1948">
        <f>AW345-AW343+AW381+AW388</f>
        <v>89389</v>
      </c>
      <c r="AX400" s="1949">
        <f>AX345-AX343+AX381+AX388</f>
        <v>94575</v>
      </c>
      <c r="AY400" s="1948">
        <f>AY345-AY343+AY381+AY388</f>
        <v>123172</v>
      </c>
      <c r="AZ400" s="1948">
        <f>AZ399+AZ341</f>
        <v>178783.72405626401</v>
      </c>
      <c r="BA400" s="1981">
        <f>BA399+BA341</f>
        <v>230031.38177137065</v>
      </c>
      <c r="BB400" s="1949">
        <f>BB399+BB341</f>
        <v>296678.62606629886</v>
      </c>
      <c r="BC400" s="1981">
        <f>BC399+BC341</f>
        <v>375504.26880560932</v>
      </c>
      <c r="BD400" s="2523"/>
      <c r="BE400" s="2523"/>
      <c r="BF400" s="2523"/>
      <c r="BG400" s="2523"/>
      <c r="BH400" s="2523"/>
      <c r="BI400" s="2523"/>
      <c r="BJ400" s="2523"/>
      <c r="BK400" s="2523"/>
      <c r="BL400" s="2523"/>
      <c r="BM400" s="2523"/>
      <c r="BN400" s="2523"/>
      <c r="BO400" s="2523"/>
      <c r="BP400" s="2523"/>
      <c r="BQ400" s="2523"/>
      <c r="BR400" s="2523"/>
      <c r="BS400" s="2523"/>
    </row>
    <row r="401" spans="1:71" s="2008" customFormat="1" ht="10.15" x14ac:dyDescent="0.3">
      <c r="A401" s="2042"/>
      <c r="B401" s="2008" t="s">
        <v>1100</v>
      </c>
      <c r="C401" s="1948">
        <f t="shared" ref="C401:AA401" si="417">C362+C381-C341+SUM(C388:C397)-C396-C352</f>
        <v>2500.6068749999999</v>
      </c>
      <c r="D401" s="1948">
        <f t="shared" si="417"/>
        <v>-766.39312500000005</v>
      </c>
      <c r="E401" s="1948">
        <f t="shared" si="417"/>
        <v>5298.6068750000004</v>
      </c>
      <c r="F401" s="1948">
        <f t="shared" si="417"/>
        <v>4549.6068750000004</v>
      </c>
      <c r="G401" s="1948">
        <f t="shared" si="417"/>
        <v>5158</v>
      </c>
      <c r="H401" s="1948">
        <f t="shared" si="417"/>
        <v>6530</v>
      </c>
      <c r="I401" s="1948">
        <f t="shared" si="417"/>
        <v>11204</v>
      </c>
      <c r="J401" s="1948">
        <f t="shared" si="417"/>
        <v>9028</v>
      </c>
      <c r="K401" s="1948">
        <f t="shared" si="417"/>
        <v>8762</v>
      </c>
      <c r="L401" s="1948">
        <f t="shared" si="417"/>
        <v>8147</v>
      </c>
      <c r="M401" s="1948">
        <f t="shared" si="417"/>
        <v>15544</v>
      </c>
      <c r="N401" s="1948">
        <f t="shared" si="417"/>
        <v>8944</v>
      </c>
      <c r="O401" s="1948">
        <f t="shared" si="417"/>
        <v>10890</v>
      </c>
      <c r="P401" s="1948">
        <f t="shared" si="417"/>
        <v>10923</v>
      </c>
      <c r="Q401" s="1948">
        <f t="shared" si="417"/>
        <v>19917</v>
      </c>
      <c r="R401" s="1948">
        <f t="shared" si="417"/>
        <v>9169</v>
      </c>
      <c r="S401" s="1948">
        <f t="shared" si="417"/>
        <v>14266</v>
      </c>
      <c r="T401" s="1948">
        <f t="shared" si="417"/>
        <v>15040</v>
      </c>
      <c r="U401" s="1948">
        <f t="shared" si="417"/>
        <v>27654</v>
      </c>
      <c r="V401" s="1948">
        <f t="shared" si="417"/>
        <v>14619</v>
      </c>
      <c r="W401" s="1948">
        <f t="shared" si="417"/>
        <v>24711</v>
      </c>
      <c r="X401" s="1948">
        <f t="shared" si="417"/>
        <v>24719</v>
      </c>
      <c r="Y401" s="1948">
        <f t="shared" si="417"/>
        <v>33860</v>
      </c>
      <c r="Z401" s="1948">
        <f t="shared" si="417"/>
        <v>18390</v>
      </c>
      <c r="AA401" s="1948">
        <f t="shared" si="417"/>
        <v>26455</v>
      </c>
      <c r="AB401" s="1948">
        <f t="shared" ref="AB401:BC401" si="418">AB351+AB353+AB381-AB341+SUM(AB388:AB397)-AB396</f>
        <v>23299</v>
      </c>
      <c r="AC401" s="1948">
        <f t="shared" si="418"/>
        <v>37078</v>
      </c>
      <c r="AD401" s="1948">
        <f t="shared" si="418"/>
        <v>23951</v>
      </c>
      <c r="AE401" s="1948">
        <f t="shared" si="418"/>
        <v>37957</v>
      </c>
      <c r="AF401" s="1948">
        <f t="shared" si="418"/>
        <v>35666</v>
      </c>
      <c r="AG401" s="1948">
        <f t="shared" si="418"/>
        <v>55132</v>
      </c>
      <c r="AH401" s="1948">
        <f t="shared" si="418"/>
        <v>26715</v>
      </c>
      <c r="AI401" s="1948">
        <f t="shared" si="418"/>
        <v>49301</v>
      </c>
      <c r="AJ401" s="1948">
        <f t="shared" si="418"/>
        <v>49131.768458931918</v>
      </c>
      <c r="AK401" s="1948">
        <f t="shared" si="418"/>
        <v>74648.045401309166</v>
      </c>
      <c r="AL401" s="1948">
        <f t="shared" si="418"/>
        <v>46273.629441022917</v>
      </c>
      <c r="AM401" s="1948">
        <f t="shared" si="418"/>
        <v>65307.223726524666</v>
      </c>
      <c r="AN401" s="1948">
        <f t="shared" si="418"/>
        <v>64393.946288599247</v>
      </c>
      <c r="AO401" s="1948">
        <f t="shared" si="418"/>
        <v>91723.488922070756</v>
      </c>
      <c r="AP401" s="1948">
        <f t="shared" si="418"/>
        <v>55271.55857706393</v>
      </c>
      <c r="AQ401" s="1949">
        <f t="shared" si="418"/>
        <v>7294</v>
      </c>
      <c r="AR401" s="1948">
        <f t="shared" si="418"/>
        <v>11839</v>
      </c>
      <c r="AS401" s="1948">
        <f t="shared" si="418"/>
        <v>30049.97</v>
      </c>
      <c r="AT401" s="1981">
        <f t="shared" si="418"/>
        <v>42227</v>
      </c>
      <c r="AU401" s="1949">
        <f t="shared" si="418"/>
        <v>50899</v>
      </c>
      <c r="AV401" s="1948">
        <f t="shared" si="418"/>
        <v>71579</v>
      </c>
      <c r="AW401" s="1948">
        <f t="shared" si="418"/>
        <v>101680</v>
      </c>
      <c r="AX401" s="1949">
        <f t="shared" si="418"/>
        <v>111454</v>
      </c>
      <c r="AY401" s="1948">
        <f t="shared" si="418"/>
        <v>155470</v>
      </c>
      <c r="AZ401" s="1948">
        <f t="shared" si="418"/>
        <v>219354.44330126399</v>
      </c>
      <c r="BA401" s="1981">
        <f t="shared" si="418"/>
        <v>276696.21751425863</v>
      </c>
      <c r="BB401" s="1949">
        <f t="shared" si="418"/>
        <v>349777.40062333125</v>
      </c>
      <c r="BC401" s="1981">
        <f t="shared" si="418"/>
        <v>436413.41552643327</v>
      </c>
      <c r="BD401" s="2523"/>
      <c r="BE401" s="2523"/>
      <c r="BF401" s="2523"/>
      <c r="BG401" s="2523"/>
      <c r="BH401" s="2523"/>
      <c r="BI401" s="2523"/>
      <c r="BJ401" s="2523"/>
      <c r="BK401" s="2523"/>
      <c r="BL401" s="2523"/>
      <c r="BM401" s="2523"/>
      <c r="BN401" s="2523"/>
      <c r="BO401" s="2523"/>
      <c r="BP401" s="2523"/>
      <c r="BQ401" s="2523"/>
      <c r="BR401" s="2523"/>
      <c r="BS401" s="2523"/>
    </row>
    <row r="402" spans="1:71" s="2008" customFormat="1" ht="10.15" x14ac:dyDescent="0.3">
      <c r="A402" s="2042"/>
      <c r="B402" s="2008" t="s">
        <v>1101</v>
      </c>
      <c r="C402" s="1948">
        <f t="shared" ref="C402:BC402" si="419">C403-C401</f>
        <v>-485.66666666666674</v>
      </c>
      <c r="D402" s="1948">
        <f t="shared" si="419"/>
        <v>3487</v>
      </c>
      <c r="E402" s="1948">
        <f t="shared" si="419"/>
        <v>-485.66666666666697</v>
      </c>
      <c r="F402" s="1948">
        <f t="shared" si="419"/>
        <v>-485.66666666666652</v>
      </c>
      <c r="G402" s="1948">
        <f t="shared" si="419"/>
        <v>-575</v>
      </c>
      <c r="H402" s="1948">
        <f t="shared" si="419"/>
        <v>-637</v>
      </c>
      <c r="I402" s="1948">
        <f t="shared" si="419"/>
        <v>-741</v>
      </c>
      <c r="J402" s="1948">
        <f t="shared" si="419"/>
        <v>-1227</v>
      </c>
      <c r="K402" s="1948">
        <f t="shared" si="419"/>
        <v>-1445</v>
      </c>
      <c r="L402" s="1948">
        <f t="shared" si="419"/>
        <v>-1339</v>
      </c>
      <c r="M402" s="1948">
        <f t="shared" si="419"/>
        <v>-2429</v>
      </c>
      <c r="N402" s="1948">
        <f t="shared" si="419"/>
        <v>-1203</v>
      </c>
      <c r="O402" s="1948">
        <f t="shared" si="419"/>
        <v>-1431</v>
      </c>
      <c r="P402" s="1948">
        <f t="shared" si="419"/>
        <v>-1722</v>
      </c>
      <c r="Q402" s="1948">
        <f t="shared" si="419"/>
        <v>-3342</v>
      </c>
      <c r="R402" s="1948">
        <f t="shared" si="419"/>
        <v>-1613</v>
      </c>
      <c r="S402" s="1948">
        <f t="shared" si="419"/>
        <v>-2275</v>
      </c>
      <c r="T402" s="1948">
        <f t="shared" si="419"/>
        <v>-2091</v>
      </c>
      <c r="U402" s="1948">
        <f t="shared" si="419"/>
        <v>-5163</v>
      </c>
      <c r="V402" s="1948">
        <f t="shared" si="419"/>
        <v>-4179</v>
      </c>
      <c r="W402" s="1948">
        <f t="shared" si="419"/>
        <v>-4692</v>
      </c>
      <c r="X402" s="1948">
        <f t="shared" si="419"/>
        <v>-2630</v>
      </c>
      <c r="Y402" s="1948">
        <f t="shared" si="419"/>
        <v>-6853</v>
      </c>
      <c r="Z402" s="1948">
        <f t="shared" si="419"/>
        <v>-4291</v>
      </c>
      <c r="AA402" s="1948">
        <f t="shared" si="419"/>
        <v>-6354</v>
      </c>
      <c r="AB402" s="1948">
        <f t="shared" si="419"/>
        <v>154</v>
      </c>
      <c r="AC402" s="1948">
        <f t="shared" si="419"/>
        <v>-7281</v>
      </c>
      <c r="AD402" s="1948">
        <f t="shared" si="419"/>
        <v>-3895</v>
      </c>
      <c r="AE402" s="1948">
        <f t="shared" si="419"/>
        <v>-7008</v>
      </c>
      <c r="AF402" s="1948">
        <f t="shared" si="419"/>
        <v>-2916</v>
      </c>
      <c r="AG402" s="1948">
        <f t="shared" si="419"/>
        <v>-8639</v>
      </c>
      <c r="AH402" s="1948">
        <f t="shared" si="419"/>
        <v>-4428</v>
      </c>
      <c r="AI402" s="1948">
        <f t="shared" si="419"/>
        <v>-9827</v>
      </c>
      <c r="AJ402" s="1948">
        <f t="shared" si="419"/>
        <v>-9826.3536917863821</v>
      </c>
      <c r="AK402" s="1948">
        <f t="shared" si="419"/>
        <v>-14929.609080261842</v>
      </c>
      <c r="AL402" s="1948">
        <f t="shared" si="419"/>
        <v>-9254.7258882045862</v>
      </c>
      <c r="AM402" s="1948">
        <f t="shared" si="419"/>
        <v>-13061.444745304936</v>
      </c>
      <c r="AN402" s="1948">
        <f t="shared" si="419"/>
        <v>-12878.789257719851</v>
      </c>
      <c r="AO402" s="1948">
        <f t="shared" si="419"/>
        <v>-18344.697784414151</v>
      </c>
      <c r="AP402" s="1948">
        <f t="shared" si="419"/>
        <v>-11054.311715412798</v>
      </c>
      <c r="AQ402" s="1949">
        <f t="shared" si="419"/>
        <v>-842</v>
      </c>
      <c r="AR402" s="1948">
        <f t="shared" si="419"/>
        <v>-1457</v>
      </c>
      <c r="AS402" s="1948">
        <f t="shared" si="419"/>
        <v>-3207</v>
      </c>
      <c r="AT402" s="1981">
        <f t="shared" si="419"/>
        <v>-7246</v>
      </c>
      <c r="AU402" s="1949">
        <f t="shared" si="419"/>
        <v>-8108</v>
      </c>
      <c r="AV402" s="1948">
        <f t="shared" si="419"/>
        <v>-13708</v>
      </c>
      <c r="AW402" s="1948">
        <f t="shared" si="419"/>
        <v>-18466</v>
      </c>
      <c r="AX402" s="1949">
        <f t="shared" si="419"/>
        <v>-17376</v>
      </c>
      <c r="AY402" s="1948">
        <f t="shared" si="419"/>
        <v>-22991</v>
      </c>
      <c r="AZ402" s="1948">
        <f t="shared" si="419"/>
        <v>-43837.68866025281</v>
      </c>
      <c r="BA402" s="1981">
        <f t="shared" si="419"/>
        <v>-55339.24350285175</v>
      </c>
      <c r="BB402" s="1949">
        <f t="shared" si="419"/>
        <v>-69955.480124666239</v>
      </c>
      <c r="BC402" s="1981">
        <f t="shared" si="419"/>
        <v>-87282.683105286676</v>
      </c>
      <c r="BD402" s="2523"/>
      <c r="BE402" s="2523"/>
      <c r="BF402" s="2523"/>
      <c r="BG402" s="2523"/>
      <c r="BH402" s="2523"/>
      <c r="BI402" s="2523"/>
      <c r="BJ402" s="2523"/>
      <c r="BK402" s="2523"/>
      <c r="BL402" s="2523"/>
      <c r="BM402" s="2523"/>
      <c r="BN402" s="2523"/>
      <c r="BO402" s="2523"/>
      <c r="BP402" s="2523"/>
      <c r="BQ402" s="2523"/>
      <c r="BR402" s="2523"/>
      <c r="BS402" s="2523"/>
    </row>
    <row r="403" spans="1:71" s="2008" customFormat="1" ht="10.15" x14ac:dyDescent="0.3">
      <c r="A403" s="2042"/>
      <c r="B403" s="2008" t="s">
        <v>1102</v>
      </c>
      <c r="C403" s="1948">
        <f>C362+C381+C388-C341+C390+C391-C343</f>
        <v>2014.9402083333332</v>
      </c>
      <c r="D403" s="1948">
        <f>D362+D381+D388-D341+D390+D391-D343</f>
        <v>2720.6068749999999</v>
      </c>
      <c r="E403" s="1948">
        <f>E362+E381+E388-E341+E390+E391-E343</f>
        <v>4812.9402083333334</v>
      </c>
      <c r="F403" s="1948">
        <f>F362+F381+F388-F341+F390+F391-F343</f>
        <v>4063.9402083333339</v>
      </c>
      <c r="G403" s="1948">
        <v>4583</v>
      </c>
      <c r="H403" s="1948">
        <f>H362+H381+H388-H341+H390+H391-H343</f>
        <v>5893</v>
      </c>
      <c r="I403" s="1948">
        <f t="shared" ref="I403:AS403" si="420">I362+I381-I341+SUM(I388:I397)</f>
        <v>10463</v>
      </c>
      <c r="J403" s="1948">
        <f t="shared" si="420"/>
        <v>7801</v>
      </c>
      <c r="K403" s="1948">
        <f t="shared" si="420"/>
        <v>7317</v>
      </c>
      <c r="L403" s="1948">
        <f t="shared" si="420"/>
        <v>6808</v>
      </c>
      <c r="M403" s="1948">
        <f t="shared" si="420"/>
        <v>13115</v>
      </c>
      <c r="N403" s="1948">
        <f t="shared" si="420"/>
        <v>7741</v>
      </c>
      <c r="O403" s="1948">
        <f t="shared" si="420"/>
        <v>9459</v>
      </c>
      <c r="P403" s="1948">
        <f t="shared" si="420"/>
        <v>9201</v>
      </c>
      <c r="Q403" s="1948">
        <f t="shared" si="420"/>
        <v>16575</v>
      </c>
      <c r="R403" s="1948">
        <f t="shared" si="420"/>
        <v>7556</v>
      </c>
      <c r="S403" s="1948">
        <f t="shared" si="420"/>
        <v>11991</v>
      </c>
      <c r="T403" s="1948">
        <f t="shared" si="420"/>
        <v>12949</v>
      </c>
      <c r="U403" s="1948">
        <f t="shared" si="420"/>
        <v>22491</v>
      </c>
      <c r="V403" s="1948">
        <f t="shared" si="420"/>
        <v>10440</v>
      </c>
      <c r="W403" s="1948">
        <f t="shared" si="420"/>
        <v>20019</v>
      </c>
      <c r="X403" s="1948">
        <f t="shared" si="420"/>
        <v>22089</v>
      </c>
      <c r="Y403" s="1948">
        <f t="shared" si="420"/>
        <v>27007</v>
      </c>
      <c r="Z403" s="1948">
        <f t="shared" si="420"/>
        <v>14099</v>
      </c>
      <c r="AA403" s="1948">
        <f t="shared" si="420"/>
        <v>20101</v>
      </c>
      <c r="AB403" s="1948">
        <f t="shared" si="420"/>
        <v>23453</v>
      </c>
      <c r="AC403" s="1948">
        <f t="shared" si="420"/>
        <v>29797</v>
      </c>
      <c r="AD403" s="1948">
        <f t="shared" si="420"/>
        <v>20056</v>
      </c>
      <c r="AE403" s="1948">
        <f t="shared" si="420"/>
        <v>30949</v>
      </c>
      <c r="AF403" s="1948">
        <f t="shared" si="420"/>
        <v>32750</v>
      </c>
      <c r="AG403" s="1948">
        <f t="shared" si="420"/>
        <v>46493</v>
      </c>
      <c r="AH403" s="1948">
        <f t="shared" si="420"/>
        <v>22287</v>
      </c>
      <c r="AI403" s="1948">
        <f t="shared" si="420"/>
        <v>39474</v>
      </c>
      <c r="AJ403" s="1948">
        <f t="shared" si="420"/>
        <v>39305.414767145536</v>
      </c>
      <c r="AK403" s="1948">
        <f t="shared" si="420"/>
        <v>59718.436321047324</v>
      </c>
      <c r="AL403" s="1948">
        <f t="shared" si="420"/>
        <v>37018.90355281833</v>
      </c>
      <c r="AM403" s="1948">
        <f t="shared" si="420"/>
        <v>52245.77898121973</v>
      </c>
      <c r="AN403" s="1948">
        <f t="shared" si="420"/>
        <v>51515.157030879396</v>
      </c>
      <c r="AO403" s="1948">
        <f t="shared" si="420"/>
        <v>73378.791137656604</v>
      </c>
      <c r="AP403" s="1948">
        <f t="shared" si="420"/>
        <v>44217.246861651132</v>
      </c>
      <c r="AQ403" s="1949">
        <f t="shared" si="420"/>
        <v>6452</v>
      </c>
      <c r="AR403" s="1948">
        <f t="shared" si="420"/>
        <v>10382</v>
      </c>
      <c r="AS403" s="1948">
        <f t="shared" si="420"/>
        <v>26842.97</v>
      </c>
      <c r="AT403" s="1981">
        <f>SUM(K403:N403)</f>
        <v>34981</v>
      </c>
      <c r="AU403" s="1949">
        <f>SUM(O403:R403)</f>
        <v>42791</v>
      </c>
      <c r="AV403" s="1948">
        <f>SUM(S403:V403)</f>
        <v>57871</v>
      </c>
      <c r="AW403" s="1948">
        <f t="shared" ref="AW403:BC403" si="421">AW362+AW381-AW341+SUM(AW388:AW397)</f>
        <v>83214</v>
      </c>
      <c r="AX403" s="1949">
        <f t="shared" si="421"/>
        <v>94078</v>
      </c>
      <c r="AY403" s="1948">
        <f t="shared" si="421"/>
        <v>132479</v>
      </c>
      <c r="AZ403" s="1948">
        <f t="shared" si="421"/>
        <v>175516.75464101118</v>
      </c>
      <c r="BA403" s="1981">
        <f t="shared" si="421"/>
        <v>221356.97401140688</v>
      </c>
      <c r="BB403" s="1949">
        <f t="shared" si="421"/>
        <v>279821.92049866501</v>
      </c>
      <c r="BC403" s="1981">
        <f t="shared" si="421"/>
        <v>349130.73242114659</v>
      </c>
      <c r="BD403" s="2523"/>
      <c r="BE403" s="2523"/>
      <c r="BF403" s="2523"/>
      <c r="BG403" s="2523"/>
      <c r="BH403" s="2523"/>
      <c r="BI403" s="2523"/>
      <c r="BJ403" s="2523"/>
      <c r="BK403" s="2523"/>
      <c r="BL403" s="2523"/>
      <c r="BM403" s="2523"/>
      <c r="BN403" s="2523"/>
      <c r="BO403" s="2523"/>
      <c r="BP403" s="2523"/>
      <c r="BQ403" s="2523"/>
      <c r="BR403" s="2523"/>
      <c r="BS403" s="2523"/>
    </row>
    <row r="404" spans="1:71" s="2522" customFormat="1" ht="10.15" x14ac:dyDescent="0.3">
      <c r="A404" s="2042"/>
      <c r="B404" s="1999" t="s">
        <v>1103</v>
      </c>
      <c r="C404" s="1995">
        <f t="shared" ref="C404:R404" si="422">C364+C381-C341+SUM(C388:C397)</f>
        <v>295</v>
      </c>
      <c r="D404" s="1995">
        <f t="shared" si="422"/>
        <v>479</v>
      </c>
      <c r="E404" s="1995">
        <f t="shared" si="422"/>
        <v>378</v>
      </c>
      <c r="F404" s="1995">
        <f t="shared" si="422"/>
        <v>237</v>
      </c>
      <c r="G404" s="1995">
        <f t="shared" si="422"/>
        <v>4563</v>
      </c>
      <c r="H404" s="1995">
        <f t="shared" si="422"/>
        <v>5899</v>
      </c>
      <c r="I404" s="1995">
        <f t="shared" si="422"/>
        <v>10432</v>
      </c>
      <c r="J404" s="1995">
        <f t="shared" si="422"/>
        <v>7742</v>
      </c>
      <c r="K404" s="1995">
        <f t="shared" si="422"/>
        <v>7283</v>
      </c>
      <c r="L404" s="1995">
        <f t="shared" si="422"/>
        <v>6806</v>
      </c>
      <c r="M404" s="1995">
        <f t="shared" si="422"/>
        <v>13068</v>
      </c>
      <c r="N404" s="1995">
        <f t="shared" si="422"/>
        <v>7765</v>
      </c>
      <c r="O404" s="1995">
        <f t="shared" si="422"/>
        <v>9486</v>
      </c>
      <c r="P404" s="1995">
        <f t="shared" si="422"/>
        <v>9252</v>
      </c>
      <c r="Q404" s="1995">
        <f t="shared" si="422"/>
        <v>16617</v>
      </c>
      <c r="R404" s="1995">
        <f t="shared" si="422"/>
        <v>7607</v>
      </c>
      <c r="S404" s="1995">
        <f>S368+S381-S341+SUM(S388:S397)</f>
        <v>12399</v>
      </c>
      <c r="T404" s="1995">
        <f>T368+T381-T341+SUM(T388:T397)</f>
        <v>13497</v>
      </c>
      <c r="U404" s="1995">
        <f>U368+U381-U341+SUM(U388:U397)</f>
        <v>23189</v>
      </c>
      <c r="V404" s="1995">
        <f>V368+V381-V341+SUM(V388:V397)</f>
        <v>11235</v>
      </c>
      <c r="W404" s="1995">
        <f t="shared" ref="W404:AP404" si="423">W372+W381-W341+SUM(W388:W397)</f>
        <v>20668</v>
      </c>
      <c r="X404" s="1995">
        <f t="shared" si="423"/>
        <v>22346</v>
      </c>
      <c r="Y404" s="1995">
        <f t="shared" si="423"/>
        <v>27744</v>
      </c>
      <c r="Z404" s="1995">
        <f t="shared" si="423"/>
        <v>15008</v>
      </c>
      <c r="AA404" s="1995">
        <f t="shared" si="423"/>
        <v>21133</v>
      </c>
      <c r="AB404" s="1995">
        <f t="shared" si="423"/>
        <v>25233</v>
      </c>
      <c r="AC404" s="1995">
        <f t="shared" si="423"/>
        <v>31869</v>
      </c>
      <c r="AD404" s="1995">
        <f t="shared" si="423"/>
        <v>22496</v>
      </c>
      <c r="AE404" s="1995">
        <f t="shared" si="423"/>
        <v>33068</v>
      </c>
      <c r="AF404" s="1995">
        <f t="shared" si="423"/>
        <v>34538</v>
      </c>
      <c r="AG404" s="1995">
        <f t="shared" si="423"/>
        <v>48638</v>
      </c>
      <c r="AH404" s="1995">
        <f t="shared" si="423"/>
        <v>25100</v>
      </c>
      <c r="AI404" s="1995">
        <f t="shared" si="423"/>
        <v>40615</v>
      </c>
      <c r="AJ404" s="1995">
        <f t="shared" si="423"/>
        <v>41277.714767145531</v>
      </c>
      <c r="AK404" s="1995">
        <f t="shared" si="423"/>
        <v>62067.636321047321</v>
      </c>
      <c r="AL404" s="1995">
        <f t="shared" si="423"/>
        <v>40119.103552818327</v>
      </c>
      <c r="AM404" s="1995">
        <f t="shared" si="423"/>
        <v>53496.378981219728</v>
      </c>
      <c r="AN404" s="1995">
        <f t="shared" si="423"/>
        <v>53690.187030879395</v>
      </c>
      <c r="AO404" s="1995">
        <f t="shared" si="423"/>
        <v>75952.611137656597</v>
      </c>
      <c r="AP404" s="1995">
        <f t="shared" si="423"/>
        <v>47633.366861651142</v>
      </c>
      <c r="AQ404" s="1997">
        <f>AQ364+AQ381-AQ341+SUM(AQ388:AQ397)</f>
        <v>6015</v>
      </c>
      <c r="AR404" s="1995">
        <f>AR364+AR381-AR341+SUM(AR388:AR397)</f>
        <v>10265</v>
      </c>
      <c r="AS404" s="1995">
        <f>AS364+AS381-AS341+SUM(AS388:AS397)</f>
        <v>26754.97</v>
      </c>
      <c r="AT404" s="1996">
        <f>AT364+AT381-AT341+AT388+SUM(AT390:AT397)</f>
        <v>34817</v>
      </c>
      <c r="AU404" s="1997">
        <f>AU364+AU381-AU341+AU388+SUM(AU390:AU397)</f>
        <v>42962</v>
      </c>
      <c r="AV404" s="1995">
        <f>AV364+AV381-AV341+AV388+SUM(AV390:AV397)</f>
        <v>60320</v>
      </c>
      <c r="AW404" s="1995">
        <f t="shared" ref="AW404:BC404" si="424">AW372+AW381-AW341+SUM(AW388:AW397)</f>
        <v>85766</v>
      </c>
      <c r="AX404" s="1997">
        <f t="shared" si="424"/>
        <v>101402</v>
      </c>
      <c r="AY404" s="1995">
        <f t="shared" si="424"/>
        <v>141344</v>
      </c>
      <c r="AZ404" s="1995">
        <f t="shared" si="424"/>
        <v>184079.45464101119</v>
      </c>
      <c r="BA404" s="1996">
        <f t="shared" si="424"/>
        <v>230772.54401140689</v>
      </c>
      <c r="BB404" s="1997">
        <f t="shared" si="424"/>
        <v>290175.64749866503</v>
      </c>
      <c r="BC404" s="1996">
        <f t="shared" si="424"/>
        <v>360516.43212114659</v>
      </c>
      <c r="BD404" s="2521"/>
      <c r="BE404" s="2521"/>
      <c r="BF404" s="2521"/>
      <c r="BG404" s="2521"/>
      <c r="BH404" s="2521"/>
      <c r="BI404" s="2521"/>
      <c r="BJ404" s="2521"/>
      <c r="BK404" s="2521"/>
      <c r="BL404" s="2521"/>
      <c r="BM404" s="2521"/>
      <c r="BN404" s="2521"/>
      <c r="BO404" s="2521"/>
      <c r="BP404" s="2521"/>
      <c r="BQ404" s="2521"/>
      <c r="BR404" s="2521"/>
      <c r="BS404" s="2521"/>
    </row>
    <row r="405" spans="1:71" s="1999" customFormat="1" ht="10.15" x14ac:dyDescent="0.3">
      <c r="A405" s="2042"/>
      <c r="B405" s="1999" t="s">
        <v>1104</v>
      </c>
      <c r="C405" s="2524">
        <f t="shared" ref="C405:BC405" si="425">C404/C378</f>
        <v>1.5435328589367936E-2</v>
      </c>
      <c r="D405" s="2524">
        <f t="shared" si="425"/>
        <v>2.5062787777312683E-2</v>
      </c>
      <c r="E405" s="2524">
        <f t="shared" si="425"/>
        <v>1.9778149853495186E-2</v>
      </c>
      <c r="F405" s="2524">
        <f t="shared" si="425"/>
        <v>1.2400586019254919E-2</v>
      </c>
      <c r="G405" s="2524">
        <f t="shared" si="425"/>
        <v>0.24458619210977703</v>
      </c>
      <c r="H405" s="2524">
        <f t="shared" si="425"/>
        <v>0.31824557617608978</v>
      </c>
      <c r="I405" s="2524">
        <f t="shared" si="425"/>
        <v>0.55655142979086636</v>
      </c>
      <c r="J405" s="2524">
        <f t="shared" si="425"/>
        <v>0.40954295387219636</v>
      </c>
      <c r="K405" s="2524">
        <f t="shared" si="425"/>
        <v>0.3903837907375643</v>
      </c>
      <c r="L405" s="2525">
        <f t="shared" si="425"/>
        <v>0.34895406070549628</v>
      </c>
      <c r="M405" s="2524">
        <f t="shared" si="425"/>
        <v>0.63118238021638329</v>
      </c>
      <c r="N405" s="2524">
        <f t="shared" si="425"/>
        <v>0.37548355899419728</v>
      </c>
      <c r="O405" s="2524">
        <f t="shared" si="425"/>
        <v>0.45817233384853168</v>
      </c>
      <c r="P405" s="2524">
        <f t="shared" si="425"/>
        <v>0.45105304212168484</v>
      </c>
      <c r="Q405" s="2524">
        <f t="shared" si="425"/>
        <v>0.81455882352941178</v>
      </c>
      <c r="R405" s="2524">
        <f t="shared" si="425"/>
        <v>0.37347800471327575</v>
      </c>
      <c r="S405" s="2524">
        <f t="shared" si="425"/>
        <v>0.60353387850467288</v>
      </c>
      <c r="T405" s="2524">
        <f t="shared" si="425"/>
        <v>0.65749220576773193</v>
      </c>
      <c r="U405" s="2524">
        <f t="shared" si="425"/>
        <v>1.1274309607156749</v>
      </c>
      <c r="V405" s="2524">
        <f t="shared" si="425"/>
        <v>0.54412049593180933</v>
      </c>
      <c r="W405" s="2525">
        <f t="shared" si="425"/>
        <v>0.99403616775682957</v>
      </c>
      <c r="X405" s="2525">
        <f t="shared" si="425"/>
        <v>1.0714422708093594</v>
      </c>
      <c r="Y405" s="2525">
        <f t="shared" si="425"/>
        <v>1.3261950286806883</v>
      </c>
      <c r="Z405" s="2525">
        <f t="shared" si="425"/>
        <v>0.71630393279877813</v>
      </c>
      <c r="AA405" s="2525">
        <f t="shared" si="425"/>
        <v>1.0055671869052152</v>
      </c>
      <c r="AB405" s="2525">
        <f t="shared" si="425"/>
        <v>1.2001997716894977</v>
      </c>
      <c r="AC405" s="2525">
        <f t="shared" si="425"/>
        <v>1.5239575363427698</v>
      </c>
      <c r="AD405" s="2525">
        <f t="shared" si="425"/>
        <v>1.0712380952380953</v>
      </c>
      <c r="AE405" s="2525">
        <f t="shared" si="425"/>
        <v>1.5690628706998815</v>
      </c>
      <c r="AF405" s="2525">
        <f t="shared" si="425"/>
        <v>1.6371824042472507</v>
      </c>
      <c r="AG405" s="2525">
        <f t="shared" si="425"/>
        <v>2.2735474220539427</v>
      </c>
      <c r="AH405" s="2525">
        <f t="shared" si="425"/>
        <v>1.1709820387217169</v>
      </c>
      <c r="AI405" s="2525">
        <f t="shared" si="425"/>
        <v>1.8523670528140108</v>
      </c>
      <c r="AJ405" s="2525">
        <f t="shared" si="425"/>
        <v>1.878834448550019</v>
      </c>
      <c r="AK405" s="2525">
        <f t="shared" si="425"/>
        <v>2.8194886712664484</v>
      </c>
      <c r="AL405" s="2525">
        <f t="shared" si="425"/>
        <v>1.8188154971294399</v>
      </c>
      <c r="AM405" s="2525">
        <f t="shared" si="425"/>
        <v>2.4204387154506515</v>
      </c>
      <c r="AN405" s="2525">
        <f t="shared" si="425"/>
        <v>2.4243588250687469</v>
      </c>
      <c r="AO405" s="2525">
        <f t="shared" si="425"/>
        <v>3.4227641133394475</v>
      </c>
      <c r="AP405" s="2525">
        <f t="shared" si="425"/>
        <v>2.1422878232418459</v>
      </c>
      <c r="AQ405" s="2526">
        <f t="shared" si="425"/>
        <v>0.2981264869151467</v>
      </c>
      <c r="AR405" s="2525">
        <f t="shared" si="425"/>
        <v>0.53709711176224362</v>
      </c>
      <c r="AS405" s="2525">
        <f t="shared" si="425"/>
        <v>1.4299823623730625</v>
      </c>
      <c r="AT405" s="2527">
        <f t="shared" si="425"/>
        <v>1.75082972945791</v>
      </c>
      <c r="AU405" s="2526">
        <f t="shared" si="425"/>
        <v>2.0961163153786107</v>
      </c>
      <c r="AV405" s="2525">
        <f t="shared" si="425"/>
        <v>2.9321407738673924</v>
      </c>
      <c r="AW405" s="2525">
        <f t="shared" si="425"/>
        <v>4.1075670498084289</v>
      </c>
      <c r="AX405" s="2526">
        <f t="shared" si="425"/>
        <v>4.8314274823708789</v>
      </c>
      <c r="AY405" s="2525">
        <f t="shared" si="425"/>
        <v>6.6215684437365319</v>
      </c>
      <c r="AZ405" s="2525">
        <f t="shared" si="425"/>
        <v>8.3703427781697286</v>
      </c>
      <c r="BA405" s="2527">
        <f t="shared" si="425"/>
        <v>10.410010700826968</v>
      </c>
      <c r="BB405" s="2526">
        <f t="shared" si="425"/>
        <v>12.960048496120294</v>
      </c>
      <c r="BC405" s="2527">
        <f t="shared" si="425"/>
        <v>15.942240447709068</v>
      </c>
    </row>
    <row r="406" spans="1:71" s="1999" customFormat="1" ht="10.15" x14ac:dyDescent="0.3">
      <c r="A406" s="2042"/>
      <c r="B406" s="1999" t="s">
        <v>1105</v>
      </c>
      <c r="C406" s="2524">
        <f t="shared" ref="C406:BC406" si="426">C404/C379</f>
        <v>0.12348262871494349</v>
      </c>
      <c r="D406" s="2524">
        <f t="shared" si="426"/>
        <v>0.20050230221850146</v>
      </c>
      <c r="E406" s="2524">
        <f t="shared" si="426"/>
        <v>0.15822519882796149</v>
      </c>
      <c r="F406" s="2524">
        <f t="shared" si="426"/>
        <v>9.920468815403935E-2</v>
      </c>
      <c r="G406" s="2524">
        <f t="shared" si="426"/>
        <v>1.9566895368782162</v>
      </c>
      <c r="H406" s="2524">
        <f t="shared" si="426"/>
        <v>2.5459646094087183</v>
      </c>
      <c r="I406" s="2524">
        <f t="shared" si="426"/>
        <v>4.4524114383269309</v>
      </c>
      <c r="J406" s="2524">
        <f t="shared" si="426"/>
        <v>3.2763436309775709</v>
      </c>
      <c r="K406" s="2524">
        <f t="shared" si="426"/>
        <v>3.1230703259005144</v>
      </c>
      <c r="L406" s="2525">
        <f t="shared" si="426"/>
        <v>2.7916324856439703</v>
      </c>
      <c r="M406" s="2524">
        <f t="shared" si="426"/>
        <v>5.0494590417310663</v>
      </c>
      <c r="N406" s="2524">
        <f t="shared" si="426"/>
        <v>3.0038684719535782</v>
      </c>
      <c r="O406" s="2524">
        <f t="shared" si="426"/>
        <v>3.6653786707882534</v>
      </c>
      <c r="P406" s="2524">
        <f t="shared" si="426"/>
        <v>3.6084243369734788</v>
      </c>
      <c r="Q406" s="2524">
        <f t="shared" si="426"/>
        <v>6.5164705882352942</v>
      </c>
      <c r="R406" s="2524">
        <f t="shared" si="426"/>
        <v>2.987824037706206</v>
      </c>
      <c r="S406" s="2524">
        <f t="shared" si="426"/>
        <v>4.8282710280373831</v>
      </c>
      <c r="T406" s="2524">
        <f t="shared" si="426"/>
        <v>5.2599376461418554</v>
      </c>
      <c r="U406" s="2524">
        <f t="shared" si="426"/>
        <v>9.0194476857253996</v>
      </c>
      <c r="V406" s="2524">
        <f t="shared" si="426"/>
        <v>4.3529639674544747</v>
      </c>
      <c r="W406" s="2525">
        <f t="shared" si="426"/>
        <v>7.9522893420546366</v>
      </c>
      <c r="X406" s="2525">
        <f t="shared" si="426"/>
        <v>8.5715381664748751</v>
      </c>
      <c r="Y406" s="2525">
        <f t="shared" si="426"/>
        <v>10.609560229445506</v>
      </c>
      <c r="Z406" s="2525">
        <f t="shared" si="426"/>
        <v>5.7304314623902251</v>
      </c>
      <c r="AA406" s="2525">
        <f t="shared" si="426"/>
        <v>8.0445374952417215</v>
      </c>
      <c r="AB406" s="2525">
        <f t="shared" si="426"/>
        <v>9.6015981735159812</v>
      </c>
      <c r="AC406" s="2525">
        <f t="shared" si="426"/>
        <v>12.191660290742158</v>
      </c>
      <c r="AD406" s="2525">
        <f t="shared" si="426"/>
        <v>8.5699047619047626</v>
      </c>
      <c r="AE406" s="2525">
        <f t="shared" si="426"/>
        <v>12.554290053151101</v>
      </c>
      <c r="AF406" s="2525">
        <f t="shared" si="426"/>
        <v>13.097459233978006</v>
      </c>
      <c r="AG406" s="2525">
        <f t="shared" si="426"/>
        <v>18.189229618548989</v>
      </c>
      <c r="AH406" s="2525">
        <f t="shared" si="426"/>
        <v>9.2042537587092035</v>
      </c>
      <c r="AI406" s="2525">
        <f t="shared" si="426"/>
        <v>14.818936422512087</v>
      </c>
      <c r="AJ406" s="2525">
        <f t="shared" si="426"/>
        <v>15.030675588400152</v>
      </c>
      <c r="AK406" s="2525">
        <f t="shared" si="426"/>
        <v>22.555909370131587</v>
      </c>
      <c r="AL406" s="2525">
        <f t="shared" si="426"/>
        <v>14.550523977035519</v>
      </c>
      <c r="AM406" s="2525">
        <f t="shared" si="426"/>
        <v>19.363509723605212</v>
      </c>
      <c r="AN406" s="2525">
        <f t="shared" si="426"/>
        <v>19.394870600549975</v>
      </c>
      <c r="AO406" s="2525">
        <f t="shared" si="426"/>
        <v>27.38211290671558</v>
      </c>
      <c r="AP406" s="2525">
        <f t="shared" si="426"/>
        <v>17.138302585934767</v>
      </c>
      <c r="AQ406" s="2526">
        <f t="shared" si="426"/>
        <v>2.3850118953211736</v>
      </c>
      <c r="AR406" s="2525">
        <f t="shared" si="426"/>
        <v>4.2967768940979489</v>
      </c>
      <c r="AS406" s="2525">
        <f t="shared" si="426"/>
        <v>11.472971698113207</v>
      </c>
      <c r="AT406" s="2527">
        <f t="shared" si="426"/>
        <v>14.005229283990346</v>
      </c>
      <c r="AU406" s="2526">
        <f t="shared" si="426"/>
        <v>16.768930523028885</v>
      </c>
      <c r="AV406" s="2525">
        <f t="shared" si="426"/>
        <v>23.443451224251845</v>
      </c>
      <c r="AW406" s="2525">
        <f t="shared" si="426"/>
        <v>32.860536398467431</v>
      </c>
      <c r="AX406" s="2526">
        <f t="shared" si="426"/>
        <v>38.658787647731607</v>
      </c>
      <c r="AY406" s="2525">
        <f t="shared" si="426"/>
        <v>52.977511244377808</v>
      </c>
      <c r="AZ406" s="2525">
        <f t="shared" si="426"/>
        <v>66.962742225357829</v>
      </c>
      <c r="BA406" s="2527">
        <f t="shared" si="426"/>
        <v>83.280085606615742</v>
      </c>
      <c r="BB406" s="2526">
        <f t="shared" si="426"/>
        <v>103.68038796896235</v>
      </c>
      <c r="BC406" s="2527">
        <f t="shared" si="426"/>
        <v>127.53792358167254</v>
      </c>
    </row>
    <row r="407" spans="1:71" s="1999" customFormat="1" ht="10.15" x14ac:dyDescent="0.3">
      <c r="A407" s="2042"/>
      <c r="B407" s="2528" t="s">
        <v>1106</v>
      </c>
      <c r="C407" s="2488">
        <f t="shared" ref="C407:AT407" si="427">C398/C$6</f>
        <v>450.37777427986782</v>
      </c>
      <c r="D407" s="2488">
        <f t="shared" si="427"/>
        <v>490.27017566191449</v>
      </c>
      <c r="E407" s="2488">
        <f t="shared" si="427"/>
        <v>924.74438612542338</v>
      </c>
      <c r="F407" s="2488">
        <f t="shared" si="427"/>
        <v>789.47156565981845</v>
      </c>
      <c r="G407" s="2488">
        <f t="shared" si="427"/>
        <v>992.9286016880111</v>
      </c>
      <c r="H407" s="2488">
        <f t="shared" si="427"/>
        <v>1062.9084967320262</v>
      </c>
      <c r="I407" s="2488">
        <f t="shared" si="427"/>
        <v>1857.7068569635098</v>
      </c>
      <c r="J407" s="2488">
        <f t="shared" si="427"/>
        <v>1107.7150762499195</v>
      </c>
      <c r="K407" s="2488">
        <f t="shared" si="427"/>
        <v>1382.1007157134568</v>
      </c>
      <c r="L407" s="2488">
        <f t="shared" si="427"/>
        <v>1383.6754643206257</v>
      </c>
      <c r="M407" s="2488">
        <f t="shared" si="427"/>
        <v>2434.161750958966</v>
      </c>
      <c r="N407" s="1995">
        <f t="shared" si="427"/>
        <v>1384.578157767382</v>
      </c>
      <c r="O407" s="1995">
        <f t="shared" si="427"/>
        <v>1707.258064516129</v>
      </c>
      <c r="P407" s="1995">
        <f t="shared" si="427"/>
        <v>1753.7289949021335</v>
      </c>
      <c r="Q407" s="1995">
        <f t="shared" si="427"/>
        <v>2950.23001636358</v>
      </c>
      <c r="R407" s="1995">
        <f t="shared" si="427"/>
        <v>1783.1885856079402</v>
      </c>
      <c r="S407" s="1995">
        <f t="shared" si="427"/>
        <v>2251.4633082050586</v>
      </c>
      <c r="T407" s="1995">
        <f t="shared" si="427"/>
        <v>2380.5953362825226</v>
      </c>
      <c r="U407" s="1995">
        <f t="shared" si="427"/>
        <v>3891.8335013682849</v>
      </c>
      <c r="V407" s="1995">
        <f t="shared" si="427"/>
        <v>2411.2331473733148</v>
      </c>
      <c r="W407" s="1995">
        <f t="shared" si="427"/>
        <v>3705.9873438260588</v>
      </c>
      <c r="X407" s="1995">
        <f t="shared" si="427"/>
        <v>3762.1931973607084</v>
      </c>
      <c r="Y407" s="1995">
        <f t="shared" si="427"/>
        <v>5561.2252739652331</v>
      </c>
      <c r="Z407" s="1995">
        <f t="shared" si="427"/>
        <v>3101.4252463093458</v>
      </c>
      <c r="AA407" s="1995">
        <f t="shared" si="427"/>
        <v>4436.8378897099938</v>
      </c>
      <c r="AB407" s="1995">
        <f t="shared" si="427"/>
        <v>3889.0506697728592</v>
      </c>
      <c r="AC407" s="1995">
        <f t="shared" si="427"/>
        <v>5920.733037597266</v>
      </c>
      <c r="AD407" s="1995">
        <f t="shared" si="427"/>
        <v>3749.8509953510552</v>
      </c>
      <c r="AE407" s="1995">
        <f t="shared" si="427"/>
        <v>5715.6591405680992</v>
      </c>
      <c r="AF407" s="1995">
        <f t="shared" si="427"/>
        <v>5190.6207591253124</v>
      </c>
      <c r="AG407" s="1995">
        <f t="shared" si="427"/>
        <v>8026.659771898072</v>
      </c>
      <c r="AH407" s="1995">
        <f t="shared" si="427"/>
        <v>3592.8143712574852</v>
      </c>
      <c r="AI407" s="1995">
        <f t="shared" si="427"/>
        <v>7224.1015696876193</v>
      </c>
      <c r="AJ407" s="1995">
        <f t="shared" si="427"/>
        <v>6889.1826012759875</v>
      </c>
      <c r="AK407" s="1995">
        <f t="shared" si="427"/>
        <v>10406.390514268895</v>
      </c>
      <c r="AL407" s="1995">
        <f t="shared" si="427"/>
        <v>5991.9874744476265</v>
      </c>
      <c r="AM407" s="1995">
        <f t="shared" si="427"/>
        <v>8967.1879680937018</v>
      </c>
      <c r="AN407" s="1995">
        <f t="shared" si="427"/>
        <v>8791.1902261509367</v>
      </c>
      <c r="AO407" s="1995">
        <f t="shared" si="427"/>
        <v>12591.849533679531</v>
      </c>
      <c r="AP407" s="1995">
        <f t="shared" si="427"/>
        <v>7563.4864440634574</v>
      </c>
      <c r="AQ407" s="1997">
        <f t="shared" si="427"/>
        <v>1156.4387917329093</v>
      </c>
      <c r="AR407" s="1995">
        <f t="shared" si="427"/>
        <v>2673.890642107297</v>
      </c>
      <c r="AS407" s="1995">
        <f t="shared" si="427"/>
        <v>4943.5364519657678</v>
      </c>
      <c r="AT407" s="1996">
        <f t="shared" si="427"/>
        <v>6574.1248588482013</v>
      </c>
      <c r="AU407" s="1997">
        <f>SUM(O407:R407)</f>
        <v>8194.4056613897828</v>
      </c>
      <c r="AV407" s="1995">
        <f>SUM(S407:V407)</f>
        <v>10935.125293229179</v>
      </c>
      <c r="AW407" s="1995">
        <f t="shared" ref="AW407:BC407" si="428">AW398/AW$6</f>
        <v>16865.733507636389</v>
      </c>
      <c r="AX407" s="1997">
        <f t="shared" si="428"/>
        <v>17919.895100727143</v>
      </c>
      <c r="AY407" s="1995">
        <f t="shared" si="428"/>
        <v>22265.704440176251</v>
      </c>
      <c r="AZ407" s="1995">
        <f t="shared" si="428"/>
        <v>30040.411205036668</v>
      </c>
      <c r="BA407" s="1996">
        <f t="shared" si="428"/>
        <v>37913.714171987631</v>
      </c>
      <c r="BB407" s="1997">
        <f t="shared" si="428"/>
        <v>47337.365150847931</v>
      </c>
      <c r="BC407" s="1996">
        <f t="shared" si="428"/>
        <v>58456.32088144312</v>
      </c>
    </row>
    <row r="408" spans="1:71" s="1999" customFormat="1" ht="10.15" x14ac:dyDescent="0.3">
      <c r="A408" s="2042"/>
      <c r="B408" s="2528" t="s">
        <v>1107</v>
      </c>
      <c r="C408" s="2488">
        <f t="shared" ref="C408:AT408" si="429">C403/C$6</f>
        <v>317.16357757489897</v>
      </c>
      <c r="D408" s="2488">
        <f t="shared" si="429"/>
        <v>432.88678637347249</v>
      </c>
      <c r="E408" s="2488">
        <f t="shared" si="429"/>
        <v>772.53016939267957</v>
      </c>
      <c r="F408" s="2488">
        <f t="shared" si="429"/>
        <v>654.33441880809778</v>
      </c>
      <c r="G408" s="2488">
        <f t="shared" si="429"/>
        <v>746.73314432821712</v>
      </c>
      <c r="H408" s="2488">
        <f t="shared" si="429"/>
        <v>962.90849673202615</v>
      </c>
      <c r="I408" s="2488">
        <f t="shared" si="429"/>
        <v>1728.3644713150634</v>
      </c>
      <c r="J408" s="2488">
        <f t="shared" si="429"/>
        <v>1254.9063766810373</v>
      </c>
      <c r="K408" s="2488">
        <f t="shared" si="429"/>
        <v>1179.4764330388807</v>
      </c>
      <c r="L408" s="2488">
        <f t="shared" si="429"/>
        <v>1109.1560768980123</v>
      </c>
      <c r="M408" s="2488">
        <f t="shared" si="429"/>
        <v>2113.7543113174097</v>
      </c>
      <c r="N408" s="1995">
        <f t="shared" si="429"/>
        <v>1248.7497983545734</v>
      </c>
      <c r="O408" s="1995">
        <f t="shared" si="429"/>
        <v>1525.6451612903224</v>
      </c>
      <c r="P408" s="1995">
        <f t="shared" si="429"/>
        <v>1447.699666435899</v>
      </c>
      <c r="Q408" s="1995">
        <f t="shared" si="429"/>
        <v>2558.7390780820647</v>
      </c>
      <c r="R408" s="1995">
        <f t="shared" si="429"/>
        <v>1171.8362282878411</v>
      </c>
      <c r="S408" s="1995">
        <f t="shared" si="429"/>
        <v>1804.270301990701</v>
      </c>
      <c r="T408" s="1995">
        <f t="shared" si="429"/>
        <v>1941.816000599835</v>
      </c>
      <c r="U408" s="1995">
        <f t="shared" si="429"/>
        <v>3239.3777905804409</v>
      </c>
      <c r="V408" s="1995">
        <f t="shared" si="429"/>
        <v>1516.7364016736401</v>
      </c>
      <c r="W408" s="1995">
        <f t="shared" si="429"/>
        <v>2952.9597451064269</v>
      </c>
      <c r="X408" s="1995">
        <f t="shared" si="429"/>
        <v>3320.0066132595857</v>
      </c>
      <c r="Y408" s="1995">
        <f t="shared" si="429"/>
        <v>4150.8998970228849</v>
      </c>
      <c r="Z408" s="1995">
        <f t="shared" si="429"/>
        <v>2247.7122724229189</v>
      </c>
      <c r="AA408" s="1995">
        <f t="shared" si="429"/>
        <v>3037.7355639177285</v>
      </c>
      <c r="AB408" s="1995">
        <f t="shared" si="429"/>
        <v>3414.8223645894</v>
      </c>
      <c r="AC408" s="1995">
        <f t="shared" si="429"/>
        <v>4333.7939058977527</v>
      </c>
      <c r="AD408" s="1995">
        <f t="shared" si="429"/>
        <v>2988.4372392418645</v>
      </c>
      <c r="AE408" s="1995">
        <f t="shared" si="429"/>
        <v>4508.2301529497454</v>
      </c>
      <c r="AF408" s="1995">
        <f t="shared" si="429"/>
        <v>4581.8934762231202</v>
      </c>
      <c r="AG408" s="1995">
        <f t="shared" si="429"/>
        <v>6678.3015886695966</v>
      </c>
      <c r="AH408" s="1995">
        <f t="shared" si="429"/>
        <v>3147.5257033103603</v>
      </c>
      <c r="AI408" s="1995">
        <f t="shared" si="429"/>
        <v>5587.1820639481393</v>
      </c>
      <c r="AJ408" s="1995">
        <f t="shared" si="429"/>
        <v>5615.0592524493622</v>
      </c>
      <c r="AK408" s="1995">
        <f t="shared" si="429"/>
        <v>8411.0473691615953</v>
      </c>
      <c r="AL408" s="1995">
        <f t="shared" si="429"/>
        <v>5141.5143823358794</v>
      </c>
      <c r="AM408" s="1995">
        <f t="shared" si="429"/>
        <v>7256.3581918360733</v>
      </c>
      <c r="AN408" s="1995">
        <f t="shared" si="429"/>
        <v>7154.8829209554715</v>
      </c>
      <c r="AO408" s="1995">
        <f t="shared" si="429"/>
        <v>10191.498769118973</v>
      </c>
      <c r="AP408" s="1995">
        <f t="shared" si="429"/>
        <v>6141.2842863404348</v>
      </c>
      <c r="AQ408" s="1997">
        <f t="shared" si="429"/>
        <v>1025.7551669316374</v>
      </c>
      <c r="AR408" s="1995">
        <f t="shared" si="429"/>
        <v>1671.6043021832936</v>
      </c>
      <c r="AS408" s="1995">
        <f t="shared" si="429"/>
        <v>4318.0892477961524</v>
      </c>
      <c r="AT408" s="1996">
        <f t="shared" si="429"/>
        <v>5643.0069366026783</v>
      </c>
      <c r="AU408" s="1997">
        <f>SUM(O408:R408)</f>
        <v>6703.9201340961263</v>
      </c>
      <c r="AV408" s="1995">
        <f>SUM(S408:V408)</f>
        <v>8502.2004948446156</v>
      </c>
      <c r="AW408" s="1995">
        <f t="shared" ref="AW408:BC408" si="430">AW403/AW$6</f>
        <v>13266.269170678826</v>
      </c>
      <c r="AX408" s="1997">
        <f t="shared" si="430"/>
        <v>14018.059363452139</v>
      </c>
      <c r="AY408" s="1995">
        <f t="shared" si="430"/>
        <v>18709.609083719355</v>
      </c>
      <c r="AZ408" s="1995">
        <f t="shared" si="430"/>
        <v>24377.327033473775</v>
      </c>
      <c r="BA408" s="1996">
        <f t="shared" si="430"/>
        <v>30744.024168250955</v>
      </c>
      <c r="BB408" s="1997">
        <f t="shared" si="430"/>
        <v>38864.155624814586</v>
      </c>
      <c r="BC408" s="1996">
        <f t="shared" si="430"/>
        <v>48490.379502937023</v>
      </c>
    </row>
    <row r="409" spans="1:71" s="1999" customFormat="1" ht="10.15" x14ac:dyDescent="0.3">
      <c r="A409" s="2042"/>
      <c r="B409" s="2528" t="s">
        <v>1108</v>
      </c>
      <c r="C409" s="2524">
        <f t="shared" ref="C409:BC409" si="431">C406/C6</f>
        <v>1.9436900474570046E-2</v>
      </c>
      <c r="D409" s="2524">
        <f t="shared" si="431"/>
        <v>3.1902733932424494E-2</v>
      </c>
      <c r="E409" s="2524">
        <f t="shared" si="431"/>
        <v>2.5396895527834463E-2</v>
      </c>
      <c r="F409" s="2524">
        <f t="shared" si="431"/>
        <v>1.5972932336259314E-2</v>
      </c>
      <c r="G409" s="2524">
        <f t="shared" si="431"/>
        <v>0.31881408037250564</v>
      </c>
      <c r="H409" s="2524">
        <f t="shared" si="431"/>
        <v>0.41600728911907159</v>
      </c>
      <c r="I409" s="2524">
        <f t="shared" si="431"/>
        <v>0.73548597359085033</v>
      </c>
      <c r="J409" s="2524">
        <f t="shared" si="431"/>
        <v>0.52704839311781271</v>
      </c>
      <c r="K409" s="2524">
        <f t="shared" si="431"/>
        <v>0.50342870686383945</v>
      </c>
      <c r="L409" s="2524">
        <f t="shared" si="431"/>
        <v>0.45481141831931743</v>
      </c>
      <c r="M409" s="2524">
        <f t="shared" si="431"/>
        <v>0.81382507199997844</v>
      </c>
      <c r="N409" s="2525">
        <f t="shared" si="431"/>
        <v>0.48457307177828329</v>
      </c>
      <c r="O409" s="2525">
        <f t="shared" si="431"/>
        <v>0.59119010819165374</v>
      </c>
      <c r="P409" s="2525">
        <f t="shared" si="431"/>
        <v>0.56775510368391324</v>
      </c>
      <c r="Q409" s="2525">
        <f t="shared" si="431"/>
        <v>1.0059697101230809</v>
      </c>
      <c r="R409" s="2525">
        <f t="shared" si="431"/>
        <v>0.46337221428446118</v>
      </c>
      <c r="S409" s="2529">
        <f t="shared" si="431"/>
        <v>0.72650371327245111</v>
      </c>
      <c r="T409" s="2529">
        <f t="shared" si="431"/>
        <v>0.78877373414438867</v>
      </c>
      <c r="U409" s="2529">
        <f t="shared" si="431"/>
        <v>1.2990706734445341</v>
      </c>
      <c r="V409" s="2529">
        <f t="shared" si="431"/>
        <v>0.63240410963715632</v>
      </c>
      <c r="W409" s="2529">
        <f t="shared" si="431"/>
        <v>1.173025141541846</v>
      </c>
      <c r="X409" s="2529">
        <f t="shared" si="431"/>
        <v>1.2883137941284588</v>
      </c>
      <c r="Y409" s="2529">
        <f t="shared" si="431"/>
        <v>1.6306595498894156</v>
      </c>
      <c r="Z409" s="2529">
        <f t="shared" si="431"/>
        <v>0.91356558084211092</v>
      </c>
      <c r="AA409" s="2529">
        <f t="shared" si="431"/>
        <v>1.2157194987595354</v>
      </c>
      <c r="AB409" s="2529">
        <f t="shared" si="431"/>
        <v>1.3980195360390189</v>
      </c>
      <c r="AC409" s="2529">
        <f t="shared" si="431"/>
        <v>1.7732034456755377</v>
      </c>
      <c r="AD409" s="2529">
        <f t="shared" si="431"/>
        <v>1.2769556505401065</v>
      </c>
      <c r="AE409" s="2529">
        <f t="shared" si="431"/>
        <v>1.8287385365114495</v>
      </c>
      <c r="AF409" s="2529">
        <f t="shared" si="431"/>
        <v>1.8324019242522775</v>
      </c>
      <c r="AG409" s="2529">
        <f t="shared" si="431"/>
        <v>2.6127193568544036</v>
      </c>
      <c r="AH409" s="2529">
        <f t="shared" si="431"/>
        <v>1.2998889615169478</v>
      </c>
      <c r="AI409" s="2529">
        <f t="shared" si="431"/>
        <v>2.0974843133872252</v>
      </c>
      <c r="AJ409" s="2529">
        <f t="shared" si="431"/>
        <v>2.1472393697714502</v>
      </c>
      <c r="AK409" s="2529">
        <f t="shared" si="431"/>
        <v>3.1768886436805053</v>
      </c>
      <c r="AL409" s="2529">
        <f t="shared" si="431"/>
        <v>2.0209061079215997</v>
      </c>
      <c r="AM409" s="2529">
        <f t="shared" si="431"/>
        <v>2.6893763505007238</v>
      </c>
      <c r="AN409" s="2529">
        <f t="shared" si="431"/>
        <v>2.6937320278541632</v>
      </c>
      <c r="AO409" s="2529">
        <f t="shared" si="431"/>
        <v>3.8030712370438304</v>
      </c>
      <c r="AP409" s="2529">
        <f t="shared" si="431"/>
        <v>2.3803198036020508</v>
      </c>
      <c r="AQ409" s="2530">
        <f t="shared" si="431"/>
        <v>0.37917518208603712</v>
      </c>
      <c r="AR409" s="2529">
        <f t="shared" si="431"/>
        <v>0.69182341954304583</v>
      </c>
      <c r="AS409" s="2529">
        <f t="shared" si="431"/>
        <v>1.8455974033384608</v>
      </c>
      <c r="AT409" s="2531">
        <f t="shared" si="431"/>
        <v>2.2592723477964745</v>
      </c>
      <c r="AU409" s="2530">
        <f t="shared" si="431"/>
        <v>2.6006405897997649</v>
      </c>
      <c r="AV409" s="2529">
        <f t="shared" si="431"/>
        <v>3.405894238762762</v>
      </c>
      <c r="AW409" s="2529">
        <f t="shared" si="431"/>
        <v>5.238742530763548</v>
      </c>
      <c r="AX409" s="2530">
        <f t="shared" si="431"/>
        <v>5.7603390820913711</v>
      </c>
      <c r="AY409" s="2529">
        <f t="shared" si="431"/>
        <v>7.4818539210792299</v>
      </c>
      <c r="AZ409" s="2529">
        <f t="shared" si="431"/>
        <v>9.3003808646330324</v>
      </c>
      <c r="BA409" s="2531">
        <f t="shared" si="431"/>
        <v>11.566678556474409</v>
      </c>
      <c r="BB409" s="2530">
        <f t="shared" si="431"/>
        <v>14.400053884578103</v>
      </c>
      <c r="BC409" s="2531">
        <f t="shared" si="431"/>
        <v>17.713600497454518</v>
      </c>
    </row>
    <row r="410" spans="1:71" s="1953" customFormat="1" ht="10.15" x14ac:dyDescent="0.3">
      <c r="A410" s="2042"/>
      <c r="B410" s="2532" t="s">
        <v>1109</v>
      </c>
      <c r="C410" s="1950"/>
      <c r="D410" s="1950"/>
      <c r="E410" s="1950"/>
      <c r="F410" s="1950"/>
      <c r="G410" s="1950"/>
      <c r="H410" s="1950"/>
      <c r="I410" s="1950"/>
      <c r="J410" s="1950"/>
      <c r="K410" s="1950"/>
      <c r="L410" s="1950"/>
      <c r="M410" s="1950"/>
      <c r="N410" s="1950"/>
      <c r="O410" s="1950"/>
      <c r="P410" s="1950"/>
      <c r="Q410" s="1950"/>
      <c r="R410" s="1950"/>
      <c r="S410" s="1950"/>
      <c r="T410" s="1950"/>
      <c r="U410" s="1950"/>
      <c r="V410" s="1950"/>
      <c r="W410" s="1950"/>
      <c r="X410" s="1950"/>
      <c r="Y410" s="1950"/>
      <c r="Z410" s="1950"/>
      <c r="AA410" s="1950"/>
      <c r="AB410" s="1950"/>
      <c r="AC410" s="1950"/>
      <c r="AD410" s="1950"/>
      <c r="AE410" s="1950"/>
      <c r="AF410" s="1950"/>
      <c r="AG410" s="1950"/>
      <c r="AH410" s="1950"/>
      <c r="AI410" s="1950"/>
      <c r="AJ410" s="1950"/>
      <c r="AK410" s="1950"/>
      <c r="AL410" s="1950"/>
      <c r="AM410" s="1950"/>
      <c r="AN410" s="1950"/>
      <c r="AO410" s="1950"/>
      <c r="AP410" s="1950"/>
      <c r="AQ410" s="1952"/>
      <c r="AR410" s="1950"/>
      <c r="AS410" s="1950"/>
      <c r="AT410" s="1951"/>
      <c r="AU410" s="1952"/>
      <c r="AV410" s="1950"/>
      <c r="AW410" s="1950"/>
      <c r="AX410" s="1952"/>
      <c r="AY410" s="1950"/>
      <c r="AZ410" s="1950"/>
      <c r="BA410" s="1951"/>
      <c r="BB410" s="1952"/>
      <c r="BC410" s="1951"/>
    </row>
    <row r="411" spans="1:71" s="1953" customFormat="1" ht="10.15" x14ac:dyDescent="0.3">
      <c r="A411" s="2042"/>
      <c r="B411" s="2475" t="s">
        <v>1110</v>
      </c>
      <c r="C411" s="2533">
        <f t="shared" ref="C411:BC412" si="432">C167/C$323</f>
        <v>0.82452524657735904</v>
      </c>
      <c r="D411" s="2533">
        <f t="shared" si="432"/>
        <v>0.82499664744535339</v>
      </c>
      <c r="E411" s="2533">
        <f t="shared" si="432"/>
        <v>0.8774260329509187</v>
      </c>
      <c r="F411" s="2533">
        <f t="shared" si="432"/>
        <v>0.83490892321881482</v>
      </c>
      <c r="G411" s="2533">
        <f t="shared" si="432"/>
        <v>0.8529411764705882</v>
      </c>
      <c r="H411" s="2533">
        <f t="shared" si="432"/>
        <v>0.84136986301369865</v>
      </c>
      <c r="I411" s="2533">
        <f t="shared" si="432"/>
        <v>0.89415844225126695</v>
      </c>
      <c r="J411" s="2533">
        <f t="shared" si="432"/>
        <v>0.82827695120937583</v>
      </c>
      <c r="K411" s="2533">
        <f t="shared" si="432"/>
        <v>0.84636357872043622</v>
      </c>
      <c r="L411" s="2533">
        <f t="shared" si="432"/>
        <v>0.80569255451898514</v>
      </c>
      <c r="M411" s="2533">
        <f t="shared" si="432"/>
        <v>0.84552503915351995</v>
      </c>
      <c r="N411" s="2533">
        <f t="shared" si="432"/>
        <v>0.79741750358680052</v>
      </c>
      <c r="O411" s="2533">
        <f t="shared" si="432"/>
        <v>0.82533959002222768</v>
      </c>
      <c r="P411" s="2533">
        <f t="shared" si="432"/>
        <v>0.82598890442469897</v>
      </c>
      <c r="Q411" s="2533">
        <f t="shared" si="432"/>
        <v>0.86489303187331734</v>
      </c>
      <c r="R411" s="2533">
        <f t="shared" si="432"/>
        <v>0.80313430367184913</v>
      </c>
      <c r="S411" s="2533">
        <f t="shared" si="432"/>
        <v>0.7664365242271568</v>
      </c>
      <c r="T411" s="2533">
        <f t="shared" si="432"/>
        <v>0.74489676892569701</v>
      </c>
      <c r="U411" s="2533">
        <f t="shared" si="432"/>
        <v>0.79469651442307687</v>
      </c>
      <c r="V411" s="2533">
        <f t="shared" si="432"/>
        <v>0.70722413748412349</v>
      </c>
      <c r="W411" s="2261">
        <f t="shared" si="432"/>
        <v>0.76424756894627766</v>
      </c>
      <c r="X411" s="2261">
        <f t="shared" si="432"/>
        <v>0.74872101883095676</v>
      </c>
      <c r="Y411" s="2261">
        <f t="shared" si="432"/>
        <v>0.74710940887411481</v>
      </c>
      <c r="Z411" s="2261">
        <f t="shared" si="432"/>
        <v>0.67926112510495384</v>
      </c>
      <c r="AA411" s="2261">
        <f t="shared" si="432"/>
        <v>0.69473554127533366</v>
      </c>
      <c r="AB411" s="2261">
        <f t="shared" si="432"/>
        <v>0.66528867383849299</v>
      </c>
      <c r="AC411" s="2261">
        <f t="shared" si="432"/>
        <v>0.71410665256910932</v>
      </c>
      <c r="AD411" s="2261">
        <f t="shared" si="432"/>
        <v>0.65229202763695482</v>
      </c>
      <c r="AE411" s="2261">
        <f t="shared" si="432"/>
        <v>0.6838693397375657</v>
      </c>
      <c r="AF411" s="2261">
        <f t="shared" si="432"/>
        <v>0.66435047094112609</v>
      </c>
      <c r="AG411" s="2261">
        <f t="shared" si="432"/>
        <v>0.70497844614012484</v>
      </c>
      <c r="AH411" s="2261">
        <f t="shared" si="432"/>
        <v>0.6446454502510629</v>
      </c>
      <c r="AI411" s="2261">
        <f t="shared" si="432"/>
        <v>0.68165410306274432</v>
      </c>
      <c r="AJ411" s="2261">
        <f t="shared" si="432"/>
        <v>0.65636885256753463</v>
      </c>
      <c r="AK411" s="2261">
        <f t="shared" si="432"/>
        <v>0.69129406972074336</v>
      </c>
      <c r="AL411" s="2261">
        <f t="shared" si="432"/>
        <v>0.63621973499031081</v>
      </c>
      <c r="AM411" s="2261">
        <f t="shared" si="432"/>
        <v>0.67049808680221545</v>
      </c>
      <c r="AN411" s="2261">
        <f t="shared" si="432"/>
        <v>0.64897370004254185</v>
      </c>
      <c r="AO411" s="2261">
        <f t="shared" si="432"/>
        <v>0.68112158367125875</v>
      </c>
      <c r="AP411" s="2261">
        <f t="shared" si="432"/>
        <v>0.6224476568943742</v>
      </c>
      <c r="AQ411" s="2534">
        <f t="shared" si="432"/>
        <v>0.7808739076154807</v>
      </c>
      <c r="AR411" s="2261">
        <f t="shared" si="432"/>
        <v>0.8450039111162615</v>
      </c>
      <c r="AS411" s="2261">
        <f t="shared" si="432"/>
        <v>0.85959165015998784</v>
      </c>
      <c r="AT411" s="2535">
        <f t="shared" si="432"/>
        <v>0.82590152747887247</v>
      </c>
      <c r="AU411" s="2534">
        <f t="shared" si="432"/>
        <v>0.83368102587425719</v>
      </c>
      <c r="AV411" s="2261">
        <f t="shared" si="432"/>
        <v>0.75684418694281397</v>
      </c>
      <c r="AW411" s="2261">
        <f t="shared" si="432"/>
        <v>0.73411090599602025</v>
      </c>
      <c r="AX411" s="2534">
        <f t="shared" si="432"/>
        <v>0.68357994289414192</v>
      </c>
      <c r="AY411" s="2261">
        <f t="shared" si="432"/>
        <v>0.67720139451571582</v>
      </c>
      <c r="AZ411" s="2261">
        <f t="shared" si="432"/>
        <v>0.66813484617811036</v>
      </c>
      <c r="BA411" s="2535">
        <f t="shared" si="432"/>
        <v>0.65772243233855165</v>
      </c>
      <c r="BB411" s="2534">
        <f t="shared" si="432"/>
        <v>0.64710348388389571</v>
      </c>
      <c r="BC411" s="2535">
        <f t="shared" si="432"/>
        <v>0.63712810285398691</v>
      </c>
    </row>
    <row r="412" spans="1:71" s="1953" customFormat="1" ht="10.15" x14ac:dyDescent="0.3">
      <c r="A412" s="2042"/>
      <c r="B412" s="2536" t="s">
        <v>1111</v>
      </c>
      <c r="C412" s="2533">
        <f>C168/C$323</f>
        <v>0.74017370822905937</v>
      </c>
      <c r="D412" s="2533">
        <f>D168/D$323</f>
        <v>0.75097224084752578</v>
      </c>
      <c r="E412" s="2533">
        <f>E168/E$323</f>
        <v>0.82705080652117657</v>
      </c>
      <c r="F412" s="2533">
        <f>F168/F$323</f>
        <v>0.77864883560064557</v>
      </c>
      <c r="G412" s="2537">
        <f t="shared" ref="G412:AP412" si="433">G168/G323</f>
        <v>0.80413805900909263</v>
      </c>
      <c r="H412" s="2537">
        <f t="shared" si="433"/>
        <v>0.78949771689497716</v>
      </c>
      <c r="I412" s="2537">
        <f t="shared" si="433"/>
        <v>0.86150973592958124</v>
      </c>
      <c r="J412" s="2537">
        <f t="shared" si="433"/>
        <v>0.77890449671681494</v>
      </c>
      <c r="K412" s="2537">
        <f t="shared" si="433"/>
        <v>0.8014076469469279</v>
      </c>
      <c r="L412" s="2537">
        <f t="shared" si="433"/>
        <v>0.75874977717036074</v>
      </c>
      <c r="M412" s="2537">
        <f t="shared" si="433"/>
        <v>0.81267428091218152</v>
      </c>
      <c r="N412" s="2537">
        <f t="shared" si="433"/>
        <v>0.74886657101865139</v>
      </c>
      <c r="O412" s="2537">
        <f t="shared" si="433"/>
        <v>0.77609286243516917</v>
      </c>
      <c r="P412" s="2537">
        <f t="shared" si="433"/>
        <v>0.77881015741283655</v>
      </c>
      <c r="Q412" s="2537">
        <f t="shared" si="433"/>
        <v>0.83125379961207768</v>
      </c>
      <c r="R412" s="2537">
        <f t="shared" si="433"/>
        <v>0.75835262983790941</v>
      </c>
      <c r="S412" s="2537">
        <f t="shared" si="433"/>
        <v>0.72721900852149035</v>
      </c>
      <c r="T412" s="2537">
        <f t="shared" si="433"/>
        <v>0.70305027411641197</v>
      </c>
      <c r="U412" s="2537">
        <f t="shared" si="433"/>
        <v>0.76626352163461542</v>
      </c>
      <c r="V412" s="2537">
        <f t="shared" si="433"/>
        <v>0.66914642681251457</v>
      </c>
      <c r="W412" s="2537">
        <f t="shared" si="433"/>
        <v>0.73154790371433132</v>
      </c>
      <c r="X412" s="2537">
        <f t="shared" si="433"/>
        <v>0.71762635608287073</v>
      </c>
      <c r="Y412" s="2537">
        <f t="shared" si="433"/>
        <v>0.72391241508888571</v>
      </c>
      <c r="Z412" s="2537">
        <f t="shared" si="433"/>
        <v>0.64885681069560164</v>
      </c>
      <c r="AA412" s="2537">
        <f t="shared" si="433"/>
        <v>0.66693030153237765</v>
      </c>
      <c r="AB412" s="2537">
        <f t="shared" si="433"/>
        <v>0.63596326396392167</v>
      </c>
      <c r="AC412" s="2537">
        <f t="shared" si="433"/>
        <v>0.69113559235321198</v>
      </c>
      <c r="AD412" s="2537">
        <f t="shared" si="433"/>
        <v>0.62505080322573747</v>
      </c>
      <c r="AE412" s="2537">
        <f t="shared" si="433"/>
        <v>0.65783474296056521</v>
      </c>
      <c r="AF412" s="2537">
        <f t="shared" si="433"/>
        <v>0.63676617626053422</v>
      </c>
      <c r="AG412" s="2537">
        <f t="shared" si="433"/>
        <v>0.68413685462293128</v>
      </c>
      <c r="AH412" s="2537">
        <f t="shared" si="433"/>
        <v>0.62026523435449721</v>
      </c>
      <c r="AI412" s="2537">
        <f t="shared" si="433"/>
        <v>0.65899408784333113</v>
      </c>
      <c r="AJ412" s="2537">
        <f t="shared" si="433"/>
        <v>0.63061330361028223</v>
      </c>
      <c r="AK412" s="2537">
        <f t="shared" si="433"/>
        <v>0.67148487031940018</v>
      </c>
      <c r="AL412" s="2537">
        <f t="shared" si="433"/>
        <v>0.61342516758850241</v>
      </c>
      <c r="AM412" s="2537">
        <f t="shared" si="433"/>
        <v>0.64918656144215792</v>
      </c>
      <c r="AN412" s="2537">
        <f t="shared" si="433"/>
        <v>0.62394044701166984</v>
      </c>
      <c r="AO412" s="2537">
        <f t="shared" si="433"/>
        <v>0.66207888500114997</v>
      </c>
      <c r="AP412" s="2537">
        <f t="shared" si="433"/>
        <v>0.6004761547144114</v>
      </c>
      <c r="AQ412" s="2534">
        <f t="shared" si="432"/>
        <v>0.67026217228464424</v>
      </c>
      <c r="AR412" s="2261">
        <f t="shared" si="432"/>
        <v>0.78135411536344412</v>
      </c>
      <c r="AS412" s="2261">
        <f t="shared" si="432"/>
        <v>0.81578546396465035</v>
      </c>
      <c r="AT412" s="2535">
        <f t="shared" si="432"/>
        <v>0.78384336780221509</v>
      </c>
      <c r="AU412" s="2534">
        <f t="shared" si="432"/>
        <v>0.79128560552880578</v>
      </c>
      <c r="AV412" s="2261">
        <f t="shared" si="432"/>
        <v>0.72096314595666977</v>
      </c>
      <c r="AW412" s="2261">
        <f t="shared" si="432"/>
        <v>0.70548536357315816</v>
      </c>
      <c r="AX412" s="2534">
        <f t="shared" si="432"/>
        <v>0.6570756068824235</v>
      </c>
      <c r="AY412" s="2261">
        <f t="shared" si="432"/>
        <v>0.65282091224242755</v>
      </c>
      <c r="AZ412" s="2261">
        <f t="shared" si="432"/>
        <v>0.64560591622225116</v>
      </c>
      <c r="BA412" s="2535">
        <f t="shared" si="432"/>
        <v>0.63610017728624502</v>
      </c>
      <c r="BB412" s="2534">
        <f t="shared" si="432"/>
        <v>0.626476975008467</v>
      </c>
      <c r="BC412" s="2535">
        <f t="shared" si="432"/>
        <v>0.61779886103776649</v>
      </c>
    </row>
    <row r="413" spans="1:71" s="1953" customFormat="1" ht="10.15" x14ac:dyDescent="0.3">
      <c r="A413" s="2042"/>
      <c r="B413" s="2538" t="s">
        <v>1112</v>
      </c>
      <c r="C413" s="2054">
        <f t="shared" ref="C413:BC413" si="434">C169/C323</f>
        <v>0</v>
      </c>
      <c r="D413" s="2054">
        <f t="shared" si="434"/>
        <v>0</v>
      </c>
      <c r="E413" s="2054">
        <f t="shared" si="434"/>
        <v>0</v>
      </c>
      <c r="F413" s="2054">
        <f t="shared" si="434"/>
        <v>0.52084390131427261</v>
      </c>
      <c r="G413" s="2054">
        <f t="shared" si="434"/>
        <v>0.58460836889961021</v>
      </c>
      <c r="H413" s="2054">
        <f t="shared" si="434"/>
        <v>0.57396484018264837</v>
      </c>
      <c r="I413" s="2054">
        <f t="shared" si="434"/>
        <v>0.58151907175246731</v>
      </c>
      <c r="J413" s="2054">
        <f t="shared" si="434"/>
        <v>0.49460435541517744</v>
      </c>
      <c r="K413" s="2054">
        <f t="shared" si="434"/>
        <v>0.52892904698497245</v>
      </c>
      <c r="L413" s="2054">
        <f t="shared" si="434"/>
        <v>0.48939360627488249</v>
      </c>
      <c r="M413" s="2054">
        <f t="shared" si="434"/>
        <v>0.49573131135643073</v>
      </c>
      <c r="N413" s="2054">
        <f t="shared" si="434"/>
        <v>0.44183127690100432</v>
      </c>
      <c r="O413" s="2539">
        <f t="shared" si="434"/>
        <v>0.5097554951839961</v>
      </c>
      <c r="P413" s="2539">
        <f t="shared" si="434"/>
        <v>0.51111812728338823</v>
      </c>
      <c r="Q413" s="2539">
        <f t="shared" si="434"/>
        <v>0.55082071620878326</v>
      </c>
      <c r="R413" s="2539">
        <f t="shared" si="434"/>
        <v>0.48486602712537213</v>
      </c>
      <c r="S413" s="2054">
        <f t="shared" si="434"/>
        <v>0.4939354357156186</v>
      </c>
      <c r="T413" s="2054">
        <f t="shared" si="434"/>
        <v>0.485390178467281</v>
      </c>
      <c r="U413" s="2054">
        <f t="shared" si="434"/>
        <v>0.52430138221153844</v>
      </c>
      <c r="V413" s="2054">
        <f t="shared" si="434"/>
        <v>0.44288343399258662</v>
      </c>
      <c r="W413" s="2012">
        <f t="shared" si="434"/>
        <v>0.52247728359636536</v>
      </c>
      <c r="X413" s="2012">
        <f t="shared" si="434"/>
        <v>0.47661550741990494</v>
      </c>
      <c r="Y413" s="2012">
        <f t="shared" si="434"/>
        <v>0.46731223201811439</v>
      </c>
      <c r="Z413" s="2012">
        <f t="shared" si="434"/>
        <v>0.3712620293224827</v>
      </c>
      <c r="AA413" s="2012">
        <f t="shared" si="434"/>
        <v>0.40846515076618883</v>
      </c>
      <c r="AB413" s="2012">
        <f t="shared" si="434"/>
        <v>0.38662094235918637</v>
      </c>
      <c r="AC413" s="2012">
        <f t="shared" si="434"/>
        <v>0.42285850713688844</v>
      </c>
      <c r="AD413" s="2012">
        <f t="shared" si="434"/>
        <v>0.32213523283920514</v>
      </c>
      <c r="AE413" s="2012">
        <f t="shared" si="434"/>
        <v>0.3650586474539696</v>
      </c>
      <c r="AF413" s="2012">
        <f t="shared" si="434"/>
        <v>0.34701765294033626</v>
      </c>
      <c r="AG413" s="2012">
        <f t="shared" si="434"/>
        <v>0.37926741650976115</v>
      </c>
      <c r="AH413" s="2012">
        <f t="shared" si="434"/>
        <v>0.27036058575502564</v>
      </c>
      <c r="AI413" s="2012">
        <f t="shared" si="434"/>
        <v>0.33452790550955769</v>
      </c>
      <c r="AJ413" s="2012">
        <f t="shared" si="434"/>
        <v>0.31874307215911746</v>
      </c>
      <c r="AK413" s="2012">
        <f t="shared" si="434"/>
        <v>0.36634180327777666</v>
      </c>
      <c r="AL413" s="2012">
        <f t="shared" si="434"/>
        <v>0.26055453235107701</v>
      </c>
      <c r="AM413" s="2012">
        <f t="shared" si="434"/>
        <v>0.31719911734771494</v>
      </c>
      <c r="AN413" s="2012">
        <f t="shared" si="434"/>
        <v>0.30726477267291968</v>
      </c>
      <c r="AO413" s="2012">
        <f t="shared" si="434"/>
        <v>0.35798744153601914</v>
      </c>
      <c r="AP413" s="2012">
        <f t="shared" si="434"/>
        <v>0.25114644093209276</v>
      </c>
      <c r="AQ413" s="2013">
        <f t="shared" si="434"/>
        <v>0.48958801498127341</v>
      </c>
      <c r="AR413" s="2012">
        <f t="shared" si="434"/>
        <v>0.57064634817626092</v>
      </c>
      <c r="AS413" s="2012">
        <f t="shared" si="434"/>
        <v>0.56622352582660374</v>
      </c>
      <c r="AT413" s="2014">
        <f t="shared" si="434"/>
        <v>0.49221825625951393</v>
      </c>
      <c r="AU413" s="2013">
        <f t="shared" si="434"/>
        <v>0.51812779925452079</v>
      </c>
      <c r="AV413" s="2012">
        <f t="shared" si="434"/>
        <v>0.48985613465341532</v>
      </c>
      <c r="AW413" s="2012">
        <f t="shared" si="434"/>
        <v>0.45665412001630268</v>
      </c>
      <c r="AX413" s="2013">
        <f t="shared" si="434"/>
        <v>0.38658967636475572</v>
      </c>
      <c r="AY413" s="2012">
        <f t="shared" si="434"/>
        <v>0.3441087204317741</v>
      </c>
      <c r="AZ413" s="2012">
        <f t="shared" si="434"/>
        <v>0.32334702827224848</v>
      </c>
      <c r="BA413" s="2014">
        <f t="shared" si="434"/>
        <v>0.31218412319704764</v>
      </c>
      <c r="BB413" s="2013">
        <f t="shared" si="434"/>
        <v>0.30544353597192664</v>
      </c>
      <c r="BC413" s="2014">
        <f t="shared" si="434"/>
        <v>0.30143143974283332</v>
      </c>
    </row>
    <row r="414" spans="1:71" s="1953" customFormat="1" ht="10.15" x14ac:dyDescent="0.3">
      <c r="A414" s="2042"/>
      <c r="B414" s="2538" t="s">
        <v>1113</v>
      </c>
      <c r="C414" s="2054">
        <f t="shared" ref="C414:BC414" si="435">C170/C323</f>
        <v>0</v>
      </c>
      <c r="D414" s="2054">
        <f t="shared" si="435"/>
        <v>0</v>
      </c>
      <c r="E414" s="2054">
        <f t="shared" si="435"/>
        <v>0</v>
      </c>
      <c r="F414" s="2054">
        <f t="shared" si="435"/>
        <v>0.23359465068019367</v>
      </c>
      <c r="G414" s="2054">
        <f t="shared" si="435"/>
        <v>0.19942623863425499</v>
      </c>
      <c r="H414" s="2054">
        <f t="shared" si="435"/>
        <v>0.19579543378995434</v>
      </c>
      <c r="I414" s="2054">
        <f t="shared" si="435"/>
        <v>0.25845292077887438</v>
      </c>
      <c r="J414" s="2054">
        <f t="shared" si="435"/>
        <v>0.26482752888371708</v>
      </c>
      <c r="K414" s="2054">
        <f t="shared" si="435"/>
        <v>0.25645044702301695</v>
      </c>
      <c r="L414" s="2054">
        <f t="shared" si="435"/>
        <v>0.25418117535207085</v>
      </c>
      <c r="M414" s="2054">
        <f t="shared" si="435"/>
        <v>0.30068948393750716</v>
      </c>
      <c r="N414" s="2054">
        <f t="shared" si="435"/>
        <v>0.29205796269727408</v>
      </c>
      <c r="O414" s="2539">
        <f t="shared" si="435"/>
        <v>0.2497147173403183</v>
      </c>
      <c r="P414" s="2539">
        <f t="shared" si="435"/>
        <v>0.24767489062288575</v>
      </c>
      <c r="Q414" s="2539">
        <f t="shared" si="435"/>
        <v>0.26473372230833947</v>
      </c>
      <c r="R414" s="2539">
        <f t="shared" si="435"/>
        <v>0.25177307310618591</v>
      </c>
      <c r="S414" s="2539">
        <f t="shared" si="435"/>
        <v>0.21540088324936243</v>
      </c>
      <c r="T414" s="2539">
        <f t="shared" si="435"/>
        <v>0.20016330339437768</v>
      </c>
      <c r="U414" s="2539">
        <f t="shared" si="435"/>
        <v>0.22669396033653846</v>
      </c>
      <c r="V414" s="2539">
        <f t="shared" si="435"/>
        <v>0.21268047383291427</v>
      </c>
      <c r="W414" s="2539">
        <f t="shared" si="435"/>
        <v>0.17690897497210267</v>
      </c>
      <c r="X414" s="2539">
        <f t="shared" si="435"/>
        <v>0.18248612169369763</v>
      </c>
      <c r="Y414" s="2539">
        <f t="shared" si="435"/>
        <v>0.19536782772076891</v>
      </c>
      <c r="Z414" s="2539">
        <f t="shared" si="435"/>
        <v>0.18354001162565395</v>
      </c>
      <c r="AA414" s="2539">
        <f t="shared" si="435"/>
        <v>0.16999505684626792</v>
      </c>
      <c r="AB414" s="2539">
        <f t="shared" si="435"/>
        <v>0.15427256071780898</v>
      </c>
      <c r="AC414" s="2539">
        <f t="shared" si="435"/>
        <v>0.17194188168283905</v>
      </c>
      <c r="AD414" s="2539">
        <f t="shared" si="435"/>
        <v>0.15818520182249887</v>
      </c>
      <c r="AE414" s="2539">
        <f t="shared" si="435"/>
        <v>0.14707110786258745</v>
      </c>
      <c r="AF414" s="2539">
        <f t="shared" si="435"/>
        <v>0.13674517085794466</v>
      </c>
      <c r="AG414" s="2539">
        <f t="shared" si="435"/>
        <v>0.14498686948766226</v>
      </c>
      <c r="AH414" s="2539">
        <f t="shared" si="435"/>
        <v>0.12684360620746366</v>
      </c>
      <c r="AI414" s="2539">
        <f t="shared" si="435"/>
        <v>0.12865607378163393</v>
      </c>
      <c r="AJ414" s="2539">
        <f t="shared" si="435"/>
        <v>0.11833703002617123</v>
      </c>
      <c r="AK414" s="2539">
        <f t="shared" si="435"/>
        <v>0.12884199642516722</v>
      </c>
      <c r="AL414" s="2539">
        <f t="shared" si="435"/>
        <v>0.11859391005605348</v>
      </c>
      <c r="AM414" s="2539">
        <f t="shared" si="435"/>
        <v>0.11504898469134449</v>
      </c>
      <c r="AN414" s="2539">
        <f t="shared" si="435"/>
        <v>0.10841893907977021</v>
      </c>
      <c r="AO414" s="2539">
        <f t="shared" si="435"/>
        <v>0.1177149133454795</v>
      </c>
      <c r="AP414" s="2539">
        <f t="shared" si="435"/>
        <v>0.10764354240482298</v>
      </c>
      <c r="AQ414" s="2013">
        <f t="shared" si="435"/>
        <v>0.14556803995006243</v>
      </c>
      <c r="AR414" s="2012">
        <f t="shared" si="435"/>
        <v>0.17849175768461917</v>
      </c>
      <c r="AS414" s="2012">
        <f t="shared" si="435"/>
        <v>0.22899207679414901</v>
      </c>
      <c r="AT414" s="2014">
        <f t="shared" si="435"/>
        <v>0.2782137420607842</v>
      </c>
      <c r="AU414" s="2013">
        <f t="shared" si="435"/>
        <v>0.25488913145004316</v>
      </c>
      <c r="AV414" s="2012">
        <f t="shared" si="435"/>
        <v>0.21523570034055081</v>
      </c>
      <c r="AW414" s="2012">
        <f t="shared" si="435"/>
        <v>0.18590220005913707</v>
      </c>
      <c r="AX414" s="2013">
        <f t="shared" si="435"/>
        <v>0.16411830890235748</v>
      </c>
      <c r="AY414" s="2012">
        <f t="shared" si="435"/>
        <v>0.13946334295316365</v>
      </c>
      <c r="AZ414" s="2012">
        <f t="shared" si="435"/>
        <v>0.12397114097345632</v>
      </c>
      <c r="BA414" s="2014">
        <f t="shared" si="435"/>
        <v>0.11263503531431289</v>
      </c>
      <c r="BB414" s="2013">
        <f t="shared" si="435"/>
        <v>0.10469290030826053</v>
      </c>
      <c r="BC414" s="2014">
        <f t="shared" si="435"/>
        <v>9.8108429241289805E-2</v>
      </c>
    </row>
    <row r="415" spans="1:71" s="1953" customFormat="1" ht="10.15" x14ac:dyDescent="0.3">
      <c r="A415" s="2042"/>
      <c r="B415" s="2538" t="s">
        <v>1114</v>
      </c>
      <c r="C415" s="2054">
        <f t="shared" ref="C415:BC415" si="436">C171/C323</f>
        <v>0</v>
      </c>
      <c r="D415" s="2054">
        <f t="shared" si="436"/>
        <v>0</v>
      </c>
      <c r="E415" s="2054">
        <f t="shared" si="436"/>
        <v>0</v>
      </c>
      <c r="F415" s="2054">
        <f t="shared" si="436"/>
        <v>2.4210283606179387E-2</v>
      </c>
      <c r="G415" s="2054">
        <f t="shared" si="436"/>
        <v>2.0103451475227407E-2</v>
      </c>
      <c r="H415" s="2054">
        <f t="shared" si="436"/>
        <v>1.9737442922374428E-2</v>
      </c>
      <c r="I415" s="2054">
        <f t="shared" si="436"/>
        <v>2.1537743398239502E-2</v>
      </c>
      <c r="J415" s="2054">
        <f t="shared" si="436"/>
        <v>1.9472612417920341E-2</v>
      </c>
      <c r="K415" s="2054">
        <f t="shared" si="436"/>
        <v>1.602815293893857E-2</v>
      </c>
      <c r="L415" s="2054">
        <f t="shared" si="436"/>
        <v>1.5174995543407328E-2</v>
      </c>
      <c r="M415" s="2054">
        <f t="shared" si="436"/>
        <v>1.6253485618243631E-2</v>
      </c>
      <c r="N415" s="2054">
        <f t="shared" si="436"/>
        <v>1.4977331420373002E-2</v>
      </c>
      <c r="O415" s="2539">
        <f t="shared" si="436"/>
        <v>1.6622649910854832E-2</v>
      </c>
      <c r="P415" s="2539">
        <f t="shared" si="436"/>
        <v>2.0017139506562635E-2</v>
      </c>
      <c r="Q415" s="2539">
        <f t="shared" si="436"/>
        <v>1.5699361094954983E-2</v>
      </c>
      <c r="R415" s="2539">
        <f t="shared" si="436"/>
        <v>2.1713529606351301E-2</v>
      </c>
      <c r="S415" s="2539">
        <f t="shared" si="436"/>
        <v>1.7882689556509301E-2</v>
      </c>
      <c r="T415" s="2539">
        <f t="shared" si="436"/>
        <v>1.7496792254753295E-2</v>
      </c>
      <c r="U415" s="2539">
        <f t="shared" si="436"/>
        <v>1.5268179086538462E-2</v>
      </c>
      <c r="V415" s="2539">
        <f t="shared" si="436"/>
        <v>1.358251898701366E-2</v>
      </c>
      <c r="W415" s="2539">
        <f t="shared" si="436"/>
        <v>3.216164514586322E-2</v>
      </c>
      <c r="X415" s="2539">
        <f t="shared" si="436"/>
        <v>5.8524726969268172E-2</v>
      </c>
      <c r="Y415" s="2539">
        <f t="shared" si="436"/>
        <v>6.1232355350002411E-2</v>
      </c>
      <c r="Z415" s="2539">
        <f t="shared" si="436"/>
        <v>9.4054769747464961E-2</v>
      </c>
      <c r="AA415" s="2539">
        <f t="shared" si="436"/>
        <v>8.8470093919920903E-2</v>
      </c>
      <c r="AB415" s="2539">
        <f t="shared" si="436"/>
        <v>9.5069760886926299E-2</v>
      </c>
      <c r="AC415" s="2539">
        <f t="shared" si="436"/>
        <v>9.6335203533484542E-2</v>
      </c>
      <c r="AD415" s="2539">
        <f t="shared" si="436"/>
        <v>0.14473036856403346</v>
      </c>
      <c r="AE415" s="2539">
        <f t="shared" si="436"/>
        <v>0.14570498764400822</v>
      </c>
      <c r="AF415" s="2539">
        <f t="shared" si="436"/>
        <v>0.1530033524622533</v>
      </c>
      <c r="AG415" s="2539">
        <f t="shared" si="436"/>
        <v>0.15988256862550787</v>
      </c>
      <c r="AH415" s="2539">
        <f t="shared" si="436"/>
        <v>0.22306104239200797</v>
      </c>
      <c r="AI415" s="2539">
        <f t="shared" si="436"/>
        <v>0.19581010855213951</v>
      </c>
      <c r="AJ415" s="2539">
        <f t="shared" si="436"/>
        <v>0.1935332014249935</v>
      </c>
      <c r="AK415" s="2539">
        <f t="shared" si="436"/>
        <v>0.17630107061645628</v>
      </c>
      <c r="AL415" s="2539">
        <f t="shared" si="436"/>
        <v>0.23427672518137196</v>
      </c>
      <c r="AM415" s="2539">
        <f t="shared" si="436"/>
        <v>0.21693845940309847</v>
      </c>
      <c r="AN415" s="2539">
        <f t="shared" si="436"/>
        <v>0.20825673525897995</v>
      </c>
      <c r="AO415" s="2539">
        <f t="shared" si="436"/>
        <v>0.18637653011965141</v>
      </c>
      <c r="AP415" s="2539">
        <f t="shared" si="436"/>
        <v>0.24168617137749562</v>
      </c>
      <c r="AQ415" s="2013">
        <f t="shared" si="436"/>
        <v>3.5106117353308368E-2</v>
      </c>
      <c r="AR415" s="2012">
        <f t="shared" si="436"/>
        <v>3.2216009502563953E-2</v>
      </c>
      <c r="AS415" s="2012">
        <f t="shared" si="436"/>
        <v>2.0569861343897607E-2</v>
      </c>
      <c r="AT415" s="2014">
        <f t="shared" si="436"/>
        <v>1.3411369481916961E-2</v>
      </c>
      <c r="AU415" s="2013">
        <f t="shared" si="436"/>
        <v>1.7875680966552308E-2</v>
      </c>
      <c r="AV415" s="2012">
        <f t="shared" si="436"/>
        <v>1.5871310962703684E-2</v>
      </c>
      <c r="AW415" s="2012">
        <f t="shared" si="436"/>
        <v>6.2929043497718426E-2</v>
      </c>
      <c r="AX415" s="2013">
        <f t="shared" si="436"/>
        <v>0.10636762161531031</v>
      </c>
      <c r="AY415" s="2012">
        <f t="shared" si="436"/>
        <v>0.16924884885748984</v>
      </c>
      <c r="AZ415" s="2012">
        <f t="shared" si="436"/>
        <v>0.19828774697654644</v>
      </c>
      <c r="BA415" s="2014">
        <f t="shared" si="436"/>
        <v>0.21128101877488448</v>
      </c>
      <c r="BB415" s="2013">
        <f t="shared" si="436"/>
        <v>0.21634053872827982</v>
      </c>
      <c r="BC415" s="2014">
        <f t="shared" si="436"/>
        <v>0.21825899205364335</v>
      </c>
    </row>
    <row r="416" spans="1:71" s="1953" customFormat="1" ht="10.15" x14ac:dyDescent="0.3">
      <c r="A416" s="2042"/>
      <c r="B416" s="2536" t="s">
        <v>1115</v>
      </c>
      <c r="C416" s="2533">
        <f t="shared" ref="C416:R417" si="437">C183/C$323</f>
        <v>8.4351538348299726E-2</v>
      </c>
      <c r="D416" s="2533">
        <f t="shared" si="437"/>
        <v>7.4024406597827538E-2</v>
      </c>
      <c r="E416" s="2533">
        <f t="shared" si="437"/>
        <v>5.0375226429742084E-2</v>
      </c>
      <c r="F416" s="2533">
        <f t="shared" si="437"/>
        <v>5.6260087618169238E-2</v>
      </c>
      <c r="G416" s="2533">
        <f t="shared" si="437"/>
        <v>4.880311746149564E-2</v>
      </c>
      <c r="H416" s="2533">
        <f t="shared" si="437"/>
        <v>5.1872146118721464E-2</v>
      </c>
      <c r="I416" s="2533">
        <f t="shared" si="437"/>
        <v>3.2648706321685782E-2</v>
      </c>
      <c r="J416" s="2533">
        <f t="shared" si="437"/>
        <v>4.9372454492560884E-2</v>
      </c>
      <c r="K416" s="2533">
        <f t="shared" ref="K416:AP416" si="438">K183/K323</f>
        <v>4.4955931773508338E-2</v>
      </c>
      <c r="L416" s="2533">
        <f t="shared" si="438"/>
        <v>4.6942777348624398E-2</v>
      </c>
      <c r="M416" s="2533">
        <f t="shared" si="438"/>
        <v>3.2850758241338478E-2</v>
      </c>
      <c r="N416" s="2533">
        <f t="shared" si="438"/>
        <v>4.8550932568149213E-2</v>
      </c>
      <c r="O416" s="2537">
        <f t="shared" si="438"/>
        <v>4.9246727587058531E-2</v>
      </c>
      <c r="P416" s="2537">
        <f t="shared" si="438"/>
        <v>4.7178747011862344E-2</v>
      </c>
      <c r="Q416" s="2537">
        <f t="shared" si="438"/>
        <v>3.3639232261239611E-2</v>
      </c>
      <c r="R416" s="2537">
        <f t="shared" si="438"/>
        <v>4.4781673833939793E-2</v>
      </c>
      <c r="S416" s="2537">
        <f t="shared" si="438"/>
        <v>3.9217515705666478E-2</v>
      </c>
      <c r="T416" s="2537">
        <f t="shared" si="438"/>
        <v>4.1846494809284963E-2</v>
      </c>
      <c r="U416" s="2537">
        <f t="shared" si="438"/>
        <v>2.843299278846154E-2</v>
      </c>
      <c r="V416" s="2537">
        <f t="shared" si="438"/>
        <v>3.8077710671608908E-2</v>
      </c>
      <c r="W416" s="2537">
        <f t="shared" si="438"/>
        <v>3.2699665231946437E-2</v>
      </c>
      <c r="X416" s="2537">
        <f t="shared" si="438"/>
        <v>3.1094662748086064E-2</v>
      </c>
      <c r="Y416" s="2537">
        <f t="shared" si="438"/>
        <v>2.3196993785229079E-2</v>
      </c>
      <c r="Z416" s="2537">
        <f t="shared" si="438"/>
        <v>3.0404314409352193E-2</v>
      </c>
      <c r="AA416" s="2537">
        <f t="shared" si="438"/>
        <v>2.7805239742956005E-2</v>
      </c>
      <c r="AB416" s="2537">
        <f t="shared" si="438"/>
        <v>2.9325409874571336E-2</v>
      </c>
      <c r="AC416" s="2537">
        <f t="shared" si="438"/>
        <v>2.297106021589727E-2</v>
      </c>
      <c r="AD416" s="2537">
        <f t="shared" si="438"/>
        <v>2.7241224411217353E-2</v>
      </c>
      <c r="AE416" s="2537">
        <f t="shared" si="438"/>
        <v>2.6034596777000454E-2</v>
      </c>
      <c r="AF416" s="2537">
        <f t="shared" si="438"/>
        <v>2.7584294680591849E-2</v>
      </c>
      <c r="AG416" s="2537">
        <f t="shared" si="438"/>
        <v>2.0841591517193538E-2</v>
      </c>
      <c r="AH416" s="2537">
        <f t="shared" si="438"/>
        <v>2.43802158965656E-2</v>
      </c>
      <c r="AI416" s="2537">
        <f t="shared" si="438"/>
        <v>2.2660015219413208E-2</v>
      </c>
      <c r="AJ416" s="2537">
        <f t="shared" si="438"/>
        <v>2.5755548957252364E-2</v>
      </c>
      <c r="AK416" s="2537">
        <f t="shared" si="438"/>
        <v>1.9809199401343069E-2</v>
      </c>
      <c r="AL416" s="2537">
        <f t="shared" si="438"/>
        <v>2.2794567401808349E-2</v>
      </c>
      <c r="AM416" s="2537">
        <f t="shared" si="438"/>
        <v>2.1311525360057541E-2</v>
      </c>
      <c r="AN416" s="2537">
        <f t="shared" si="438"/>
        <v>2.5033253030872071E-2</v>
      </c>
      <c r="AO416" s="2537">
        <f t="shared" si="438"/>
        <v>1.9042698670108691E-2</v>
      </c>
      <c r="AP416" s="2537">
        <f t="shared" si="438"/>
        <v>2.1971502179962767E-2</v>
      </c>
      <c r="AQ416" s="2534">
        <f t="shared" ref="AQ416:BC417" si="439">AQ183/AQ$323</f>
        <v>0.11061173533083646</v>
      </c>
      <c r="AR416" s="2261">
        <f t="shared" si="439"/>
        <v>6.3649795752817456E-2</v>
      </c>
      <c r="AS416" s="2261">
        <f t="shared" si="439"/>
        <v>4.38061861953375E-2</v>
      </c>
      <c r="AT416" s="2535">
        <f t="shared" si="439"/>
        <v>4.2058159676657395E-2</v>
      </c>
      <c r="AU416" s="2534">
        <f t="shared" si="439"/>
        <v>4.239542034545149E-2</v>
      </c>
      <c r="AV416" s="2261">
        <f t="shared" si="439"/>
        <v>3.5881040986144197E-2</v>
      </c>
      <c r="AW416" s="2261">
        <f t="shared" si="439"/>
        <v>2.8625542422862076E-2</v>
      </c>
      <c r="AX416" s="2534">
        <f t="shared" si="439"/>
        <v>2.6504336011718376E-2</v>
      </c>
      <c r="AY416" s="2261">
        <f t="shared" si="439"/>
        <v>2.4380482273288196E-2</v>
      </c>
      <c r="AZ416" s="2261">
        <f t="shared" si="439"/>
        <v>2.2528929955859176E-2</v>
      </c>
      <c r="BA416" s="2535">
        <f t="shared" si="439"/>
        <v>2.162225505230669E-2</v>
      </c>
      <c r="BB416" s="2534">
        <f t="shared" si="439"/>
        <v>2.062650887542869E-2</v>
      </c>
      <c r="BC416" s="2535">
        <f t="shared" si="439"/>
        <v>1.9329241816220481E-2</v>
      </c>
    </row>
    <row r="417" spans="1:55" s="1953" customFormat="1" ht="10.15" x14ac:dyDescent="0.3">
      <c r="A417" s="2042"/>
      <c r="B417" s="2475" t="s">
        <v>1116</v>
      </c>
      <c r="C417" s="2533">
        <f t="shared" si="437"/>
        <v>0.14338289415574856</v>
      </c>
      <c r="D417" s="2533">
        <f t="shared" si="437"/>
        <v>0.14067319297304545</v>
      </c>
      <c r="E417" s="2533">
        <f t="shared" si="437"/>
        <v>9.4367290606400409E-2</v>
      </c>
      <c r="F417" s="2533">
        <f t="shared" si="437"/>
        <v>0.12024440857735762</v>
      </c>
      <c r="G417" s="2533">
        <f t="shared" si="437"/>
        <v>0.10363703841157915</v>
      </c>
      <c r="H417" s="2533">
        <f t="shared" si="437"/>
        <v>0.1073972602739726</v>
      </c>
      <c r="I417" s="2533">
        <f t="shared" si="437"/>
        <v>6.7431315017337956E-2</v>
      </c>
      <c r="J417" s="2533">
        <f t="shared" si="437"/>
        <v>0.10755548167234644</v>
      </c>
      <c r="K417" s="2533">
        <f t="shared" si="437"/>
        <v>9.314564707374294E-2</v>
      </c>
      <c r="L417" s="2533">
        <f t="shared" si="437"/>
        <v>9.6084140471804622E-2</v>
      </c>
      <c r="M417" s="2533">
        <f t="shared" si="437"/>
        <v>6.7344054394743877E-2</v>
      </c>
      <c r="N417" s="2533">
        <f t="shared" si="437"/>
        <v>9.3945480631276904E-2</v>
      </c>
      <c r="O417" s="2533">
        <f t="shared" si="437"/>
        <v>8.6243516917757473E-2</v>
      </c>
      <c r="P417" s="2533">
        <f t="shared" si="437"/>
        <v>8.2810879076270799E-2</v>
      </c>
      <c r="Q417" s="2533">
        <f t="shared" si="437"/>
        <v>5.9693715079755669E-2</v>
      </c>
      <c r="R417" s="2533">
        <f t="shared" si="437"/>
        <v>8.2079060535891493E-2</v>
      </c>
      <c r="S417" s="2533">
        <f t="shared" ref="S417:AP417" si="440">S184/S$323</f>
        <v>7.9274740312247308E-2</v>
      </c>
      <c r="T417" s="2533">
        <f t="shared" si="440"/>
        <v>8.2934795287530616E-2</v>
      </c>
      <c r="U417" s="2533">
        <f t="shared" si="440"/>
        <v>7.5232872596153841E-2</v>
      </c>
      <c r="V417" s="2533">
        <f t="shared" si="440"/>
        <v>0.10207625910469427</v>
      </c>
      <c r="W417" s="2261">
        <f t="shared" si="440"/>
        <v>8.4628566873904035E-2</v>
      </c>
      <c r="X417" s="2261">
        <f t="shared" si="440"/>
        <v>8.2163201625485294E-2</v>
      </c>
      <c r="Y417" s="2261">
        <f t="shared" si="440"/>
        <v>7.7070385893915308E-2</v>
      </c>
      <c r="Z417" s="2261">
        <f t="shared" si="440"/>
        <v>9.1487437835044885E-2</v>
      </c>
      <c r="AA417" s="2261">
        <f t="shared" si="440"/>
        <v>7.6038062283737023E-2</v>
      </c>
      <c r="AB417" s="2261">
        <f t="shared" si="440"/>
        <v>7.6173251280124019E-2</v>
      </c>
      <c r="AC417" s="2261">
        <f t="shared" si="440"/>
        <v>6.8290728013779223E-2</v>
      </c>
      <c r="AD417" s="2261">
        <f t="shared" si="440"/>
        <v>7.5691458640826548E-2</v>
      </c>
      <c r="AE417" s="2261">
        <f t="shared" si="440"/>
        <v>6.7975357627649571E-2</v>
      </c>
      <c r="AF417" s="2261">
        <f t="shared" si="440"/>
        <v>7.092264130334322E-2</v>
      </c>
      <c r="AG417" s="2261">
        <f t="shared" si="440"/>
        <v>6.1025914180953322E-2</v>
      </c>
      <c r="AH417" s="2261">
        <f t="shared" si="440"/>
        <v>6.8329338488724037E-2</v>
      </c>
      <c r="AI417" s="2261">
        <f t="shared" si="440"/>
        <v>6.6445096292056638E-2</v>
      </c>
      <c r="AJ417" s="2261">
        <f t="shared" si="440"/>
        <v>6.5169255412806396E-2</v>
      </c>
      <c r="AK417" s="2261">
        <f t="shared" si="440"/>
        <v>6.6524632099641962E-2</v>
      </c>
      <c r="AL417" s="2261">
        <f t="shared" si="440"/>
        <v>6.8434591228459046E-2</v>
      </c>
      <c r="AM417" s="2261">
        <f t="shared" si="440"/>
        <v>6.6388980546048415E-2</v>
      </c>
      <c r="AN417" s="2261">
        <f t="shared" si="440"/>
        <v>6.4321089589019817E-2</v>
      </c>
      <c r="AO417" s="2261">
        <f t="shared" si="440"/>
        <v>6.8905120719027754E-2</v>
      </c>
      <c r="AP417" s="2261">
        <f t="shared" si="440"/>
        <v>6.9586885212278377E-2</v>
      </c>
      <c r="AQ417" s="2534">
        <f t="shared" si="439"/>
        <v>0.18801498127340824</v>
      </c>
      <c r="AR417" s="2261">
        <f t="shared" si="439"/>
        <v>0.12052032331894429</v>
      </c>
      <c r="AS417" s="2261">
        <f t="shared" si="439"/>
        <v>9.2392960536340094E-2</v>
      </c>
      <c r="AT417" s="2535">
        <f t="shared" si="439"/>
        <v>8.5113642328486699E-2</v>
      </c>
      <c r="AU417" s="2534">
        <f t="shared" si="439"/>
        <v>7.5427859565170105E-2</v>
      </c>
      <c r="AV417" s="2261">
        <f t="shared" si="439"/>
        <v>8.4265793913048975E-2</v>
      </c>
      <c r="AW417" s="2261">
        <f t="shared" si="439"/>
        <v>8.3275394979741554E-2</v>
      </c>
      <c r="AX417" s="2534">
        <f t="shared" si="439"/>
        <v>7.3571557461442935E-2</v>
      </c>
      <c r="AY417" s="2261">
        <f t="shared" si="439"/>
        <v>6.654162849143927E-2</v>
      </c>
      <c r="AZ417" s="2261">
        <f t="shared" si="439"/>
        <v>6.6640854821451823E-2</v>
      </c>
      <c r="BA417" s="2535">
        <f t="shared" si="439"/>
        <v>6.74245197123894E-2</v>
      </c>
      <c r="BB417" s="2534">
        <f t="shared" si="439"/>
        <v>6.8202199777026226E-2</v>
      </c>
      <c r="BC417" s="2535">
        <f t="shared" si="439"/>
        <v>6.8542932271797474E-2</v>
      </c>
    </row>
    <row r="418" spans="1:55" s="1953" customFormat="1" ht="10.15" x14ac:dyDescent="0.3">
      <c r="A418" s="2042"/>
      <c r="B418" s="2475" t="s">
        <v>1117</v>
      </c>
      <c r="C418" s="2533">
        <f t="shared" ref="C418:BC418" si="441">C251/C$323</f>
        <v>2.2817606359487708E-2</v>
      </c>
      <c r="D418" s="2533">
        <f t="shared" si="441"/>
        <v>2.1992758481963255E-2</v>
      </c>
      <c r="E418" s="2533">
        <f t="shared" si="441"/>
        <v>1.423272664538946E-2</v>
      </c>
      <c r="F418" s="2533">
        <f t="shared" si="441"/>
        <v>1.9137652755360848E-2</v>
      </c>
      <c r="G418" s="2533">
        <f t="shared" si="441"/>
        <v>1.6143997030989052E-2</v>
      </c>
      <c r="H418" s="2533">
        <f t="shared" si="441"/>
        <v>1.7351598173515982E-2</v>
      </c>
      <c r="I418" s="2533">
        <f t="shared" si="441"/>
        <v>1.0456121632435316E-2</v>
      </c>
      <c r="J418" s="2533">
        <f t="shared" si="441"/>
        <v>1.7704263984706176E-2</v>
      </c>
      <c r="K418" s="2533">
        <f t="shared" si="441"/>
        <v>1.4964174751125483E-2</v>
      </c>
      <c r="L418" s="2533">
        <f t="shared" si="441"/>
        <v>1.6935052587794878E-2</v>
      </c>
      <c r="M418" s="2533">
        <f t="shared" si="441"/>
        <v>1.3827877306237824E-2</v>
      </c>
      <c r="N418" s="2533">
        <f t="shared" si="441"/>
        <v>2.2266857962697274E-2</v>
      </c>
      <c r="O418" s="2533">
        <f t="shared" si="441"/>
        <v>2.3956532477154853E-2</v>
      </c>
      <c r="P418" s="2533">
        <f t="shared" si="441"/>
        <v>2.927247305038113E-2</v>
      </c>
      <c r="Q418" s="2533">
        <f t="shared" si="441"/>
        <v>2.3709579364849607E-2</v>
      </c>
      <c r="R418" s="2533">
        <f t="shared" si="441"/>
        <v>4.4078729738670198E-2</v>
      </c>
      <c r="S418" s="2533">
        <f t="shared" si="441"/>
        <v>3.8657709771723579E-2</v>
      </c>
      <c r="T418" s="2533">
        <f t="shared" si="441"/>
        <v>4.3537851393911114E-2</v>
      </c>
      <c r="U418" s="2533">
        <f t="shared" si="441"/>
        <v>3.3128004807692304E-2</v>
      </c>
      <c r="V418" s="2533">
        <f t="shared" si="441"/>
        <v>5.6066772078073562E-2</v>
      </c>
      <c r="W418" s="2261">
        <f t="shared" si="441"/>
        <v>4.8441734417344173E-2</v>
      </c>
      <c r="X418" s="2261">
        <f t="shared" si="441"/>
        <v>5.397119117593701E-2</v>
      </c>
      <c r="Y418" s="2261">
        <f t="shared" si="441"/>
        <v>4.3346822758587464E-2</v>
      </c>
      <c r="Z418" s="2261">
        <f t="shared" si="441"/>
        <v>7.0803461861396369E-2</v>
      </c>
      <c r="AA418" s="2261">
        <f t="shared" si="441"/>
        <v>5.8057340583292143E-2</v>
      </c>
      <c r="AB418" s="2261">
        <f t="shared" si="441"/>
        <v>6.6554704749377552E-2</v>
      </c>
      <c r="AC418" s="2261">
        <f t="shared" si="441"/>
        <v>5.637033373693276E-2</v>
      </c>
      <c r="AD418" s="2261">
        <f t="shared" si="441"/>
        <v>8.2632783588953776E-2</v>
      </c>
      <c r="AE418" s="2261">
        <f t="shared" si="441"/>
        <v>6.7757822560996828E-2</v>
      </c>
      <c r="AF418" s="2261">
        <f t="shared" si="441"/>
        <v>7.8064478183788866E-2</v>
      </c>
      <c r="AG418" s="2261">
        <f t="shared" si="441"/>
        <v>6.6401991873947075E-2</v>
      </c>
      <c r="AH418" s="2261">
        <f t="shared" si="441"/>
        <v>0.10687229910597128</v>
      </c>
      <c r="AI418" s="2261">
        <f t="shared" si="441"/>
        <v>8.0292160701393805E-2</v>
      </c>
      <c r="AJ418" s="2261">
        <f t="shared" si="441"/>
        <v>9.2367632498900995E-2</v>
      </c>
      <c r="AK418" s="2261">
        <f t="shared" si="441"/>
        <v>7.8300867434742003E-2</v>
      </c>
      <c r="AL418" s="2261">
        <f t="shared" si="441"/>
        <v>0.11729247244086116</v>
      </c>
      <c r="AM418" s="2261">
        <f t="shared" si="441"/>
        <v>9.2677962429496594E-2</v>
      </c>
      <c r="AN418" s="2261">
        <f t="shared" si="441"/>
        <v>0.10938474661663121</v>
      </c>
      <c r="AO418" s="2261">
        <f t="shared" si="441"/>
        <v>9.1118441145631363E-2</v>
      </c>
      <c r="AP418" s="2261">
        <f t="shared" si="441"/>
        <v>0.13493386497339663</v>
      </c>
      <c r="AQ418" s="2534">
        <f t="shared" si="441"/>
        <v>2.571785268414482E-2</v>
      </c>
      <c r="AR418" s="2261">
        <f t="shared" si="441"/>
        <v>1.8831300518585045E-2</v>
      </c>
      <c r="AS418" s="2261">
        <f t="shared" si="441"/>
        <v>1.4722687795215603E-2</v>
      </c>
      <c r="AT418" s="2535">
        <f t="shared" si="441"/>
        <v>1.6678914492677551E-2</v>
      </c>
      <c r="AU418" s="2534">
        <f t="shared" si="441"/>
        <v>2.9848827897135739E-2</v>
      </c>
      <c r="AV418" s="2261">
        <f t="shared" si="441"/>
        <v>4.2098146872808377E-2</v>
      </c>
      <c r="AW418" s="2261">
        <f t="shared" si="441"/>
        <v>5.3503072730614623E-2</v>
      </c>
      <c r="AX418" s="2534">
        <f t="shared" si="441"/>
        <v>6.5549670420651518E-2</v>
      </c>
      <c r="AY418" s="2261">
        <f t="shared" si="441"/>
        <v>7.8507232529806112E-2</v>
      </c>
      <c r="AZ418" s="2261">
        <f t="shared" si="441"/>
        <v>9.1138252804749367E-2</v>
      </c>
      <c r="BA418" s="2535">
        <f t="shared" si="441"/>
        <v>0.10579087212280169</v>
      </c>
      <c r="BB418" s="2534">
        <f t="shared" si="441"/>
        <v>0.12128393695327608</v>
      </c>
      <c r="BC418" s="2535">
        <f t="shared" si="441"/>
        <v>0.13686998964576486</v>
      </c>
    </row>
    <row r="419" spans="1:55" s="1953" customFormat="1" ht="10.15" x14ac:dyDescent="0.3">
      <c r="A419" s="2042"/>
      <c r="B419" s="2475" t="str">
        <f>B260</f>
        <v>Digital Media and Entertainment</v>
      </c>
      <c r="C419" s="2533"/>
      <c r="D419" s="2533"/>
      <c r="E419" s="2533"/>
      <c r="F419" s="2533"/>
      <c r="G419" s="2533"/>
      <c r="H419" s="2533"/>
      <c r="I419" s="2533"/>
      <c r="J419" s="2533"/>
      <c r="K419" s="2533"/>
      <c r="L419" s="2533"/>
      <c r="M419" s="2533"/>
      <c r="N419" s="2533"/>
      <c r="O419" s="2533"/>
      <c r="P419" s="2533"/>
      <c r="Q419" s="2533"/>
      <c r="R419" s="2533"/>
      <c r="S419" s="2533">
        <f t="shared" ref="S419:AP419" si="442">S260/S$323</f>
        <v>9.7499533495055052E-2</v>
      </c>
      <c r="T419" s="2533">
        <f t="shared" si="442"/>
        <v>0.10521404409191648</v>
      </c>
      <c r="U419" s="2533">
        <f t="shared" si="442"/>
        <v>7.6303335336538464E-2</v>
      </c>
      <c r="V419" s="2533">
        <f t="shared" si="442"/>
        <v>0.10179112988931802</v>
      </c>
      <c r="W419" s="2261">
        <f t="shared" si="442"/>
        <v>8.1320739677985018E-2</v>
      </c>
      <c r="X419" s="2261">
        <f t="shared" si="442"/>
        <v>8.7043285802401948E-2</v>
      </c>
      <c r="Y419" s="2261">
        <f t="shared" si="442"/>
        <v>6.5194874018403431E-2</v>
      </c>
      <c r="Z419" s="2261">
        <f t="shared" si="442"/>
        <v>8.512562164955112E-2</v>
      </c>
      <c r="AA419" s="2261">
        <f t="shared" si="442"/>
        <v>7.3838358872960946E-2</v>
      </c>
      <c r="AB419" s="2261">
        <f t="shared" si="442"/>
        <v>6.9760886926293036E-2</v>
      </c>
      <c r="AC419" s="2261">
        <f t="shared" si="442"/>
        <v>5.5347123927761387E-2</v>
      </c>
      <c r="AD419" s="2261">
        <f t="shared" si="442"/>
        <v>6.0653703822541656E-2</v>
      </c>
      <c r="AE419" s="2261">
        <f t="shared" si="442"/>
        <v>5.5915213532421425E-2</v>
      </c>
      <c r="AF419" s="2261">
        <f t="shared" si="442"/>
        <v>6.130216691733114E-2</v>
      </c>
      <c r="AG419" s="2261">
        <f t="shared" si="442"/>
        <v>4.5808145872559707E-2</v>
      </c>
      <c r="AH419" s="2261">
        <f t="shared" si="442"/>
        <v>5.1997130710149241E-2</v>
      </c>
      <c r="AI419" s="2261">
        <f t="shared" si="442"/>
        <v>4.5489135030016066E-2</v>
      </c>
      <c r="AJ419" s="2261">
        <f t="shared" si="442"/>
        <v>6.2295179314450951E-2</v>
      </c>
      <c r="AK419" s="2261">
        <f t="shared" si="442"/>
        <v>4.5860072628905152E-2</v>
      </c>
      <c r="AL419" s="2261">
        <f t="shared" si="442"/>
        <v>5.9110470075866797E-2</v>
      </c>
      <c r="AM419" s="2261">
        <f t="shared" si="442"/>
        <v>4.3412447149689448E-2</v>
      </c>
      <c r="AN419" s="2261">
        <f t="shared" si="442"/>
        <v>5.3686893950631642E-2</v>
      </c>
      <c r="AO419" s="2261">
        <f t="shared" si="442"/>
        <v>3.9766997824264433E-2</v>
      </c>
      <c r="AP419" s="2261">
        <f t="shared" si="442"/>
        <v>5.290810006820696E-2</v>
      </c>
      <c r="AQ419" s="2534"/>
      <c r="AR419" s="2261"/>
      <c r="AS419" s="2261"/>
      <c r="AT419" s="2535"/>
      <c r="AU419" s="2534"/>
      <c r="AV419" s="2261">
        <f t="shared" ref="AV419:BC419" si="443">AV260/AV$323</f>
        <v>9.3085996979901817E-2</v>
      </c>
      <c r="AW419" s="2261">
        <f t="shared" si="443"/>
        <v>7.8172824115141495E-2</v>
      </c>
      <c r="AX419" s="2534">
        <f t="shared" si="443"/>
        <v>6.3891159206462086E-2</v>
      </c>
      <c r="AY419" s="2261">
        <f t="shared" si="443"/>
        <v>5.3092831035626072E-2</v>
      </c>
      <c r="AZ419" s="2261">
        <f t="shared" si="443"/>
        <v>5.2678600359780683E-2</v>
      </c>
      <c r="BA419" s="2535">
        <f t="shared" si="443"/>
        <v>4.6845171661905265E-2</v>
      </c>
      <c r="BB419" s="2534">
        <f t="shared" si="443"/>
        <v>4.1521753930288625E-2</v>
      </c>
      <c r="BC419" s="2535">
        <f t="shared" si="443"/>
        <v>3.7142611849399446E-2</v>
      </c>
    </row>
    <row r="420" spans="1:55" s="1953" customFormat="1" ht="10.15" x14ac:dyDescent="0.3">
      <c r="A420" s="2042"/>
      <c r="B420" s="2475" t="str">
        <f>B306</f>
        <v>Innovation Initiatives and Others</v>
      </c>
      <c r="C420" s="2533"/>
      <c r="D420" s="2533"/>
      <c r="E420" s="2533"/>
      <c r="F420" s="2533"/>
      <c r="G420" s="2533"/>
      <c r="H420" s="2533"/>
      <c r="I420" s="2533"/>
      <c r="J420" s="2533"/>
      <c r="K420" s="2533"/>
      <c r="L420" s="2533"/>
      <c r="M420" s="2533"/>
      <c r="N420" s="2533"/>
      <c r="O420" s="2533"/>
      <c r="P420" s="2533"/>
      <c r="Q420" s="2533"/>
      <c r="R420" s="2533"/>
      <c r="S420" s="2533">
        <f t="shared" ref="S420:AP420" si="444">S306/S$323</f>
        <v>1.6638676369969522E-2</v>
      </c>
      <c r="T420" s="2533">
        <f t="shared" si="444"/>
        <v>2.0354601656362999E-2</v>
      </c>
      <c r="U420" s="2533">
        <f t="shared" si="444"/>
        <v>1.5869140625E-2</v>
      </c>
      <c r="V420" s="2533">
        <f t="shared" si="444"/>
        <v>2.3821249902796857E-2</v>
      </c>
      <c r="W420" s="2261">
        <f t="shared" si="444"/>
        <v>1.285270205643233E-2</v>
      </c>
      <c r="X420" s="2261">
        <f t="shared" si="444"/>
        <v>1.6091578680018866E-2</v>
      </c>
      <c r="Y420" s="2261">
        <f t="shared" si="444"/>
        <v>9.2980681215975337E-3</v>
      </c>
      <c r="Z420" s="2261">
        <f t="shared" si="444"/>
        <v>1.595298068849706E-2</v>
      </c>
      <c r="AA420" s="2261">
        <f t="shared" si="444"/>
        <v>1.3086999505684626E-2</v>
      </c>
      <c r="AB420" s="2261">
        <f t="shared" si="444"/>
        <v>1.2519378024146193E-2</v>
      </c>
      <c r="AC420" s="2261">
        <f t="shared" si="444"/>
        <v>1.1366155630211976E-2</v>
      </c>
      <c r="AD420" s="2261">
        <f t="shared" si="444"/>
        <v>1.2909367045284391E-2</v>
      </c>
      <c r="AE420" s="2261">
        <f t="shared" si="444"/>
        <v>1.015453691135011E-2</v>
      </c>
      <c r="AF420" s="2261">
        <f t="shared" si="444"/>
        <v>1.016661485334028E-2</v>
      </c>
      <c r="AG420" s="2261">
        <f t="shared" si="444"/>
        <v>1.1544941036567238E-2</v>
      </c>
      <c r="AH420" s="2261">
        <f t="shared" si="444"/>
        <v>2.0015046276046677E-2</v>
      </c>
      <c r="AI420" s="2261">
        <f t="shared" si="444"/>
        <v>7.1154008754414607E-3</v>
      </c>
      <c r="AJ420" s="2261">
        <f t="shared" si="444"/>
        <v>6.174050452223771E-3</v>
      </c>
      <c r="AK420" s="2261">
        <f t="shared" si="444"/>
        <v>6.24483102692046E-3</v>
      </c>
      <c r="AL420" s="2261">
        <f t="shared" si="444"/>
        <v>7.1974235068501423E-3</v>
      </c>
      <c r="AM420" s="2261">
        <f t="shared" si="444"/>
        <v>6.3080005212325175E-3</v>
      </c>
      <c r="AN420" s="2261">
        <f t="shared" si="444"/>
        <v>5.5582140167162097E-3</v>
      </c>
      <c r="AO420" s="2261">
        <f t="shared" si="444"/>
        <v>5.6559002869682028E-3</v>
      </c>
      <c r="AP420" s="2261">
        <f t="shared" si="444"/>
        <v>6.5906622972547102E-3</v>
      </c>
      <c r="AQ420" s="2534"/>
      <c r="AR420" s="2261"/>
      <c r="AS420" s="2261"/>
      <c r="AT420" s="2535"/>
      <c r="AU420" s="2534"/>
      <c r="AV420" s="2261">
        <f t="shared" ref="AV420:BC420" si="445">AV306/AV$323</f>
        <v>1.8935636526760724E-2</v>
      </c>
      <c r="AW420" s="2261">
        <f t="shared" si="445"/>
        <v>1.3154004139595471E-2</v>
      </c>
      <c r="AX420" s="2534">
        <f t="shared" si="445"/>
        <v>1.2379127702709875E-2</v>
      </c>
      <c r="AY420" s="2261">
        <f t="shared" si="445"/>
        <v>1.2809219341940825E-2</v>
      </c>
      <c r="AZ420" s="2261">
        <f t="shared" si="445"/>
        <v>6.6489509547079245E-3</v>
      </c>
      <c r="BA420" s="2535">
        <f t="shared" si="445"/>
        <v>6.0010160291275177E-3</v>
      </c>
      <c r="BB420" s="2534">
        <f t="shared" si="445"/>
        <v>5.2842994798411608E-3</v>
      </c>
      <c r="BC420" s="2535">
        <f t="shared" si="445"/>
        <v>4.7328400340068593E-3</v>
      </c>
    </row>
    <row r="421" spans="1:55" s="1953" customFormat="1" ht="10.15" x14ac:dyDescent="0.3">
      <c r="A421" s="2042"/>
      <c r="B421" s="2475" t="s">
        <v>516</v>
      </c>
      <c r="C421" s="2533">
        <f t="shared" ref="C421:R421" si="446">C313/C$323</f>
        <v>9.2742529074046811E-3</v>
      </c>
      <c r="D421" s="2533">
        <f t="shared" si="446"/>
        <v>1.2337401099637924E-2</v>
      </c>
      <c r="E421" s="2533">
        <f t="shared" si="446"/>
        <v>1.3973949797291468E-2</v>
      </c>
      <c r="F421" s="2533">
        <f t="shared" si="446"/>
        <v>2.5709015448466682E-2</v>
      </c>
      <c r="G421" s="2533">
        <f t="shared" si="446"/>
        <v>2.7277788086843571E-2</v>
      </c>
      <c r="H421" s="2533">
        <f t="shared" si="446"/>
        <v>3.3881278538812787E-2</v>
      </c>
      <c r="I421" s="2533">
        <f t="shared" si="446"/>
        <v>2.7954121098959724E-2</v>
      </c>
      <c r="J421" s="2533">
        <f t="shared" si="446"/>
        <v>4.646330313357161E-2</v>
      </c>
      <c r="K421" s="2533">
        <f t="shared" si="446"/>
        <v>4.5526599454695324E-2</v>
      </c>
      <c r="L421" s="2533">
        <f t="shared" si="446"/>
        <v>8.1288252421415408E-2</v>
      </c>
      <c r="M421" s="2533">
        <f t="shared" si="446"/>
        <v>7.33030291454983E-2</v>
      </c>
      <c r="N421" s="2533">
        <f t="shared" si="446"/>
        <v>8.6370157819225246E-2</v>
      </c>
      <c r="O421" s="2533">
        <f t="shared" si="446"/>
        <v>6.4460360582859963E-2</v>
      </c>
      <c r="P421" s="2533">
        <f t="shared" si="446"/>
        <v>6.1927743448649139E-2</v>
      </c>
      <c r="Q421" s="2533">
        <f t="shared" si="446"/>
        <v>5.1703673682077414E-2</v>
      </c>
      <c r="R421" s="2533">
        <f t="shared" si="446"/>
        <v>7.0707906053589148E-2</v>
      </c>
      <c r="S421" s="2533" t="s">
        <v>1027</v>
      </c>
      <c r="T421" s="2533" t="s">
        <v>1027</v>
      </c>
      <c r="U421" s="2533" t="s">
        <v>1027</v>
      </c>
      <c r="V421" s="2533" t="s">
        <v>1027</v>
      </c>
      <c r="W421" s="2261" t="s">
        <v>1027</v>
      </c>
      <c r="X421" s="2261" t="s">
        <v>1027</v>
      </c>
      <c r="Y421" s="2261" t="s">
        <v>1027</v>
      </c>
      <c r="Z421" s="2261" t="s">
        <v>1027</v>
      </c>
      <c r="AA421" s="2261" t="s">
        <v>1027</v>
      </c>
      <c r="AB421" s="2261" t="s">
        <v>1027</v>
      </c>
      <c r="AC421" s="2261" t="s">
        <v>1027</v>
      </c>
      <c r="AD421" s="2261" t="s">
        <v>1027</v>
      </c>
      <c r="AE421" s="2261" t="s">
        <v>1027</v>
      </c>
      <c r="AF421" s="2261" t="s">
        <v>1027</v>
      </c>
      <c r="AG421" s="2261" t="s">
        <v>1027</v>
      </c>
      <c r="AH421" s="2261" t="s">
        <v>1027</v>
      </c>
      <c r="AI421" s="2261" t="s">
        <v>1027</v>
      </c>
      <c r="AJ421" s="2261" t="s">
        <v>1027</v>
      </c>
      <c r="AK421" s="2261" t="s">
        <v>1027</v>
      </c>
      <c r="AL421" s="2261" t="s">
        <v>1027</v>
      </c>
      <c r="AM421" s="2261" t="s">
        <v>1027</v>
      </c>
      <c r="AN421" s="2261" t="s">
        <v>1027</v>
      </c>
      <c r="AO421" s="2261" t="s">
        <v>1027</v>
      </c>
      <c r="AP421" s="2261" t="s">
        <v>1027</v>
      </c>
      <c r="AQ421" s="2534">
        <f>AQ313/AQ$323</f>
        <v>5.3932584269662919E-3</v>
      </c>
      <c r="AR421" s="2261">
        <f>AR313/AR$323</f>
        <v>1.5644465046209113E-2</v>
      </c>
      <c r="AS421" s="2261">
        <f>AS313/AS$323</f>
        <v>3.32927015084565E-2</v>
      </c>
      <c r="AT421" s="2535">
        <f>AT313/AT$323</f>
        <v>7.2305915699963252E-2</v>
      </c>
      <c r="AU421" s="2534">
        <f>AU313/AU$323</f>
        <v>6.1042286663436918E-2</v>
      </c>
      <c r="AV421" s="2261" t="s">
        <v>1027</v>
      </c>
      <c r="AW421" s="2261" t="s">
        <v>1027</v>
      </c>
      <c r="AX421" s="2534" t="s">
        <v>1027</v>
      </c>
      <c r="AY421" s="2261" t="s">
        <v>1027</v>
      </c>
      <c r="AZ421" s="2261" t="s">
        <v>1027</v>
      </c>
      <c r="BA421" s="2535" t="s">
        <v>1027</v>
      </c>
      <c r="BB421" s="2534" t="s">
        <v>1027</v>
      </c>
      <c r="BC421" s="2535" t="s">
        <v>1027</v>
      </c>
    </row>
    <row r="422" spans="1:55" s="1953" customFormat="1" ht="10.15" x14ac:dyDescent="0.3">
      <c r="A422" s="2042"/>
      <c r="B422" s="2532" t="s">
        <v>1118</v>
      </c>
      <c r="C422" s="2054"/>
      <c r="D422" s="2054"/>
      <c r="E422" s="2054"/>
      <c r="F422" s="2054"/>
      <c r="G422" s="2054"/>
      <c r="H422" s="2054"/>
      <c r="I422" s="2054"/>
      <c r="J422" s="2054"/>
      <c r="K422" s="2054"/>
      <c r="L422" s="2054"/>
      <c r="M422" s="2054"/>
      <c r="N422" s="2054"/>
      <c r="O422" s="2054"/>
      <c r="P422" s="2054"/>
      <c r="Q422" s="2054"/>
      <c r="R422" s="2054"/>
      <c r="S422" s="2054"/>
      <c r="T422" s="2054"/>
      <c r="U422" s="2054"/>
      <c r="V422" s="2054"/>
      <c r="W422" s="2012"/>
      <c r="X422" s="2012"/>
      <c r="Y422" s="2012"/>
      <c r="Z422" s="2012"/>
      <c r="AA422" s="2012"/>
      <c r="AB422" s="2012"/>
      <c r="AC422" s="2012"/>
      <c r="AD422" s="2012"/>
      <c r="AE422" s="2012"/>
      <c r="AF422" s="2012"/>
      <c r="AG422" s="2012"/>
      <c r="AH422" s="2012"/>
      <c r="AI422" s="2012"/>
      <c r="AJ422" s="2012"/>
      <c r="AK422" s="2012"/>
      <c r="AL422" s="2012"/>
      <c r="AM422" s="2012"/>
      <c r="AN422" s="2012"/>
      <c r="AO422" s="2012"/>
      <c r="AP422" s="2012"/>
      <c r="AQ422" s="2013"/>
      <c r="AR422" s="2012"/>
      <c r="AS422" s="2012"/>
      <c r="AT422" s="2014"/>
      <c r="AU422" s="2013"/>
      <c r="AV422" s="2012"/>
      <c r="AW422" s="2012"/>
      <c r="AX422" s="2013"/>
      <c r="AY422" s="2012"/>
      <c r="AZ422" s="2012"/>
      <c r="BA422" s="2014"/>
      <c r="BB422" s="2013"/>
      <c r="BC422" s="2014"/>
    </row>
    <row r="423" spans="1:55" s="1953" customFormat="1" ht="10.15" x14ac:dyDescent="0.3">
      <c r="A423" s="2042"/>
      <c r="B423" s="2475" t="s">
        <v>1039</v>
      </c>
      <c r="C423" s="2533">
        <f t="shared" ref="C423:BC423" si="447">C336/C$323</f>
        <v>-0.31767996466951276</v>
      </c>
      <c r="D423" s="2533">
        <f t="shared" si="447"/>
        <v>-0.31822448705913908</v>
      </c>
      <c r="E423" s="2533">
        <f t="shared" si="447"/>
        <v>-0.25109980160441647</v>
      </c>
      <c r="F423" s="2533">
        <f t="shared" si="447"/>
        <v>-0.26250864652985934</v>
      </c>
      <c r="G423" s="2533">
        <f t="shared" si="447"/>
        <v>-0.25301540174429393</v>
      </c>
      <c r="H423" s="2533">
        <f t="shared" si="447"/>
        <v>-0.27406392694063925</v>
      </c>
      <c r="I423" s="2533">
        <f t="shared" si="447"/>
        <v>-0.22251267004534542</v>
      </c>
      <c r="J423" s="2533">
        <f t="shared" si="447"/>
        <v>-0.28842157759122267</v>
      </c>
      <c r="K423" s="2533">
        <f t="shared" si="447"/>
        <v>-0.29072347980470487</v>
      </c>
      <c r="L423" s="2533">
        <f t="shared" si="447"/>
        <v>-0.3325212430922812</v>
      </c>
      <c r="M423" s="2537">
        <f t="shared" si="447"/>
        <v>-0.28725314183123879</v>
      </c>
      <c r="N423" s="2533">
        <f t="shared" si="447"/>
        <v>-0.3519655667144907</v>
      </c>
      <c r="O423" s="2533">
        <f t="shared" si="447"/>
        <v>-0.33148925660656953</v>
      </c>
      <c r="P423" s="2533">
        <f t="shared" si="447"/>
        <v>-0.32163637183708449</v>
      </c>
      <c r="Q423" s="2533">
        <f t="shared" si="447"/>
        <v>-0.31702515705063256</v>
      </c>
      <c r="R423" s="2533">
        <f t="shared" si="447"/>
        <v>-0.39538537876281837</v>
      </c>
      <c r="S423" s="2533">
        <f t="shared" si="447"/>
        <v>-0.36524227156807865</v>
      </c>
      <c r="T423" s="2533">
        <f t="shared" si="447"/>
        <v>-0.38268400793187918</v>
      </c>
      <c r="U423" s="2533">
        <f t="shared" si="447"/>
        <v>-0.35918719951923078</v>
      </c>
      <c r="V423" s="2533">
        <f t="shared" si="447"/>
        <v>-0.40151377692527024</v>
      </c>
      <c r="W423" s="2261">
        <f t="shared" si="447"/>
        <v>-0.34791965566714489</v>
      </c>
      <c r="X423" s="2261">
        <f t="shared" si="447"/>
        <v>-0.3991509742026777</v>
      </c>
      <c r="Y423" s="2261">
        <f t="shared" si="447"/>
        <v>-0.42248398130751069</v>
      </c>
      <c r="Z423" s="2261">
        <f t="shared" si="447"/>
        <v>-0.52483368856164825</v>
      </c>
      <c r="AA423" s="2261">
        <f t="shared" si="447"/>
        <v>-0.54028670291646075</v>
      </c>
      <c r="AB423" s="2261">
        <f t="shared" si="447"/>
        <v>-0.54946681072955328</v>
      </c>
      <c r="AC423" s="2261">
        <f t="shared" si="447"/>
        <v>-0.51853715104282128</v>
      </c>
      <c r="AD423" s="2261">
        <f t="shared" si="447"/>
        <v>-0.5947720806862179</v>
      </c>
      <c r="AE423" s="2261">
        <f t="shared" si="447"/>
        <v>-0.52197104173192721</v>
      </c>
      <c r="AF423" s="2261">
        <f t="shared" si="447"/>
        <v>-0.55072804725375368</v>
      </c>
      <c r="AG423" s="2261">
        <f t="shared" si="447"/>
        <v>-0.5223218709741354</v>
      </c>
      <c r="AH423" s="2261">
        <f t="shared" si="447"/>
        <v>-0.63423552670714001</v>
      </c>
      <c r="AI423" s="2261">
        <f t="shared" si="447"/>
        <v>-0.5497395138893405</v>
      </c>
      <c r="AJ423" s="2261">
        <f t="shared" si="447"/>
        <v>-0.53663628589217272</v>
      </c>
      <c r="AK423" s="2261">
        <f t="shared" si="447"/>
        <v>-0.51269397257566607</v>
      </c>
      <c r="AL423" s="2261">
        <f t="shared" si="447"/>
        <v>-0.573878446299522</v>
      </c>
      <c r="AM423" s="2261">
        <f t="shared" si="447"/>
        <v>-0.51168320411800439</v>
      </c>
      <c r="AN423" s="2261">
        <f t="shared" si="447"/>
        <v>-0.51992696556363904</v>
      </c>
      <c r="AO423" s="2261">
        <f t="shared" si="447"/>
        <v>-0.51320042936499155</v>
      </c>
      <c r="AP423" s="2261">
        <f t="shared" si="447"/>
        <v>-0.5643175060707627</v>
      </c>
      <c r="AQ423" s="2534">
        <f t="shared" si="447"/>
        <v>-0.32729088639200998</v>
      </c>
      <c r="AR423" s="2261">
        <f t="shared" si="447"/>
        <v>-0.281571399600197</v>
      </c>
      <c r="AS423" s="2261">
        <f t="shared" si="447"/>
        <v>-0.25462821880237696</v>
      </c>
      <c r="AT423" s="2535">
        <f t="shared" si="447"/>
        <v>-0.31276573408220043</v>
      </c>
      <c r="AU423" s="2534">
        <f t="shared" si="447"/>
        <v>-0.33966759933954893</v>
      </c>
      <c r="AV423" s="2261">
        <f t="shared" si="447"/>
        <v>-0.37582531448825762</v>
      </c>
      <c r="AW423" s="2261">
        <f t="shared" si="447"/>
        <v>-0.42772090495712561</v>
      </c>
      <c r="AX423" s="2534">
        <f t="shared" si="447"/>
        <v>-0.54911050726560595</v>
      </c>
      <c r="AY423" s="2261">
        <f t="shared" si="447"/>
        <v>-0.55397470331226906</v>
      </c>
      <c r="AZ423" s="2261">
        <f t="shared" si="447"/>
        <v>-0.54095747317574439</v>
      </c>
      <c r="BA423" s="2535">
        <f t="shared" si="447"/>
        <v>-0.50989477053988064</v>
      </c>
      <c r="BB423" s="2534">
        <f t="shared" si="447"/>
        <v>-0.49530774510214293</v>
      </c>
      <c r="BC423" s="2535">
        <f t="shared" si="447"/>
        <v>-0.48315756691783057</v>
      </c>
    </row>
    <row r="424" spans="1:55" s="1953" customFormat="1" ht="10.15" x14ac:dyDescent="0.3">
      <c r="A424" s="2042"/>
      <c r="B424" s="2475" t="s">
        <v>1041</v>
      </c>
      <c r="C424" s="2533">
        <f t="shared" ref="C424:BC426" si="448">C338/C$323</f>
        <v>-0.1248343883409392</v>
      </c>
      <c r="D424" s="2533">
        <f t="shared" si="448"/>
        <v>-0.11908274104867909</v>
      </c>
      <c r="E424" s="2533">
        <f t="shared" si="448"/>
        <v>-0.10031915811265418</v>
      </c>
      <c r="F424" s="2533">
        <f t="shared" si="448"/>
        <v>-9.8455153331796177E-2</v>
      </c>
      <c r="G424" s="2533">
        <f t="shared" si="448"/>
        <v>-9.4451660790499159E-2</v>
      </c>
      <c r="H424" s="2533">
        <f t="shared" si="448"/>
        <v>-0.10666666666666667</v>
      </c>
      <c r="I424" s="2533">
        <f t="shared" si="448"/>
        <v>-9.1064283809015739E-2</v>
      </c>
      <c r="J424" s="2533">
        <f t="shared" si="448"/>
        <v>-9.9742332308203813E-2</v>
      </c>
      <c r="K424" s="2533">
        <f t="shared" si="448"/>
        <v>-0.12377147929744468</v>
      </c>
      <c r="L424" s="2533">
        <f t="shared" si="448"/>
        <v>-0.15336621308455642</v>
      </c>
      <c r="M424" s="2537">
        <f t="shared" si="448"/>
        <v>-0.11776614843958898</v>
      </c>
      <c r="N424" s="2537">
        <f t="shared" si="448"/>
        <v>-0.17457675753228122</v>
      </c>
      <c r="O424" s="2533">
        <f t="shared" si="448"/>
        <v>-0.16008891084218327</v>
      </c>
      <c r="P424" s="2533">
        <f t="shared" si="448"/>
        <v>-0.14546028595913582</v>
      </c>
      <c r="Q424" s="2533">
        <f t="shared" si="448"/>
        <v>-0.10853139565179631</v>
      </c>
      <c r="R424" s="2533">
        <f t="shared" si="448"/>
        <v>-0.14774230896460469</v>
      </c>
      <c r="S424" s="2533">
        <f t="shared" si="448"/>
        <v>-0.12402811469801579</v>
      </c>
      <c r="T424" s="2533">
        <f t="shared" si="448"/>
        <v>-0.12055289863525021</v>
      </c>
      <c r="U424" s="2533">
        <f t="shared" si="448"/>
        <v>-8.30078125E-2</v>
      </c>
      <c r="V424" s="2533">
        <f t="shared" si="448"/>
        <v>-0.11711034500635061</v>
      </c>
      <c r="W424" s="2261">
        <f t="shared" si="448"/>
        <v>-9.357564163876933E-2</v>
      </c>
      <c r="X424" s="2261">
        <f t="shared" si="448"/>
        <v>-9.2213635209172376E-2</v>
      </c>
      <c r="Y424" s="2261">
        <f t="shared" si="448"/>
        <v>-7.5745531627884569E-2</v>
      </c>
      <c r="Z424" s="2261">
        <f t="shared" si="448"/>
        <v>-0.10795711425434347</v>
      </c>
      <c r="AA424" s="2261">
        <f t="shared" si="448"/>
        <v>-0.14223924864063273</v>
      </c>
      <c r="AB424" s="2261">
        <f t="shared" si="448"/>
        <v>-9.8240710292666886E-2</v>
      </c>
      <c r="AC424" s="2261">
        <f t="shared" si="448"/>
        <v>-7.5896587595286419E-2</v>
      </c>
      <c r="AD424" s="2261">
        <f t="shared" si="448"/>
        <v>-9.261160666538322E-2</v>
      </c>
      <c r="AE424" s="2261">
        <f t="shared" si="448"/>
        <v>-9.1173297135498238E-2</v>
      </c>
      <c r="AF424" s="2261">
        <f t="shared" si="448"/>
        <v>-9.1902837409781793E-2</v>
      </c>
      <c r="AG424" s="2261">
        <f t="shared" si="448"/>
        <v>-6.8606926964621937E-2</v>
      </c>
      <c r="AH424" s="2261">
        <f t="shared" si="448"/>
        <v>-9.261332820127019E-2</v>
      </c>
      <c r="AI424" s="2261">
        <f t="shared" si="448"/>
        <v>-7.207757998321962E-2</v>
      </c>
      <c r="AJ424" s="2261">
        <f t="shared" si="448"/>
        <v>-8.6087080345520942E-2</v>
      </c>
      <c r="AK424" s="2261">
        <f t="shared" si="448"/>
        <v>-6.5185376513191826E-2</v>
      </c>
      <c r="AL424" s="2261">
        <f t="shared" si="448"/>
        <v>-8.2590814971889651E-2</v>
      </c>
      <c r="AM424" s="2261">
        <f t="shared" si="448"/>
        <v>-8.0429246156273143E-2</v>
      </c>
      <c r="AN424" s="2261">
        <f t="shared" si="448"/>
        <v>-8.0705081221818589E-2</v>
      </c>
      <c r="AO424" s="2261">
        <f t="shared" si="448"/>
        <v>-7.0811439044671673E-2</v>
      </c>
      <c r="AP424" s="2261">
        <f t="shared" si="448"/>
        <v>-7.9071036986316304E-2</v>
      </c>
      <c r="AQ424" s="2534">
        <f t="shared" si="448"/>
        <v>-0.14466916354556805</v>
      </c>
      <c r="AR424" s="2261">
        <f t="shared" si="448"/>
        <v>-0.10872903207115335</v>
      </c>
      <c r="AS424" s="2261">
        <f t="shared" si="448"/>
        <v>-9.700213317080604E-2</v>
      </c>
      <c r="AT424" s="2535">
        <f t="shared" si="448"/>
        <v>-0.13986142459713402</v>
      </c>
      <c r="AU424" s="2534">
        <f t="shared" si="448"/>
        <v>-0.13632184135333142</v>
      </c>
      <c r="AV424" s="2261">
        <f t="shared" si="448"/>
        <v>-0.10778844149033631</v>
      </c>
      <c r="AW424" s="2261">
        <f t="shared" si="448"/>
        <v>-9.0919261905332727E-2</v>
      </c>
      <c r="AX424" s="2534">
        <f t="shared" si="448"/>
        <v>-9.9338187685089854E-2</v>
      </c>
      <c r="AY424" s="2261">
        <f t="shared" si="448"/>
        <v>-8.4518482041784457E-2</v>
      </c>
      <c r="AZ424" s="2261">
        <f t="shared" si="448"/>
        <v>-7.5655665151895063E-2</v>
      </c>
      <c r="BA424" s="2535">
        <f t="shared" si="448"/>
        <v>-7.5711647746830757E-2</v>
      </c>
      <c r="BB424" s="2534">
        <f t="shared" si="448"/>
        <v>-7.1294296643490254E-2</v>
      </c>
      <c r="BC424" s="2535">
        <f t="shared" si="448"/>
        <v>-6.9545407359384706E-2</v>
      </c>
    </row>
    <row r="425" spans="1:55" s="1953" customFormat="1" ht="10.15" x14ac:dyDescent="0.3">
      <c r="A425" s="2042"/>
      <c r="B425" s="2475" t="s">
        <v>1042</v>
      </c>
      <c r="C425" s="2533">
        <f t="shared" si="448"/>
        <v>-0.12792580597674078</v>
      </c>
      <c r="D425" s="2533">
        <f t="shared" si="448"/>
        <v>-0.13061552903312323</v>
      </c>
      <c r="E425" s="2533">
        <f t="shared" si="448"/>
        <v>-0.1077374277581299</v>
      </c>
      <c r="F425" s="2533">
        <f t="shared" si="448"/>
        <v>-6.0064560756283143E-2</v>
      </c>
      <c r="G425" s="2533">
        <f t="shared" si="448"/>
        <v>-6.6153275190202268E-2</v>
      </c>
      <c r="H425" s="2533">
        <f t="shared" si="448"/>
        <v>-0.06</v>
      </c>
      <c r="I425" s="2533">
        <f t="shared" si="448"/>
        <v>-0.10120032008535609</v>
      </c>
      <c r="J425" s="2533">
        <f t="shared" si="448"/>
        <v>-0.10622558390823705</v>
      </c>
      <c r="K425" s="2533">
        <f t="shared" si="448"/>
        <v>-7.6849914399847827E-2</v>
      </c>
      <c r="L425" s="2533">
        <f t="shared" si="448"/>
        <v>-0.10392774377562541</v>
      </c>
      <c r="M425" s="2537">
        <f t="shared" si="448"/>
        <v>-0.11539783796172505</v>
      </c>
      <c r="N425" s="2537">
        <f t="shared" si="448"/>
        <v>-0.14525107604017218</v>
      </c>
      <c r="O425" s="2533">
        <f t="shared" si="448"/>
        <v>-0.11069399851815263</v>
      </c>
      <c r="P425" s="2533">
        <f t="shared" si="448"/>
        <v>-0.11564656533309278</v>
      </c>
      <c r="Q425" s="2533">
        <f t="shared" si="448"/>
        <v>-0.10540485771357438</v>
      </c>
      <c r="R425" s="2533">
        <f t="shared" si="448"/>
        <v>-0.11830135626860734</v>
      </c>
      <c r="S425" s="2533">
        <f t="shared" si="448"/>
        <v>-0.11239659140386889</v>
      </c>
      <c r="T425" s="2533">
        <f t="shared" si="448"/>
        <v>-0.11308760060655547</v>
      </c>
      <c r="U425" s="2533">
        <f t="shared" si="448"/>
        <v>-8.4322415865384609E-2</v>
      </c>
      <c r="V425" s="2533">
        <f t="shared" si="448"/>
        <v>-0.11228906918271599</v>
      </c>
      <c r="W425" s="2261">
        <f t="shared" si="448"/>
        <v>-9.6644348796429136E-2</v>
      </c>
      <c r="X425" s="2261">
        <f t="shared" si="448"/>
        <v>-0.11367512064148616</v>
      </c>
      <c r="Y425" s="2261">
        <f t="shared" si="448"/>
        <v>-0.10288095582213229</v>
      </c>
      <c r="Z425" s="2261">
        <f t="shared" si="448"/>
        <v>-0.12337725247045146</v>
      </c>
      <c r="AA425" s="2261">
        <f t="shared" si="448"/>
        <v>-0.11024468610973802</v>
      </c>
      <c r="AB425" s="2261">
        <f t="shared" si="448"/>
        <v>-0.10694320477286606</v>
      </c>
      <c r="AC425" s="2261">
        <f t="shared" si="448"/>
        <v>-0.10320776275175225</v>
      </c>
      <c r="AD425" s="2261">
        <f t="shared" si="448"/>
        <v>-0.10320006845066204</v>
      </c>
      <c r="AE425" s="2261">
        <f t="shared" si="448"/>
        <v>-9.3087605722042388E-2</v>
      </c>
      <c r="AF425" s="2261">
        <f t="shared" si="448"/>
        <v>-0.10079232378567768</v>
      </c>
      <c r="AG425" s="2261">
        <f t="shared" si="448"/>
        <v>-9.7859478743434744E-2</v>
      </c>
      <c r="AH425" s="2261">
        <f t="shared" si="448"/>
        <v>-0.1065398813793586</v>
      </c>
      <c r="AI425" s="2261">
        <f t="shared" si="448"/>
        <v>-8.8792918420042791E-2</v>
      </c>
      <c r="AJ425" s="2261">
        <f t="shared" si="448"/>
        <v>-9.4937154025901596E-2</v>
      </c>
      <c r="AK425" s="2261">
        <f t="shared" si="448"/>
        <v>-9.2284915063619882E-2</v>
      </c>
      <c r="AL425" s="2261">
        <f t="shared" si="448"/>
        <v>-8.9402428577818702E-2</v>
      </c>
      <c r="AM425" s="2261">
        <f t="shared" si="448"/>
        <v>-8.5791195900024667E-2</v>
      </c>
      <c r="AN425" s="2261">
        <f t="shared" si="448"/>
        <v>-8.9241195581818644E-2</v>
      </c>
      <c r="AO425" s="2261">
        <f t="shared" si="448"/>
        <v>-9.05218396034978E-2</v>
      </c>
      <c r="AP425" s="2261">
        <f t="shared" si="448"/>
        <v>-8.4897323922150131E-2</v>
      </c>
      <c r="AQ425" s="2534">
        <f t="shared" si="448"/>
        <v>-0.15270911360799</v>
      </c>
      <c r="AR425" s="2261">
        <f t="shared" si="448"/>
        <v>-0.10467305965176579</v>
      </c>
      <c r="AS425" s="2261">
        <f t="shared" si="448"/>
        <v>-8.6564833155569093E-2</v>
      </c>
      <c r="AT425" s="2535">
        <f t="shared" si="448"/>
        <v>-0.11171329588997952</v>
      </c>
      <c r="AU425" s="2534">
        <f t="shared" si="448"/>
        <v>-0.1117922149827472</v>
      </c>
      <c r="AV425" s="2261">
        <f t="shared" si="448"/>
        <v>-0.10307506649902384</v>
      </c>
      <c r="AW425" s="2261">
        <f t="shared" si="448"/>
        <v>-0.10907993894496255</v>
      </c>
      <c r="AX425" s="2534">
        <f t="shared" si="448"/>
        <v>-0.10556092176072858</v>
      </c>
      <c r="AY425" s="2261">
        <f t="shared" si="448"/>
        <v>-9.9415158786057195E-2</v>
      </c>
      <c r="AZ425" s="2261">
        <f t="shared" si="448"/>
        <v>-9.1431133230790343E-2</v>
      </c>
      <c r="BA425" s="2535">
        <f t="shared" si="448"/>
        <v>-8.4982461756646768E-2</v>
      </c>
      <c r="BB425" s="2534">
        <f t="shared" si="448"/>
        <v>-8.2551290850357145E-2</v>
      </c>
      <c r="BC425" s="2535">
        <f t="shared" si="448"/>
        <v>-8.0526261152971762E-2</v>
      </c>
    </row>
    <row r="426" spans="1:55" s="1953" customFormat="1" ht="10.15" x14ac:dyDescent="0.3">
      <c r="A426" s="2042"/>
      <c r="B426" s="2475" t="s">
        <v>1043</v>
      </c>
      <c r="C426" s="2533">
        <f t="shared" si="448"/>
        <v>-7.9051965258354187E-2</v>
      </c>
      <c r="D426" s="2533">
        <f t="shared" si="448"/>
        <v>-0.10781815743596621</v>
      </c>
      <c r="E426" s="2533">
        <f t="shared" si="448"/>
        <v>-8.6517726214094717E-2</v>
      </c>
      <c r="F426" s="2533">
        <f t="shared" si="448"/>
        <v>-6.2831450311275072E-2</v>
      </c>
      <c r="G426" s="2533">
        <f t="shared" si="448"/>
        <v>-8.0256077194284653E-2</v>
      </c>
      <c r="H426" s="2533">
        <f t="shared" si="448"/>
        <v>-7.2420091324200908E-2</v>
      </c>
      <c r="I426" s="2533">
        <f t="shared" si="448"/>
        <v>-0.1091491064283809</v>
      </c>
      <c r="J426" s="2533">
        <f t="shared" si="448"/>
        <v>-4.2722965672013967E-2</v>
      </c>
      <c r="K426" s="2533">
        <f t="shared" si="448"/>
        <v>-5.9856699004501933E-2</v>
      </c>
      <c r="L426" s="2533">
        <f t="shared" si="448"/>
        <v>-0.11646562481430864</v>
      </c>
      <c r="M426" s="2537">
        <f t="shared" si="448"/>
        <v>-9.2402307192788108E-2</v>
      </c>
      <c r="N426" s="2537">
        <f t="shared" si="448"/>
        <v>-0.14215208034433285</v>
      </c>
      <c r="O426" s="2533">
        <f t="shared" si="448"/>
        <v>-0.11084218325512472</v>
      </c>
      <c r="P426" s="2533">
        <f t="shared" si="448"/>
        <v>-9.5981236750710394E-2</v>
      </c>
      <c r="Q426" s="2533">
        <f t="shared" si="448"/>
        <v>-7.2373563384766817E-2</v>
      </c>
      <c r="R426" s="2533">
        <f t="shared" si="448"/>
        <v>-9.646873966258683E-2</v>
      </c>
      <c r="S426" s="2533">
        <f t="shared" si="448"/>
        <v>-8.5308204266965226E-2</v>
      </c>
      <c r="T426" s="2533">
        <f t="shared" si="448"/>
        <v>-8.2089116995217537E-2</v>
      </c>
      <c r="U426" s="2533">
        <f t="shared" si="448"/>
        <v>-6.1730018028846152E-2</v>
      </c>
      <c r="V426" s="2533">
        <f t="shared" si="448"/>
        <v>-8.7975323362451077E-2</v>
      </c>
      <c r="W426" s="2261">
        <f t="shared" si="448"/>
        <v>-7.3310218396301613E-2</v>
      </c>
      <c r="X426" s="2261">
        <f t="shared" si="448"/>
        <v>-6.2388882841696601E-2</v>
      </c>
      <c r="Y426" s="2261">
        <f t="shared" si="448"/>
        <v>-5.5065760948113891E-2</v>
      </c>
      <c r="Z426" s="2261">
        <f t="shared" si="448"/>
        <v>-7.3483820964929281E-2</v>
      </c>
      <c r="AA426" s="2261">
        <f t="shared" si="448"/>
        <v>-8.2118141374196735E-2</v>
      </c>
      <c r="AB426" s="2261">
        <f t="shared" si="448"/>
        <v>-5.6125804481608491E-2</v>
      </c>
      <c r="AC426" s="2261">
        <f t="shared" si="448"/>
        <v>-4.9907058442333598E-2</v>
      </c>
      <c r="AD426" s="2261">
        <f t="shared" si="448"/>
        <v>-8.1413506171255007E-2</v>
      </c>
      <c r="AE426" s="2261">
        <f t="shared" si="448"/>
        <v>-5.4992864849813791E-2</v>
      </c>
      <c r="AF426" s="2261">
        <f t="shared" si="448"/>
        <v>-5.5378643387079159E-2</v>
      </c>
      <c r="AG426" s="2261">
        <f t="shared" si="448"/>
        <v>-4.5925824992567636E-2</v>
      </c>
      <c r="AH426" s="2261">
        <f t="shared" si="448"/>
        <v>-6.8854208583375612E-2</v>
      </c>
      <c r="AI426" s="2261">
        <f t="shared" si="448"/>
        <v>-4.4468003460140099E-2</v>
      </c>
      <c r="AJ426" s="2261">
        <f t="shared" si="448"/>
        <v>-6.8031502904562599E-2</v>
      </c>
      <c r="AK426" s="2261">
        <f t="shared" si="448"/>
        <v>-4.6814124335395148E-2</v>
      </c>
      <c r="AL426" s="2261">
        <f t="shared" si="448"/>
        <v>-8.0751455727958374E-2</v>
      </c>
      <c r="AM426" s="2261">
        <f t="shared" si="448"/>
        <v>-7.3078289190512902E-2</v>
      </c>
      <c r="AN426" s="2261">
        <f t="shared" si="448"/>
        <v>-7.0901721371625329E-2</v>
      </c>
      <c r="AO426" s="2261">
        <f t="shared" si="448"/>
        <v>-4.3044608833830426E-2</v>
      </c>
      <c r="AP426" s="2261">
        <f t="shared" si="448"/>
        <v>-8.3851002665866856E-2</v>
      </c>
      <c r="AQ426" s="2534">
        <f t="shared" si="448"/>
        <v>-0.11041198501872659</v>
      </c>
      <c r="AR426" s="2261">
        <f t="shared" si="448"/>
        <v>-8.3697887997218764E-2</v>
      </c>
      <c r="AS426" s="2261">
        <f t="shared" si="448"/>
        <v>-8.0336736248666774E-2</v>
      </c>
      <c r="AT426" s="2535">
        <f t="shared" si="448"/>
        <v>-0.10235683166237992</v>
      </c>
      <c r="AU426" s="2534">
        <f t="shared" si="448"/>
        <v>-9.1009758460793136E-2</v>
      </c>
      <c r="AV426" s="2261">
        <f t="shared" si="448"/>
        <v>-7.7328413563905407E-2</v>
      </c>
      <c r="AW426" s="2261">
        <f t="shared" si="448"/>
        <v>-6.4894951771315323E-2</v>
      </c>
      <c r="AX426" s="2534">
        <f t="shared" si="448"/>
        <v>-6.6045896975936991E-2</v>
      </c>
      <c r="AY426" s="2261">
        <f t="shared" si="448"/>
        <v>-5.5319583057850431E-2</v>
      </c>
      <c r="AZ426" s="2261">
        <f t="shared" si="448"/>
        <v>-5.9136894812304705E-2</v>
      </c>
      <c r="BA426" s="2535">
        <f t="shared" si="448"/>
        <v>-8.6510773160812765E-2</v>
      </c>
      <c r="BB426" s="2534">
        <f t="shared" si="448"/>
        <v>-8.8403979136141231E-2</v>
      </c>
      <c r="BC426" s="2535">
        <f t="shared" si="448"/>
        <v>-8.7875036939134635E-2</v>
      </c>
    </row>
    <row r="427" spans="1:55" s="1953" customFormat="1" ht="10.15" x14ac:dyDescent="0.3">
      <c r="A427" s="2042"/>
      <c r="B427" s="2475" t="s">
        <v>1119</v>
      </c>
      <c r="C427" s="2533">
        <f t="shared" ref="C427:AS427" si="449">C424+C425+C426</f>
        <v>-0.33181215957603416</v>
      </c>
      <c r="D427" s="2533">
        <f t="shared" si="449"/>
        <v>-0.35751642751776858</v>
      </c>
      <c r="E427" s="2533">
        <f t="shared" si="449"/>
        <v>-0.29457431208487878</v>
      </c>
      <c r="F427" s="2533">
        <f t="shared" si="449"/>
        <v>-0.2213511643993544</v>
      </c>
      <c r="G427" s="2533">
        <f t="shared" si="449"/>
        <v>-0.24086101317498607</v>
      </c>
      <c r="H427" s="2533">
        <f t="shared" si="449"/>
        <v>-0.23908675799086759</v>
      </c>
      <c r="I427" s="2533">
        <f t="shared" si="449"/>
        <v>-0.30141371032275271</v>
      </c>
      <c r="J427" s="2533">
        <f t="shared" si="449"/>
        <v>-0.24869088188845484</v>
      </c>
      <c r="K427" s="2533">
        <f t="shared" si="449"/>
        <v>-0.26047809270179445</v>
      </c>
      <c r="L427" s="2533">
        <f t="shared" si="449"/>
        <v>-0.37375958167449053</v>
      </c>
      <c r="M427" s="2533">
        <f t="shared" si="449"/>
        <v>-0.32556629359410216</v>
      </c>
      <c r="N427" s="2533">
        <f t="shared" si="449"/>
        <v>-0.46197991391678622</v>
      </c>
      <c r="O427" s="2261">
        <f t="shared" si="449"/>
        <v>-0.38162509261546063</v>
      </c>
      <c r="P427" s="2261">
        <f t="shared" si="449"/>
        <v>-0.35708808804293901</v>
      </c>
      <c r="Q427" s="2261">
        <f t="shared" si="449"/>
        <v>-0.2863098167501375</v>
      </c>
      <c r="R427" s="2261">
        <f t="shared" si="449"/>
        <v>-0.36251240489579889</v>
      </c>
      <c r="S427" s="2261">
        <f t="shared" si="449"/>
        <v>-0.32173291036884988</v>
      </c>
      <c r="T427" s="2261">
        <f t="shared" si="449"/>
        <v>-0.31572961623702323</v>
      </c>
      <c r="U427" s="2261">
        <f t="shared" si="449"/>
        <v>-0.22906024639423075</v>
      </c>
      <c r="V427" s="2261">
        <f t="shared" si="449"/>
        <v>-0.31737473755151768</v>
      </c>
      <c r="W427" s="2261">
        <f t="shared" si="449"/>
        <v>-0.26353020883150008</v>
      </c>
      <c r="X427" s="2261">
        <f t="shared" si="449"/>
        <v>-0.2682776386923551</v>
      </c>
      <c r="Y427" s="2261">
        <f t="shared" si="449"/>
        <v>-0.23369224839813074</v>
      </c>
      <c r="Z427" s="2261">
        <f t="shared" si="449"/>
        <v>-0.30481818768972424</v>
      </c>
      <c r="AA427" s="2261">
        <f t="shared" si="449"/>
        <v>-0.33460207612456749</v>
      </c>
      <c r="AB427" s="2261">
        <f t="shared" si="449"/>
        <v>-0.26130971954714144</v>
      </c>
      <c r="AC427" s="2261">
        <f t="shared" si="449"/>
        <v>-0.22901140878937226</v>
      </c>
      <c r="AD427" s="2261">
        <f t="shared" si="449"/>
        <v>-0.27722518128730023</v>
      </c>
      <c r="AE427" s="2261">
        <f t="shared" si="449"/>
        <v>-0.2392537677073544</v>
      </c>
      <c r="AF427" s="2261">
        <f t="shared" si="449"/>
        <v>-0.24807380458253864</v>
      </c>
      <c r="AG427" s="2261">
        <f t="shared" si="449"/>
        <v>-0.21239223070062432</v>
      </c>
      <c r="AH427" s="2261">
        <f t="shared" si="449"/>
        <v>-0.26800741816400442</v>
      </c>
      <c r="AI427" s="2261">
        <f t="shared" si="449"/>
        <v>-0.20533850186340249</v>
      </c>
      <c r="AJ427" s="2261">
        <f t="shared" si="449"/>
        <v>-0.24905573727598512</v>
      </c>
      <c r="AK427" s="2261">
        <f t="shared" si="449"/>
        <v>-0.20428441591220683</v>
      </c>
      <c r="AL427" s="2261">
        <f t="shared" si="449"/>
        <v>-0.25274469927766674</v>
      </c>
      <c r="AM427" s="2261">
        <f t="shared" si="449"/>
        <v>-0.23929873124681073</v>
      </c>
      <c r="AN427" s="2261">
        <f t="shared" si="449"/>
        <v>-0.24084799817526253</v>
      </c>
      <c r="AO427" s="2261">
        <f t="shared" si="449"/>
        <v>-0.20437788748199992</v>
      </c>
      <c r="AP427" s="2261">
        <f t="shared" si="449"/>
        <v>-0.24781936357433332</v>
      </c>
      <c r="AQ427" s="2534">
        <f t="shared" si="449"/>
        <v>-0.40779026217228465</v>
      </c>
      <c r="AR427" s="2261">
        <f t="shared" si="449"/>
        <v>-0.29709997972013791</v>
      </c>
      <c r="AS427" s="2261">
        <f t="shared" si="449"/>
        <v>-0.26390370257504192</v>
      </c>
      <c r="AT427" s="2535">
        <f t="shared" ref="AT427:BC427" si="450">AT438+AT439+AT440</f>
        <v>-0.25045929347540813</v>
      </c>
      <c r="AU427" s="2262">
        <f t="shared" si="450"/>
        <v>-0.21969884223327368</v>
      </c>
      <c r="AV427" s="2261">
        <f t="shared" si="450"/>
        <v>-0.21172910098374326</v>
      </c>
      <c r="AW427" s="2261">
        <f t="shared" si="450"/>
        <v>-0.20667609663318229</v>
      </c>
      <c r="AX427" s="2534">
        <f t="shared" si="450"/>
        <v>-0.19511522009107216</v>
      </c>
      <c r="AY427" s="2261">
        <f t="shared" si="450"/>
        <v>-0.19134372222690899</v>
      </c>
      <c r="AZ427" s="2261">
        <f t="shared" si="450"/>
        <v>-0.18989586147178733</v>
      </c>
      <c r="BA427" s="2535">
        <f t="shared" si="450"/>
        <v>-0.21772382006446056</v>
      </c>
      <c r="BB427" s="2534">
        <f t="shared" si="450"/>
        <v>-0.21871670084754172</v>
      </c>
      <c r="BC427" s="2535">
        <f t="shared" si="450"/>
        <v>-0.21758241613123885</v>
      </c>
    </row>
    <row r="428" spans="1:55" s="1953" customFormat="1" ht="10.15" x14ac:dyDescent="0.3">
      <c r="A428" s="2042"/>
      <c r="B428" s="2475" t="s">
        <v>1120</v>
      </c>
      <c r="C428" s="2533">
        <f t="shared" ref="C428:AP428" si="451">C352/(C351+C381)</f>
        <v>-0.19535228817009997</v>
      </c>
      <c r="D428" s="2533">
        <f t="shared" si="451"/>
        <v>0</v>
      </c>
      <c r="E428" s="2533">
        <f t="shared" si="451"/>
        <v>-9.3126886621411123E-2</v>
      </c>
      <c r="F428" s="2533">
        <f t="shared" si="451"/>
        <v>-0.10699608536242422</v>
      </c>
      <c r="G428" s="2533">
        <f t="shared" si="451"/>
        <v>-0.10859977949283352</v>
      </c>
      <c r="H428" s="2533">
        <f t="shared" si="451"/>
        <v>-9.8836307214895266E-2</v>
      </c>
      <c r="I428" s="2533">
        <f t="shared" si="451"/>
        <v>-7.4720177473026117E-2</v>
      </c>
      <c r="J428" s="2533">
        <f t="shared" si="451"/>
        <v>-0.13675880517164513</v>
      </c>
      <c r="K428" s="2533">
        <f t="shared" si="451"/>
        <v>-9.6038814302804726E-2</v>
      </c>
      <c r="L428" s="2533">
        <f t="shared" si="451"/>
        <v>-0.17434895833333333</v>
      </c>
      <c r="M428" s="2533">
        <f t="shared" si="451"/>
        <v>-0.1795269770879527</v>
      </c>
      <c r="N428" s="2261">
        <f t="shared" si="451"/>
        <v>-0.13222686304682349</v>
      </c>
      <c r="O428" s="2261">
        <f t="shared" si="451"/>
        <v>-3.8074948104446629E-2</v>
      </c>
      <c r="P428" s="2261">
        <f t="shared" si="451"/>
        <v>-6.0425254935994793E-2</v>
      </c>
      <c r="Q428" s="2261">
        <f t="shared" si="451"/>
        <v>-0.17045019157088123</v>
      </c>
      <c r="R428" s="2261">
        <f t="shared" si="451"/>
        <v>-0.14712995807803933</v>
      </c>
      <c r="S428" s="2261">
        <f t="shared" si="451"/>
        <v>-0.1452587704063911</v>
      </c>
      <c r="T428" s="2261">
        <f t="shared" si="451"/>
        <v>-0.14531081566654688</v>
      </c>
      <c r="U428" s="2261">
        <f t="shared" si="451"/>
        <v>-0.18542037084074167</v>
      </c>
      <c r="V428" s="2261">
        <f t="shared" si="451"/>
        <v>-0.22589928057553957</v>
      </c>
      <c r="W428" s="2261">
        <f t="shared" si="451"/>
        <v>-0.19314266738616082</v>
      </c>
      <c r="X428" s="2261">
        <f t="shared" si="451"/>
        <v>-0.10581825257832263</v>
      </c>
      <c r="Y428" s="2261">
        <f t="shared" si="451"/>
        <v>-0.12439789402934917</v>
      </c>
      <c r="Z428" s="2261">
        <f t="shared" si="451"/>
        <v>-0.24308231173380035</v>
      </c>
      <c r="AA428" s="2261">
        <f t="shared" si="451"/>
        <v>-0.18666798471068935</v>
      </c>
      <c r="AB428" s="2261">
        <f t="shared" si="451"/>
        <v>-1.1395894186859752E-2</v>
      </c>
      <c r="AC428" s="2261">
        <f t="shared" si="451"/>
        <v>-0.12589303824570103</v>
      </c>
      <c r="AD428" s="2261">
        <f t="shared" si="451"/>
        <v>-0.14487112956235945</v>
      </c>
      <c r="AE428" s="2261">
        <f t="shared" si="451"/>
        <v>-0.2069560927479033</v>
      </c>
      <c r="AF428" s="2261">
        <f t="shared" si="451"/>
        <v>-3.0052952982875688E-2</v>
      </c>
      <c r="AG428" s="2261">
        <f t="shared" si="451"/>
        <v>-0.13094199738334061</v>
      </c>
      <c r="AH428" s="2261">
        <f t="shared" si="451"/>
        <v>-0.32512680935296301</v>
      </c>
      <c r="AI428" s="2261">
        <f t="shared" si="451"/>
        <v>-0.17133087929520846</v>
      </c>
      <c r="AJ428" s="2261">
        <f t="shared" si="451"/>
        <v>-0.23766784891340706</v>
      </c>
      <c r="AK428" s="2261">
        <f t="shared" si="451"/>
        <v>-0.22239071592282611</v>
      </c>
      <c r="AL428" s="2261">
        <f t="shared" si="451"/>
        <v>-0.21513953620883375</v>
      </c>
      <c r="AM428" s="2261">
        <f t="shared" si="451"/>
        <v>-0.25167456872969629</v>
      </c>
      <c r="AN428" s="2261">
        <f t="shared" si="451"/>
        <v>-0.23373180627894777</v>
      </c>
      <c r="AO428" s="2261">
        <f t="shared" si="451"/>
        <v>-0.2223119146843886</v>
      </c>
      <c r="AP428" s="2261">
        <f t="shared" si="451"/>
        <v>-0.20794850726019118</v>
      </c>
      <c r="AQ428" s="2534"/>
      <c r="AR428" s="2261">
        <f t="shared" ref="AR428:BC428" si="452">AR352/(AR351+AR381)</f>
        <v>-0.12813296983554656</v>
      </c>
      <c r="AS428" s="2261">
        <f t="shared" si="452"/>
        <v>-0.11322905820419989</v>
      </c>
      <c r="AT428" s="2535">
        <f t="shared" si="452"/>
        <v>-0.14146492040393349</v>
      </c>
      <c r="AU428" s="2534">
        <f t="shared" si="452"/>
        <v>-8.6611993849308053E-2</v>
      </c>
      <c r="AV428" s="2261">
        <f t="shared" si="452"/>
        <v>-0.18120593496790488</v>
      </c>
      <c r="AW428" s="2261">
        <f t="shared" si="452"/>
        <v>-0.15105662444595694</v>
      </c>
      <c r="AX428" s="2534">
        <f t="shared" si="452"/>
        <v>-0.12379591958836904</v>
      </c>
      <c r="AY428" s="2261">
        <f t="shared" si="452"/>
        <v>-0.10364590421751425</v>
      </c>
      <c r="AZ428" s="2261">
        <f t="shared" si="452"/>
        <v>-0.20815320469741933</v>
      </c>
      <c r="BA428" s="2535">
        <f t="shared" si="452"/>
        <v>-0.22929677683734731</v>
      </c>
      <c r="BB428" s="2534">
        <f t="shared" si="452"/>
        <v>-0.2279233792521119</v>
      </c>
      <c r="BC428" s="2535">
        <f t="shared" si="452"/>
        <v>-0.22715058203649297</v>
      </c>
    </row>
    <row r="429" spans="1:55" s="1953" customFormat="1" ht="10.15" x14ac:dyDescent="0.3">
      <c r="A429" s="2042"/>
      <c r="B429" s="2475" t="s">
        <v>1121</v>
      </c>
      <c r="C429" s="2540">
        <f>$AR$429</f>
        <v>-0.14408623417721519</v>
      </c>
      <c r="D429" s="2540">
        <f>$AR$429</f>
        <v>-0.14408623417721519</v>
      </c>
      <c r="E429" s="2540">
        <f>$AR$429</f>
        <v>-0.14408623417721519</v>
      </c>
      <c r="F429" s="2540">
        <f>$AR$429</f>
        <v>-0.14408623417721519</v>
      </c>
      <c r="G429" s="2540">
        <f t="shared" ref="G429:BC429" si="453">G352/G351</f>
        <v>-0.11712247324613555</v>
      </c>
      <c r="H429" s="2540">
        <f t="shared" si="453"/>
        <v>-0.11413725138864003</v>
      </c>
      <c r="I429" s="2540">
        <f t="shared" si="453"/>
        <v>-8.0038885288399225E-2</v>
      </c>
      <c r="J429" s="2540">
        <f t="shared" si="453"/>
        <v>-0.15247918478936248</v>
      </c>
      <c r="K429" s="2540">
        <f t="shared" si="453"/>
        <v>-0.10341372647248265</v>
      </c>
      <c r="L429" s="2540">
        <f t="shared" si="453"/>
        <v>-0.2867237687366167</v>
      </c>
      <c r="M429" s="2540">
        <f t="shared" si="453"/>
        <v>-0.26353477270261472</v>
      </c>
      <c r="N429" s="2540">
        <f t="shared" si="453"/>
        <v>-0.26936856247201074</v>
      </c>
      <c r="O429" s="2540">
        <f t="shared" si="453"/>
        <v>-4.2738449274917989E-2</v>
      </c>
      <c r="P429" s="2540">
        <f t="shared" si="453"/>
        <v>-6.8231931400571669E-2</v>
      </c>
      <c r="Q429" s="2540">
        <f t="shared" si="453"/>
        <v>-0.21556632344033919</v>
      </c>
      <c r="R429" s="2540">
        <f t="shared" si="453"/>
        <v>-0.23245446439943956</v>
      </c>
      <c r="S429" s="2261">
        <f t="shared" si="453"/>
        <v>-0.19540229885057472</v>
      </c>
      <c r="T429" s="2261">
        <f t="shared" si="453"/>
        <v>-0.20923013245033112</v>
      </c>
      <c r="U429" s="2261">
        <f t="shared" si="453"/>
        <v>-0.21457064875078732</v>
      </c>
      <c r="V429" s="2261">
        <f t="shared" si="453"/>
        <v>-0.2872736450249227</v>
      </c>
      <c r="W429" s="2261">
        <f t="shared" si="453"/>
        <v>-0.23181546432841771</v>
      </c>
      <c r="X429" s="2261">
        <f t="shared" si="453"/>
        <v>-0.12942072445142558</v>
      </c>
      <c r="Y429" s="2261">
        <f t="shared" si="453"/>
        <v>-0.13753173571118954</v>
      </c>
      <c r="Z429" s="2261">
        <f t="shared" si="453"/>
        <v>-0.38289655172413795</v>
      </c>
      <c r="AA429" s="2261">
        <f t="shared" si="453"/>
        <v>-0.40551181102362205</v>
      </c>
      <c r="AB429" s="2261">
        <f t="shared" si="453"/>
        <v>-1.6044949026876736E-2</v>
      </c>
      <c r="AC429" s="2261">
        <f t="shared" si="453"/>
        <v>-0.14931437277805992</v>
      </c>
      <c r="AD429" s="2261">
        <f t="shared" si="453"/>
        <v>-0.18222367275892079</v>
      </c>
      <c r="AE429" s="2261">
        <f t="shared" si="453"/>
        <v>-0.26511829995655095</v>
      </c>
      <c r="AF429" s="2261">
        <f t="shared" si="453"/>
        <v>-3.2915122247816377E-2</v>
      </c>
      <c r="AG429" s="2261">
        <f t="shared" si="453"/>
        <v>-0.14912903111363396</v>
      </c>
      <c r="AH429" s="2261">
        <f t="shared" si="453"/>
        <v>4.6186291739894552</v>
      </c>
      <c r="AI429" s="2261">
        <f t="shared" si="453"/>
        <v>-0.19443473397189401</v>
      </c>
      <c r="AJ429" s="2261">
        <f t="shared" si="453"/>
        <v>-0.3015955991273625</v>
      </c>
      <c r="AK429" s="2261">
        <f t="shared" si="453"/>
        <v>-0.2552271401049111</v>
      </c>
      <c r="AL429" s="2261">
        <f t="shared" si="453"/>
        <v>-0.2909033793814802</v>
      </c>
      <c r="AM429" s="2261">
        <f t="shared" si="453"/>
        <v>-0.29278096182375618</v>
      </c>
      <c r="AN429" s="2261">
        <f t="shared" si="453"/>
        <v>-0.27970257368115059</v>
      </c>
      <c r="AO429" s="2261">
        <f t="shared" si="453"/>
        <v>-0.24920240352904593</v>
      </c>
      <c r="AP429" s="2261">
        <f t="shared" si="453"/>
        <v>-0.2629500211676406</v>
      </c>
      <c r="AQ429" s="2262">
        <f t="shared" si="453"/>
        <v>-0.15220535068691252</v>
      </c>
      <c r="AR429" s="2263">
        <f t="shared" si="453"/>
        <v>-0.14408623417721519</v>
      </c>
      <c r="AS429" s="2263">
        <f t="shared" si="453"/>
        <v>-0.12591615229235556</v>
      </c>
      <c r="AT429" s="2264">
        <f t="shared" si="453"/>
        <v>-0.1984780053207944</v>
      </c>
      <c r="AU429" s="2262">
        <f t="shared" si="453"/>
        <v>-0.10370943192419109</v>
      </c>
      <c r="AV429" s="2263">
        <f t="shared" si="453"/>
        <v>-0.22948908027786569</v>
      </c>
      <c r="AW429" s="2263">
        <f t="shared" si="453"/>
        <v>-0.18125952411780524</v>
      </c>
      <c r="AX429" s="2262">
        <f t="shared" si="453"/>
        <v>-0.17203105351222706</v>
      </c>
      <c r="AY429" s="2540">
        <f t="shared" si="453"/>
        <v>-0.12338804044525788</v>
      </c>
      <c r="AZ429" s="2540">
        <f t="shared" si="453"/>
        <v>-0.24903849609031908</v>
      </c>
      <c r="BA429" s="2541">
        <f t="shared" si="453"/>
        <v>-0.26901639059211185</v>
      </c>
      <c r="BB429" s="2542">
        <f t="shared" si="453"/>
        <v>-0.25704692910877391</v>
      </c>
      <c r="BC429" s="2541">
        <f t="shared" si="453"/>
        <v>-0.25077595559626259</v>
      </c>
    </row>
    <row r="430" spans="1:55" s="1953" customFormat="1" ht="10.15" hidden="1" outlineLevel="1" x14ac:dyDescent="0.3">
      <c r="A430" s="2042"/>
      <c r="B430" s="2532" t="s">
        <v>1122</v>
      </c>
      <c r="C430" s="2540"/>
      <c r="D430" s="2540"/>
      <c r="E430" s="2540"/>
      <c r="F430" s="2540"/>
      <c r="G430" s="2540"/>
      <c r="H430" s="2540"/>
      <c r="I430" s="2540"/>
      <c r="J430" s="2540"/>
      <c r="K430" s="2540"/>
      <c r="L430" s="2540"/>
      <c r="M430" s="2540"/>
      <c r="N430" s="2540"/>
      <c r="O430" s="2540"/>
      <c r="P430" s="2540"/>
      <c r="Q430" s="2540"/>
      <c r="R430" s="2540"/>
      <c r="S430" s="2261"/>
      <c r="T430" s="2261"/>
      <c r="U430" s="2261"/>
      <c r="V430" s="2261"/>
      <c r="W430" s="2261"/>
      <c r="X430" s="2261"/>
      <c r="Y430" s="2261"/>
      <c r="Z430" s="2261"/>
      <c r="AA430" s="2261"/>
      <c r="AB430" s="2261"/>
      <c r="AC430" s="2261"/>
      <c r="AD430" s="2261"/>
      <c r="AE430" s="2261"/>
      <c r="AF430" s="2261"/>
      <c r="AG430" s="2261"/>
      <c r="AH430" s="2261"/>
      <c r="AI430" s="2261"/>
      <c r="AJ430" s="2261"/>
      <c r="AK430" s="2261"/>
      <c r="AL430" s="2261"/>
      <c r="AM430" s="2261"/>
      <c r="AN430" s="2261"/>
      <c r="AO430" s="2261"/>
      <c r="AP430" s="2261"/>
      <c r="AQ430" s="2262"/>
      <c r="AR430" s="2263"/>
      <c r="AS430" s="2263"/>
      <c r="AT430" s="2264"/>
      <c r="AU430" s="2262"/>
      <c r="AV430" s="2263"/>
      <c r="AW430" s="2263"/>
      <c r="AX430" s="2262"/>
      <c r="AY430" s="2540"/>
      <c r="AZ430" s="2540"/>
      <c r="BA430" s="2541"/>
      <c r="BB430" s="2542"/>
      <c r="BC430" s="2541"/>
    </row>
    <row r="431" spans="1:55" s="1953" customFormat="1" ht="10.15" hidden="1" outlineLevel="1" x14ac:dyDescent="0.3">
      <c r="A431" s="1970" t="s">
        <v>1123</v>
      </c>
      <c r="B431" s="2475" t="s">
        <v>1039</v>
      </c>
      <c r="C431" s="2261">
        <f t="shared" ref="C431:AG431" si="454">C336/C$344</f>
        <v>0.48735320686540201</v>
      </c>
      <c r="D431" s="2261">
        <f t="shared" si="454"/>
        <v>0.46934335443037972</v>
      </c>
      <c r="E431" s="2261">
        <f t="shared" si="454"/>
        <v>0.45406332865387616</v>
      </c>
      <c r="F431" s="2261">
        <f t="shared" si="454"/>
        <v>0.54098360655737709</v>
      </c>
      <c r="G431" s="2261">
        <f t="shared" si="454"/>
        <v>0.50895856662933936</v>
      </c>
      <c r="H431" s="2261">
        <f t="shared" si="454"/>
        <v>0.53039943442912685</v>
      </c>
      <c r="I431" s="2261">
        <f t="shared" si="454"/>
        <v>0.41944891391794048</v>
      </c>
      <c r="J431" s="2261">
        <f t="shared" si="454"/>
        <v>0.52735562310030393</v>
      </c>
      <c r="K431" s="2261">
        <f t="shared" si="454"/>
        <v>0.51361039542959563</v>
      </c>
      <c r="L431" s="2261">
        <f t="shared" si="454"/>
        <v>0.44825376481896828</v>
      </c>
      <c r="M431" s="2261">
        <f t="shared" si="454"/>
        <v>0.45146184787176563</v>
      </c>
      <c r="N431" s="2261">
        <f t="shared" si="454"/>
        <v>0.41366518278699582</v>
      </c>
      <c r="O431" s="2261">
        <f t="shared" si="454"/>
        <v>0.44490851233094669</v>
      </c>
      <c r="P431" s="2261">
        <f t="shared" si="454"/>
        <v>0.45201572008113589</v>
      </c>
      <c r="Q431" s="2261">
        <f t="shared" si="454"/>
        <v>0.50572642467904316</v>
      </c>
      <c r="R431" s="2261">
        <f t="shared" si="454"/>
        <v>0.50136325503355705</v>
      </c>
      <c r="S431" s="2261">
        <f t="shared" si="454"/>
        <v>0.50317052270779772</v>
      </c>
      <c r="T431" s="2261">
        <f t="shared" si="454"/>
        <v>0.51978452885491344</v>
      </c>
      <c r="U431" s="2261">
        <f t="shared" si="454"/>
        <v>0.58697520255340041</v>
      </c>
      <c r="V431" s="2261">
        <f t="shared" si="454"/>
        <v>0.5332736599304575</v>
      </c>
      <c r="W431" s="2261">
        <f t="shared" si="454"/>
        <v>0.53441890361482658</v>
      </c>
      <c r="X431" s="2261">
        <f t="shared" si="454"/>
        <v>0.57091701697026309</v>
      </c>
      <c r="Y431" s="2261">
        <f t="shared" si="454"/>
        <v>0.61505821293309015</v>
      </c>
      <c r="Z431" s="2261">
        <f t="shared" si="454"/>
        <v>0.61664548196771074</v>
      </c>
      <c r="AA431" s="2261">
        <f t="shared" si="454"/>
        <v>0.59972565157750346</v>
      </c>
      <c r="AB431" s="2261">
        <f t="shared" si="454"/>
        <v>0.65300710427512665</v>
      </c>
      <c r="AC431" s="2261">
        <f t="shared" si="454"/>
        <v>0.67211538461538467</v>
      </c>
      <c r="AD431" s="2261">
        <f t="shared" si="454"/>
        <v>0.65629683830384855</v>
      </c>
      <c r="AE431" s="2261">
        <f t="shared" si="454"/>
        <v>0.66248108758793578</v>
      </c>
      <c r="AF431" s="2261">
        <f t="shared" si="454"/>
        <v>0.66440959727529825</v>
      </c>
      <c r="AG431" s="2261">
        <f t="shared" si="454"/>
        <v>0.69183566318829171</v>
      </c>
      <c r="AH431" s="2261">
        <v>0.67</v>
      </c>
      <c r="AI431" s="2261">
        <v>0.66400000000000003</v>
      </c>
      <c r="AJ431" s="2261">
        <v>0.66700000000000004</v>
      </c>
      <c r="AK431" s="2261">
        <v>0.7</v>
      </c>
      <c r="AL431" s="2261">
        <v>0.67400000000000004</v>
      </c>
      <c r="AM431" s="2261">
        <v>0.66800000000000004</v>
      </c>
      <c r="AN431" s="2261">
        <v>0.67</v>
      </c>
      <c r="AO431" s="2261">
        <v>0.70299999999999996</v>
      </c>
      <c r="AP431" s="2261">
        <v>0.67800000000000005</v>
      </c>
      <c r="AQ431" s="2534">
        <f t="shared" ref="AQ431:AZ431" si="455">(AQ336)/AQ$344</f>
        <v>0.44060504201680672</v>
      </c>
      <c r="AR431" s="2261">
        <f t="shared" si="455"/>
        <v>0.48343613211301234</v>
      </c>
      <c r="AS431" s="2261">
        <f t="shared" si="455"/>
        <v>0.48543936092955703</v>
      </c>
      <c r="AT431" s="2535">
        <f t="shared" si="455"/>
        <v>0.4505993118312096</v>
      </c>
      <c r="AU431" s="2534">
        <f t="shared" si="455"/>
        <v>0.47991227334953762</v>
      </c>
      <c r="AV431" s="2261">
        <f t="shared" si="455"/>
        <v>0.53968498793300546</v>
      </c>
      <c r="AW431" s="2261">
        <f t="shared" si="455"/>
        <v>0.59156019275830052</v>
      </c>
      <c r="AX431" s="2534">
        <f t="shared" si="455"/>
        <v>0.64713847885914433</v>
      </c>
      <c r="AY431" s="2261">
        <f t="shared" si="455"/>
        <v>0.67506532689746845</v>
      </c>
      <c r="AZ431" s="2261">
        <f t="shared" si="455"/>
        <v>0.68783521089118815</v>
      </c>
      <c r="BA431" s="2535">
        <v>0.66</v>
      </c>
      <c r="BB431" s="2534">
        <v>0.66</v>
      </c>
      <c r="BC431" s="2535">
        <v>0.66</v>
      </c>
    </row>
    <row r="432" spans="1:55" s="1953" customFormat="1" ht="10.15" hidden="1" outlineLevel="1" x14ac:dyDescent="0.3">
      <c r="A432" s="1970" t="s">
        <v>1124</v>
      </c>
      <c r="B432" s="2475" t="s">
        <v>1041</v>
      </c>
      <c r="C432" s="2261">
        <f t="shared" ref="C432:AG435" si="456">C338/C$344</f>
        <v>0.1915085817524842</v>
      </c>
      <c r="D432" s="2261">
        <f t="shared" si="456"/>
        <v>0.17563291139240506</v>
      </c>
      <c r="E432" s="2261">
        <f t="shared" si="456"/>
        <v>0.181406956793012</v>
      </c>
      <c r="F432" s="2261">
        <f t="shared" si="456"/>
        <v>0.20289855072463769</v>
      </c>
      <c r="G432" s="2261">
        <f t="shared" si="456"/>
        <v>0.18999626726390445</v>
      </c>
      <c r="H432" s="2261">
        <f t="shared" si="456"/>
        <v>0.20643336868151291</v>
      </c>
      <c r="I432" s="2261">
        <f t="shared" si="456"/>
        <v>0.17166130329847143</v>
      </c>
      <c r="J432" s="2261">
        <f t="shared" si="456"/>
        <v>0.18237082066869301</v>
      </c>
      <c r="K432" s="2261">
        <f t="shared" si="456"/>
        <v>0.21866248459728913</v>
      </c>
      <c r="L432" s="2261">
        <f t="shared" si="456"/>
        <v>0.20674463313040692</v>
      </c>
      <c r="M432" s="2261">
        <f t="shared" si="456"/>
        <v>0.18508735066338478</v>
      </c>
      <c r="N432" s="2261">
        <f t="shared" si="456"/>
        <v>0.20518008903278026</v>
      </c>
      <c r="O432" s="2261">
        <f t="shared" si="456"/>
        <v>0.21486343145054362</v>
      </c>
      <c r="P432" s="2261">
        <f t="shared" si="456"/>
        <v>0.20442444219066938</v>
      </c>
      <c r="Q432" s="2261">
        <f t="shared" si="456"/>
        <v>0.17313198485268311</v>
      </c>
      <c r="R432" s="2261">
        <f t="shared" si="456"/>
        <v>0.18734270134228187</v>
      </c>
      <c r="S432" s="2261">
        <f t="shared" si="456"/>
        <v>0.17086546700942587</v>
      </c>
      <c r="T432" s="2261">
        <f t="shared" si="456"/>
        <v>0.16374222679922368</v>
      </c>
      <c r="U432" s="2261">
        <f t="shared" si="456"/>
        <v>0.13564939847778051</v>
      </c>
      <c r="V432" s="2261">
        <f t="shared" si="456"/>
        <v>0.15554101972664991</v>
      </c>
      <c r="W432" s="2261">
        <f t="shared" si="456"/>
        <v>0.14373603501576321</v>
      </c>
      <c r="X432" s="2261">
        <f t="shared" si="456"/>
        <v>0.13189579116715969</v>
      </c>
      <c r="Y432" s="2261">
        <f t="shared" si="456"/>
        <v>0.11027142656754103</v>
      </c>
      <c r="Z432" s="2261">
        <f t="shared" si="456"/>
        <v>0.12684259452486199</v>
      </c>
      <c r="AA432" s="2261">
        <f t="shared" si="456"/>
        <v>0.1578875171467764</v>
      </c>
      <c r="AB432" s="2261">
        <f t="shared" si="456"/>
        <v>0.11675296941951513</v>
      </c>
      <c r="AC432" s="2261">
        <f t="shared" si="456"/>
        <v>9.8375331564986734E-2</v>
      </c>
      <c r="AD432" s="2261">
        <f t="shared" si="456"/>
        <v>0.10219159005346205</v>
      </c>
      <c r="AE432" s="2261">
        <f t="shared" si="456"/>
        <v>0.11571635247214215</v>
      </c>
      <c r="AF432" s="2261">
        <f t="shared" si="456"/>
        <v>0.11087346558138121</v>
      </c>
      <c r="AG432" s="2261">
        <f t="shared" si="456"/>
        <v>9.0872547089322048E-2</v>
      </c>
      <c r="AH432" s="2261">
        <v>0.1</v>
      </c>
      <c r="AI432" s="2261">
        <v>0.11</v>
      </c>
      <c r="AJ432" s="2261">
        <v>0.107</v>
      </c>
      <c r="AK432" s="2261">
        <v>8.8999999999999996E-2</v>
      </c>
      <c r="AL432" s="2261">
        <v>9.7000000000000003E-2</v>
      </c>
      <c r="AM432" s="2261">
        <v>0.105</v>
      </c>
      <c r="AN432" s="2261">
        <v>0.104</v>
      </c>
      <c r="AO432" s="2261">
        <v>9.7000000000000003E-2</v>
      </c>
      <c r="AP432" s="2261">
        <v>9.5000000000000001E-2</v>
      </c>
      <c r="AQ432" s="2534">
        <f t="shared" ref="AQ432:AZ435" si="457">(AQ338)/AQ$344</f>
        <v>0.1947563025210084</v>
      </c>
      <c r="AR432" s="2261">
        <f t="shared" si="457"/>
        <v>0.18667926780740152</v>
      </c>
      <c r="AS432" s="2261">
        <f t="shared" si="457"/>
        <v>0.18493100944081337</v>
      </c>
      <c r="AT432" s="2535">
        <f t="shared" si="457"/>
        <v>0.20149733429122396</v>
      </c>
      <c r="AU432" s="2534">
        <f t="shared" si="457"/>
        <v>0.19260749308524014</v>
      </c>
      <c r="AV432" s="2261">
        <f t="shared" si="457"/>
        <v>0.15478415503819704</v>
      </c>
      <c r="AW432" s="2261">
        <f t="shared" si="457"/>
        <v>0.12574605420221938</v>
      </c>
      <c r="AX432" s="2534">
        <f t="shared" si="457"/>
        <v>0.11707217913435077</v>
      </c>
      <c r="AY432" s="2540">
        <f t="shared" si="457"/>
        <v>0.10299296406004575</v>
      </c>
      <c r="AZ432" s="2540">
        <f t="shared" si="457"/>
        <v>9.6197266837573986E-2</v>
      </c>
      <c r="BA432" s="2541">
        <v>9.8000000000000004E-2</v>
      </c>
      <c r="BB432" s="2542">
        <v>9.5000000000000001E-2</v>
      </c>
      <c r="BC432" s="2541">
        <v>9.5000000000000001E-2</v>
      </c>
    </row>
    <row r="433" spans="1:55" s="1953" customFormat="1" ht="10.15" hidden="1" outlineLevel="1" x14ac:dyDescent="0.3">
      <c r="A433" s="1970" t="s">
        <v>1125</v>
      </c>
      <c r="B433" s="2475" t="s">
        <v>1042</v>
      </c>
      <c r="C433" s="2261">
        <f t="shared" si="456"/>
        <v>0.19625112917795845</v>
      </c>
      <c r="D433" s="2261">
        <f t="shared" si="456"/>
        <v>0.19264240506329114</v>
      </c>
      <c r="E433" s="2261">
        <f t="shared" si="456"/>
        <v>0.19482140071751677</v>
      </c>
      <c r="F433" s="2261">
        <f t="shared" si="456"/>
        <v>0.12378237110952721</v>
      </c>
      <c r="G433" s="2261">
        <f t="shared" si="456"/>
        <v>0.13307204180664428</v>
      </c>
      <c r="H433" s="2261">
        <f t="shared" si="456"/>
        <v>0.11611876988335101</v>
      </c>
      <c r="I433" s="2261">
        <f t="shared" si="456"/>
        <v>0.1907683024939662</v>
      </c>
      <c r="J433" s="2261">
        <f t="shared" si="456"/>
        <v>0.19422492401215805</v>
      </c>
      <c r="K433" s="2261">
        <f t="shared" si="456"/>
        <v>0.13576789514954632</v>
      </c>
      <c r="L433" s="2261">
        <f t="shared" si="456"/>
        <v>0.14009932713873757</v>
      </c>
      <c r="M433" s="2261">
        <f t="shared" si="456"/>
        <v>0.18136519181125052</v>
      </c>
      <c r="N433" s="2261">
        <f t="shared" si="456"/>
        <v>0.17071361122352624</v>
      </c>
      <c r="O433" s="2261">
        <f t="shared" si="456"/>
        <v>0.14856801909307876</v>
      </c>
      <c r="P433" s="2261">
        <f t="shared" si="456"/>
        <v>0.16252535496957404</v>
      </c>
      <c r="Q433" s="2261">
        <f t="shared" si="456"/>
        <v>0.16814445368061329</v>
      </c>
      <c r="R433" s="2261">
        <f t="shared" si="456"/>
        <v>0.15001048657718122</v>
      </c>
      <c r="S433" s="2261">
        <f t="shared" si="456"/>
        <v>0.15484147386461011</v>
      </c>
      <c r="T433" s="2261">
        <f t="shared" si="456"/>
        <v>0.15360240820691567</v>
      </c>
      <c r="U433" s="2261">
        <f t="shared" si="456"/>
        <v>0.13779769211883133</v>
      </c>
      <c r="V433" s="2261">
        <f t="shared" si="456"/>
        <v>0.1491376045719007</v>
      </c>
      <c r="W433" s="2261">
        <f t="shared" si="456"/>
        <v>0.14844969544856296</v>
      </c>
      <c r="X433" s="2261">
        <f t="shared" si="456"/>
        <v>0.16259276558202293</v>
      </c>
      <c r="Y433" s="2261">
        <f t="shared" si="456"/>
        <v>0.14977556459531491</v>
      </c>
      <c r="Z433" s="2261">
        <f t="shared" si="456"/>
        <v>0.14496025497524237</v>
      </c>
      <c r="AA433" s="2261">
        <f t="shared" si="456"/>
        <v>0.12237311385459533</v>
      </c>
      <c r="AB433" s="2261">
        <f t="shared" si="456"/>
        <v>0.1270953424428099</v>
      </c>
      <c r="AC433" s="2261">
        <f t="shared" si="456"/>
        <v>0.13377541998231654</v>
      </c>
      <c r="AD433" s="2261">
        <f t="shared" si="456"/>
        <v>0.11387534962765393</v>
      </c>
      <c r="AE433" s="2261">
        <f t="shared" si="456"/>
        <v>0.11814597621177483</v>
      </c>
      <c r="AF433" s="2261">
        <f t="shared" si="456"/>
        <v>0.12159792403677537</v>
      </c>
      <c r="AG433" s="2261">
        <f t="shared" si="456"/>
        <v>0.12961869134344031</v>
      </c>
      <c r="AH433" s="2261">
        <v>0.11</v>
      </c>
      <c r="AI433" s="2261">
        <v>0.115</v>
      </c>
      <c r="AJ433" s="2261">
        <v>0.11799999999999999</v>
      </c>
      <c r="AK433" s="2261">
        <v>0.126</v>
      </c>
      <c r="AL433" s="2261">
        <v>0.105</v>
      </c>
      <c r="AM433" s="2261">
        <v>0.112</v>
      </c>
      <c r="AN433" s="2261">
        <v>0.115</v>
      </c>
      <c r="AO433" s="2261">
        <v>0.124</v>
      </c>
      <c r="AP433" s="2261">
        <v>0.10199999999999999</v>
      </c>
      <c r="AQ433" s="2534">
        <f t="shared" si="457"/>
        <v>0.2055798319327731</v>
      </c>
      <c r="AR433" s="2261">
        <f t="shared" si="457"/>
        <v>0.17971547950656586</v>
      </c>
      <c r="AS433" s="2261">
        <f t="shared" si="457"/>
        <v>0.16503267973856209</v>
      </c>
      <c r="AT433" s="2535">
        <f t="shared" si="457"/>
        <v>0.16094453057057512</v>
      </c>
      <c r="AU433" s="2534">
        <f t="shared" si="457"/>
        <v>0.15794987846785685</v>
      </c>
      <c r="AV433" s="2261">
        <f t="shared" si="457"/>
        <v>0.14801575060334973</v>
      </c>
      <c r="AW433" s="2261">
        <f t="shared" si="457"/>
        <v>0.15086321234360495</v>
      </c>
      <c r="AX433" s="2534">
        <f t="shared" si="457"/>
        <v>0.12440580435326495</v>
      </c>
      <c r="AY433" s="2540">
        <f t="shared" si="457"/>
        <v>0.12114583258622792</v>
      </c>
      <c r="AZ433" s="2540">
        <f t="shared" si="457"/>
        <v>0.11625600149050841</v>
      </c>
      <c r="BA433" s="2541">
        <v>0.11</v>
      </c>
      <c r="BB433" s="2542">
        <v>0.11</v>
      </c>
      <c r="BC433" s="2541">
        <v>0.11</v>
      </c>
    </row>
    <row r="434" spans="1:55" s="2388" customFormat="1" ht="10.15" hidden="1" outlineLevel="1" x14ac:dyDescent="0.3">
      <c r="A434" s="1970"/>
      <c r="B434" s="2472" t="s">
        <v>1043</v>
      </c>
      <c r="C434" s="2261">
        <f t="shared" si="456"/>
        <v>0.12127371273712736</v>
      </c>
      <c r="D434" s="2261">
        <f t="shared" si="456"/>
        <v>0.15901898734177214</v>
      </c>
      <c r="E434" s="2261">
        <f t="shared" si="456"/>
        <v>0.15644985181718921</v>
      </c>
      <c r="F434" s="2261">
        <f t="shared" si="456"/>
        <v>0.12948443810881444</v>
      </c>
      <c r="G434" s="2261">
        <f t="shared" si="456"/>
        <v>0.1614408361328854</v>
      </c>
      <c r="H434" s="2261">
        <f t="shared" si="456"/>
        <v>0.1401555319901025</v>
      </c>
      <c r="I434" s="2261">
        <f t="shared" si="456"/>
        <v>0.20575221238938052</v>
      </c>
      <c r="J434" s="2261">
        <f t="shared" si="456"/>
        <v>7.8115501519756839E-2</v>
      </c>
      <c r="K434" s="2261">
        <f t="shared" si="456"/>
        <v>0.10574661140360704</v>
      </c>
      <c r="L434" s="2261">
        <f t="shared" si="456"/>
        <v>0.15700096123037488</v>
      </c>
      <c r="M434" s="2261">
        <f t="shared" si="456"/>
        <v>0.14522423005343099</v>
      </c>
      <c r="N434" s="2261">
        <f t="shared" si="456"/>
        <v>0.16707136112235263</v>
      </c>
      <c r="O434" s="2261">
        <f t="shared" si="456"/>
        <v>0.14876690533015116</v>
      </c>
      <c r="P434" s="2261">
        <f t="shared" si="456"/>
        <v>0.13488843813387424</v>
      </c>
      <c r="Q434" s="2261">
        <f t="shared" si="456"/>
        <v>0.11545211046457929</v>
      </c>
      <c r="R434" s="2261">
        <f t="shared" si="456"/>
        <v>0.12232592281879194</v>
      </c>
      <c r="S434" s="2261">
        <f t="shared" si="456"/>
        <v>0.11752356469580121</v>
      </c>
      <c r="T434" s="2261">
        <f t="shared" si="456"/>
        <v>0.11149839584901176</v>
      </c>
      <c r="U434" s="2261">
        <f t="shared" si="456"/>
        <v>0.10087773140191506</v>
      </c>
      <c r="V434" s="2261">
        <f t="shared" si="456"/>
        <v>0.1168451130925741</v>
      </c>
      <c r="W434" s="2261">
        <f t="shared" si="456"/>
        <v>0.11260751124850785</v>
      </c>
      <c r="X434" s="2261">
        <f t="shared" si="456"/>
        <v>8.9236597643883961E-2</v>
      </c>
      <c r="Y434" s="2261">
        <f t="shared" si="456"/>
        <v>8.0165521110955248E-2</v>
      </c>
      <c r="Z434" s="2261">
        <f t="shared" si="456"/>
        <v>8.6338714879247214E-2</v>
      </c>
      <c r="AA434" s="2261">
        <f t="shared" si="456"/>
        <v>9.1152263374485593E-2</v>
      </c>
      <c r="AB434" s="2261">
        <f t="shared" si="456"/>
        <v>6.6702025206917245E-2</v>
      </c>
      <c r="AC434" s="2261">
        <f t="shared" ref="AC434:AP434" si="458">1-AC431-AC432-AC433-AC435</f>
        <v>6.4688328912466786E-2</v>
      </c>
      <c r="AD434" s="2261">
        <f t="shared" si="458"/>
        <v>8.9835129170453054E-2</v>
      </c>
      <c r="AE434" s="2261">
        <f t="shared" si="458"/>
        <v>6.9796463793084448E-2</v>
      </c>
      <c r="AF434" s="2261">
        <f t="shared" si="458"/>
        <v>7.264857632307177E-2</v>
      </c>
      <c r="AG434" s="2261">
        <f t="shared" si="458"/>
        <v>6.0830544070355E-2</v>
      </c>
      <c r="AH434" s="2261">
        <f t="shared" si="458"/>
        <v>8.2270136122332777E-2</v>
      </c>
      <c r="AI434" s="2261">
        <f t="shared" si="458"/>
        <v>8.6202862758933491E-2</v>
      </c>
      <c r="AJ434" s="2261">
        <f t="shared" si="458"/>
        <v>8.4558226177163395E-2</v>
      </c>
      <c r="AK434" s="2261">
        <f t="shared" si="458"/>
        <v>6.3917051472533654E-2</v>
      </c>
      <c r="AL434" s="2261">
        <f t="shared" si="458"/>
        <v>9.4839737424530085E-2</v>
      </c>
      <c r="AM434" s="2261">
        <f t="shared" si="458"/>
        <v>9.5403360490223577E-2</v>
      </c>
      <c r="AN434" s="2261">
        <f t="shared" si="458"/>
        <v>9.1366973566164203E-2</v>
      </c>
      <c r="AO434" s="2261">
        <f t="shared" si="458"/>
        <v>5.8964019277274259E-2</v>
      </c>
      <c r="AP434" s="2261">
        <f t="shared" si="458"/>
        <v>0.10074289596879686</v>
      </c>
      <c r="AQ434" s="2534">
        <f t="shared" si="457"/>
        <v>0.14863865546218488</v>
      </c>
      <c r="AR434" s="2261">
        <f t="shared" si="457"/>
        <v>0.14370274572224434</v>
      </c>
      <c r="AS434" s="2261">
        <f t="shared" si="457"/>
        <v>0.1531590413943355</v>
      </c>
      <c r="AT434" s="2535">
        <f t="shared" si="457"/>
        <v>0.14746474080235944</v>
      </c>
      <c r="AU434" s="2534">
        <f t="shared" si="457"/>
        <v>0.12858659514430196</v>
      </c>
      <c r="AV434" s="2261">
        <f t="shared" si="457"/>
        <v>0.11104356820120126</v>
      </c>
      <c r="AW434" s="2261">
        <f t="shared" si="457"/>
        <v>8.9753083690702506E-2</v>
      </c>
      <c r="AX434" s="2534">
        <f t="shared" si="457"/>
        <v>7.7836502376782593E-2</v>
      </c>
      <c r="AY434" s="2543">
        <f>1-AY431-AY432-AY433-AY435</f>
        <v>6.8788685118377352E-2</v>
      </c>
      <c r="AZ434" s="2543">
        <f>1-AZ431-AZ432-AZ433-AZ435</f>
        <v>7.5193412664911558E-2</v>
      </c>
      <c r="BA434" s="2544">
        <f>1-BA431-BA432-BA433-BA435</f>
        <v>0.11197822292956948</v>
      </c>
      <c r="BB434" s="2545">
        <f>1-BB431-BB432-BB433-BB435</f>
        <v>0.11779873585021554</v>
      </c>
      <c r="BC434" s="2544">
        <f>1-BC431-BC432-BC433-BC435</f>
        <v>0.12003853059739486</v>
      </c>
    </row>
    <row r="435" spans="1:55" s="1953" customFormat="1" ht="10.15" hidden="1" outlineLevel="1" x14ac:dyDescent="0.3">
      <c r="A435" s="1970"/>
      <c r="B435" s="2475" t="s">
        <v>1044</v>
      </c>
      <c r="C435" s="2261">
        <f t="shared" si="456"/>
        <v>3.6133694670280035E-3</v>
      </c>
      <c r="D435" s="2261">
        <f t="shared" si="456"/>
        <v>3.3623417721518989E-3</v>
      </c>
      <c r="E435" s="2261">
        <f t="shared" si="456"/>
        <v>1.3258462018405866E-2</v>
      </c>
      <c r="F435" s="2261">
        <f t="shared" si="456"/>
        <v>2.851033499643621E-3</v>
      </c>
      <c r="G435" s="2261">
        <f t="shared" si="456"/>
        <v>6.532288167226577E-3</v>
      </c>
      <c r="H435" s="2261">
        <f t="shared" si="456"/>
        <v>6.8928950159066809E-3</v>
      </c>
      <c r="I435" s="2261">
        <f t="shared" si="456"/>
        <v>1.2369267900241352E-2</v>
      </c>
      <c r="J435" s="2261">
        <f t="shared" si="456"/>
        <v>1.7933130699088147E-2</v>
      </c>
      <c r="K435" s="2261">
        <f t="shared" si="456"/>
        <v>2.6212613419961912E-2</v>
      </c>
      <c r="L435" s="2261">
        <f t="shared" si="456"/>
        <v>4.7901313681512334E-2</v>
      </c>
      <c r="M435" s="2261">
        <f t="shared" si="456"/>
        <v>3.6861379600168095E-2</v>
      </c>
      <c r="N435" s="2261">
        <f t="shared" si="456"/>
        <v>4.3369755834345068E-2</v>
      </c>
      <c r="O435" s="2261">
        <f t="shared" si="456"/>
        <v>4.2893131795279767E-2</v>
      </c>
      <c r="P435" s="2261">
        <f t="shared" si="456"/>
        <v>4.6146044624746453E-2</v>
      </c>
      <c r="Q435" s="2261">
        <f t="shared" si="456"/>
        <v>3.7545026323081189E-2</v>
      </c>
      <c r="R435" s="2261">
        <f t="shared" si="456"/>
        <v>3.8957634228187918E-2</v>
      </c>
      <c r="S435" s="2261">
        <f t="shared" si="456"/>
        <v>5.3598971722365038E-2</v>
      </c>
      <c r="T435" s="2261">
        <f t="shared" si="456"/>
        <v>5.1372440289935435E-2</v>
      </c>
      <c r="U435" s="2261">
        <f t="shared" si="456"/>
        <v>3.8699975448072674E-2</v>
      </c>
      <c r="V435" s="2261">
        <f t="shared" si="456"/>
        <v>4.520260267841774E-2</v>
      </c>
      <c r="W435" s="2261">
        <f t="shared" si="456"/>
        <v>6.0787854672339381E-2</v>
      </c>
      <c r="X435" s="2261">
        <f t="shared" si="456"/>
        <v>4.5357828636670303E-2</v>
      </c>
      <c r="Y435" s="2261">
        <f t="shared" si="456"/>
        <v>3.6067470893533453E-2</v>
      </c>
      <c r="Z435" s="2261">
        <f t="shared" si="456"/>
        <v>2.5212953652937718E-2</v>
      </c>
      <c r="AA435" s="2261">
        <f t="shared" si="456"/>
        <v>2.8861454046639232E-2</v>
      </c>
      <c r="AB435" s="2261">
        <f t="shared" si="456"/>
        <v>3.6442558655631077E-2</v>
      </c>
      <c r="AC435" s="2261">
        <f t="shared" si="456"/>
        <v>3.1045534924845269E-2</v>
      </c>
      <c r="AD435" s="2261">
        <f t="shared" si="456"/>
        <v>3.7801092844582392E-2</v>
      </c>
      <c r="AE435" s="2261">
        <f t="shared" si="456"/>
        <v>3.3860119935062785E-2</v>
      </c>
      <c r="AF435" s="2261">
        <f t="shared" si="456"/>
        <v>3.0470436783473387E-2</v>
      </c>
      <c r="AG435" s="2261">
        <f t="shared" si="456"/>
        <v>2.6842554308590932E-2</v>
      </c>
      <c r="AH435" s="2261">
        <f t="shared" ref="AH435:AP435" si="459">AH341/AH$344</f>
        <v>3.772986387766717E-2</v>
      </c>
      <c r="AI435" s="2261">
        <f t="shared" si="459"/>
        <v>2.479713724106648E-2</v>
      </c>
      <c r="AJ435" s="2261">
        <f t="shared" si="459"/>
        <v>2.3441773822836586E-2</v>
      </c>
      <c r="AK435" s="2261">
        <f t="shared" si="459"/>
        <v>2.1082948527466398E-2</v>
      </c>
      <c r="AL435" s="2261">
        <f t="shared" si="459"/>
        <v>2.9160262575469865E-2</v>
      </c>
      <c r="AM435" s="2261">
        <f t="shared" si="459"/>
        <v>1.9596639509776401E-2</v>
      </c>
      <c r="AN435" s="2261">
        <f t="shared" si="459"/>
        <v>1.9633026433835771E-2</v>
      </c>
      <c r="AO435" s="2261">
        <f t="shared" si="459"/>
        <v>1.7035980722725781E-2</v>
      </c>
      <c r="AP435" s="2261">
        <f t="shared" si="459"/>
        <v>2.4257104031203101E-2</v>
      </c>
      <c r="AQ435" s="2534">
        <f t="shared" si="457"/>
        <v>1.0420168067226891E-2</v>
      </c>
      <c r="AR435" s="2261">
        <f t="shared" si="457"/>
        <v>6.4663748507759649E-3</v>
      </c>
      <c r="AS435" s="2261">
        <f t="shared" si="457"/>
        <v>1.1437908496732025E-2</v>
      </c>
      <c r="AT435" s="2535">
        <f t="shared" si="457"/>
        <v>3.9494082504631906E-2</v>
      </c>
      <c r="AU435" s="2534">
        <f t="shared" si="457"/>
        <v>4.0943759953063451E-2</v>
      </c>
      <c r="AV435" s="2261">
        <f t="shared" si="457"/>
        <v>4.6471538224246496E-2</v>
      </c>
      <c r="AW435" s="2261">
        <f t="shared" si="457"/>
        <v>3.934745125779212E-2</v>
      </c>
      <c r="AX435" s="2534">
        <f t="shared" si="457"/>
        <v>3.3547035276457346E-2</v>
      </c>
      <c r="AY435" s="2540">
        <f>AY341/AY$344</f>
        <v>3.2007191337880513E-2</v>
      </c>
      <c r="AZ435" s="2540">
        <f>AZ341/AZ$344</f>
        <v>2.4518108115817901E-2</v>
      </c>
      <c r="BA435" s="2541">
        <f>BA341/BA$344</f>
        <v>2.0021777070430468E-2</v>
      </c>
      <c r="BB435" s="2542">
        <f>BB341/BB$344</f>
        <v>1.7201264149784418E-2</v>
      </c>
      <c r="BC435" s="2541">
        <f>BC341/BC$344</f>
        <v>1.4961469402605098E-2</v>
      </c>
    </row>
    <row r="436" spans="1:55" s="1953" customFormat="1" ht="10.15" collapsed="1" x14ac:dyDescent="0.3">
      <c r="A436" s="2042"/>
      <c r="B436" s="2532" t="s">
        <v>1126</v>
      </c>
      <c r="C436" s="2054"/>
      <c r="D436" s="2054"/>
      <c r="E436" s="2054"/>
      <c r="F436" s="2054"/>
      <c r="G436" s="2054"/>
      <c r="H436" s="2054"/>
      <c r="I436" s="2054"/>
      <c r="J436" s="2054"/>
      <c r="K436" s="2054"/>
      <c r="L436" s="2054"/>
      <c r="M436" s="2054"/>
      <c r="N436" s="2054"/>
      <c r="O436" s="2054"/>
      <c r="P436" s="2054"/>
      <c r="Q436" s="2054"/>
      <c r="R436" s="2054"/>
      <c r="S436" s="2533"/>
      <c r="T436" s="2054"/>
      <c r="U436" s="2054"/>
      <c r="V436" s="2054"/>
      <c r="W436" s="2261"/>
      <c r="X436" s="2012"/>
      <c r="Y436" s="2012"/>
      <c r="Z436" s="2012"/>
      <c r="AA436" s="2012"/>
      <c r="AB436" s="2012"/>
      <c r="AC436" s="2012"/>
      <c r="AD436" s="2012"/>
      <c r="AE436" s="2012"/>
      <c r="AF436" s="2012"/>
      <c r="AG436" s="2012"/>
      <c r="AH436" s="2012"/>
      <c r="AI436" s="2012"/>
      <c r="AJ436" s="2012"/>
      <c r="AK436" s="2012"/>
      <c r="AL436" s="2012"/>
      <c r="AM436" s="2012"/>
      <c r="AN436" s="2012"/>
      <c r="AO436" s="2012"/>
      <c r="AP436" s="2012"/>
      <c r="AQ436" s="2013"/>
      <c r="AR436" s="2012"/>
      <c r="AS436" s="2012"/>
      <c r="AT436" s="2014"/>
      <c r="AU436" s="2013"/>
      <c r="AV436" s="2012"/>
      <c r="AW436" s="2012"/>
      <c r="AX436" s="2013"/>
      <c r="AY436" s="2012"/>
      <c r="AZ436" s="2012"/>
      <c r="BA436" s="2014"/>
      <c r="BB436" s="2013"/>
      <c r="BC436" s="2014"/>
    </row>
    <row r="437" spans="1:55" s="1953" customFormat="1" ht="10.15" x14ac:dyDescent="0.3">
      <c r="A437" s="2042"/>
      <c r="B437" s="2475" t="s">
        <v>1039</v>
      </c>
      <c r="C437" s="2533">
        <f t="shared" ref="C437:K441" si="460">C423</f>
        <v>-0.31767996466951276</v>
      </c>
      <c r="D437" s="2533">
        <f t="shared" si="460"/>
        <v>-0.31822448705913908</v>
      </c>
      <c r="E437" s="2533">
        <f t="shared" si="460"/>
        <v>-0.25109980160441647</v>
      </c>
      <c r="F437" s="2533">
        <f t="shared" si="460"/>
        <v>-0.26250864652985934</v>
      </c>
      <c r="G437" s="2533">
        <f t="shared" si="460"/>
        <v>-0.25301540174429393</v>
      </c>
      <c r="H437" s="2533">
        <f t="shared" si="460"/>
        <v>-0.27406392694063925</v>
      </c>
      <c r="I437" s="2533">
        <f t="shared" si="460"/>
        <v>-0.22251267004534542</v>
      </c>
      <c r="J437" s="2533">
        <f t="shared" si="460"/>
        <v>-0.28842157759122267</v>
      </c>
      <c r="K437" s="2533">
        <f t="shared" si="460"/>
        <v>-0.29072347980470487</v>
      </c>
      <c r="L437" s="2533">
        <f t="shared" ref="L437:AP437" si="461">(L336+L383)/L$323</f>
        <v>-0.26388971418384932</v>
      </c>
      <c r="M437" s="2537">
        <f t="shared" si="461"/>
        <v>-0.23327858206959776</v>
      </c>
      <c r="N437" s="2537">
        <f t="shared" si="461"/>
        <v>-0.29371592539454805</v>
      </c>
      <c r="O437" s="2540">
        <f t="shared" si="461"/>
        <v>-0.28293405779204744</v>
      </c>
      <c r="P437" s="2540">
        <f t="shared" si="461"/>
        <v>-0.29881376573000767</v>
      </c>
      <c r="Q437" s="2540">
        <f t="shared" si="461"/>
        <v>-0.2745563500564514</v>
      </c>
      <c r="R437" s="2540">
        <f t="shared" si="461"/>
        <v>-0.35209229242474366</v>
      </c>
      <c r="S437" s="2540">
        <f t="shared" si="461"/>
        <v>-0.3374385768489146</v>
      </c>
      <c r="T437" s="2540">
        <f t="shared" si="461"/>
        <v>-0.34818616586959056</v>
      </c>
      <c r="U437" s="2540">
        <f t="shared" si="461"/>
        <v>-0.34810697115384615</v>
      </c>
      <c r="V437" s="2540">
        <f t="shared" si="461"/>
        <v>-0.36973482982970007</v>
      </c>
      <c r="W437" s="2540">
        <f t="shared" si="461"/>
        <v>-0.32544237207077953</v>
      </c>
      <c r="X437" s="2540">
        <f t="shared" si="461"/>
        <v>-0.37431515547331373</v>
      </c>
      <c r="Y437" s="2540">
        <f t="shared" si="461"/>
        <v>-0.40648937707761235</v>
      </c>
      <c r="Z437" s="2540">
        <f t="shared" si="461"/>
        <v>-0.49770716269456822</v>
      </c>
      <c r="AA437" s="2540">
        <f t="shared" si="461"/>
        <v>-0.4931290163124073</v>
      </c>
      <c r="AB437" s="2540">
        <f t="shared" si="461"/>
        <v>-0.53107530417625781</v>
      </c>
      <c r="AC437" s="2540">
        <f t="shared" si="461"/>
        <v>-0.50504783505857875</v>
      </c>
      <c r="AD437" s="2540">
        <f t="shared" si="461"/>
        <v>-0.57390532417805729</v>
      </c>
      <c r="AE437" s="2540">
        <f t="shared" si="461"/>
        <v>-0.50676969127423344</v>
      </c>
      <c r="AF437" s="2540">
        <f t="shared" si="461"/>
        <v>-0.53364645386793486</v>
      </c>
      <c r="AG437" s="2540">
        <f t="shared" si="461"/>
        <v>-0.51188559112080068</v>
      </c>
      <c r="AH437" s="2540">
        <f t="shared" si="461"/>
        <v>-0.61799079727767381</v>
      </c>
      <c r="AI437" s="2540">
        <f t="shared" si="461"/>
        <v>-0.53716073391392571</v>
      </c>
      <c r="AJ437" s="2540">
        <f t="shared" si="461"/>
        <v>-0.5211462566352778</v>
      </c>
      <c r="AK437" s="2540">
        <f t="shared" si="461"/>
        <v>-0.50129951076206847</v>
      </c>
      <c r="AL437" s="2540">
        <f t="shared" si="461"/>
        <v>-0.55798076648762851</v>
      </c>
      <c r="AM437" s="2540">
        <f t="shared" si="461"/>
        <v>-0.50043795203072394</v>
      </c>
      <c r="AN437" s="2540">
        <f t="shared" si="461"/>
        <v>-0.50714308535338171</v>
      </c>
      <c r="AO437" s="2540">
        <f t="shared" si="461"/>
        <v>-0.50384038626225425</v>
      </c>
      <c r="AP437" s="2540">
        <f t="shared" si="461"/>
        <v>-0.55114568068400671</v>
      </c>
      <c r="AQ437" s="2534">
        <f t="shared" ref="AQ437:AR441" si="462">AQ423</f>
        <v>-0.32729088639200998</v>
      </c>
      <c r="AR437" s="2261">
        <f t="shared" si="462"/>
        <v>-0.281571399600197</v>
      </c>
      <c r="AS437" s="2261">
        <f t="shared" ref="AS437:BC437" si="463">(AS336+AS383)/AS323</f>
        <v>-0.23264894103306416</v>
      </c>
      <c r="AT437" s="2535">
        <f t="shared" si="463"/>
        <v>-0.25796546113064933</v>
      </c>
      <c r="AU437" s="2534">
        <f t="shared" si="463"/>
        <v>-0.30008997162433387</v>
      </c>
      <c r="AV437" s="2261">
        <f t="shared" si="463"/>
        <v>-0.35122857341429048</v>
      </c>
      <c r="AW437" s="2261">
        <f t="shared" si="463"/>
        <v>-0.40572430933486769</v>
      </c>
      <c r="AX437" s="2534">
        <f t="shared" si="463"/>
        <v>-0.52545350330640794</v>
      </c>
      <c r="AY437" s="2261">
        <f t="shared" si="463"/>
        <v>-0.53960970039885348</v>
      </c>
      <c r="AZ437" s="2261">
        <f t="shared" si="463"/>
        <v>-0.52729306693947331</v>
      </c>
      <c r="BA437" s="2535">
        <f t="shared" si="463"/>
        <v>-0.49842991286216909</v>
      </c>
      <c r="BB437" s="2534">
        <f t="shared" si="463"/>
        <v>-0.4861560750756358</v>
      </c>
      <c r="BC437" s="2535">
        <f t="shared" si="463"/>
        <v>-0.47523812107106583</v>
      </c>
    </row>
    <row r="438" spans="1:55" s="1953" customFormat="1" ht="10.15" x14ac:dyDescent="0.3">
      <c r="A438" s="2042"/>
      <c r="B438" s="2475" t="s">
        <v>1041</v>
      </c>
      <c r="C438" s="2533">
        <f t="shared" si="460"/>
        <v>-0.1248343883409392</v>
      </c>
      <c r="D438" s="2533">
        <f t="shared" si="460"/>
        <v>-0.11908274104867909</v>
      </c>
      <c r="E438" s="2533">
        <f t="shared" si="460"/>
        <v>-0.10031915811265418</v>
      </c>
      <c r="F438" s="2533">
        <f t="shared" si="460"/>
        <v>-9.8455153331796177E-2</v>
      </c>
      <c r="G438" s="2533">
        <f t="shared" si="460"/>
        <v>-9.4451660790499159E-2</v>
      </c>
      <c r="H438" s="2533">
        <f t="shared" si="460"/>
        <v>-0.10666666666666667</v>
      </c>
      <c r="I438" s="2533">
        <f t="shared" si="460"/>
        <v>-9.1064283809015739E-2</v>
      </c>
      <c r="J438" s="2533">
        <f t="shared" si="460"/>
        <v>-9.9742332308203813E-2</v>
      </c>
      <c r="K438" s="2533">
        <f t="shared" si="460"/>
        <v>-0.12377147929744468</v>
      </c>
      <c r="L438" s="2533">
        <f t="shared" ref="L438:AP440" si="464">(L338+L384)/L$323</f>
        <v>-0.11177134707944619</v>
      </c>
      <c r="M438" s="2537">
        <f t="shared" si="464"/>
        <v>-6.940677642385118E-2</v>
      </c>
      <c r="N438" s="2537">
        <f t="shared" si="464"/>
        <v>-7.902439024390244E-2</v>
      </c>
      <c r="O438" s="2540">
        <f t="shared" si="464"/>
        <v>-9.6665843418127936E-2</v>
      </c>
      <c r="P438" s="2540">
        <f t="shared" si="464"/>
        <v>-8.8042938974335849E-2</v>
      </c>
      <c r="Q438" s="2540">
        <f t="shared" si="464"/>
        <v>-6.334134267434792E-2</v>
      </c>
      <c r="R438" s="2540">
        <f t="shared" si="464"/>
        <v>-8.2203109493880253E-2</v>
      </c>
      <c r="S438" s="2540">
        <f t="shared" si="464"/>
        <v>-8.43440940473969E-2</v>
      </c>
      <c r="T438" s="2540">
        <f t="shared" si="464"/>
        <v>-7.8239822699171818E-2</v>
      </c>
      <c r="U438" s="2540">
        <f t="shared" si="464"/>
        <v>-5.3128756009615384E-2</v>
      </c>
      <c r="V438" s="2540">
        <f t="shared" si="464"/>
        <v>-8.0976697166852435E-2</v>
      </c>
      <c r="W438" s="2540">
        <f t="shared" si="464"/>
        <v>-6.7033317391997443E-2</v>
      </c>
      <c r="X438" s="2540">
        <f t="shared" si="464"/>
        <v>-6.1626936613330428E-2</v>
      </c>
      <c r="Y438" s="2540">
        <f t="shared" si="464"/>
        <v>-5.2921905863082333E-2</v>
      </c>
      <c r="Z438" s="2540">
        <f t="shared" si="464"/>
        <v>-6.8219983207388743E-2</v>
      </c>
      <c r="AA438" s="2540">
        <f t="shared" si="464"/>
        <v>-6.1764705882352944E-2</v>
      </c>
      <c r="AB438" s="2540">
        <f t="shared" si="464"/>
        <v>-6.2091887067224127E-2</v>
      </c>
      <c r="AC438" s="2540">
        <f t="shared" si="464"/>
        <v>-5.0427190095329047E-2</v>
      </c>
      <c r="AD438" s="2540">
        <f t="shared" si="464"/>
        <v>-6.2653746604205432E-2</v>
      </c>
      <c r="AE438" s="2540">
        <f t="shared" si="464"/>
        <v>-6.499077651317392E-2</v>
      </c>
      <c r="AF438" s="2540">
        <f t="shared" si="464"/>
        <v>-6.2352437046808436E-2</v>
      </c>
      <c r="AG438" s="2540">
        <f t="shared" si="464"/>
        <v>-4.6037310474680411E-2</v>
      </c>
      <c r="AH438" s="2540">
        <f t="shared" si="464"/>
        <v>-6.2135871371835467E-2</v>
      </c>
      <c r="AI438" s="2540">
        <f t="shared" si="464"/>
        <v>-5.1752508926771211E-2</v>
      </c>
      <c r="AJ438" s="2540">
        <f t="shared" si="464"/>
        <v>-6.838418976621248E-2</v>
      </c>
      <c r="AK438" s="2540">
        <f t="shared" si="464"/>
        <v>-5.2163134440508914E-2</v>
      </c>
      <c r="AL438" s="2540">
        <f t="shared" si="464"/>
        <v>-6.4422038044011476E-2</v>
      </c>
      <c r="AM438" s="2540">
        <f t="shared" si="464"/>
        <v>-6.7577529485095517E-2</v>
      </c>
      <c r="AN438" s="2540">
        <f t="shared" si="464"/>
        <v>-6.6094932410095814E-2</v>
      </c>
      <c r="AO438" s="2540">
        <f t="shared" si="464"/>
        <v>-6.0114246927257628E-2</v>
      </c>
      <c r="AP438" s="2540">
        <f t="shared" si="464"/>
        <v>-6.401752225859518E-2</v>
      </c>
      <c r="AQ438" s="2534">
        <f t="shared" si="462"/>
        <v>-0.14466916354556805</v>
      </c>
      <c r="AR438" s="2261">
        <f t="shared" si="462"/>
        <v>-0.10872903207115335</v>
      </c>
      <c r="AS438" s="2261">
        <f>AS424</f>
        <v>-9.700213317080604E-2</v>
      </c>
      <c r="AT438" s="2535">
        <f t="shared" ref="AT438:BC438" si="465">(AT338+AT384)/AT323</f>
        <v>-8.8997952863366758E-2</v>
      </c>
      <c r="AU438" s="2534">
        <f t="shared" si="465"/>
        <v>-7.9936327773548338E-2</v>
      </c>
      <c r="AV438" s="2261">
        <f t="shared" si="465"/>
        <v>-7.1698900001895466E-2</v>
      </c>
      <c r="AW438" s="2261">
        <f t="shared" si="465"/>
        <v>-6.1454612292520756E-2</v>
      </c>
      <c r="AX438" s="2534">
        <f t="shared" si="465"/>
        <v>-5.8530850962201869E-2</v>
      </c>
      <c r="AY438" s="2261">
        <f t="shared" si="465"/>
        <v>-5.7730753309228174E-2</v>
      </c>
      <c r="AZ438" s="2261">
        <f t="shared" si="465"/>
        <v>-5.8690905585408036E-2</v>
      </c>
      <c r="BA438" s="2535">
        <f t="shared" si="465"/>
        <v>-6.2608953258017561E-2</v>
      </c>
      <c r="BB438" s="2534">
        <f t="shared" si="465"/>
        <v>-6.0835245184624964E-2</v>
      </c>
      <c r="BC438" s="2535">
        <f t="shared" si="465"/>
        <v>-6.0494612105939267E-2</v>
      </c>
    </row>
    <row r="439" spans="1:55" s="1953" customFormat="1" ht="10.15" x14ac:dyDescent="0.3">
      <c r="A439" s="2042"/>
      <c r="B439" s="2475" t="s">
        <v>1042</v>
      </c>
      <c r="C439" s="2533">
        <f t="shared" si="460"/>
        <v>-0.12792580597674078</v>
      </c>
      <c r="D439" s="2533">
        <f t="shared" si="460"/>
        <v>-0.13061552903312323</v>
      </c>
      <c r="E439" s="2533">
        <f t="shared" si="460"/>
        <v>-0.1077374277581299</v>
      </c>
      <c r="F439" s="2533">
        <f t="shared" si="460"/>
        <v>-6.0064560756283143E-2</v>
      </c>
      <c r="G439" s="2533">
        <f t="shared" si="460"/>
        <v>-6.6153275190202268E-2</v>
      </c>
      <c r="H439" s="2533">
        <f t="shared" si="460"/>
        <v>-0.06</v>
      </c>
      <c r="I439" s="2533">
        <f t="shared" si="460"/>
        <v>-0.10120032008535609</v>
      </c>
      <c r="J439" s="2533">
        <f t="shared" si="460"/>
        <v>-0.10622558390823705</v>
      </c>
      <c r="K439" s="2533">
        <f t="shared" si="460"/>
        <v>-7.6849914399847827E-2</v>
      </c>
      <c r="L439" s="2533">
        <f t="shared" si="464"/>
        <v>-9.3647869748648166E-2</v>
      </c>
      <c r="M439" s="2540">
        <f t="shared" si="464"/>
        <v>-0.10004201841170404</v>
      </c>
      <c r="N439" s="2540">
        <f t="shared" si="464"/>
        <v>-0.1109325681492109</v>
      </c>
      <c r="O439" s="2540">
        <f t="shared" si="464"/>
        <v>-8.6144727093109413E-2</v>
      </c>
      <c r="P439" s="2540">
        <f t="shared" si="464"/>
        <v>-9.7469667583780617E-2</v>
      </c>
      <c r="Q439" s="2540">
        <f t="shared" si="464"/>
        <v>-9.1161740439452271E-2</v>
      </c>
      <c r="R439" s="2540">
        <f t="shared" si="464"/>
        <v>-9.4690704598081377E-2</v>
      </c>
      <c r="S439" s="2540">
        <f t="shared" si="464"/>
        <v>-9.8494744044286875E-2</v>
      </c>
      <c r="T439" s="2540">
        <f t="shared" si="464"/>
        <v>-9.9148489443602009E-2</v>
      </c>
      <c r="U439" s="2540">
        <f t="shared" si="464"/>
        <v>-7.7073317307692304E-2</v>
      </c>
      <c r="V439" s="2540">
        <f t="shared" si="464"/>
        <v>-0.10033956297467535</v>
      </c>
      <c r="W439" s="2540">
        <f t="shared" si="464"/>
        <v>-8.8753387533875336E-2</v>
      </c>
      <c r="X439" s="2540">
        <f t="shared" si="464"/>
        <v>-0.10458619063168971</v>
      </c>
      <c r="Y439" s="2540">
        <f t="shared" si="464"/>
        <v>-9.7232258996964874E-2</v>
      </c>
      <c r="Z439" s="2540">
        <f t="shared" si="464"/>
        <v>-0.11254278886520701</v>
      </c>
      <c r="AA439" s="2540">
        <f t="shared" si="464"/>
        <v>-8.4750370736529912E-2</v>
      </c>
      <c r="AB439" s="2540">
        <f t="shared" si="464"/>
        <v>-9.8181989007375389E-2</v>
      </c>
      <c r="AC439" s="2540">
        <f t="shared" si="464"/>
        <v>-9.6062347584372182E-2</v>
      </c>
      <c r="AD439" s="2540">
        <f t="shared" si="464"/>
        <v>-9.5028770668891316E-2</v>
      </c>
      <c r="AE439" s="2540">
        <f t="shared" si="464"/>
        <v>-8.5586996623855771E-2</v>
      </c>
      <c r="AF439" s="2540">
        <f t="shared" si="464"/>
        <v>-9.2474184360217454E-2</v>
      </c>
      <c r="AG439" s="2540">
        <f t="shared" si="464"/>
        <v>-9.1907392726191653E-2</v>
      </c>
      <c r="AH439" s="2540">
        <f t="shared" si="464"/>
        <v>-9.7643333275014441E-2</v>
      </c>
      <c r="AI439" s="2540">
        <f t="shared" si="464"/>
        <v>-8.3992949639351944E-2</v>
      </c>
      <c r="AJ439" s="2540">
        <f t="shared" si="464"/>
        <v>-8.9405000719867705E-2</v>
      </c>
      <c r="AK439" s="2540">
        <f t="shared" si="464"/>
        <v>-8.8215464415906469E-2</v>
      </c>
      <c r="AL439" s="2540">
        <f t="shared" si="464"/>
        <v>-8.3724685787856773E-2</v>
      </c>
      <c r="AM439" s="2540">
        <f t="shared" si="464"/>
        <v>-8.1775034440281669E-2</v>
      </c>
      <c r="AN439" s="2540">
        <f t="shared" si="464"/>
        <v>-8.4675524078155276E-2</v>
      </c>
      <c r="AO439" s="2540">
        <f t="shared" si="464"/>
        <v>-8.7178967066805904E-2</v>
      </c>
      <c r="AP439" s="2540">
        <f t="shared" si="464"/>
        <v>-8.0193100569737275E-2</v>
      </c>
      <c r="AQ439" s="2534">
        <f t="shared" si="462"/>
        <v>-0.15270911360799</v>
      </c>
      <c r="AR439" s="2261">
        <f t="shared" si="462"/>
        <v>-0.10467305965176579</v>
      </c>
      <c r="AS439" s="2261">
        <f>AS425</f>
        <v>-8.6564833155569093E-2</v>
      </c>
      <c r="AT439" s="2535">
        <f t="shared" ref="AT439:BC440" si="466">(AT339+AT385)/AT$323</f>
        <v>-9.5506797543436037E-2</v>
      </c>
      <c r="AU439" s="2534">
        <f t="shared" si="466"/>
        <v>-9.238405030501369E-2</v>
      </c>
      <c r="AV439" s="2261">
        <f t="shared" si="466"/>
        <v>-9.1879221345396875E-2</v>
      </c>
      <c r="AW439" s="2261">
        <f t="shared" si="466"/>
        <v>-0.10094059920244859</v>
      </c>
      <c r="AX439" s="2534">
        <f t="shared" si="466"/>
        <v>-9.3855813015465292E-2</v>
      </c>
      <c r="AY439" s="2261">
        <f t="shared" si="466"/>
        <v>-9.190109689608425E-2</v>
      </c>
      <c r="AZ439" s="2261">
        <f t="shared" si="466"/>
        <v>-8.6481288670673118E-2</v>
      </c>
      <c r="BA439" s="2535">
        <f t="shared" si="466"/>
        <v>-8.0887869728892642E-2</v>
      </c>
      <c r="BB439" s="2534">
        <f t="shared" si="466"/>
        <v>-7.9282837269461739E-2</v>
      </c>
      <c r="BC439" s="2535">
        <f t="shared" si="466"/>
        <v>-7.7697887636270058E-2</v>
      </c>
    </row>
    <row r="440" spans="1:55" s="1953" customFormat="1" ht="10.15" x14ac:dyDescent="0.3">
      <c r="A440" s="2042"/>
      <c r="B440" s="2475" t="s">
        <v>1043</v>
      </c>
      <c r="C440" s="2533">
        <f t="shared" si="460"/>
        <v>-7.9051965258354187E-2</v>
      </c>
      <c r="D440" s="2533">
        <f t="shared" si="460"/>
        <v>-0.10781815743596621</v>
      </c>
      <c r="E440" s="2533">
        <f t="shared" si="460"/>
        <v>-8.6517726214094717E-2</v>
      </c>
      <c r="F440" s="2533">
        <f t="shared" si="460"/>
        <v>-6.2831450311275072E-2</v>
      </c>
      <c r="G440" s="2533">
        <f t="shared" si="460"/>
        <v>-8.0256077194284653E-2</v>
      </c>
      <c r="H440" s="2533">
        <f t="shared" si="460"/>
        <v>-7.2420091324200908E-2</v>
      </c>
      <c r="I440" s="2533">
        <f t="shared" si="460"/>
        <v>-0.1091491064283809</v>
      </c>
      <c r="J440" s="2533">
        <f t="shared" si="460"/>
        <v>-4.2722965672013967E-2</v>
      </c>
      <c r="K440" s="2533">
        <f t="shared" si="460"/>
        <v>-5.9856699004501933E-2</v>
      </c>
      <c r="L440" s="2533">
        <f t="shared" si="464"/>
        <v>-5.8113969932854004E-2</v>
      </c>
      <c r="M440" s="2537">
        <f t="shared" si="464"/>
        <v>-4.5341686084266017E-2</v>
      </c>
      <c r="N440" s="2537">
        <f t="shared" si="464"/>
        <v>-6.4447632711621239E-2</v>
      </c>
      <c r="O440" s="2540">
        <f t="shared" si="464"/>
        <v>-5.0037046184243025E-2</v>
      </c>
      <c r="P440" s="2540">
        <f t="shared" si="464"/>
        <v>-5.1689143475711512E-2</v>
      </c>
      <c r="Q440" s="2540">
        <f t="shared" si="464"/>
        <v>-4.7766551833946097E-2</v>
      </c>
      <c r="R440" s="2540">
        <f t="shared" si="464"/>
        <v>-4.0646708567648029E-2</v>
      </c>
      <c r="S440" s="2540">
        <f t="shared" si="464"/>
        <v>-5.1813149219381724E-2</v>
      </c>
      <c r="T440" s="2540">
        <f t="shared" si="464"/>
        <v>-4.8874373031610872E-2</v>
      </c>
      <c r="U440" s="2540">
        <f t="shared" si="464"/>
        <v>-3.9625901442307696E-2</v>
      </c>
      <c r="V440" s="2540">
        <f t="shared" si="464"/>
        <v>-5.6222297104642424E-2</v>
      </c>
      <c r="W440" s="2540">
        <f t="shared" si="464"/>
        <v>-5.0135501355013552E-2</v>
      </c>
      <c r="X440" s="2540">
        <f t="shared" si="464"/>
        <v>-4.1888900983273469E-2</v>
      </c>
      <c r="Y440" s="2540">
        <f t="shared" si="464"/>
        <v>-3.792696439755263E-2</v>
      </c>
      <c r="Z440" s="2540">
        <f t="shared" si="464"/>
        <v>-5.0184072854098045E-2</v>
      </c>
      <c r="AA440" s="2540">
        <f t="shared" si="464"/>
        <v>-3.2847256549678697E-2</v>
      </c>
      <c r="AB440" s="2540">
        <f t="shared" si="464"/>
        <v>-3.671254756424109E-2</v>
      </c>
      <c r="AC440" s="2540">
        <f t="shared" si="464"/>
        <v>-3.6665018161974115E-2</v>
      </c>
      <c r="AD440" s="2540">
        <f t="shared" si="464"/>
        <v>-6.4365013155361611E-2</v>
      </c>
      <c r="AE440" s="2540">
        <f t="shared" si="464"/>
        <v>-4.1966865058647454E-2</v>
      </c>
      <c r="AF440" s="2540">
        <f t="shared" si="464"/>
        <v>-4.1893174924590604E-2</v>
      </c>
      <c r="AG440" s="2540">
        <f t="shared" si="464"/>
        <v>-3.6387622634030323E-2</v>
      </c>
      <c r="AH440" s="2540">
        <f t="shared" si="464"/>
        <v>-4.8786675297863777E-2</v>
      </c>
      <c r="AI440" s="2540">
        <f t="shared" si="464"/>
        <v>-3.1993287848534321E-2</v>
      </c>
      <c r="AJ440" s="2540">
        <f t="shared" si="464"/>
        <v>-5.1435042986460913E-2</v>
      </c>
      <c r="AK440" s="2540">
        <f t="shared" si="464"/>
        <v>-3.460577239225493E-2</v>
      </c>
      <c r="AL440" s="2540">
        <f t="shared" si="464"/>
        <v>-6.3718227358072588E-2</v>
      </c>
      <c r="AM440" s="2540">
        <f t="shared" si="464"/>
        <v>-6.102980481128388E-2</v>
      </c>
      <c r="AN440" s="2540">
        <f t="shared" si="464"/>
        <v>-5.7204706860635231E-2</v>
      </c>
      <c r="AO440" s="2540">
        <f t="shared" si="464"/>
        <v>-3.3015991223754752E-2</v>
      </c>
      <c r="AP440" s="2540">
        <f t="shared" si="464"/>
        <v>-6.9738332608628315E-2</v>
      </c>
      <c r="AQ440" s="2534">
        <f t="shared" si="462"/>
        <v>-0.11041198501872659</v>
      </c>
      <c r="AR440" s="2261">
        <f t="shared" si="462"/>
        <v>-8.3697887997218764E-2</v>
      </c>
      <c r="AS440" s="2261">
        <f>AS426</f>
        <v>-8.0336736248666774E-2</v>
      </c>
      <c r="AT440" s="2535">
        <f t="shared" si="466"/>
        <v>-6.595454306860532E-2</v>
      </c>
      <c r="AU440" s="2534">
        <f t="shared" si="466"/>
        <v>-4.7378464154711648E-2</v>
      </c>
      <c r="AV440" s="2261">
        <f t="shared" si="466"/>
        <v>-4.8150979636450944E-2</v>
      </c>
      <c r="AW440" s="2261">
        <f t="shared" si="466"/>
        <v>-4.428088513821294E-2</v>
      </c>
      <c r="AX440" s="2534">
        <f t="shared" si="466"/>
        <v>-4.2728556113405015E-2</v>
      </c>
      <c r="AY440" s="2261">
        <f t="shared" si="466"/>
        <v>-4.1711872021596555E-2</v>
      </c>
      <c r="AZ440" s="2261">
        <f t="shared" si="466"/>
        <v>-4.4723667215706156E-2</v>
      </c>
      <c r="BA440" s="2535">
        <f t="shared" si="466"/>
        <v>-7.4226997077550386E-2</v>
      </c>
      <c r="BB440" s="2534">
        <f t="shared" si="466"/>
        <v>-7.8598618393455028E-2</v>
      </c>
      <c r="BC440" s="2535">
        <f t="shared" si="466"/>
        <v>-7.9389916389029536E-2</v>
      </c>
    </row>
    <row r="441" spans="1:55" s="2388" customFormat="1" ht="10.15" x14ac:dyDescent="0.3">
      <c r="A441" s="2042"/>
      <c r="B441" s="2472" t="s">
        <v>1127</v>
      </c>
      <c r="C441" s="2533">
        <f t="shared" si="460"/>
        <v>-0.33181215957603416</v>
      </c>
      <c r="D441" s="2533">
        <f t="shared" si="460"/>
        <v>-0.35751642751776858</v>
      </c>
      <c r="E441" s="2533">
        <f t="shared" si="460"/>
        <v>-0.29457431208487878</v>
      </c>
      <c r="F441" s="2533">
        <f t="shared" si="460"/>
        <v>-0.2213511643993544</v>
      </c>
      <c r="G441" s="2533">
        <f t="shared" si="460"/>
        <v>-0.24086101317498607</v>
      </c>
      <c r="H441" s="2533">
        <f t="shared" si="460"/>
        <v>-0.23908675799086759</v>
      </c>
      <c r="I441" s="2533">
        <f t="shared" si="460"/>
        <v>-0.30141371032275271</v>
      </c>
      <c r="J441" s="2533">
        <f t="shared" si="460"/>
        <v>-0.24869088188845484</v>
      </c>
      <c r="K441" s="2533">
        <f t="shared" si="460"/>
        <v>-0.26047809270179445</v>
      </c>
      <c r="L441" s="2533">
        <f t="shared" ref="L441:AP441" si="467">L438+L439+L440</f>
        <v>-0.26353318676094839</v>
      </c>
      <c r="M441" s="2533">
        <f t="shared" si="467"/>
        <v>-0.21479048091982123</v>
      </c>
      <c r="N441" s="2533">
        <f t="shared" si="467"/>
        <v>-0.25440459110473457</v>
      </c>
      <c r="O441" s="2533">
        <f t="shared" si="467"/>
        <v>-0.23284761669548037</v>
      </c>
      <c r="P441" s="2543">
        <f t="shared" si="467"/>
        <v>-0.23720175003382798</v>
      </c>
      <c r="Q441" s="2533">
        <f t="shared" si="467"/>
        <v>-0.20226963494774627</v>
      </c>
      <c r="R441" s="2543">
        <f t="shared" si="467"/>
        <v>-0.21754052265960966</v>
      </c>
      <c r="S441" s="2543">
        <f t="shared" si="467"/>
        <v>-0.23465198731106551</v>
      </c>
      <c r="T441" s="2543">
        <f t="shared" si="467"/>
        <v>-0.22626268517438472</v>
      </c>
      <c r="U441" s="2533">
        <f t="shared" si="467"/>
        <v>-0.16982797475961536</v>
      </c>
      <c r="V441" s="2533">
        <f t="shared" si="467"/>
        <v>-0.23753855724617023</v>
      </c>
      <c r="W441" s="2533">
        <f t="shared" si="467"/>
        <v>-0.20592220628088631</v>
      </c>
      <c r="X441" s="2533">
        <f t="shared" si="467"/>
        <v>-0.2081020282282936</v>
      </c>
      <c r="Y441" s="2533">
        <f t="shared" si="467"/>
        <v>-0.18808112925759984</v>
      </c>
      <c r="Z441" s="2533">
        <f t="shared" si="467"/>
        <v>-0.23094684492669379</v>
      </c>
      <c r="AA441" s="2533">
        <f t="shared" si="467"/>
        <v>-0.17936233316856154</v>
      </c>
      <c r="AB441" s="2533">
        <f t="shared" si="467"/>
        <v>-0.19698642363884061</v>
      </c>
      <c r="AC441" s="2533">
        <f t="shared" si="467"/>
        <v>-0.18315455584167536</v>
      </c>
      <c r="AD441" s="2533">
        <f t="shared" si="467"/>
        <v>-0.22204753042845835</v>
      </c>
      <c r="AE441" s="2533">
        <f t="shared" si="467"/>
        <v>-0.19254463819567713</v>
      </c>
      <c r="AF441" s="2533">
        <f t="shared" si="467"/>
        <v>-0.19671979633161649</v>
      </c>
      <c r="AG441" s="2533">
        <f t="shared" si="467"/>
        <v>-0.17433232583490238</v>
      </c>
      <c r="AH441" s="2533">
        <f t="shared" si="467"/>
        <v>-0.20856587994471371</v>
      </c>
      <c r="AI441" s="2533">
        <f t="shared" si="467"/>
        <v>-0.16773874641465747</v>
      </c>
      <c r="AJ441" s="2533">
        <f t="shared" si="467"/>
        <v>-0.2092242334725411</v>
      </c>
      <c r="AK441" s="2533">
        <f t="shared" si="467"/>
        <v>-0.17498437124867031</v>
      </c>
      <c r="AL441" s="2533">
        <f t="shared" si="467"/>
        <v>-0.21186495118994084</v>
      </c>
      <c r="AM441" s="2533">
        <f t="shared" si="467"/>
        <v>-0.21038236873666105</v>
      </c>
      <c r="AN441" s="2533">
        <f t="shared" si="467"/>
        <v>-0.20797516334888633</v>
      </c>
      <c r="AO441" s="2533">
        <f t="shared" si="467"/>
        <v>-0.18030920521781829</v>
      </c>
      <c r="AP441" s="2533">
        <f t="shared" si="467"/>
        <v>-0.2139489554369608</v>
      </c>
      <c r="AQ441" s="2534">
        <f t="shared" si="462"/>
        <v>-0.40779026217228465</v>
      </c>
      <c r="AR441" s="2261">
        <f t="shared" si="462"/>
        <v>-0.29709997972013791</v>
      </c>
      <c r="AS441" s="2261">
        <f>AS427</f>
        <v>-0.26390370257504192</v>
      </c>
      <c r="AT441" s="2535">
        <f t="shared" ref="AT441:BC441" si="468">SUM(AT438:AT440)</f>
        <v>-0.25045929347540813</v>
      </c>
      <c r="AU441" s="2534">
        <f t="shared" si="468"/>
        <v>-0.21969884223327368</v>
      </c>
      <c r="AV441" s="2261">
        <f t="shared" si="468"/>
        <v>-0.21172910098374326</v>
      </c>
      <c r="AW441" s="2261">
        <f t="shared" si="468"/>
        <v>-0.20667609663318229</v>
      </c>
      <c r="AX441" s="2534">
        <f t="shared" si="468"/>
        <v>-0.19511522009107216</v>
      </c>
      <c r="AY441" s="2261">
        <f t="shared" si="468"/>
        <v>-0.19134372222690899</v>
      </c>
      <c r="AZ441" s="2261">
        <f t="shared" si="468"/>
        <v>-0.18989586147178733</v>
      </c>
      <c r="BA441" s="2535">
        <f t="shared" si="468"/>
        <v>-0.21772382006446056</v>
      </c>
      <c r="BB441" s="2534">
        <f t="shared" si="468"/>
        <v>-0.21871670084754172</v>
      </c>
      <c r="BC441" s="2535">
        <f t="shared" si="468"/>
        <v>-0.21758241613123885</v>
      </c>
    </row>
    <row r="442" spans="1:55" s="1953" customFormat="1" ht="10.15" x14ac:dyDescent="0.3">
      <c r="A442" s="1970" t="s">
        <v>1128</v>
      </c>
      <c r="B442" s="2475" t="s">
        <v>1129</v>
      </c>
      <c r="C442" s="2533">
        <f t="shared" ref="C442:AI442" si="469">C402/C401</f>
        <v>-0.19421951987821626</v>
      </c>
      <c r="D442" s="2533">
        <f t="shared" si="469"/>
        <v>-4.5498842385883878</v>
      </c>
      <c r="E442" s="2533">
        <f t="shared" si="469"/>
        <v>-9.1659313122124567E-2</v>
      </c>
      <c r="F442" s="2533">
        <f t="shared" si="469"/>
        <v>-0.10674914998379205</v>
      </c>
      <c r="G442" s="2533">
        <f t="shared" si="469"/>
        <v>-0.11147731678945327</v>
      </c>
      <c r="H442" s="2533">
        <f t="shared" si="469"/>
        <v>-9.7549770290964774E-2</v>
      </c>
      <c r="I442" s="2533">
        <f t="shared" si="469"/>
        <v>-6.6137093895037483E-2</v>
      </c>
      <c r="J442" s="2533">
        <f t="shared" si="469"/>
        <v>-0.13591050066459903</v>
      </c>
      <c r="K442" s="2533">
        <f t="shared" si="469"/>
        <v>-0.16491668568819903</v>
      </c>
      <c r="L442" s="2533">
        <f t="shared" si="469"/>
        <v>-0.16435497729225482</v>
      </c>
      <c r="M442" s="2533">
        <f t="shared" si="469"/>
        <v>-0.15626608337622233</v>
      </c>
      <c r="N442" s="2533">
        <f t="shared" si="469"/>
        <v>-0.13450357781753131</v>
      </c>
      <c r="O442" s="2533">
        <f t="shared" si="469"/>
        <v>-0.13140495867768595</v>
      </c>
      <c r="P442" s="2533">
        <f t="shared" si="469"/>
        <v>-0.15764899752815162</v>
      </c>
      <c r="Q442" s="2533">
        <f t="shared" si="469"/>
        <v>-0.16779635487272179</v>
      </c>
      <c r="R442" s="2533">
        <f t="shared" si="469"/>
        <v>-0.17591885701821355</v>
      </c>
      <c r="S442" s="2540">
        <f t="shared" si="469"/>
        <v>-0.15947006869479882</v>
      </c>
      <c r="T442" s="2540">
        <f t="shared" si="469"/>
        <v>-0.13902925531914895</v>
      </c>
      <c r="U442" s="2533">
        <f t="shared" si="469"/>
        <v>-0.18669993490995879</v>
      </c>
      <c r="V442" s="2533">
        <f t="shared" si="469"/>
        <v>-0.28586086599630617</v>
      </c>
      <c r="W442" s="2533">
        <f t="shared" si="469"/>
        <v>-0.18987495447371616</v>
      </c>
      <c r="X442" s="2533">
        <f t="shared" si="469"/>
        <v>-0.10639588980136737</v>
      </c>
      <c r="Y442" s="2533">
        <f t="shared" si="469"/>
        <v>-0.20239220318960424</v>
      </c>
      <c r="Z442" s="2533">
        <f t="shared" si="469"/>
        <v>-0.23333333333333334</v>
      </c>
      <c r="AA442" s="2533">
        <f t="shared" si="469"/>
        <v>-0.24018144018144019</v>
      </c>
      <c r="AB442" s="2533">
        <f t="shared" si="469"/>
        <v>6.6097257393021164E-3</v>
      </c>
      <c r="AC442" s="2533">
        <f t="shared" si="469"/>
        <v>-0.19636981498462699</v>
      </c>
      <c r="AD442" s="2533">
        <f t="shared" si="469"/>
        <v>-0.16262369003381905</v>
      </c>
      <c r="AE442" s="2533">
        <f t="shared" si="469"/>
        <v>-0.18462997602550255</v>
      </c>
      <c r="AF442" s="2533">
        <f t="shared" si="469"/>
        <v>-8.1758537542757803E-2</v>
      </c>
      <c r="AG442" s="2533">
        <f t="shared" si="469"/>
        <v>-0.15669665530000726</v>
      </c>
      <c r="AH442" s="2533">
        <f t="shared" si="469"/>
        <v>-0.16574957888826503</v>
      </c>
      <c r="AI442" s="2533">
        <f t="shared" si="469"/>
        <v>-0.1993265856676335</v>
      </c>
      <c r="AJ442" s="2533">
        <v>-0.2</v>
      </c>
      <c r="AK442" s="2533">
        <v>-0.2</v>
      </c>
      <c r="AL442" s="2533">
        <v>-0.2</v>
      </c>
      <c r="AM442" s="2533">
        <v>-0.2</v>
      </c>
      <c r="AN442" s="2533">
        <v>-0.2</v>
      </c>
      <c r="AO442" s="2533">
        <v>-0.2</v>
      </c>
      <c r="AP442" s="2533">
        <v>-0.2</v>
      </c>
      <c r="AQ442" s="2534">
        <v>-0.2</v>
      </c>
      <c r="AR442" s="2261">
        <v>-0.2</v>
      </c>
      <c r="AS442" s="2261">
        <v>-0.2</v>
      </c>
      <c r="AT442" s="2535">
        <v>-0.2</v>
      </c>
      <c r="AU442" s="2534">
        <f t="shared" ref="AU442:BA442" si="470">AU403/AU401-1</f>
        <v>-0.15929586042947796</v>
      </c>
      <c r="AV442" s="2261">
        <f t="shared" si="470"/>
        <v>-0.19150868271420385</v>
      </c>
      <c r="AW442" s="2261">
        <f t="shared" si="470"/>
        <v>-0.18160896931549964</v>
      </c>
      <c r="AX442" s="2534">
        <f t="shared" si="470"/>
        <v>-0.155902883700899</v>
      </c>
      <c r="AY442" s="2261">
        <f t="shared" si="470"/>
        <v>-0.1478806200553161</v>
      </c>
      <c r="AZ442" s="2261">
        <f t="shared" si="470"/>
        <v>-0.19984864678599468</v>
      </c>
      <c r="BA442" s="2535">
        <f t="shared" si="470"/>
        <v>-0.20000000000000007</v>
      </c>
      <c r="BB442" s="2534">
        <v>-0.2</v>
      </c>
      <c r="BC442" s="2535">
        <v>-0.2</v>
      </c>
    </row>
    <row r="443" spans="1:55" s="1953" customFormat="1" ht="10.15" x14ac:dyDescent="0.3">
      <c r="A443" s="2042"/>
      <c r="B443" s="2532" t="s">
        <v>1130</v>
      </c>
      <c r="C443" s="2533"/>
      <c r="D443" s="2533"/>
      <c r="E443" s="2533"/>
      <c r="F443" s="2533"/>
      <c r="G443" s="2533"/>
      <c r="H443" s="2533"/>
      <c r="I443" s="2533"/>
      <c r="J443" s="2533"/>
      <c r="K443" s="2533"/>
      <c r="L443" s="2533"/>
      <c r="M443" s="2533"/>
      <c r="N443" s="2533"/>
      <c r="O443" s="2533"/>
      <c r="P443" s="2533"/>
      <c r="Q443" s="2533"/>
      <c r="R443" s="2533"/>
      <c r="S443" s="2533"/>
      <c r="T443" s="2533"/>
      <c r="U443" s="2533"/>
      <c r="V443" s="2533"/>
      <c r="W443" s="2261"/>
      <c r="X443" s="2261"/>
      <c r="Y443" s="2261"/>
      <c r="Z443" s="2261"/>
      <c r="AA443" s="2261"/>
      <c r="AB443" s="2261"/>
      <c r="AC443" s="2261"/>
      <c r="AD443" s="2261"/>
      <c r="AE443" s="2261"/>
      <c r="AF443" s="2261"/>
      <c r="AG443" s="2261"/>
      <c r="AH443" s="2261"/>
      <c r="AI443" s="2261"/>
      <c r="AJ443" s="2261"/>
      <c r="AK443" s="2261"/>
      <c r="AL443" s="2261"/>
      <c r="AM443" s="2261"/>
      <c r="AN443" s="2261"/>
      <c r="AO443" s="2261"/>
      <c r="AP443" s="2261"/>
      <c r="AQ443" s="2534"/>
      <c r="AR443" s="2261"/>
      <c r="AS443" s="2261"/>
      <c r="AT443" s="2535"/>
      <c r="AU443" s="2534"/>
      <c r="AV443" s="2261"/>
      <c r="AW443" s="2261"/>
      <c r="AX443" s="2534"/>
      <c r="AY443" s="2261"/>
      <c r="AZ443" s="2261"/>
      <c r="BA443" s="2535"/>
      <c r="BB443" s="2534"/>
      <c r="BC443" s="2535"/>
    </row>
    <row r="444" spans="1:55" s="1953" customFormat="1" ht="10.15" x14ac:dyDescent="0.3">
      <c r="A444" s="2042"/>
      <c r="B444" s="2475" t="s">
        <v>1131</v>
      </c>
      <c r="C444" s="2533">
        <f t="shared" ref="C444:BC444" si="471">C337/C$323</f>
        <v>0.68232003533048724</v>
      </c>
      <c r="D444" s="2533">
        <f t="shared" si="471"/>
        <v>0.68177551294086092</v>
      </c>
      <c r="E444" s="2533">
        <f t="shared" si="471"/>
        <v>0.74890019839558353</v>
      </c>
      <c r="F444" s="2533">
        <f t="shared" si="471"/>
        <v>0.73749135347014061</v>
      </c>
      <c r="G444" s="2533">
        <f t="shared" si="471"/>
        <v>0.74698459825570607</v>
      </c>
      <c r="H444" s="2533">
        <f t="shared" si="471"/>
        <v>0.7259360730593607</v>
      </c>
      <c r="I444" s="2533">
        <f t="shared" si="471"/>
        <v>0.77748732995465453</v>
      </c>
      <c r="J444" s="2533">
        <f t="shared" si="471"/>
        <v>0.71157842240877733</v>
      </c>
      <c r="K444" s="2533">
        <f t="shared" si="471"/>
        <v>0.70927652019529519</v>
      </c>
      <c r="L444" s="2533">
        <f t="shared" si="471"/>
        <v>0.66747875690771885</v>
      </c>
      <c r="M444" s="2537">
        <f t="shared" si="471"/>
        <v>0.71274685816876127</v>
      </c>
      <c r="N444" s="2533">
        <f t="shared" si="471"/>
        <v>0.64803443328550936</v>
      </c>
      <c r="O444" s="2533">
        <f t="shared" si="471"/>
        <v>0.66851074339343053</v>
      </c>
      <c r="P444" s="2533">
        <f t="shared" si="471"/>
        <v>0.67836362816291551</v>
      </c>
      <c r="Q444" s="2533">
        <f t="shared" si="471"/>
        <v>0.6829748429493675</v>
      </c>
      <c r="R444" s="2533">
        <f t="shared" si="471"/>
        <v>0.60461462123718157</v>
      </c>
      <c r="S444" s="2533">
        <f t="shared" si="471"/>
        <v>0.63475772843192135</v>
      </c>
      <c r="T444" s="2533">
        <f t="shared" si="471"/>
        <v>0.61731599206812082</v>
      </c>
      <c r="U444" s="2533">
        <f t="shared" si="471"/>
        <v>0.64081280048076927</v>
      </c>
      <c r="V444" s="2533">
        <f t="shared" si="471"/>
        <v>0.59848622307472976</v>
      </c>
      <c r="W444" s="2261">
        <f t="shared" si="471"/>
        <v>0.65208034433285511</v>
      </c>
      <c r="X444" s="2261">
        <f t="shared" si="471"/>
        <v>0.60084902579732236</v>
      </c>
      <c r="Y444" s="2261">
        <f t="shared" si="471"/>
        <v>0.57751601869248925</v>
      </c>
      <c r="Z444" s="2261">
        <f t="shared" si="471"/>
        <v>0.47516631143835175</v>
      </c>
      <c r="AA444" s="2261">
        <f t="shared" si="471"/>
        <v>0.45971329708353931</v>
      </c>
      <c r="AB444" s="2261">
        <f t="shared" si="471"/>
        <v>0.45053318927044678</v>
      </c>
      <c r="AC444" s="2261">
        <f t="shared" si="471"/>
        <v>0.48146284895717867</v>
      </c>
      <c r="AD444" s="2261">
        <f t="shared" si="471"/>
        <v>0.4052279193137821</v>
      </c>
      <c r="AE444" s="2261">
        <f t="shared" si="471"/>
        <v>0.47802895826807279</v>
      </c>
      <c r="AF444" s="2261">
        <f t="shared" si="471"/>
        <v>0.44927195274624632</v>
      </c>
      <c r="AG444" s="2261">
        <f t="shared" si="471"/>
        <v>0.47767812902586465</v>
      </c>
      <c r="AH444" s="2261">
        <f t="shared" si="471"/>
        <v>0.36576447329285999</v>
      </c>
      <c r="AI444" s="2261">
        <f t="shared" si="471"/>
        <v>0.45026048611065944</v>
      </c>
      <c r="AJ444" s="2261">
        <f t="shared" si="471"/>
        <v>0.46336371410782728</v>
      </c>
      <c r="AK444" s="2261">
        <f t="shared" si="471"/>
        <v>0.48730602742433399</v>
      </c>
      <c r="AL444" s="2261">
        <f t="shared" si="471"/>
        <v>0.42612155370047805</v>
      </c>
      <c r="AM444" s="2261">
        <f t="shared" si="471"/>
        <v>0.48831679588199561</v>
      </c>
      <c r="AN444" s="2261">
        <f t="shared" si="471"/>
        <v>0.48007303443636096</v>
      </c>
      <c r="AO444" s="2261">
        <f t="shared" si="471"/>
        <v>0.48679957063500845</v>
      </c>
      <c r="AP444" s="2261">
        <f t="shared" si="471"/>
        <v>0.4356824939292373</v>
      </c>
      <c r="AQ444" s="2534">
        <f t="shared" si="471"/>
        <v>0.67270911360799002</v>
      </c>
      <c r="AR444" s="2261">
        <f t="shared" si="471"/>
        <v>0.71842860039980294</v>
      </c>
      <c r="AS444" s="2261">
        <f t="shared" si="471"/>
        <v>0.74537178119762304</v>
      </c>
      <c r="AT444" s="2535">
        <f t="shared" si="471"/>
        <v>0.68723426591779957</v>
      </c>
      <c r="AU444" s="2534">
        <f t="shared" si="471"/>
        <v>0.66033240066045107</v>
      </c>
      <c r="AV444" s="2261">
        <f t="shared" si="471"/>
        <v>0.62417468551174238</v>
      </c>
      <c r="AW444" s="2261">
        <f t="shared" si="471"/>
        <v>0.57227909504287433</v>
      </c>
      <c r="AX444" s="2534">
        <f t="shared" si="471"/>
        <v>0.45088949273439405</v>
      </c>
      <c r="AY444" s="2261">
        <f t="shared" si="471"/>
        <v>0.44602529668773089</v>
      </c>
      <c r="AZ444" s="2261">
        <f t="shared" si="471"/>
        <v>0.45904252682425561</v>
      </c>
      <c r="BA444" s="2535">
        <f t="shared" si="471"/>
        <v>0.49010522946011942</v>
      </c>
      <c r="BB444" s="2534">
        <f t="shared" si="471"/>
        <v>0.50469225489785718</v>
      </c>
      <c r="BC444" s="2535">
        <f t="shared" si="471"/>
        <v>0.51684243308216937</v>
      </c>
    </row>
    <row r="445" spans="1:55" s="1953" customFormat="1" ht="10.15" x14ac:dyDescent="0.3">
      <c r="A445" s="2042"/>
      <c r="B445" s="2475" t="s">
        <v>1132</v>
      </c>
      <c r="C445" s="2533">
        <f t="shared" ref="C445:BC445" si="472">C345/C$323</f>
        <v>0.34520830266450758</v>
      </c>
      <c r="D445" s="2533">
        <f t="shared" si="472"/>
        <v>-0.14831701756738636</v>
      </c>
      <c r="E445" s="2533">
        <f t="shared" si="472"/>
        <v>0.43647028379194341</v>
      </c>
      <c r="F445" s="2533">
        <f t="shared" si="472"/>
        <v>0.513258012451003</v>
      </c>
      <c r="G445" s="2533">
        <f t="shared" si="472"/>
        <v>0.50287622935609577</v>
      </c>
      <c r="H445" s="2533">
        <f t="shared" si="472"/>
        <v>0.47926940639269405</v>
      </c>
      <c r="I445" s="2533">
        <f t="shared" si="472"/>
        <v>0.4695118698319552</v>
      </c>
      <c r="J445" s="2533">
        <f t="shared" si="472"/>
        <v>0.45307954451001581</v>
      </c>
      <c r="K445" s="2533">
        <f t="shared" si="472"/>
        <v>0.43396106778263904</v>
      </c>
      <c r="L445" s="2533">
        <f t="shared" si="472"/>
        <v>0.25818527541743419</v>
      </c>
      <c r="M445" s="2533">
        <f t="shared" si="472"/>
        <v>0.35704190381603573</v>
      </c>
      <c r="N445" s="2533">
        <f t="shared" si="472"/>
        <v>0.1491535150645624</v>
      </c>
      <c r="O445" s="2533">
        <f t="shared" si="472"/>
        <v>0.25492714250432208</v>
      </c>
      <c r="P445" s="2533">
        <f t="shared" si="472"/>
        <v>0.28843985386315457</v>
      </c>
      <c r="Q445" s="2533">
        <f t="shared" si="472"/>
        <v>0.35995715485047619</v>
      </c>
      <c r="R445" s="2533">
        <f t="shared" si="472"/>
        <v>0.21137942441283494</v>
      </c>
      <c r="S445" s="2533">
        <f t="shared" si="472"/>
        <v>0.27411830565403994</v>
      </c>
      <c r="T445" s="2533">
        <f t="shared" si="472"/>
        <v>0.26376414324040592</v>
      </c>
      <c r="U445" s="2533">
        <f t="shared" si="472"/>
        <v>0.38807091346153844</v>
      </c>
      <c r="V445" s="2533">
        <f t="shared" si="472"/>
        <v>0.24707742554239354</v>
      </c>
      <c r="W445" s="2261">
        <f t="shared" si="472"/>
        <v>0.34897576916945638</v>
      </c>
      <c r="X445" s="2261">
        <f t="shared" si="472"/>
        <v>0.30085991074344182</v>
      </c>
      <c r="Y445" s="2261">
        <f t="shared" si="472"/>
        <v>0.3130991954521366</v>
      </c>
      <c r="Z445" s="2261">
        <f t="shared" si="472"/>
        <v>0.14888910417877671</v>
      </c>
      <c r="AA445" s="2261">
        <f t="shared" si="472"/>
        <v>9.9110232328225412E-2</v>
      </c>
      <c r="AB445" s="2261">
        <f t="shared" si="472"/>
        <v>0.15855921454408795</v>
      </c>
      <c r="AC445" s="2261">
        <f t="shared" si="472"/>
        <v>0.22849980388478658</v>
      </c>
      <c r="AD445" s="2261">
        <f t="shared" si="472"/>
        <v>9.3745320755524178E-2</v>
      </c>
      <c r="AE445" s="2261">
        <f t="shared" si="472"/>
        <v>0.21209668998642581</v>
      </c>
      <c r="AF445" s="2261">
        <f t="shared" si="472"/>
        <v>0.17110160733340615</v>
      </c>
      <c r="AG445" s="2261">
        <f t="shared" si="472"/>
        <v>0.24502031513229611</v>
      </c>
      <c r="AH445" s="2261">
        <f t="shared" si="472"/>
        <v>6.2380810749339537E-2</v>
      </c>
      <c r="AI445" s="2261">
        <f t="shared" si="472"/>
        <v>0.2257221091244935</v>
      </c>
      <c r="AJ445" s="2261">
        <f t="shared" si="472"/>
        <v>0.19544784723812197</v>
      </c>
      <c r="AK445" s="2261">
        <f t="shared" si="472"/>
        <v>0.26758003917761986</v>
      </c>
      <c r="AL445" s="2261">
        <f t="shared" si="472"/>
        <v>0.14854829925886959</v>
      </c>
      <c r="AM445" s="2261">
        <f t="shared" si="472"/>
        <v>0.23400717946406535</v>
      </c>
      <c r="AN445" s="2261">
        <f t="shared" si="472"/>
        <v>0.22398960363635956</v>
      </c>
      <c r="AO445" s="2261">
        <f t="shared" si="472"/>
        <v>0.26998516448792093</v>
      </c>
      <c r="AP445" s="2261">
        <f t="shared" si="472"/>
        <v>0.16767329488088104</v>
      </c>
      <c r="AQ445" s="2534">
        <f t="shared" si="472"/>
        <v>0.25043695380774034</v>
      </c>
      <c r="AR445" s="2261">
        <f t="shared" si="472"/>
        <v>0.31146971057739664</v>
      </c>
      <c r="AS445" s="2261">
        <f t="shared" si="472"/>
        <v>0.47463050434252629</v>
      </c>
      <c r="AT445" s="2535">
        <f t="shared" si="472"/>
        <v>0.30359298724476408</v>
      </c>
      <c r="AU445" s="2534">
        <f t="shared" si="472"/>
        <v>0.28773123201803386</v>
      </c>
      <c r="AV445" s="2261">
        <f t="shared" si="472"/>
        <v>0.30362095872321876</v>
      </c>
      <c r="AW445" s="2261">
        <f t="shared" si="472"/>
        <v>0.27696131316279476</v>
      </c>
      <c r="AX445" s="2534">
        <f t="shared" si="472"/>
        <v>0.1514791266412627</v>
      </c>
      <c r="AY445" s="2261">
        <f t="shared" si="472"/>
        <v>0.17937615629248732</v>
      </c>
      <c r="AZ445" s="2261">
        <f t="shared" si="472"/>
        <v>0.21353622988439741</v>
      </c>
      <c r="BA445" s="2535">
        <f t="shared" si="472"/>
        <v>0.22743216584866577</v>
      </c>
      <c r="BB445" s="2534">
        <f t="shared" si="472"/>
        <v>0.24953371954220782</v>
      </c>
      <c r="BC445" s="2535">
        <f t="shared" si="472"/>
        <v>0.26794308042752951</v>
      </c>
    </row>
    <row r="446" spans="1:55" s="1953" customFormat="1" ht="10.15" x14ac:dyDescent="0.3">
      <c r="A446" s="2042"/>
      <c r="B446" s="2475" t="s">
        <v>1133</v>
      </c>
      <c r="C446" s="2546">
        <f t="shared" ref="C446:I446" si="473">C368/C$323</f>
        <v>0.25349624613572797</v>
      </c>
      <c r="D446" s="2546">
        <f t="shared" si="473"/>
        <v>-0.20919940995038219</v>
      </c>
      <c r="E446" s="2546">
        <f t="shared" si="473"/>
        <v>0.34891745018545672</v>
      </c>
      <c r="F446" s="2546">
        <f t="shared" si="473"/>
        <v>0.48385981092921376</v>
      </c>
      <c r="G446" s="2546">
        <f t="shared" si="473"/>
        <v>0.4067544999072184</v>
      </c>
      <c r="H446" s="2546">
        <f t="shared" si="473"/>
        <v>0.44593607305936073</v>
      </c>
      <c r="I446" s="2546">
        <f t="shared" si="473"/>
        <v>0.44097092558015472</v>
      </c>
      <c r="J446" s="2546">
        <f t="shared" ref="J446:BC446" si="474">J362/J$323</f>
        <v>0.56445848225417672</v>
      </c>
      <c r="K446" s="2546">
        <f t="shared" si="474"/>
        <v>0.78866273540041854</v>
      </c>
      <c r="L446" s="2533">
        <f t="shared" si="474"/>
        <v>0.18004634856497712</v>
      </c>
      <c r="M446" s="2546">
        <f t="shared" si="474"/>
        <v>0.2285419611138699</v>
      </c>
      <c r="N446" s="2546">
        <f t="shared" si="474"/>
        <v>0.16464849354375896</v>
      </c>
      <c r="O446" s="2546">
        <f t="shared" si="474"/>
        <v>1.5221536181773276</v>
      </c>
      <c r="P446" s="2546">
        <f t="shared" si="474"/>
        <v>1.0239953091876777</v>
      </c>
      <c r="Q446" s="2546">
        <f t="shared" si="474"/>
        <v>0.36059404220826219</v>
      </c>
      <c r="R446" s="2533">
        <f t="shared" si="474"/>
        <v>0.2197320542507443</v>
      </c>
      <c r="S446" s="2546">
        <f t="shared" si="474"/>
        <v>0.22211855445667725</v>
      </c>
      <c r="T446" s="2546">
        <f t="shared" si="474"/>
        <v>0.20631634200396595</v>
      </c>
      <c r="U446" s="2546">
        <f t="shared" si="474"/>
        <v>0.32220928485576922</v>
      </c>
      <c r="V446" s="2546">
        <f t="shared" si="474"/>
        <v>0.255372093626066</v>
      </c>
      <c r="W446" s="2263">
        <f t="shared" si="474"/>
        <v>0.27959110473457677</v>
      </c>
      <c r="X446" s="2263">
        <f t="shared" si="474"/>
        <v>0.31580857008091145</v>
      </c>
      <c r="Y446" s="2263">
        <f t="shared" si="474"/>
        <v>0.28101363395481044</v>
      </c>
      <c r="Z446" s="2263">
        <f t="shared" si="474"/>
        <v>0.10723051088290383</v>
      </c>
      <c r="AA446" s="2263">
        <f t="shared" si="474"/>
        <v>9.4537815126050417E-2</v>
      </c>
      <c r="AB446" s="2263">
        <f t="shared" si="474"/>
        <v>0.21422699300042281</v>
      </c>
      <c r="AC446" s="2263">
        <f t="shared" si="474"/>
        <v>0.26402223775985267</v>
      </c>
      <c r="AD446" s="2263">
        <f t="shared" si="474"/>
        <v>0.25004812937175125</v>
      </c>
      <c r="AE446" s="2263">
        <f t="shared" si="474"/>
        <v>0.16638822178135115</v>
      </c>
      <c r="AF446" s="2263">
        <f t="shared" si="474"/>
        <v>0.594436088962081</v>
      </c>
      <c r="AG446" s="2263">
        <f t="shared" si="474"/>
        <v>0.31049945495986525</v>
      </c>
      <c r="AH446" s="2263">
        <f t="shared" si="474"/>
        <v>3.0442465489791278E-3</v>
      </c>
      <c r="AI446" s="2263">
        <f t="shared" si="474"/>
        <v>0.30202730388745441</v>
      </c>
      <c r="AJ446" s="2263">
        <f t="shared" si="474"/>
        <v>0.16370663487108728</v>
      </c>
      <c r="AK446" s="2263">
        <f t="shared" si="474"/>
        <v>0.22069542396646383</v>
      </c>
      <c r="AL446" s="2263">
        <f t="shared" si="474"/>
        <v>0.13201293668100614</v>
      </c>
      <c r="AM446" s="2263">
        <f t="shared" si="474"/>
        <v>0.18827207111983088</v>
      </c>
      <c r="AN446" s="2263">
        <f t="shared" si="474"/>
        <v>0.18921941770421996</v>
      </c>
      <c r="AO446" s="2263">
        <f t="shared" si="474"/>
        <v>0.22492286405149553</v>
      </c>
      <c r="AP446" s="2263">
        <f t="shared" si="474"/>
        <v>0.15321623870740481</v>
      </c>
      <c r="AQ446" s="2262">
        <f t="shared" si="474"/>
        <v>0.23295880149812734</v>
      </c>
      <c r="AR446" s="2263">
        <f t="shared" si="474"/>
        <v>0.25057218182344931</v>
      </c>
      <c r="AS446" s="2263">
        <f t="shared" si="474"/>
        <v>0.41869133780283407</v>
      </c>
      <c r="AT446" s="2264">
        <f t="shared" si="474"/>
        <v>0.31914335205501021</v>
      </c>
      <c r="AU446" s="2262">
        <f t="shared" si="474"/>
        <v>0.70483375023481609</v>
      </c>
      <c r="AV446" s="2263">
        <f t="shared" si="474"/>
        <v>0.26047399114188774</v>
      </c>
      <c r="AW446" s="2263">
        <f t="shared" si="474"/>
        <v>0.24538690832953738</v>
      </c>
      <c r="AX446" s="2262">
        <f t="shared" si="474"/>
        <v>0.21291038201483903</v>
      </c>
      <c r="AY446" s="2263">
        <f t="shared" si="474"/>
        <v>0.27535211129443937</v>
      </c>
      <c r="AZ446" s="2263">
        <f t="shared" si="474"/>
        <v>0.2051802480918726</v>
      </c>
      <c r="BA446" s="2264">
        <f t="shared" si="474"/>
        <v>0.1916421528083678</v>
      </c>
      <c r="BB446" s="2262">
        <f t="shared" si="474"/>
        <v>0.21107539483597765</v>
      </c>
      <c r="BC446" s="2264">
        <f t="shared" si="474"/>
        <v>0.22720316045469383</v>
      </c>
    </row>
    <row r="447" spans="1:55" s="1953" customFormat="1" ht="10.15" x14ac:dyDescent="0.3">
      <c r="A447" s="2042"/>
      <c r="B447" s="2475" t="s">
        <v>1134</v>
      </c>
      <c r="C447" s="2546"/>
      <c r="D447" s="2546"/>
      <c r="E447" s="2546"/>
      <c r="F447" s="2546"/>
      <c r="G447" s="2546">
        <f t="shared" ref="G447:BC447" si="475">1+G437</f>
        <v>0.74698459825570607</v>
      </c>
      <c r="H447" s="2546">
        <f t="shared" si="475"/>
        <v>0.7259360730593607</v>
      </c>
      <c r="I447" s="2546">
        <f t="shared" si="475"/>
        <v>0.77748732995465453</v>
      </c>
      <c r="J447" s="2546">
        <f t="shared" si="475"/>
        <v>0.71157842240877733</v>
      </c>
      <c r="K447" s="2546">
        <f t="shared" si="475"/>
        <v>0.70927652019529508</v>
      </c>
      <c r="L447" s="2546">
        <f t="shared" si="475"/>
        <v>0.73611028581615068</v>
      </c>
      <c r="M447" s="2546">
        <f t="shared" si="475"/>
        <v>0.76672141793040227</v>
      </c>
      <c r="N447" s="2546">
        <f t="shared" si="475"/>
        <v>0.70628407460545195</v>
      </c>
      <c r="O447" s="2546">
        <f t="shared" si="475"/>
        <v>0.71706594220795261</v>
      </c>
      <c r="P447" s="2546">
        <f t="shared" si="475"/>
        <v>0.70118623426999238</v>
      </c>
      <c r="Q447" s="2546">
        <f t="shared" si="475"/>
        <v>0.7254436499435486</v>
      </c>
      <c r="R447" s="2533">
        <f t="shared" si="475"/>
        <v>0.6479077075752564</v>
      </c>
      <c r="S447" s="2546">
        <f t="shared" si="475"/>
        <v>0.66256142315108546</v>
      </c>
      <c r="T447" s="2546">
        <f t="shared" si="475"/>
        <v>0.65181383413040939</v>
      </c>
      <c r="U447" s="2546">
        <f t="shared" si="475"/>
        <v>0.65189302884615385</v>
      </c>
      <c r="V447" s="2546">
        <f t="shared" si="475"/>
        <v>0.63026517017029993</v>
      </c>
      <c r="W447" s="2263">
        <f t="shared" si="475"/>
        <v>0.67455762792922047</v>
      </c>
      <c r="X447" s="2263">
        <f t="shared" si="475"/>
        <v>0.62568484452668627</v>
      </c>
      <c r="Y447" s="2263">
        <f t="shared" si="475"/>
        <v>0.59351062292238765</v>
      </c>
      <c r="Z447" s="2263">
        <f t="shared" si="475"/>
        <v>0.50229283730543184</v>
      </c>
      <c r="AA447" s="2263">
        <f t="shared" si="475"/>
        <v>0.50687098368759265</v>
      </c>
      <c r="AB447" s="2263">
        <f t="shared" si="475"/>
        <v>0.46892469582374219</v>
      </c>
      <c r="AC447" s="2263">
        <f t="shared" si="475"/>
        <v>0.49495216494142125</v>
      </c>
      <c r="AD447" s="2263">
        <f t="shared" si="475"/>
        <v>0.42609467582194271</v>
      </c>
      <c r="AE447" s="2263">
        <f t="shared" si="475"/>
        <v>0.49323030872576656</v>
      </c>
      <c r="AF447" s="2263">
        <f t="shared" si="475"/>
        <v>0.46635354613206514</v>
      </c>
      <c r="AG447" s="2263">
        <f t="shared" si="475"/>
        <v>0.48811440887919932</v>
      </c>
      <c r="AH447" s="2263">
        <f t="shared" si="475"/>
        <v>0.38200920272232619</v>
      </c>
      <c r="AI447" s="2263">
        <f t="shared" si="475"/>
        <v>0.46283926608607429</v>
      </c>
      <c r="AJ447" s="2263">
        <f t="shared" si="475"/>
        <v>0.4788537433647222</v>
      </c>
      <c r="AK447" s="2263">
        <f t="shared" si="475"/>
        <v>0.49870048923793153</v>
      </c>
      <c r="AL447" s="2263">
        <f t="shared" si="475"/>
        <v>0.44201923351237149</v>
      </c>
      <c r="AM447" s="2263">
        <f t="shared" si="475"/>
        <v>0.49956204796927606</v>
      </c>
      <c r="AN447" s="2263">
        <f t="shared" si="475"/>
        <v>0.49285691464661829</v>
      </c>
      <c r="AO447" s="2263">
        <f t="shared" si="475"/>
        <v>0.49615961373774575</v>
      </c>
      <c r="AP447" s="2263">
        <f t="shared" si="475"/>
        <v>0.44885431931599329</v>
      </c>
      <c r="AQ447" s="2262">
        <f t="shared" si="475"/>
        <v>0.67270911360799002</v>
      </c>
      <c r="AR447" s="2263">
        <f t="shared" si="475"/>
        <v>0.71842860039980305</v>
      </c>
      <c r="AS447" s="2263">
        <f t="shared" si="475"/>
        <v>0.7673510589669359</v>
      </c>
      <c r="AT447" s="2264">
        <f t="shared" si="475"/>
        <v>0.74203453886935067</v>
      </c>
      <c r="AU447" s="2262">
        <f t="shared" si="475"/>
        <v>0.69991002837566607</v>
      </c>
      <c r="AV447" s="2263">
        <f t="shared" si="475"/>
        <v>0.64877142658570952</v>
      </c>
      <c r="AW447" s="2263">
        <f t="shared" si="475"/>
        <v>0.59427569066513231</v>
      </c>
      <c r="AX447" s="2262">
        <f t="shared" si="475"/>
        <v>0.47454649669359206</v>
      </c>
      <c r="AY447" s="2263">
        <f t="shared" si="475"/>
        <v>0.46039029960114652</v>
      </c>
      <c r="AZ447" s="2263">
        <f t="shared" si="475"/>
        <v>0.47270693306052669</v>
      </c>
      <c r="BA447" s="2264">
        <f t="shared" si="475"/>
        <v>0.50157008713783091</v>
      </c>
      <c r="BB447" s="2262">
        <f t="shared" si="475"/>
        <v>0.51384392492436426</v>
      </c>
      <c r="BC447" s="2264">
        <f t="shared" si="475"/>
        <v>0.52476187892893411</v>
      </c>
    </row>
    <row r="448" spans="1:55" s="1999" customFormat="1" ht="10.15" x14ac:dyDescent="0.3">
      <c r="A448" s="2042"/>
      <c r="B448" s="1999" t="s">
        <v>1135</v>
      </c>
      <c r="C448" s="2547">
        <f t="shared" ref="C448:BC450" si="476">C398/C$323</f>
        <v>0.42120565287796263</v>
      </c>
      <c r="D448" s="2547">
        <f t="shared" si="476"/>
        <v>0.41320236019847123</v>
      </c>
      <c r="E448" s="2547">
        <f t="shared" si="476"/>
        <v>0.49695937203484863</v>
      </c>
      <c r="F448" s="2547">
        <f t="shared" si="476"/>
        <v>0.56528130043809088</v>
      </c>
      <c r="G448" s="2548">
        <f t="shared" si="476"/>
        <v>0.56541102245314534</v>
      </c>
      <c r="H448" s="2548">
        <f t="shared" si="476"/>
        <v>0.59406392694063925</v>
      </c>
      <c r="I448" s="2548">
        <f t="shared" si="476"/>
        <v>0.59994665244065082</v>
      </c>
      <c r="J448" s="2548">
        <f t="shared" si="476"/>
        <v>0.57235475022857618</v>
      </c>
      <c r="K448" s="2548">
        <f t="shared" si="476"/>
        <v>0.54365607761080459</v>
      </c>
      <c r="L448" s="2547">
        <f t="shared" si="476"/>
        <v>0.50466456711628738</v>
      </c>
      <c r="M448" s="2549">
        <f t="shared" si="476"/>
        <v>0.57691279269643603</v>
      </c>
      <c r="N448" s="2548">
        <f t="shared" si="476"/>
        <v>0.49256814921090386</v>
      </c>
      <c r="O448" s="2548">
        <f t="shared" si="476"/>
        <v>0.52284514694986417</v>
      </c>
      <c r="P448" s="2548">
        <f t="shared" si="476"/>
        <v>0.50272878986062874</v>
      </c>
      <c r="Q448" s="2548">
        <f t="shared" si="476"/>
        <v>0.55325246793851146</v>
      </c>
      <c r="R448" s="2550">
        <f t="shared" si="476"/>
        <v>0.47543830631822692</v>
      </c>
      <c r="S448" s="2548">
        <f t="shared" si="476"/>
        <v>0.4653542327548672</v>
      </c>
      <c r="T448" s="2548">
        <f t="shared" si="476"/>
        <v>0.46293596174034762</v>
      </c>
      <c r="U448" s="2548">
        <f t="shared" si="476"/>
        <v>0.50745567908653844</v>
      </c>
      <c r="V448" s="2548">
        <f t="shared" si="476"/>
        <v>0.43020814432722465</v>
      </c>
      <c r="W448" s="2548">
        <f t="shared" si="476"/>
        <v>0.50063765343535793</v>
      </c>
      <c r="X448" s="2548">
        <f t="shared" si="476"/>
        <v>0.45410181052937121</v>
      </c>
      <c r="Y448" s="2548">
        <f t="shared" si="476"/>
        <v>0.43579274461627404</v>
      </c>
      <c r="Z448" s="2548">
        <f t="shared" si="476"/>
        <v>0.31411871084415166</v>
      </c>
      <c r="AA448" s="2548">
        <f t="shared" si="476"/>
        <v>0.36281512605042016</v>
      </c>
      <c r="AB448" s="2548">
        <f t="shared" si="476"/>
        <v>0.31368910602715272</v>
      </c>
      <c r="AC448" s="2548">
        <f t="shared" si="476"/>
        <v>0.34710687426456793</v>
      </c>
      <c r="AD448" s="2548">
        <f t="shared" si="476"/>
        <v>0.26916083766497678</v>
      </c>
      <c r="AE448" s="2548">
        <f t="shared" si="476"/>
        <v>0.34142563781281543</v>
      </c>
      <c r="AF448" s="2548">
        <f t="shared" si="476"/>
        <v>0.31172857658989894</v>
      </c>
      <c r="AG448" s="2548">
        <f t="shared" si="476"/>
        <v>0.34610048558121098</v>
      </c>
      <c r="AH448" s="2548">
        <f t="shared" si="476"/>
        <v>0.22254492013226726</v>
      </c>
      <c r="AI448" s="2548">
        <f t="shared" si="476"/>
        <v>0.33195881652802256</v>
      </c>
      <c r="AJ448" s="2548">
        <f t="shared" si="476"/>
        <v>0.30758174244217046</v>
      </c>
      <c r="AK448" s="2548">
        <f t="shared" si="476"/>
        <v>0.35361869065640389</v>
      </c>
      <c r="AL448" s="2548">
        <f t="shared" si="476"/>
        <v>0.27142786259585222</v>
      </c>
      <c r="AM448" s="2548">
        <f t="shared" si="476"/>
        <v>0.32371686663414695</v>
      </c>
      <c r="AN448" s="2548">
        <f t="shared" si="476"/>
        <v>0.32163376775213648</v>
      </c>
      <c r="AO448" s="2548">
        <f t="shared" si="476"/>
        <v>0.3447267355722925</v>
      </c>
      <c r="AP448" s="2548">
        <f t="shared" si="476"/>
        <v>0.27520271407445412</v>
      </c>
      <c r="AQ448" s="2551">
        <f t="shared" si="476"/>
        <v>0.36324594257178527</v>
      </c>
      <c r="AR448" s="2548">
        <f t="shared" si="476"/>
        <v>0.48112524263406437</v>
      </c>
      <c r="AS448" s="2548">
        <f t="shared" si="476"/>
        <v>0.58530778607344203</v>
      </c>
      <c r="AT448" s="2552">
        <f t="shared" si="476"/>
        <v>0.53478820009448325</v>
      </c>
      <c r="AU448" s="2551">
        <f t="shared" si="476"/>
        <v>0.51748514479499319</v>
      </c>
      <c r="AV448" s="2548">
        <f t="shared" si="476"/>
        <v>0.47042767875758973</v>
      </c>
      <c r="AW448" s="2548">
        <f t="shared" si="476"/>
        <v>0.4227182278056148</v>
      </c>
      <c r="AX448" s="2551">
        <f t="shared" si="476"/>
        <v>0.3191347082612434</v>
      </c>
      <c r="AY448" s="2548">
        <f t="shared" si="476"/>
        <v>0.30931057010737456</v>
      </c>
      <c r="AZ448" s="2548">
        <f t="shared" si="476"/>
        <v>0.31881439866168743</v>
      </c>
      <c r="BA448" s="2552">
        <f t="shared" si="476"/>
        <v>0.31848485966230666</v>
      </c>
      <c r="BB448" s="2551">
        <f t="shared" si="476"/>
        <v>0.32421672985709388</v>
      </c>
      <c r="BC448" s="2552">
        <f t="shared" si="476"/>
        <v>0.33202704953625911</v>
      </c>
    </row>
    <row r="449" spans="1:55" s="1999" customFormat="1" ht="10.15" x14ac:dyDescent="0.3">
      <c r="A449" s="2042"/>
      <c r="B449" s="1999" t="s">
        <v>1136</v>
      </c>
      <c r="C449" s="2547">
        <f t="shared" si="476"/>
        <v>0.39157956720153098</v>
      </c>
      <c r="D449" s="2547">
        <f t="shared" si="476"/>
        <v>0.38621429529301327</v>
      </c>
      <c r="E449" s="2547">
        <f t="shared" si="476"/>
        <v>0.4795997584749418</v>
      </c>
      <c r="F449" s="2547">
        <f t="shared" si="476"/>
        <v>0.54207977864883561</v>
      </c>
      <c r="G449" s="2548">
        <f t="shared" si="476"/>
        <v>0.54286509556503992</v>
      </c>
      <c r="H449" s="2548">
        <f t="shared" si="476"/>
        <v>0.5657534246575342</v>
      </c>
      <c r="I449" s="2548">
        <f t="shared" si="476"/>
        <v>0.57892771405708188</v>
      </c>
      <c r="J449" s="2548">
        <f t="shared" si="476"/>
        <v>0.53977225500789627</v>
      </c>
      <c r="K449" s="2548">
        <f t="shared" si="476"/>
        <v>0.51683469659501613</v>
      </c>
      <c r="L449" s="2547">
        <f t="shared" si="476"/>
        <v>0.47257709905520234</v>
      </c>
      <c r="M449" s="2549">
        <f t="shared" si="476"/>
        <v>0.55193093701058105</v>
      </c>
      <c r="N449" s="2548">
        <f t="shared" si="476"/>
        <v>0.45187948350071738</v>
      </c>
      <c r="O449" s="2548">
        <f t="shared" si="476"/>
        <v>0.48421832551247224</v>
      </c>
      <c r="P449" s="2548">
        <f t="shared" si="476"/>
        <v>0.46398448423616434</v>
      </c>
      <c r="Q449" s="2548">
        <f t="shared" si="476"/>
        <v>0.52317401499580229</v>
      </c>
      <c r="R449" s="2550">
        <f t="shared" si="476"/>
        <v>0.43036718491564668</v>
      </c>
      <c r="S449" s="2548">
        <f t="shared" si="476"/>
        <v>0.42790943584001989</v>
      </c>
      <c r="T449" s="2548">
        <f t="shared" si="476"/>
        <v>0.42555114895602475</v>
      </c>
      <c r="U449" s="2548">
        <f t="shared" si="476"/>
        <v>0.48206505408653844</v>
      </c>
      <c r="V449" s="2548">
        <f t="shared" si="476"/>
        <v>0.39272661292412969</v>
      </c>
      <c r="W449" s="2548">
        <f t="shared" si="476"/>
        <v>0.46863542164833411</v>
      </c>
      <c r="X449" s="2548">
        <f t="shared" si="476"/>
        <v>0.41758281629839267</v>
      </c>
      <c r="Y449" s="2548">
        <f t="shared" si="476"/>
        <v>0.40542949366478781</v>
      </c>
      <c r="Z449" s="2548">
        <f t="shared" si="476"/>
        <v>0.27134599237873797</v>
      </c>
      <c r="AA449" s="2548">
        <f t="shared" si="476"/>
        <v>0.32750865051903116</v>
      </c>
      <c r="AB449" s="2548">
        <f t="shared" si="476"/>
        <v>0.27193827218490157</v>
      </c>
      <c r="AC449" s="2548">
        <f t="shared" si="476"/>
        <v>0.31179760909974591</v>
      </c>
      <c r="AD449" s="2548">
        <f t="shared" si="476"/>
        <v>0.22200474876467946</v>
      </c>
      <c r="AE449" s="2548">
        <f t="shared" si="476"/>
        <v>0.30068567053008943</v>
      </c>
      <c r="AF449" s="2548">
        <f t="shared" si="476"/>
        <v>0.26963374980044869</v>
      </c>
      <c r="AG449" s="2548">
        <f t="shared" si="476"/>
        <v>0.31378208304429689</v>
      </c>
      <c r="AH449" s="2548">
        <f t="shared" si="476"/>
        <v>0.17344332277761254</v>
      </c>
      <c r="AI449" s="2548">
        <f t="shared" si="476"/>
        <v>0.29510051967141676</v>
      </c>
      <c r="AJ449" s="2548">
        <f t="shared" si="476"/>
        <v>0.2696295098921811</v>
      </c>
      <c r="AK449" s="2548">
        <f t="shared" si="476"/>
        <v>0.32371611798926109</v>
      </c>
      <c r="AL449" s="2548">
        <f t="shared" si="476"/>
        <v>0.23015428232243065</v>
      </c>
      <c r="AM449" s="2548">
        <f t="shared" si="476"/>
        <v>0.28917967923261501</v>
      </c>
      <c r="AN449" s="2548">
        <f t="shared" si="476"/>
        <v>0.28488175129773197</v>
      </c>
      <c r="AO449" s="2548">
        <f t="shared" si="476"/>
        <v>0.31585040851992746</v>
      </c>
      <c r="AP449" s="2548">
        <f t="shared" si="476"/>
        <v>0.23490536387903249</v>
      </c>
      <c r="AQ449" s="2551">
        <f t="shared" si="476"/>
        <v>0.32754057428214733</v>
      </c>
      <c r="AR449" s="2548">
        <f t="shared" si="476"/>
        <v>0.45780340122258595</v>
      </c>
      <c r="AS449" s="2548">
        <f t="shared" si="476"/>
        <v>0.55980496724059114</v>
      </c>
      <c r="AT449" s="2552">
        <f t="shared" si="476"/>
        <v>0.50426486798593251</v>
      </c>
      <c r="AU449" s="2551">
        <f t="shared" si="476"/>
        <v>0.48021118614239244</v>
      </c>
      <c r="AV449" s="2548">
        <f t="shared" si="476"/>
        <v>0.43704232560196621</v>
      </c>
      <c r="AW449" s="2548">
        <f t="shared" si="476"/>
        <v>0.38759959403194999</v>
      </c>
      <c r="AX449" s="2551">
        <f t="shared" si="476"/>
        <v>0.27943127660251987</v>
      </c>
      <c r="AY449" s="2548">
        <f t="shared" si="476"/>
        <v>0.26904657737423754</v>
      </c>
      <c r="AZ449" s="2548">
        <f t="shared" si="476"/>
        <v>0.28281107158873942</v>
      </c>
      <c r="BA449" s="2552">
        <f t="shared" si="476"/>
        <v>0.2838462670733703</v>
      </c>
      <c r="BB449" s="2551">
        <f t="shared" si="476"/>
        <v>0.29512722407682257</v>
      </c>
      <c r="BC449" s="2552">
        <f t="shared" si="476"/>
        <v>0.30717946279769537</v>
      </c>
    </row>
    <row r="450" spans="1:55" s="1953" customFormat="1" ht="10.15" x14ac:dyDescent="0.3">
      <c r="A450" s="2042"/>
      <c r="B450" s="1953" t="s">
        <v>1137</v>
      </c>
      <c r="C450" s="2533">
        <f t="shared" si="476"/>
        <v>0.38627999411158548</v>
      </c>
      <c r="D450" s="2533">
        <f t="shared" si="476"/>
        <v>0.38125251441598496</v>
      </c>
      <c r="E450" s="2533">
        <f t="shared" si="476"/>
        <v>0.46174415595618046</v>
      </c>
      <c r="F450" s="2533">
        <f t="shared" si="476"/>
        <v>0.53919760202905231</v>
      </c>
      <c r="G450" s="2263">
        <f t="shared" si="476"/>
        <v>0.53961773984041561</v>
      </c>
      <c r="H450" s="2263">
        <f t="shared" si="476"/>
        <v>0.55817351598173515</v>
      </c>
      <c r="I450" s="2263">
        <f t="shared" si="476"/>
        <v>0.57236596425713526</v>
      </c>
      <c r="J450" s="2263">
        <f t="shared" si="476"/>
        <v>0.52996425899758959</v>
      </c>
      <c r="K450" s="2263">
        <f t="shared" si="476"/>
        <v>0.50199733688415449</v>
      </c>
      <c r="L450" s="2533">
        <f t="shared" si="476"/>
        <v>0.43704319923940815</v>
      </c>
      <c r="M450" s="2537">
        <f t="shared" si="476"/>
        <v>0.52179227625195768</v>
      </c>
      <c r="N450" s="2263">
        <f t="shared" si="476"/>
        <v>0.41497847919655667</v>
      </c>
      <c r="O450" s="2263">
        <f t="shared" si="476"/>
        <v>0.45225981723882441</v>
      </c>
      <c r="P450" s="2263">
        <f t="shared" si="476"/>
        <v>0.43114879797934236</v>
      </c>
      <c r="Q450" s="2263">
        <f t="shared" si="476"/>
        <v>0.4864661436470486</v>
      </c>
      <c r="R450" s="2263">
        <f t="shared" si="476"/>
        <v>0.39964439298709892</v>
      </c>
      <c r="S450" s="2263">
        <f t="shared" si="476"/>
        <v>0.38900292343098836</v>
      </c>
      <c r="T450" s="2263">
        <f t="shared" si="476"/>
        <v>0.38772891636533302</v>
      </c>
      <c r="U450" s="2263">
        <f t="shared" si="476"/>
        <v>0.45838341346153844</v>
      </c>
      <c r="V450" s="2263">
        <f t="shared" si="476"/>
        <v>0.35869255294331115</v>
      </c>
      <c r="W450" s="2263">
        <f t="shared" si="476"/>
        <v>0.42906105531643551</v>
      </c>
      <c r="X450" s="2263">
        <f t="shared" si="476"/>
        <v>0.38587133993686729</v>
      </c>
      <c r="Y450" s="2263">
        <f t="shared" si="476"/>
        <v>0.38065471889001301</v>
      </c>
      <c r="Z450" s="2263">
        <f t="shared" si="476"/>
        <v>0.24988697280888716</v>
      </c>
      <c r="AA450" s="2263">
        <f t="shared" si="476"/>
        <v>0.30150766188828471</v>
      </c>
      <c r="AB450" s="2263">
        <f t="shared" si="476"/>
        <v>0.24127401700568421</v>
      </c>
      <c r="AC450" s="2263">
        <f t="shared" si="476"/>
        <v>0.28784597281672608</v>
      </c>
      <c r="AD450" s="2263">
        <f t="shared" si="476"/>
        <v>0.16978972812252668</v>
      </c>
      <c r="AE450" s="2263">
        <f t="shared" si="476"/>
        <v>0.27400716995579688</v>
      </c>
      <c r="AF450" s="2263">
        <f t="shared" si="476"/>
        <v>0.23953720897014713</v>
      </c>
      <c r="AG450" s="2263">
        <f t="shared" si="476"/>
        <v>0.2935164998513527</v>
      </c>
      <c r="AH450" s="2263">
        <f t="shared" si="476"/>
        <v>0.13806707839809648</v>
      </c>
      <c r="AI450" s="2263">
        <f t="shared" si="476"/>
        <v>0.27590064454865332</v>
      </c>
      <c r="AJ450" s="2263">
        <f t="shared" si="476"/>
        <v>0.25076938029846091</v>
      </c>
      <c r="AK450" s="2263">
        <f t="shared" si="476"/>
        <v>0.30827454565475393</v>
      </c>
      <c r="AL450" s="2263">
        <f t="shared" si="476"/>
        <v>0.2053257271584889</v>
      </c>
      <c r="AM450" s="2263">
        <f t="shared" si="476"/>
        <v>0.27416879406149541</v>
      </c>
      <c r="AN450" s="2263">
        <f t="shared" si="476"/>
        <v>0.26964631867299327</v>
      </c>
      <c r="AO450" s="2263">
        <f t="shared" si="476"/>
        <v>0.3034138898548398</v>
      </c>
      <c r="AP450" s="2263">
        <f t="shared" si="476"/>
        <v>0.21471552840500951</v>
      </c>
      <c r="AQ450" s="2262">
        <f t="shared" si="476"/>
        <v>0.3130586766541823</v>
      </c>
      <c r="AR450" s="2263">
        <f t="shared" si="476"/>
        <v>0.4489671755946345</v>
      </c>
      <c r="AS450" s="2263">
        <f t="shared" si="476"/>
        <v>0.55296739296053632</v>
      </c>
      <c r="AT450" s="2264">
        <f t="shared" si="476"/>
        <v>0.47455514146239042</v>
      </c>
      <c r="AU450" s="2262">
        <f t="shared" si="476"/>
        <v>0.44673383229684704</v>
      </c>
      <c r="AV450" s="2263">
        <f t="shared" si="476"/>
        <v>0.40468052036670815</v>
      </c>
      <c r="AW450" s="2263">
        <f t="shared" si="476"/>
        <v>0.35717596477348101</v>
      </c>
      <c r="AX450" s="2262">
        <f t="shared" si="476"/>
        <v>0.2509659169311439</v>
      </c>
      <c r="AY450" s="2263">
        <f t="shared" si="476"/>
        <v>0.24165066086468606</v>
      </c>
      <c r="AZ450" s="2263">
        <f t="shared" si="476"/>
        <v>0.26352846784387129</v>
      </c>
      <c r="BA450" s="2264">
        <f t="shared" si="476"/>
        <v>0.268378086126207</v>
      </c>
      <c r="BB450" s="2262">
        <f t="shared" si="476"/>
        <v>0.28221825535116185</v>
      </c>
      <c r="BC450" s="2264">
        <f t="shared" si="476"/>
        <v>0.29622681559454644</v>
      </c>
    </row>
    <row r="451" spans="1:55" s="1999" customFormat="1" ht="10.15" x14ac:dyDescent="0.3">
      <c r="A451" s="2042"/>
      <c r="B451" s="1999" t="s">
        <v>1138</v>
      </c>
      <c r="C451" s="2553">
        <f t="shared" ref="C451:BC451" si="477">C403/C$323</f>
        <v>0.29662008072034934</v>
      </c>
      <c r="D451" s="2553">
        <f t="shared" si="477"/>
        <v>0.36483932881855974</v>
      </c>
      <c r="E451" s="2553">
        <f t="shared" si="477"/>
        <v>0.41515916573219475</v>
      </c>
      <c r="F451" s="2553">
        <f t="shared" si="477"/>
        <v>0.46851973810621789</v>
      </c>
      <c r="G451" s="2548">
        <f t="shared" si="477"/>
        <v>0.42521803674151049</v>
      </c>
      <c r="H451" s="2548">
        <f t="shared" si="477"/>
        <v>0.53817351598173513</v>
      </c>
      <c r="I451" s="2548">
        <f t="shared" si="477"/>
        <v>0.55817551347025873</v>
      </c>
      <c r="J451" s="2548">
        <f t="shared" si="477"/>
        <v>0.64840827861358163</v>
      </c>
      <c r="K451" s="2548">
        <f t="shared" si="477"/>
        <v>0.46395282480502187</v>
      </c>
      <c r="L451" s="2547">
        <f t="shared" si="477"/>
        <v>0.40453978251827205</v>
      </c>
      <c r="M451" s="2549">
        <f t="shared" si="477"/>
        <v>0.50097406318041182</v>
      </c>
      <c r="N451" s="2548">
        <f t="shared" si="477"/>
        <v>0.44424677187948353</v>
      </c>
      <c r="O451" s="2548">
        <f t="shared" si="477"/>
        <v>0.46722647567300568</v>
      </c>
      <c r="P451" s="2548">
        <f t="shared" si="477"/>
        <v>0.41500157863876236</v>
      </c>
      <c r="Q451" s="2548">
        <f t="shared" si="477"/>
        <v>0.47983672524100396</v>
      </c>
      <c r="R451" s="2550">
        <f t="shared" si="477"/>
        <v>0.31243797552100561</v>
      </c>
      <c r="S451" s="2548">
        <f t="shared" si="477"/>
        <v>0.37292405299496173</v>
      </c>
      <c r="T451" s="2548">
        <f t="shared" si="477"/>
        <v>0.3776099381780007</v>
      </c>
      <c r="U451" s="2548">
        <f t="shared" si="477"/>
        <v>0.42238206129807693</v>
      </c>
      <c r="V451" s="2548">
        <f t="shared" si="477"/>
        <v>0.27061354622981415</v>
      </c>
      <c r="W451" s="2548">
        <f t="shared" si="477"/>
        <v>0.39891200382592062</v>
      </c>
      <c r="X451" s="2548">
        <f t="shared" si="477"/>
        <v>0.40072929139000762</v>
      </c>
      <c r="Y451" s="2548">
        <f t="shared" si="477"/>
        <v>0.32527581056992821</v>
      </c>
      <c r="Z451" s="2548">
        <f t="shared" si="477"/>
        <v>0.22765290964283408</v>
      </c>
      <c r="AA451" s="2548">
        <f t="shared" si="477"/>
        <v>0.24840583292140386</v>
      </c>
      <c r="AB451" s="2548">
        <f t="shared" si="477"/>
        <v>0.27543806078827454</v>
      </c>
      <c r="AC451" s="2548">
        <f t="shared" si="477"/>
        <v>0.25407152236566105</v>
      </c>
      <c r="AD451" s="2548">
        <f t="shared" si="477"/>
        <v>0.21450726218742647</v>
      </c>
      <c r="AE451" s="2548">
        <f t="shared" si="477"/>
        <v>0.26929971111343148</v>
      </c>
      <c r="AF451" s="2548">
        <f t="shared" si="477"/>
        <v>0.275170773923053</v>
      </c>
      <c r="AG451" s="2548">
        <f t="shared" si="477"/>
        <v>0.28796080665939944</v>
      </c>
      <c r="AH451" s="2548">
        <f t="shared" si="477"/>
        <v>0.19496299665832706</v>
      </c>
      <c r="AI451" s="2548">
        <f t="shared" si="477"/>
        <v>0.2567397935623183</v>
      </c>
      <c r="AJ451" s="2548">
        <f t="shared" si="477"/>
        <v>0.25069588204332416</v>
      </c>
      <c r="AK451" s="2548">
        <f t="shared" si="477"/>
        <v>0.28581510117784342</v>
      </c>
      <c r="AL451" s="2548">
        <f t="shared" si="477"/>
        <v>0.23290273306719658</v>
      </c>
      <c r="AM451" s="2548">
        <f t="shared" si="477"/>
        <v>0.26195564823601697</v>
      </c>
      <c r="AN451" s="2548">
        <f t="shared" si="477"/>
        <v>0.26176796230012661</v>
      </c>
      <c r="AO451" s="2548">
        <f t="shared" si="477"/>
        <v>0.27901239542852013</v>
      </c>
      <c r="AP451" s="2548">
        <f t="shared" si="477"/>
        <v>0.22345489953647424</v>
      </c>
      <c r="AQ451" s="2551">
        <f t="shared" si="477"/>
        <v>0.32219725343320849</v>
      </c>
      <c r="AR451" s="2548">
        <f t="shared" si="477"/>
        <v>0.30077932612915376</v>
      </c>
      <c r="AS451" s="2548">
        <f t="shared" si="477"/>
        <v>0.51125571385037327</v>
      </c>
      <c r="AT451" s="2552">
        <f t="shared" si="477"/>
        <v>0.45904414466432208</v>
      </c>
      <c r="AU451" s="2551">
        <f t="shared" si="477"/>
        <v>0.42307426119454633</v>
      </c>
      <c r="AV451" s="2548">
        <f t="shared" si="477"/>
        <v>0.36564038086091755</v>
      </c>
      <c r="AW451" s="2548">
        <f t="shared" si="477"/>
        <v>0.33250221764043059</v>
      </c>
      <c r="AX451" s="2551">
        <f t="shared" si="477"/>
        <v>0.24964706881362048</v>
      </c>
      <c r="AY451" s="2548">
        <f t="shared" si="477"/>
        <v>0.25991002744692582</v>
      </c>
      <c r="AZ451" s="2548">
        <f t="shared" si="477"/>
        <v>0.2587129319272829</v>
      </c>
      <c r="BA451" s="2552">
        <f t="shared" si="477"/>
        <v>0.25825763675547192</v>
      </c>
      <c r="BB451" s="2551">
        <f t="shared" si="477"/>
        <v>0.26618316007199361</v>
      </c>
      <c r="BC451" s="2552">
        <f t="shared" si="477"/>
        <v>0.2754213298833289</v>
      </c>
    </row>
    <row r="452" spans="1:55" s="1953" customFormat="1" ht="10.15" x14ac:dyDescent="0.3">
      <c r="A452" s="2042"/>
      <c r="B452" s="2532" t="s">
        <v>1139</v>
      </c>
      <c r="C452" s="1950"/>
      <c r="D452" s="1950"/>
      <c r="E452" s="1950"/>
      <c r="F452" s="1950"/>
      <c r="G452" s="1950"/>
      <c r="H452" s="1950"/>
      <c r="I452" s="1950"/>
      <c r="J452" s="1950"/>
      <c r="K452" s="1950"/>
      <c r="L452" s="1950"/>
      <c r="M452" s="1950"/>
      <c r="N452" s="1950"/>
      <c r="O452" s="1950"/>
      <c r="P452" s="1950"/>
      <c r="Q452" s="1950"/>
      <c r="R452" s="1950"/>
      <c r="S452" s="1950"/>
      <c r="T452" s="1950"/>
      <c r="U452" s="1950"/>
      <c r="V452" s="1950"/>
      <c r="W452" s="1950"/>
      <c r="X452" s="1950"/>
      <c r="Y452" s="1950"/>
      <c r="Z452" s="1950"/>
      <c r="AA452" s="1950"/>
      <c r="AB452" s="1950"/>
      <c r="AC452" s="1950"/>
      <c r="AD452" s="1950"/>
      <c r="AE452" s="1950"/>
      <c r="AF452" s="1950"/>
      <c r="AG452" s="1950"/>
      <c r="AH452" s="1950"/>
      <c r="AI452" s="1950"/>
      <c r="AJ452" s="1950"/>
      <c r="AK452" s="1950"/>
      <c r="AL452" s="1950"/>
      <c r="AM452" s="1950"/>
      <c r="AN452" s="1950"/>
      <c r="AO452" s="1950"/>
      <c r="AP452" s="1950"/>
      <c r="AQ452" s="2067"/>
      <c r="AR452" s="1972"/>
      <c r="AS452" s="1950"/>
      <c r="AT452" s="1951"/>
      <c r="AU452" s="1952"/>
      <c r="AV452" s="1950"/>
      <c r="AW452" s="1950"/>
      <c r="AX452" s="1952"/>
      <c r="AY452" s="1950"/>
      <c r="AZ452" s="1950"/>
      <c r="BA452" s="1951"/>
      <c r="BB452" s="1952"/>
      <c r="BC452" s="1951"/>
    </row>
    <row r="453" spans="1:55" s="1953" customFormat="1" ht="10.15" x14ac:dyDescent="0.3">
      <c r="A453" s="2042"/>
      <c r="B453" s="2554" t="s">
        <v>1140</v>
      </c>
      <c r="C453" s="1972"/>
      <c r="D453" s="1972"/>
      <c r="E453" s="1972"/>
      <c r="F453" s="1972"/>
      <c r="G453" s="1972"/>
      <c r="H453" s="1972"/>
      <c r="I453" s="1972"/>
      <c r="J453" s="1972"/>
      <c r="K453" s="1972"/>
      <c r="L453" s="1972"/>
      <c r="M453" s="1972"/>
      <c r="N453" s="1972"/>
      <c r="O453" s="1972"/>
      <c r="P453" s="1972"/>
      <c r="Q453" s="1972"/>
      <c r="R453" s="1972"/>
      <c r="S453" s="1972"/>
      <c r="T453" s="1972"/>
      <c r="U453" s="1972"/>
      <c r="V453" s="1972"/>
      <c r="W453" s="1972"/>
      <c r="X453" s="1972"/>
      <c r="Y453" s="1972"/>
      <c r="Z453" s="1972"/>
      <c r="AA453" s="1972"/>
      <c r="AB453" s="2261"/>
      <c r="AC453" s="1972"/>
      <c r="AD453" s="1972"/>
      <c r="AE453" s="1972"/>
      <c r="AF453" s="1972"/>
      <c r="AG453" s="1972"/>
      <c r="AH453" s="1972"/>
      <c r="AI453" s="1972"/>
      <c r="AJ453" s="1972"/>
      <c r="AK453" s="1972"/>
      <c r="AL453" s="1972"/>
      <c r="AM453" s="1972"/>
      <c r="AN453" s="1972"/>
      <c r="AO453" s="1972"/>
      <c r="AP453" s="1972"/>
      <c r="AQ453" s="1952"/>
      <c r="AR453" s="1950"/>
      <c r="AS453" s="1950"/>
      <c r="AT453" s="1951"/>
      <c r="AU453" s="1952"/>
      <c r="AV453" s="1950"/>
      <c r="AW453" s="1950"/>
      <c r="AX453" s="1952"/>
      <c r="AY453" s="1950"/>
      <c r="AZ453" s="1950"/>
      <c r="BA453" s="1951"/>
      <c r="BB453" s="1952"/>
      <c r="BC453" s="1951"/>
    </row>
    <row r="454" spans="1:55" s="1953" customFormat="1" ht="10.15" x14ac:dyDescent="0.3">
      <c r="A454" s="2042"/>
      <c r="B454" s="2473" t="s">
        <v>1141</v>
      </c>
      <c r="C454" s="1973"/>
      <c r="D454" s="1973"/>
      <c r="E454" s="1973"/>
      <c r="F454" s="1973"/>
      <c r="G454" s="2054">
        <f t="shared" ref="G454:AP454" si="478">G165/C165-1</f>
        <v>0.56806083650190109</v>
      </c>
      <c r="H454" s="2054">
        <f t="shared" si="478"/>
        <v>0.44271628940424934</v>
      </c>
      <c r="I454" s="2054">
        <f t="shared" si="478"/>
        <v>0.5999467424107936</v>
      </c>
      <c r="J454" s="2054">
        <f t="shared" si="478"/>
        <v>0.35896197948098973</v>
      </c>
      <c r="K454" s="2555">
        <f t="shared" si="478"/>
        <v>0.43714839961202712</v>
      </c>
      <c r="L454" s="2555">
        <f t="shared" si="478"/>
        <v>0.46077582057945898</v>
      </c>
      <c r="M454" s="2054">
        <f t="shared" si="478"/>
        <v>0.32582524271844671</v>
      </c>
      <c r="N454" s="2054">
        <f t="shared" si="478"/>
        <v>0.37951860733635323</v>
      </c>
      <c r="O454" s="2555">
        <f t="shared" si="478"/>
        <v>0.25113045825740699</v>
      </c>
      <c r="P454" s="2555">
        <f t="shared" si="478"/>
        <v>0.33309172377438068</v>
      </c>
      <c r="Q454" s="2555">
        <f t="shared" si="478"/>
        <v>0.3436689262699808</v>
      </c>
      <c r="R454" s="2555">
        <f t="shared" si="478"/>
        <v>0.38134174607262428</v>
      </c>
      <c r="S454" s="2555">
        <f t="shared" si="478"/>
        <v>0.46946811953824574</v>
      </c>
      <c r="T454" s="2555">
        <f t="shared" si="478"/>
        <v>0.40838317433641436</v>
      </c>
      <c r="U454" s="2555">
        <f t="shared" si="478"/>
        <v>0.45046868674286067</v>
      </c>
      <c r="V454" s="2555">
        <f t="shared" si="478"/>
        <v>0.47145187601957583</v>
      </c>
      <c r="W454" s="2044">
        <f t="shared" si="478"/>
        <v>0.57949414485518158</v>
      </c>
      <c r="X454" s="2044">
        <f t="shared" si="478"/>
        <v>0.6306461236093075</v>
      </c>
      <c r="Y454" s="2044">
        <f t="shared" si="478"/>
        <v>0.57256956372380619</v>
      </c>
      <c r="Z454" s="2044">
        <f t="shared" si="478"/>
        <v>0.62454862210959772</v>
      </c>
      <c r="AA454" s="2044">
        <f t="shared" si="478"/>
        <v>0.6080135728728473</v>
      </c>
      <c r="AB454" s="2044">
        <f t="shared" si="478"/>
        <v>0.55987688864017904</v>
      </c>
      <c r="AC454" s="2044">
        <f t="shared" si="478"/>
        <v>0.40411501283381579</v>
      </c>
      <c r="AD454" s="2044">
        <f t="shared" si="478"/>
        <v>0.53828455554039034</v>
      </c>
      <c r="AE454" s="2044">
        <f t="shared" si="478"/>
        <v>0.43874660345724692</v>
      </c>
      <c r="AF454" s="2044">
        <f t="shared" si="478"/>
        <v>0.39661952397378397</v>
      </c>
      <c r="AG454" s="2044">
        <f t="shared" si="478"/>
        <v>0.37564053946306508</v>
      </c>
      <c r="AH454" s="2044">
        <f t="shared" si="478"/>
        <v>0.18976094506553087</v>
      </c>
      <c r="AI454" s="2044">
        <f t="shared" si="478"/>
        <v>0.33928714940126969</v>
      </c>
      <c r="AJ454" s="2044">
        <f t="shared" si="478"/>
        <v>0.29982608581004344</v>
      </c>
      <c r="AK454" s="2044">
        <f t="shared" si="478"/>
        <v>0.28428142900549802</v>
      </c>
      <c r="AL454" s="2044">
        <f t="shared" si="478"/>
        <v>0.38244570428431923</v>
      </c>
      <c r="AM454" s="2044">
        <f t="shared" si="478"/>
        <v>0.28298101352683691</v>
      </c>
      <c r="AN454" s="2044">
        <f t="shared" si="478"/>
        <v>0.24354463787358238</v>
      </c>
      <c r="AO454" s="2044">
        <f t="shared" si="478"/>
        <v>0.2498235389642729</v>
      </c>
      <c r="AP454" s="2044">
        <f t="shared" si="478"/>
        <v>0.22843425077826174</v>
      </c>
      <c r="AQ454" s="1952"/>
      <c r="AR454" s="2044">
        <f>AR165/AQ165-1</f>
        <v>0.71770951448304299</v>
      </c>
      <c r="AS454" s="2044">
        <f>AS165/AR165-1</f>
        <v>0.49977495724187593</v>
      </c>
      <c r="AT454" s="2408">
        <f>AT165/AS165-1</f>
        <v>0.38893223696056656</v>
      </c>
      <c r="AU454" s="2015">
        <f>AU165/AT167-1</f>
        <v>0.46710202265757816</v>
      </c>
      <c r="AV454" s="2019">
        <f t="shared" ref="AV454:BC454" si="479">AV165/AU165-1</f>
        <v>0.44993772675583465</v>
      </c>
      <c r="AW454" s="2019">
        <f t="shared" si="479"/>
        <v>0.59859575739468185</v>
      </c>
      <c r="AX454" s="2015">
        <f t="shared" si="479"/>
        <v>0.51107373142696955</v>
      </c>
      <c r="AY454" s="2044">
        <f t="shared" si="479"/>
        <v>0.34849721706864556</v>
      </c>
      <c r="AZ454" s="2044">
        <f t="shared" si="479"/>
        <v>0.32157324309543811</v>
      </c>
      <c r="BA454" s="2408">
        <f t="shared" si="479"/>
        <v>0.2512442880953023</v>
      </c>
      <c r="BB454" s="2407">
        <f t="shared" si="479"/>
        <v>0.21270199181147631</v>
      </c>
      <c r="BC454" s="2408">
        <f t="shared" si="479"/>
        <v>0.190394181861538</v>
      </c>
    </row>
    <row r="455" spans="1:55" s="1999" customFormat="1" ht="10.15" x14ac:dyDescent="0.3">
      <c r="A455" s="2042"/>
      <c r="B455" s="2556" t="s">
        <v>1142</v>
      </c>
      <c r="C455" s="2440"/>
      <c r="D455" s="2440"/>
      <c r="E455" s="2440"/>
      <c r="F455" s="2440"/>
      <c r="G455" s="2440">
        <f t="shared" ref="G455:AP457" si="480">G168/C168-1</f>
        <v>0.72374701670644392</v>
      </c>
      <c r="H455" s="2440">
        <f t="shared" si="480"/>
        <v>0.54374999999999996</v>
      </c>
      <c r="I455" s="2440">
        <f t="shared" si="480"/>
        <v>0.68429286608260331</v>
      </c>
      <c r="J455" s="2440">
        <f t="shared" si="480"/>
        <v>0.38747408942848671</v>
      </c>
      <c r="K455" s="2557">
        <f t="shared" si="480"/>
        <v>0.45829006576670128</v>
      </c>
      <c r="L455" s="2557">
        <f t="shared" si="480"/>
        <v>0.4770387507229612</v>
      </c>
      <c r="M455" s="2440">
        <f t="shared" si="480"/>
        <v>0.31741903523437975</v>
      </c>
      <c r="N455" s="2440">
        <f t="shared" si="480"/>
        <v>0.39248746131682855</v>
      </c>
      <c r="O455" s="2557">
        <f t="shared" si="480"/>
        <v>0.24313632407627184</v>
      </c>
      <c r="P455" s="2557">
        <f t="shared" si="480"/>
        <v>0.3522593781815333</v>
      </c>
      <c r="Q455" s="2557">
        <f t="shared" si="480"/>
        <v>0.34965922444183306</v>
      </c>
      <c r="R455" s="2440">
        <f t="shared" si="480"/>
        <v>0.40547168365391983</v>
      </c>
      <c r="S455" s="2557">
        <f t="shared" si="480"/>
        <v>0.48822556008146645</v>
      </c>
      <c r="T455" s="2557">
        <f t="shared" si="480"/>
        <v>0.39624717669543053</v>
      </c>
      <c r="U455" s="2557">
        <f t="shared" si="480"/>
        <v>0.42097931322699722</v>
      </c>
      <c r="V455" s="2557">
        <f t="shared" si="480"/>
        <v>0.4075790621592148</v>
      </c>
      <c r="W455" s="2049">
        <f t="shared" si="480"/>
        <v>0.57002950861737167</v>
      </c>
      <c r="X455" s="2049">
        <f t="shared" si="480"/>
        <v>0.640756563938778</v>
      </c>
      <c r="Y455" s="2049">
        <f t="shared" si="480"/>
        <v>0.47308955443360623</v>
      </c>
      <c r="Z455" s="2049">
        <f t="shared" si="480"/>
        <v>0.55665310865775708</v>
      </c>
      <c r="AA455" s="2049">
        <f t="shared" si="480"/>
        <v>0.47003704510786659</v>
      </c>
      <c r="AB455" s="2049">
        <f t="shared" si="480"/>
        <v>0.36893596582147281</v>
      </c>
      <c r="AC455" s="2049">
        <f t="shared" si="480"/>
        <v>0.34855669245487064</v>
      </c>
      <c r="AD455" s="2049">
        <f t="shared" si="480"/>
        <v>0.45429886773671768</v>
      </c>
      <c r="AE455" s="2049">
        <f t="shared" si="480"/>
        <v>0.40084865105247558</v>
      </c>
      <c r="AF455" s="2049">
        <f t="shared" si="480"/>
        <v>0.39953094125685573</v>
      </c>
      <c r="AG455" s="2049">
        <f t="shared" si="480"/>
        <v>0.36275368576892242</v>
      </c>
      <c r="AH455" s="2049">
        <f t="shared" si="480"/>
        <v>0.21327492684930105</v>
      </c>
      <c r="AI455" s="2049">
        <f t="shared" si="480"/>
        <v>0.34020714011719422</v>
      </c>
      <c r="AJ455" s="2049">
        <f t="shared" si="480"/>
        <v>0.30460586387987254</v>
      </c>
      <c r="AK455" s="2049">
        <f t="shared" si="480"/>
        <v>0.27017135019645466</v>
      </c>
      <c r="AL455" s="2049">
        <f t="shared" si="480"/>
        <v>0.37509814234978234</v>
      </c>
      <c r="AM455" s="2049">
        <f t="shared" si="480"/>
        <v>0.27789007005457922</v>
      </c>
      <c r="AN455" s="2049">
        <f t="shared" si="480"/>
        <v>0.24191926397241814</v>
      </c>
      <c r="AO455" s="2049">
        <f t="shared" si="480"/>
        <v>0.24107293466064261</v>
      </c>
      <c r="AP455" s="2049">
        <f t="shared" si="480"/>
        <v>0.21867254135398473</v>
      </c>
      <c r="AQ455" s="2441"/>
      <c r="AR455" s="2049">
        <f t="shared" ref="AR455:BC457" si="481">AR168/AQ168-1</f>
        <v>1.009387572641931</v>
      </c>
      <c r="AS455" s="2049">
        <f t="shared" si="481"/>
        <v>0.58813496477567662</v>
      </c>
      <c r="AT455" s="2558">
        <f t="shared" si="481"/>
        <v>0.39456481135599542</v>
      </c>
      <c r="AU455" s="2443">
        <f t="shared" si="481"/>
        <v>0.33986807741244229</v>
      </c>
      <c r="AV455" s="2444">
        <f t="shared" si="481"/>
        <v>0.42577436807316982</v>
      </c>
      <c r="AW455" s="2444">
        <f t="shared" si="481"/>
        <v>0.5472837374790771</v>
      </c>
      <c r="AX455" s="2443">
        <f t="shared" si="481"/>
        <v>0.40244903969777801</v>
      </c>
      <c r="AY455" s="2049">
        <f t="shared" si="481"/>
        <v>0.34382004321224491</v>
      </c>
      <c r="AZ455" s="2049">
        <f t="shared" si="481"/>
        <v>0.3162848408213712</v>
      </c>
      <c r="BA455" s="2558">
        <f t="shared" si="481"/>
        <v>0.24479435292955642</v>
      </c>
      <c r="BB455" s="2559">
        <f t="shared" si="481"/>
        <v>0.20792707814648081</v>
      </c>
      <c r="BC455" s="2558">
        <f t="shared" si="481"/>
        <v>0.18913549176963396</v>
      </c>
    </row>
    <row r="456" spans="1:55" s="1989" customFormat="1" x14ac:dyDescent="0.35">
      <c r="A456" s="1970" t="s">
        <v>1143</v>
      </c>
      <c r="B456" s="1982" t="s">
        <v>1144</v>
      </c>
      <c r="C456" s="2560"/>
      <c r="D456" s="2560"/>
      <c r="E456" s="2560"/>
      <c r="F456" s="2560"/>
      <c r="G456" s="2560"/>
      <c r="H456" s="2560"/>
      <c r="I456" s="2560"/>
      <c r="J456" s="2560">
        <f t="shared" si="480"/>
        <v>0.31714219310283753</v>
      </c>
      <c r="K456" s="2560">
        <f t="shared" si="480"/>
        <v>0.3238946951939794</v>
      </c>
      <c r="L456" s="2560">
        <f t="shared" si="480"/>
        <v>0.31044015710634065</v>
      </c>
      <c r="M456" s="2560">
        <f t="shared" si="480"/>
        <v>0.19055646147106908</v>
      </c>
      <c r="N456" s="2560">
        <f t="shared" si="480"/>
        <v>0.29380724752272247</v>
      </c>
      <c r="O456" s="2560">
        <f t="shared" si="480"/>
        <v>0.23715196110164061</v>
      </c>
      <c r="P456" s="2560">
        <f t="shared" si="480"/>
        <v>0.37590980092897031</v>
      </c>
      <c r="Q456" s="2560">
        <f t="shared" si="480"/>
        <v>0.46612471345186957</v>
      </c>
      <c r="R456" s="2560">
        <f t="shared" si="480"/>
        <v>0.52307274666154036</v>
      </c>
      <c r="S456" s="2560">
        <f t="shared" si="480"/>
        <v>0.538953488372093</v>
      </c>
      <c r="T456" s="2560">
        <f t="shared" si="480"/>
        <v>0.46884927638545704</v>
      </c>
      <c r="U456" s="2560">
        <f t="shared" si="480"/>
        <v>0.46728333420928148</v>
      </c>
      <c r="V456" s="2560">
        <f t="shared" si="480"/>
        <v>0.45710387173801803</v>
      </c>
      <c r="W456" s="2560">
        <f t="shared" si="480"/>
        <v>0.65092557612391388</v>
      </c>
      <c r="X456" s="2560">
        <f t="shared" si="480"/>
        <v>0.578371883448483</v>
      </c>
      <c r="Y456" s="2560">
        <f t="shared" si="480"/>
        <v>0.38978436850777287</v>
      </c>
      <c r="Z456" s="2560">
        <f t="shared" si="480"/>
        <v>0.34572164345077838</v>
      </c>
      <c r="AA456" s="2560">
        <f t="shared" si="480"/>
        <v>0.26060259344012215</v>
      </c>
      <c r="AB456" s="2560">
        <f t="shared" si="480"/>
        <v>0.25304506699147389</v>
      </c>
      <c r="AC456" s="2560">
        <f t="shared" si="480"/>
        <v>0.27814432989690729</v>
      </c>
      <c r="AD456" s="2560">
        <f t="shared" si="480"/>
        <v>0.30992041055973552</v>
      </c>
      <c r="AE456" s="2225">
        <f t="shared" si="480"/>
        <v>0.26929476900735172</v>
      </c>
      <c r="AF456" s="2225">
        <f t="shared" si="480"/>
        <v>0.25458687727825025</v>
      </c>
      <c r="AG456" s="2225">
        <f t="shared" si="480"/>
        <v>0.23477577028552998</v>
      </c>
      <c r="AH456" s="2225">
        <f t="shared" si="480"/>
        <v>2.6129685580530637E-2</v>
      </c>
      <c r="AI456" s="2225">
        <f t="shared" si="480"/>
        <v>0.22596176765028364</v>
      </c>
      <c r="AJ456" s="2225">
        <v>0.21</v>
      </c>
      <c r="AK456" s="2225">
        <v>0.25</v>
      </c>
      <c r="AL456" s="2225">
        <v>0.34</v>
      </c>
      <c r="AM456" s="2225">
        <v>0.23</v>
      </c>
      <c r="AN456" s="2225">
        <v>0.21</v>
      </c>
      <c r="AO456" s="2225">
        <v>0.23</v>
      </c>
      <c r="AP456" s="2225">
        <v>0.2</v>
      </c>
      <c r="AQ456" s="2561"/>
      <c r="AR456" s="2232">
        <f t="shared" si="481"/>
        <v>1.0090779273765809</v>
      </c>
      <c r="AS456" s="2232">
        <f t="shared" si="481"/>
        <v>0.50931613951363142</v>
      </c>
      <c r="AT456" s="2562">
        <f t="shared" si="481"/>
        <v>0.26169733257089045</v>
      </c>
      <c r="AU456" s="2561">
        <f t="shared" si="481"/>
        <v>0.39713135514143283</v>
      </c>
      <c r="AV456" s="2225">
        <f t="shared" si="481"/>
        <v>0.4794580669783417</v>
      </c>
      <c r="AW456" s="2225">
        <f t="shared" si="481"/>
        <v>0.47405553907469278</v>
      </c>
      <c r="AX456" s="2561">
        <f t="shared" si="481"/>
        <v>0.27474296714354463</v>
      </c>
      <c r="AY456" s="2225">
        <f t="shared" si="481"/>
        <v>0.2039482716015486</v>
      </c>
      <c r="AZ456" s="2225">
        <f t="shared" si="481"/>
        <v>0.25068986749982902</v>
      </c>
      <c r="BA456" s="2562">
        <f t="shared" si="481"/>
        <v>0.21978006892590463</v>
      </c>
      <c r="BB456" s="2561">
        <v>0.2</v>
      </c>
      <c r="BC456" s="2562">
        <v>0.19</v>
      </c>
    </row>
    <row r="457" spans="1:55" s="1989" customFormat="1" x14ac:dyDescent="0.35">
      <c r="A457" s="1970" t="s">
        <v>1145</v>
      </c>
      <c r="B457" s="1982" t="s">
        <v>1146</v>
      </c>
      <c r="C457" s="2560"/>
      <c r="D457" s="2560"/>
      <c r="E457" s="2560"/>
      <c r="F457" s="2560"/>
      <c r="G457" s="2560"/>
      <c r="H457" s="2560"/>
      <c r="I457" s="2560"/>
      <c r="J457" s="2560">
        <f t="shared" si="480"/>
        <v>0.57247063468561876</v>
      </c>
      <c r="K457" s="2560">
        <f t="shared" si="480"/>
        <v>0.88166460098929189</v>
      </c>
      <c r="L457" s="2560">
        <f t="shared" si="480"/>
        <v>0.99519347375883904</v>
      </c>
      <c r="M457" s="2560">
        <f t="shared" si="480"/>
        <v>0.62481681012240187</v>
      </c>
      <c r="N457" s="2560">
        <f t="shared" si="480"/>
        <v>0.59726502915753854</v>
      </c>
      <c r="O457" s="2560">
        <f t="shared" si="480"/>
        <v>0.24996895832214383</v>
      </c>
      <c r="P457" s="2560">
        <f t="shared" si="480"/>
        <v>0.28370599037080213</v>
      </c>
      <c r="Q457" s="2563">
        <f t="shared" si="480"/>
        <v>0.16171079743347661</v>
      </c>
      <c r="R457" s="2560">
        <f t="shared" si="480"/>
        <v>0.19645281787974711</v>
      </c>
      <c r="S457" s="2560">
        <v>0.37</v>
      </c>
      <c r="T457" s="2560">
        <f t="shared" si="480"/>
        <v>0.25</v>
      </c>
      <c r="U457" s="2560">
        <f t="shared" si="480"/>
        <v>0.32000000000000006</v>
      </c>
      <c r="V457" s="2560">
        <f t="shared" si="480"/>
        <v>0.34753846355980089</v>
      </c>
      <c r="W457" s="2560">
        <f t="shared" si="480"/>
        <v>0.2818365578977764</v>
      </c>
      <c r="X457" s="2560">
        <f t="shared" si="480"/>
        <v>0.46547202797202791</v>
      </c>
      <c r="Y457" s="2560">
        <f t="shared" si="480"/>
        <v>0.34379918813685695</v>
      </c>
      <c r="Z457" s="2560">
        <f t="shared" si="480"/>
        <v>0.38537477148080446</v>
      </c>
      <c r="AA457" s="2560">
        <f t="shared" si="480"/>
        <v>0.54944807389051586</v>
      </c>
      <c r="AB457" s="2560">
        <f t="shared" si="480"/>
        <v>0.30589521821254606</v>
      </c>
      <c r="AC457" s="2560">
        <f t="shared" si="480"/>
        <v>0.24314160655939832</v>
      </c>
      <c r="AD457" s="2560">
        <f t="shared" si="480"/>
        <v>0.30113486408023227</v>
      </c>
      <c r="AE457" s="2225">
        <f t="shared" si="480"/>
        <v>0.22870020354754295</v>
      </c>
      <c r="AF457" s="2560">
        <f t="shared" si="480"/>
        <v>0.23896163215590738</v>
      </c>
      <c r="AG457" s="2225">
        <f t="shared" si="480"/>
        <v>0.16087279940490951</v>
      </c>
      <c r="AH457" s="2225">
        <f t="shared" si="480"/>
        <v>-1.9607843137254943E-2</v>
      </c>
      <c r="AI457" s="2225">
        <f t="shared" si="480"/>
        <v>0.17033487161282679</v>
      </c>
      <c r="AJ457" s="2225">
        <v>0.14000000000000001</v>
      </c>
      <c r="AK457" s="2225">
        <v>0.15</v>
      </c>
      <c r="AL457" s="2225">
        <v>0.3</v>
      </c>
      <c r="AM457" s="2225">
        <v>0.16</v>
      </c>
      <c r="AN457" s="2225">
        <v>0.15</v>
      </c>
      <c r="AO457" s="2225">
        <v>0.15</v>
      </c>
      <c r="AP457" s="2225">
        <v>0.13</v>
      </c>
      <c r="AQ457" s="2561"/>
      <c r="AR457" s="2232">
        <f t="shared" si="481"/>
        <v>1.1135506003430531</v>
      </c>
      <c r="AS457" s="2232">
        <f t="shared" si="481"/>
        <v>0.95146891738354156</v>
      </c>
      <c r="AT457" s="2562">
        <f t="shared" si="481"/>
        <v>0.76337020710305259</v>
      </c>
      <c r="AU457" s="2561">
        <f t="shared" si="481"/>
        <v>0.21599223726483263</v>
      </c>
      <c r="AV457" s="2225">
        <f t="shared" si="481"/>
        <v>0.32139906015798592</v>
      </c>
      <c r="AW457" s="2225">
        <f t="shared" si="481"/>
        <v>0.36573122761697885</v>
      </c>
      <c r="AX457" s="2561">
        <f t="shared" si="481"/>
        <v>0.32932831810854379</v>
      </c>
      <c r="AY457" s="2225">
        <f t="shared" si="481"/>
        <v>0.14938477209888923</v>
      </c>
      <c r="AZ457" s="2225">
        <f t="shared" si="481"/>
        <v>0.18314225023211339</v>
      </c>
      <c r="BA457" s="2562">
        <f t="shared" si="481"/>
        <v>0.14786944510334421</v>
      </c>
      <c r="BB457" s="2561">
        <v>0.14000000000000001</v>
      </c>
      <c r="BC457" s="2562">
        <v>0.13</v>
      </c>
    </row>
    <row r="458" spans="1:55" s="2572" customFormat="1" ht="10.5" customHeight="1" x14ac:dyDescent="0.35">
      <c r="A458" s="2042"/>
      <c r="B458" s="2564" t="s">
        <v>1147</v>
      </c>
      <c r="C458" s="2565"/>
      <c r="D458" s="2565"/>
      <c r="E458" s="2565"/>
      <c r="F458" s="2565"/>
      <c r="G458" s="2565"/>
      <c r="H458" s="2565"/>
      <c r="I458" s="2565"/>
      <c r="J458" s="2565">
        <f t="shared" ref="J458:AP458" si="482">(J169+J170)/(F169+F170)-1</f>
        <v>0.39619880806845975</v>
      </c>
      <c r="K458" s="2565">
        <f t="shared" si="482"/>
        <v>0.46576847636037688</v>
      </c>
      <c r="L458" s="2565">
        <f t="shared" si="482"/>
        <v>0.48461330841897632</v>
      </c>
      <c r="M458" s="2565">
        <f t="shared" si="482"/>
        <v>0.32417503028686379</v>
      </c>
      <c r="N458" s="2565">
        <f t="shared" si="482"/>
        <v>0.39962842265691489</v>
      </c>
      <c r="O458" s="2565">
        <f t="shared" si="482"/>
        <v>0.2413371030511926</v>
      </c>
      <c r="P458" s="2565">
        <f t="shared" si="482"/>
        <v>0.34439115140143306</v>
      </c>
      <c r="Q458" s="2565">
        <f t="shared" si="482"/>
        <v>0.35119292883268027</v>
      </c>
      <c r="R458" s="2565">
        <f t="shared" si="482"/>
        <v>0.39309134643205135</v>
      </c>
      <c r="S458" s="2566">
        <f t="shared" si="482"/>
        <v>0.48340137862934629</v>
      </c>
      <c r="T458" s="2566">
        <f t="shared" si="482"/>
        <v>0.39741547386941845</v>
      </c>
      <c r="U458" s="2566">
        <f t="shared" si="482"/>
        <v>0.41947430582596335</v>
      </c>
      <c r="V458" s="2566">
        <f t="shared" si="482"/>
        <v>0.41965592807810093</v>
      </c>
      <c r="W458" s="2566">
        <f t="shared" si="482"/>
        <v>0.53884601894072248</v>
      </c>
      <c r="X458" s="2566">
        <f t="shared" si="482"/>
        <v>0.54540814156280581</v>
      </c>
      <c r="Y458" s="2566">
        <f t="shared" si="482"/>
        <v>0.37590337342769264</v>
      </c>
      <c r="Z458" s="2566">
        <f t="shared" si="482"/>
        <v>0.35858605828160206</v>
      </c>
      <c r="AA458" s="2566">
        <f t="shared" si="482"/>
        <v>0.33366573593936977</v>
      </c>
      <c r="AB458" s="2566">
        <f t="shared" si="482"/>
        <v>0.26767774077234319</v>
      </c>
      <c r="AC458" s="2566">
        <f t="shared" si="482"/>
        <v>0.26782501226804301</v>
      </c>
      <c r="AD458" s="2566">
        <f t="shared" si="482"/>
        <v>0.30701396973224671</v>
      </c>
      <c r="AE458" s="2566">
        <f t="shared" si="482"/>
        <v>0.25736503663825339</v>
      </c>
      <c r="AF458" s="2566">
        <f t="shared" si="482"/>
        <v>0.25013027618551331</v>
      </c>
      <c r="AG458" s="2566">
        <f t="shared" si="482"/>
        <v>0.21341227403701413</v>
      </c>
      <c r="AH458" s="2566">
        <f t="shared" si="482"/>
        <v>1.1066824021910948E-2</v>
      </c>
      <c r="AI458" s="2566">
        <f t="shared" si="482"/>
        <v>0.20998708712790548</v>
      </c>
      <c r="AJ458" s="2566">
        <f t="shared" si="482"/>
        <v>0.19021310962901228</v>
      </c>
      <c r="AK458" s="2566">
        <f t="shared" si="482"/>
        <v>0.22234417088039327</v>
      </c>
      <c r="AL458" s="2566">
        <f t="shared" si="482"/>
        <v>0.32722635775007713</v>
      </c>
      <c r="AM458" s="2566">
        <f t="shared" si="482"/>
        <v>0.21055648388682169</v>
      </c>
      <c r="AN458" s="2566">
        <f t="shared" si="482"/>
        <v>0.19375533050790672</v>
      </c>
      <c r="AO458" s="2566">
        <f t="shared" si="482"/>
        <v>0.20918478003481389</v>
      </c>
      <c r="AP458" s="2566">
        <f t="shared" si="482"/>
        <v>0.17810468730606166</v>
      </c>
      <c r="AQ458" s="2567"/>
      <c r="AR458" s="2568">
        <f t="shared" ref="AR458:BC458" si="483">(AR169+AR170)/(AQ169+AQ170)-1</f>
        <v>1.0330214639515685</v>
      </c>
      <c r="AS458" s="2568">
        <f t="shared" si="483"/>
        <v>0.61466470724727351</v>
      </c>
      <c r="AT458" s="2569">
        <f t="shared" si="483"/>
        <v>0.40616018394328424</v>
      </c>
      <c r="AU458" s="2570">
        <f t="shared" si="483"/>
        <v>0.33171949279938207</v>
      </c>
      <c r="AV458" s="2571">
        <f t="shared" si="483"/>
        <v>0.42734080878378067</v>
      </c>
      <c r="AW458" s="2571">
        <f t="shared" si="483"/>
        <v>0.44098855704006379</v>
      </c>
      <c r="AX458" s="2567">
        <f t="shared" si="483"/>
        <v>0.29053541446427467</v>
      </c>
      <c r="AY458" s="2568">
        <f t="shared" si="483"/>
        <v>0.18768762257204941</v>
      </c>
      <c r="AZ458" s="2568">
        <f t="shared" si="483"/>
        <v>0.23120897266331819</v>
      </c>
      <c r="BA458" s="2569">
        <f t="shared" si="483"/>
        <v>0.19985053622118909</v>
      </c>
      <c r="BB458" s="2567">
        <f t="shared" si="483"/>
        <v>0.1840918141673733</v>
      </c>
      <c r="BC458" s="2569">
        <f t="shared" si="483"/>
        <v>0.1746841844253888</v>
      </c>
    </row>
    <row r="459" spans="1:55" s="2388" customFormat="1" ht="10.15" x14ac:dyDescent="0.3">
      <c r="A459" s="2042"/>
      <c r="B459" s="2573" t="s">
        <v>925</v>
      </c>
      <c r="C459" s="2054"/>
      <c r="D459" s="2054"/>
      <c r="E459" s="2054"/>
      <c r="F459" s="2054"/>
      <c r="G459" s="2054"/>
      <c r="H459" s="2054"/>
      <c r="I459" s="2054"/>
      <c r="J459" s="2054">
        <f t="shared" ref="J459:Y461" si="484">J182/F182-1</f>
        <v>0.11559523809523631</v>
      </c>
      <c r="K459" s="2054">
        <f t="shared" si="484"/>
        <v>0.16663205261335645</v>
      </c>
      <c r="L459" s="2054">
        <f t="shared" si="484"/>
        <v>0.18163100057837789</v>
      </c>
      <c r="M459" s="2054">
        <f t="shared" si="484"/>
        <v>5.3935228187505402E-2</v>
      </c>
      <c r="N459" s="2054">
        <f t="shared" si="484"/>
        <v>0.1139899690534627</v>
      </c>
      <c r="O459" s="2054">
        <f t="shared" si="484"/>
        <v>0.33129815430514986</v>
      </c>
      <c r="P459" s="2054">
        <f t="shared" si="484"/>
        <v>0.73780249040644064</v>
      </c>
      <c r="Q459" s="2054">
        <f t="shared" si="484"/>
        <v>0.27450770929031743</v>
      </c>
      <c r="R459" s="2054">
        <f t="shared" si="484"/>
        <v>1.0121082075254839</v>
      </c>
      <c r="S459" s="2054">
        <f t="shared" ref="S459:AP459" si="485">S171/O171-1</f>
        <v>0.70863699462085417</v>
      </c>
      <c r="T459" s="2054">
        <f t="shared" si="485"/>
        <v>0.35196034249661956</v>
      </c>
      <c r="U459" s="2054">
        <f t="shared" si="485"/>
        <v>0.49916182387125696</v>
      </c>
      <c r="V459" s="2054">
        <f t="shared" si="485"/>
        <v>-2.1328458257158234E-3</v>
      </c>
      <c r="W459" s="2054">
        <f t="shared" si="485"/>
        <v>1.8069565217391306</v>
      </c>
      <c r="X459" s="2054">
        <f t="shared" si="485"/>
        <v>4.3766666666666669</v>
      </c>
      <c r="Y459" s="2054">
        <f t="shared" si="485"/>
        <v>5.2533825338253379</v>
      </c>
      <c r="Z459" s="2054">
        <f t="shared" si="485"/>
        <v>10.116412213740459</v>
      </c>
      <c r="AA459" s="2054">
        <f t="shared" si="485"/>
        <v>3.4355638166047084</v>
      </c>
      <c r="AB459" s="2054">
        <f t="shared" si="485"/>
        <v>1.5092994420334782</v>
      </c>
      <c r="AC459" s="2054">
        <f t="shared" si="485"/>
        <v>1.2222659323367426</v>
      </c>
      <c r="AD459" s="2054">
        <f t="shared" si="485"/>
        <v>1.3230901287553647</v>
      </c>
      <c r="AE459" s="2054">
        <f t="shared" si="485"/>
        <v>1.3390138287470319</v>
      </c>
      <c r="AF459" s="2054">
        <f t="shared" si="485"/>
        <v>1.2495367510809143</v>
      </c>
      <c r="AG459" s="2054">
        <f t="shared" si="485"/>
        <v>1.2848291733050097</v>
      </c>
      <c r="AH459" s="2054">
        <f t="shared" si="485"/>
        <v>0.8843482116464676</v>
      </c>
      <c r="AI459" s="2054">
        <f t="shared" si="485"/>
        <v>0.79790982382800846</v>
      </c>
      <c r="AJ459" s="2054">
        <f t="shared" si="485"/>
        <v>0.66629049972542576</v>
      </c>
      <c r="AK459" s="2054">
        <f t="shared" si="485"/>
        <v>0.42699647478112635</v>
      </c>
      <c r="AL459" s="2054">
        <f t="shared" si="485"/>
        <v>0.46034329908276073</v>
      </c>
      <c r="AM459" s="2054">
        <f t="shared" si="485"/>
        <v>0.43716600637746694</v>
      </c>
      <c r="AN459" s="2054">
        <f t="shared" si="485"/>
        <v>0.35069386598029628</v>
      </c>
      <c r="AO459" s="2054">
        <f t="shared" si="485"/>
        <v>0.3306384575353456</v>
      </c>
      <c r="AP459" s="2054">
        <f t="shared" si="485"/>
        <v>0.2843266888676228</v>
      </c>
      <c r="AQ459" s="2013"/>
      <c r="AR459" s="2019">
        <f t="shared" ref="AR459:BC459" si="486">AR171/AQ171-1</f>
        <v>0.58179231863442382</v>
      </c>
      <c r="AS459" s="2019">
        <f t="shared" si="486"/>
        <v>-2.877697841726623E-2</v>
      </c>
      <c r="AT459" s="2014">
        <f t="shared" si="486"/>
        <v>-5.3703703703703698E-2</v>
      </c>
      <c r="AU459" s="2013">
        <f t="shared" si="486"/>
        <v>0.76908023483365939</v>
      </c>
      <c r="AV459" s="2012">
        <f t="shared" si="486"/>
        <v>0.38938053097345127</v>
      </c>
      <c r="AW459" s="2012">
        <f t="shared" si="486"/>
        <v>5.2695063694267512</v>
      </c>
      <c r="AX459" s="2013">
        <f t="shared" si="486"/>
        <v>1.5451774715854976</v>
      </c>
      <c r="AY459" s="2012">
        <f t="shared" si="486"/>
        <v>1.152180421115657</v>
      </c>
      <c r="AZ459" s="2012">
        <f t="shared" si="486"/>
        <v>0.55936072220651134</v>
      </c>
      <c r="BA459" s="2014">
        <f t="shared" si="486"/>
        <v>0.34618329962669825</v>
      </c>
      <c r="BB459" s="2013">
        <f t="shared" si="486"/>
        <v>0.25585223888838926</v>
      </c>
      <c r="BC459" s="2014">
        <f t="shared" si="486"/>
        <v>0.21653214950470034</v>
      </c>
    </row>
    <row r="460" spans="1:55" s="1953" customFormat="1" ht="10.15" x14ac:dyDescent="0.3">
      <c r="A460" s="1970" t="s">
        <v>1148</v>
      </c>
      <c r="B460" s="2536" t="s">
        <v>1149</v>
      </c>
      <c r="C460" s="2054"/>
      <c r="D460" s="2054"/>
      <c r="E460" s="2054"/>
      <c r="F460" s="2054"/>
      <c r="G460" s="2054">
        <f t="shared" ref="G460:I461" si="487">G183/C183-1</f>
        <v>-8.2024432809773118E-2</v>
      </c>
      <c r="H460" s="2054">
        <f t="shared" si="487"/>
        <v>2.8985507246376718E-2</v>
      </c>
      <c r="I460" s="2054">
        <f t="shared" si="487"/>
        <v>4.7945205479452024E-2</v>
      </c>
      <c r="J460" s="2054">
        <f t="shared" si="484"/>
        <v>0.21721311475409832</v>
      </c>
      <c r="K460" s="2555">
        <f t="shared" si="484"/>
        <v>0.34790874524714832</v>
      </c>
      <c r="L460" s="2555">
        <f t="shared" si="484"/>
        <v>0.39084507042253525</v>
      </c>
      <c r="M460" s="2574">
        <f t="shared" si="484"/>
        <v>0.40522875816993453</v>
      </c>
      <c r="N460" s="2574">
        <f t="shared" si="484"/>
        <v>0.42424242424242431</v>
      </c>
      <c r="O460" s="2574">
        <f t="shared" si="484"/>
        <v>0.40620592383638932</v>
      </c>
      <c r="P460" s="2574">
        <f t="shared" si="484"/>
        <v>0.32405063291139236</v>
      </c>
      <c r="Q460" s="2574">
        <f t="shared" si="484"/>
        <v>0.35116279069767442</v>
      </c>
      <c r="R460" s="2574">
        <f t="shared" si="484"/>
        <v>0.28014184397163122</v>
      </c>
      <c r="S460" s="2555">
        <f t="shared" si="484"/>
        <v>0.26479438314944836</v>
      </c>
      <c r="T460" s="2555">
        <f t="shared" si="484"/>
        <v>0.37189292543021035</v>
      </c>
      <c r="U460" s="2555">
        <f t="shared" si="484"/>
        <v>0.30292598967297768</v>
      </c>
      <c r="V460" s="2555">
        <f t="shared" si="484"/>
        <v>0.35641735918744222</v>
      </c>
      <c r="W460" s="2555">
        <f t="shared" si="484"/>
        <v>0.30134813639968283</v>
      </c>
      <c r="X460" s="2555">
        <f t="shared" si="484"/>
        <v>0.19442508710801398</v>
      </c>
      <c r="Y460" s="2555">
        <f t="shared" si="484"/>
        <v>0.27212681638044911</v>
      </c>
      <c r="Z460" s="2555">
        <f t="shared" ref="S460:AI461" si="488">Z183/V183-1</f>
        <v>0.28182437031994545</v>
      </c>
      <c r="AA460" s="2555">
        <f t="shared" si="488"/>
        <v>0.37111517367458857</v>
      </c>
      <c r="AB460" s="2555">
        <f t="shared" si="488"/>
        <v>0.456826137689615</v>
      </c>
      <c r="AC460" s="2555">
        <f t="shared" si="488"/>
        <v>0.39875389408099693</v>
      </c>
      <c r="AD460" s="2555">
        <f t="shared" si="488"/>
        <v>0.35262878385554974</v>
      </c>
      <c r="AE460" s="2574">
        <f t="shared" si="488"/>
        <v>0.32977777777777773</v>
      </c>
      <c r="AF460" s="2574">
        <f t="shared" si="488"/>
        <v>0.31477773327993597</v>
      </c>
      <c r="AG460" s="2574">
        <f t="shared" si="488"/>
        <v>0.2490720118782479</v>
      </c>
      <c r="AH460" s="2574">
        <f t="shared" si="488"/>
        <v>9.4228504122497059E-2</v>
      </c>
      <c r="AI460" s="2574">
        <f t="shared" si="488"/>
        <v>0.16443850267379689</v>
      </c>
      <c r="AJ460" s="2574">
        <v>0.23</v>
      </c>
      <c r="AK460" s="2574">
        <v>0.23</v>
      </c>
      <c r="AL460" s="2574">
        <v>0.3</v>
      </c>
      <c r="AM460" s="2574">
        <v>0.22</v>
      </c>
      <c r="AN460" s="2574">
        <v>0.22</v>
      </c>
      <c r="AO460" s="2574">
        <v>0.21</v>
      </c>
      <c r="AP460" s="2574">
        <v>0.2</v>
      </c>
      <c r="AQ460" s="2013"/>
      <c r="AR460" s="2044">
        <f t="shared" ref="AR460:BA461" si="489">AR183/AQ183-1</f>
        <v>-8.1264108352144815E-3</v>
      </c>
      <c r="AS460" s="2044">
        <f t="shared" si="489"/>
        <v>4.6882111970869333E-2</v>
      </c>
      <c r="AT460" s="2408">
        <f t="shared" si="489"/>
        <v>0.39347826086956528</v>
      </c>
      <c r="AU460" s="2015">
        <f t="shared" si="489"/>
        <v>0.33790951638065514</v>
      </c>
      <c r="AV460" s="2019">
        <f t="shared" si="489"/>
        <v>0.32439365671641784</v>
      </c>
      <c r="AW460" s="2019">
        <f t="shared" si="489"/>
        <v>0.26148969889064966</v>
      </c>
      <c r="AX460" s="2015">
        <f t="shared" si="489"/>
        <v>0.39419318816303739</v>
      </c>
      <c r="AY460" s="2574">
        <f t="shared" si="489"/>
        <v>0.24419303163796546</v>
      </c>
      <c r="AZ460" s="2574">
        <f t="shared" si="489"/>
        <v>0.22991389715941102</v>
      </c>
      <c r="BA460" s="2575">
        <f t="shared" si="489"/>
        <v>0.21255100385105075</v>
      </c>
      <c r="BB460" s="2576">
        <v>0.17</v>
      </c>
      <c r="BC460" s="2575">
        <v>0.13</v>
      </c>
    </row>
    <row r="461" spans="1:55" s="1999" customFormat="1" ht="10.15" x14ac:dyDescent="0.3">
      <c r="A461" s="2042"/>
      <c r="B461" s="2496" t="s">
        <v>1116</v>
      </c>
      <c r="C461" s="2577"/>
      <c r="D461" s="2577"/>
      <c r="E461" s="2577"/>
      <c r="F461" s="2577"/>
      <c r="G461" s="2440">
        <f t="shared" si="487"/>
        <v>0.14681724845995903</v>
      </c>
      <c r="H461" s="2440">
        <f t="shared" si="487"/>
        <v>0.12106768350810304</v>
      </c>
      <c r="I461" s="2440">
        <f t="shared" si="487"/>
        <v>0.15539305301645334</v>
      </c>
      <c r="J461" s="2440">
        <f t="shared" si="484"/>
        <v>0.24065196548418033</v>
      </c>
      <c r="K461" s="2557">
        <f t="shared" si="484"/>
        <v>0.31512981199641898</v>
      </c>
      <c r="L461" s="2557">
        <f t="shared" si="484"/>
        <v>0.375</v>
      </c>
      <c r="M461" s="2578">
        <f t="shared" si="484"/>
        <v>0.39477848101265822</v>
      </c>
      <c r="N461" s="2578">
        <f t="shared" si="484"/>
        <v>0.26506955177743441</v>
      </c>
      <c r="O461" s="2578">
        <f t="shared" si="484"/>
        <v>0.18856364874063991</v>
      </c>
      <c r="P461" s="2578">
        <f t="shared" si="484"/>
        <v>0.13543599257884975</v>
      </c>
      <c r="Q461" s="2578">
        <f t="shared" si="484"/>
        <v>0.16959727736812247</v>
      </c>
      <c r="R461" s="2440">
        <f t="shared" si="484"/>
        <v>0.21258399511301151</v>
      </c>
      <c r="S461" s="2440">
        <f t="shared" si="488"/>
        <v>0.45990836197021756</v>
      </c>
      <c r="T461" s="2440">
        <f t="shared" si="488"/>
        <v>0.5490196078431373</v>
      </c>
      <c r="U461" s="2440">
        <f t="shared" si="488"/>
        <v>0.94277400581959259</v>
      </c>
      <c r="V461" s="2440">
        <f t="shared" si="488"/>
        <v>0.98387909319899247</v>
      </c>
      <c r="W461" s="2440">
        <f t="shared" si="488"/>
        <v>0.66614358571989007</v>
      </c>
      <c r="X461" s="2440">
        <f t="shared" si="488"/>
        <v>0.59247538677918432</v>
      </c>
      <c r="Y461" s="2440">
        <f t="shared" si="488"/>
        <v>0.59735396904643046</v>
      </c>
      <c r="Z461" s="2440">
        <f t="shared" si="488"/>
        <v>0.43880142204164541</v>
      </c>
      <c r="AA461" s="2440">
        <f t="shared" si="488"/>
        <v>0.44878737932658352</v>
      </c>
      <c r="AB461" s="2440">
        <f t="shared" si="488"/>
        <v>0.43210421726650483</v>
      </c>
      <c r="AC461" s="2440">
        <f t="shared" si="488"/>
        <v>0.25160181278324734</v>
      </c>
      <c r="AD461" s="2440">
        <f t="shared" si="488"/>
        <v>0.24902929756441927</v>
      </c>
      <c r="AE461" s="2440">
        <f t="shared" si="488"/>
        <v>0.2696245733788396</v>
      </c>
      <c r="AF461" s="2440">
        <f t="shared" si="488"/>
        <v>0.30141843971631199</v>
      </c>
      <c r="AG461" s="2440">
        <f t="shared" si="488"/>
        <v>0.23024097889873896</v>
      </c>
      <c r="AH461" s="2440">
        <f t="shared" si="488"/>
        <v>0.10371626395365263</v>
      </c>
      <c r="AI461" s="2440">
        <f t="shared" si="488"/>
        <v>0.30773169482846896</v>
      </c>
      <c r="AJ461" s="2440">
        <f t="shared" ref="AJ461:AP461" si="490">AJ184/AF184-1</f>
        <v>0.21047003214269644</v>
      </c>
      <c r="AK461" s="2440">
        <f t="shared" si="490"/>
        <v>0.41070840864971059</v>
      </c>
      <c r="AL461" s="2440">
        <f t="shared" si="490"/>
        <v>0.39257311417232099</v>
      </c>
      <c r="AM461" s="2440">
        <f t="shared" si="490"/>
        <v>0.29610013938877588</v>
      </c>
      <c r="AN461" s="2440">
        <f t="shared" si="490"/>
        <v>0.23886500725828119</v>
      </c>
      <c r="AO461" s="2440">
        <f t="shared" si="490"/>
        <v>0.30374547835202304</v>
      </c>
      <c r="AP461" s="2440">
        <f t="shared" si="490"/>
        <v>0.26591507045861706</v>
      </c>
      <c r="AQ461" s="2579"/>
      <c r="AR461" s="2049">
        <f t="shared" si="489"/>
        <v>0.10491367861885781</v>
      </c>
      <c r="AS461" s="2049">
        <f t="shared" si="489"/>
        <v>0.16610576923076925</v>
      </c>
      <c r="AT461" s="2558">
        <f t="shared" si="489"/>
        <v>0.33704390847247989</v>
      </c>
      <c r="AU461" s="2443">
        <f t="shared" si="489"/>
        <v>0.17622571692876976</v>
      </c>
      <c r="AV461" s="2444">
        <f t="shared" si="489"/>
        <v>0.74819766679774546</v>
      </c>
      <c r="AW461" s="2444">
        <f t="shared" si="489"/>
        <v>0.56264527255004881</v>
      </c>
      <c r="AX461" s="2443">
        <f t="shared" si="489"/>
        <v>0.3303104457559618</v>
      </c>
      <c r="AY461" s="2049">
        <f t="shared" si="489"/>
        <v>0.22333633904418404</v>
      </c>
      <c r="AZ461" s="2049">
        <f t="shared" si="489"/>
        <v>0.33297980618987855</v>
      </c>
      <c r="BA461" s="2558">
        <f t="shared" si="489"/>
        <v>0.27825322355105064</v>
      </c>
      <c r="BB461" s="2559">
        <f>BB184/BA184-1</f>
        <v>0.24062817718180018</v>
      </c>
      <c r="BC461" s="2558">
        <f>BC184/BB184-1</f>
        <v>0.21186334409360508</v>
      </c>
    </row>
    <row r="462" spans="1:55" s="1999" customFormat="1" ht="10.15" x14ac:dyDescent="0.3">
      <c r="A462" s="1970" t="s">
        <v>1150</v>
      </c>
      <c r="B462" s="2496" t="s">
        <v>1059</v>
      </c>
      <c r="C462" s="2577"/>
      <c r="D462" s="2577"/>
      <c r="E462" s="2577"/>
      <c r="F462" s="2577"/>
      <c r="G462" s="2440"/>
      <c r="H462" s="2440"/>
      <c r="I462" s="2440"/>
      <c r="J462" s="2440"/>
      <c r="K462" s="2557"/>
      <c r="L462" s="2557"/>
      <c r="M462" s="2578"/>
      <c r="N462" s="2578"/>
      <c r="O462" s="2578"/>
      <c r="P462" s="2578"/>
      <c r="Q462" s="2578"/>
      <c r="R462" s="2440"/>
      <c r="S462" s="2440"/>
      <c r="T462" s="2440"/>
      <c r="U462" s="2440"/>
      <c r="V462" s="2440"/>
      <c r="W462" s="2440"/>
      <c r="X462" s="2440"/>
      <c r="Y462" s="2440"/>
      <c r="Z462" s="2440"/>
      <c r="AA462" s="2440"/>
      <c r="AB462" s="2440"/>
      <c r="AC462" s="2440">
        <f t="shared" ref="AC462:AP463" si="491">AC195/Y195-1</f>
        <v>0.14947530074225757</v>
      </c>
      <c r="AD462" s="2440">
        <f t="shared" si="491"/>
        <v>0.35378681626928477</v>
      </c>
      <c r="AE462" s="2440">
        <f t="shared" si="491"/>
        <v>0.5043582807333935</v>
      </c>
      <c r="AF462" s="2440">
        <f t="shared" si="491"/>
        <v>0.48440424204616339</v>
      </c>
      <c r="AG462" s="2440">
        <f t="shared" si="491"/>
        <v>0.67401469605878428</v>
      </c>
      <c r="AH462" s="2440">
        <f t="shared" si="491"/>
        <v>0.28231028231028232</v>
      </c>
      <c r="AI462" s="2440">
        <f t="shared" si="491"/>
        <v>0.54105894105894103</v>
      </c>
      <c r="AJ462" s="2440">
        <v>0.5</v>
      </c>
      <c r="AK462" s="2440">
        <v>0.42</v>
      </c>
      <c r="AL462" s="2440">
        <v>0.5</v>
      </c>
      <c r="AM462" s="2440">
        <v>0.4</v>
      </c>
      <c r="AN462" s="2440">
        <v>0.3</v>
      </c>
      <c r="AO462" s="2440">
        <v>0.34</v>
      </c>
      <c r="AP462" s="2440">
        <v>0.3</v>
      </c>
      <c r="AQ462" s="2579"/>
      <c r="AR462" s="2049"/>
      <c r="AS462" s="2049"/>
      <c r="AT462" s="2558"/>
      <c r="AU462" s="2443"/>
      <c r="AV462" s="2444"/>
      <c r="AW462" s="2444"/>
      <c r="AX462" s="2443">
        <f>AX195/AW195-1</f>
        <v>1.2022488533806777</v>
      </c>
      <c r="AY462" s="2049">
        <f>AY195/AX195-1</f>
        <v>0.49365132683909985</v>
      </c>
      <c r="AZ462" s="2049">
        <f>AZ195/AY195-1</f>
        <v>0.48219133720145724</v>
      </c>
      <c r="BA462" s="2558">
        <f>BA195/AZ195-1</f>
        <v>0.33636397402890617</v>
      </c>
      <c r="BB462" s="2559">
        <v>0.3</v>
      </c>
      <c r="BC462" s="2558">
        <v>0.26</v>
      </c>
    </row>
    <row r="463" spans="1:55" s="1999" customFormat="1" ht="10.15" x14ac:dyDescent="0.3">
      <c r="A463" s="2042"/>
      <c r="B463" s="2496" t="s">
        <v>1151</v>
      </c>
      <c r="C463" s="2577"/>
      <c r="D463" s="2577"/>
      <c r="E463" s="2577"/>
      <c r="F463" s="2577"/>
      <c r="G463" s="2440"/>
      <c r="H463" s="2440"/>
      <c r="I463" s="2440"/>
      <c r="J463" s="2440"/>
      <c r="K463" s="2557"/>
      <c r="L463" s="2557"/>
      <c r="M463" s="2578"/>
      <c r="N463" s="2578"/>
      <c r="O463" s="2578"/>
      <c r="P463" s="2578"/>
      <c r="Q463" s="2578"/>
      <c r="R463" s="2440"/>
      <c r="S463" s="2440"/>
      <c r="T463" s="2440"/>
      <c r="U463" s="2440"/>
      <c r="V463" s="2440"/>
      <c r="W463" s="2440"/>
      <c r="X463" s="2440"/>
      <c r="Y463" s="2440"/>
      <c r="Z463" s="2440"/>
      <c r="AA463" s="2440"/>
      <c r="AB463" s="2440"/>
      <c r="AC463" s="2440"/>
      <c r="AD463" s="2440"/>
      <c r="AE463" s="2440">
        <f t="shared" si="491"/>
        <v>1.3660030627871365</v>
      </c>
      <c r="AF463" s="2440">
        <f t="shared" si="491"/>
        <v>0.36128261302529374</v>
      </c>
      <c r="AG463" s="2440">
        <f t="shared" si="491"/>
        <v>0.47005233572397742</v>
      </c>
      <c r="AH463" s="2440">
        <f t="shared" si="491"/>
        <v>-8.0706418533991631E-2</v>
      </c>
      <c r="AI463" s="2440">
        <f t="shared" si="491"/>
        <v>0.14902912621359232</v>
      </c>
      <c r="AJ463" s="2440">
        <f t="shared" si="491"/>
        <v>0.28224855367609081</v>
      </c>
      <c r="AK463" s="2440">
        <f t="shared" si="491"/>
        <v>0.24505646336065712</v>
      </c>
      <c r="AL463" s="2440">
        <f t="shared" si="491"/>
        <v>0.49781938742745702</v>
      </c>
      <c r="AM463" s="2440">
        <f t="shared" si="491"/>
        <v>0.3302948809146693</v>
      </c>
      <c r="AN463" s="2440">
        <f t="shared" si="491"/>
        <v>0.27378982334504975</v>
      </c>
      <c r="AO463" s="2440">
        <f t="shared" si="491"/>
        <v>0.26732396542493064</v>
      </c>
      <c r="AP463" s="2440">
        <f t="shared" si="491"/>
        <v>0.29900638587363737</v>
      </c>
      <c r="AQ463" s="2579"/>
      <c r="AR463" s="2049"/>
      <c r="AS463" s="2049"/>
      <c r="AT463" s="2558"/>
      <c r="AU463" s="2443"/>
      <c r="AV463" s="2444"/>
      <c r="AW463" s="2444"/>
      <c r="AX463" s="2443"/>
      <c r="AY463" s="2049">
        <f>AY196/AX196-1</f>
        <v>0.40879388636615355</v>
      </c>
      <c r="AZ463" s="2049">
        <f>AZ196/AY196-1</f>
        <v>0.27981999752514231</v>
      </c>
      <c r="BA463" s="2558">
        <f>BA196/AZ196-1</f>
        <v>0.28985415160803307</v>
      </c>
      <c r="BB463" s="2559">
        <v>0.2</v>
      </c>
      <c r="BC463" s="2558">
        <v>0.15</v>
      </c>
    </row>
    <row r="464" spans="1:55" s="1999" customFormat="1" ht="10.15" x14ac:dyDescent="0.3">
      <c r="A464" s="2042"/>
      <c r="B464" s="2536" t="s">
        <v>893</v>
      </c>
      <c r="C464" s="2577"/>
      <c r="D464" s="2577"/>
      <c r="E464" s="2577"/>
      <c r="F464" s="2577"/>
      <c r="G464" s="2440"/>
      <c r="H464" s="2440"/>
      <c r="I464" s="2440"/>
      <c r="J464" s="2440"/>
      <c r="K464" s="2557"/>
      <c r="L464" s="2557"/>
      <c r="M464" s="2578"/>
      <c r="N464" s="2578"/>
      <c r="O464" s="2578"/>
      <c r="P464" s="2578"/>
      <c r="Q464" s="2578"/>
      <c r="R464" s="2440"/>
      <c r="S464" s="2440"/>
      <c r="T464" s="2440"/>
      <c r="U464" s="2440"/>
      <c r="V464" s="2440"/>
      <c r="W464" s="2054"/>
      <c r="X464" s="2054"/>
      <c r="Y464" s="2054">
        <f t="shared" ref="Y464:AP464" si="492">Y166/U166-1</f>
        <v>0.48868515973892124</v>
      </c>
      <c r="Z464" s="2054">
        <f t="shared" si="492"/>
        <v>0.53420969274627805</v>
      </c>
      <c r="AA464" s="2054">
        <f t="shared" si="492"/>
        <v>0.46998396355776606</v>
      </c>
      <c r="AB464" s="2054">
        <f t="shared" si="492"/>
        <v>0.38280745555507734</v>
      </c>
      <c r="AC464" s="2054">
        <f t="shared" si="492"/>
        <v>0.34405872766344081</v>
      </c>
      <c r="AD464" s="2054">
        <f t="shared" si="492"/>
        <v>0.44042531227418191</v>
      </c>
      <c r="AE464" s="2054">
        <f t="shared" si="492"/>
        <v>0.39700232414741743</v>
      </c>
      <c r="AF464" s="2054">
        <f t="shared" si="492"/>
        <v>0.36387124891047185</v>
      </c>
      <c r="AG464" s="2054">
        <f t="shared" si="492"/>
        <v>0.2972727565375084</v>
      </c>
      <c r="AH464" s="2054">
        <f t="shared" si="492"/>
        <v>0.16205369300672245</v>
      </c>
      <c r="AI464" s="2054">
        <f t="shared" si="492"/>
        <v>0.29023642186987186</v>
      </c>
      <c r="AJ464" s="2054">
        <f t="shared" si="492"/>
        <v>0.26863861800511835</v>
      </c>
      <c r="AK464" s="2054">
        <f t="shared" si="492"/>
        <v>0.27759035479720628</v>
      </c>
      <c r="AL464" s="2054">
        <f t="shared" si="492"/>
        <v>0.36032738862643932</v>
      </c>
      <c r="AM464" s="2054">
        <f t="shared" si="492"/>
        <v>0.26947158706708318</v>
      </c>
      <c r="AN464" s="2054">
        <f t="shared" si="492"/>
        <v>0.23605915054471716</v>
      </c>
      <c r="AO464" s="2054">
        <f t="shared" si="492"/>
        <v>0.24251281830129701</v>
      </c>
      <c r="AP464" s="2054">
        <f t="shared" si="492"/>
        <v>0.21934230054934911</v>
      </c>
      <c r="AQ464" s="2579"/>
      <c r="AR464" s="2049"/>
      <c r="AS464" s="2049"/>
      <c r="AT464" s="2558"/>
      <c r="AU464" s="2443"/>
      <c r="AV464" s="2444"/>
      <c r="AW464" s="2444"/>
      <c r="AX464" s="2015">
        <f t="shared" ref="AX464:BC464" si="493">AX166/AW166-1</f>
        <v>0.40140692170741232</v>
      </c>
      <c r="AY464" s="2044">
        <f t="shared" si="493"/>
        <v>0.3012416295699536</v>
      </c>
      <c r="AZ464" s="2044">
        <f t="shared" si="493"/>
        <v>0.29621885115094293</v>
      </c>
      <c r="BA464" s="2408">
        <f t="shared" si="493"/>
        <v>0.24210580892341893</v>
      </c>
      <c r="BB464" s="2407">
        <f t="shared" si="493"/>
        <v>0.21000077251484051</v>
      </c>
      <c r="BC464" s="2408">
        <f t="shared" si="493"/>
        <v>0.19025502626179525</v>
      </c>
    </row>
    <row r="465" spans="1:55" s="1999" customFormat="1" ht="10.15" x14ac:dyDescent="0.3">
      <c r="A465" s="2042"/>
      <c r="B465" s="2473" t="s">
        <v>1152</v>
      </c>
      <c r="C465" s="2058"/>
      <c r="D465" s="2058"/>
      <c r="E465" s="2058"/>
      <c r="F465" s="2058"/>
      <c r="G465" s="2440">
        <f t="shared" ref="G465:AP465" si="494">G251/C251-1</f>
        <v>0.1225806451612903</v>
      </c>
      <c r="H465" s="2440">
        <f t="shared" si="494"/>
        <v>0.15853658536585358</v>
      </c>
      <c r="I465" s="2440">
        <f t="shared" si="494"/>
        <v>0.18787878787878798</v>
      </c>
      <c r="J465" s="2440">
        <f t="shared" si="494"/>
        <v>0.2831325301204819</v>
      </c>
      <c r="K465" s="2557">
        <f t="shared" si="494"/>
        <v>0.35632183908045967</v>
      </c>
      <c r="L465" s="2557">
        <f t="shared" si="494"/>
        <v>0.5</v>
      </c>
      <c r="M465" s="2578">
        <f t="shared" si="494"/>
        <v>0.84693877551020402</v>
      </c>
      <c r="N465" s="2578">
        <f t="shared" si="494"/>
        <v>0.82159624413145549</v>
      </c>
      <c r="O465" s="2440">
        <f t="shared" si="494"/>
        <v>1.0550847457627119</v>
      </c>
      <c r="P465" s="2440">
        <f t="shared" si="494"/>
        <v>1.2771929824561403</v>
      </c>
      <c r="Q465" s="2440">
        <f t="shared" si="494"/>
        <v>1.2624309392265194</v>
      </c>
      <c r="R465" s="2440">
        <f t="shared" si="494"/>
        <v>1.7474226804123711</v>
      </c>
      <c r="S465" s="2440">
        <f t="shared" si="494"/>
        <v>1.5628865979381446</v>
      </c>
      <c r="T465" s="2440">
        <f t="shared" si="494"/>
        <v>1.300462249614792</v>
      </c>
      <c r="U465" s="2440">
        <f t="shared" si="494"/>
        <v>1.1538461538461537</v>
      </c>
      <c r="V465" s="2440">
        <f t="shared" si="494"/>
        <v>1.0290806754221387</v>
      </c>
      <c r="W465" s="2440">
        <f t="shared" si="494"/>
        <v>0.95575221238938046</v>
      </c>
      <c r="X465" s="2440">
        <f t="shared" si="494"/>
        <v>0.99263228399196257</v>
      </c>
      <c r="Y465" s="2440">
        <f t="shared" si="494"/>
        <v>1.0402494331065761</v>
      </c>
      <c r="Z465" s="2440">
        <f t="shared" si="494"/>
        <v>1.0272769301895517</v>
      </c>
      <c r="AA465" s="2440">
        <f t="shared" si="494"/>
        <v>0.93253805018510905</v>
      </c>
      <c r="AB465" s="2440">
        <f t="shared" si="494"/>
        <v>0.90487394957983192</v>
      </c>
      <c r="AC465" s="2440">
        <f t="shared" si="494"/>
        <v>0.83689913864962495</v>
      </c>
      <c r="AD465" s="2440">
        <f t="shared" si="494"/>
        <v>0.76191562143671598</v>
      </c>
      <c r="AE465" s="2440">
        <f t="shared" si="494"/>
        <v>0.65751383567475519</v>
      </c>
      <c r="AF465" s="2440">
        <f t="shared" si="494"/>
        <v>0.63949179460031758</v>
      </c>
      <c r="AG465" s="2440">
        <f t="shared" si="494"/>
        <v>0.621691120859174</v>
      </c>
      <c r="AH465" s="2440">
        <f t="shared" si="494"/>
        <v>0.58128397618431271</v>
      </c>
      <c r="AI465" s="2440">
        <f t="shared" si="494"/>
        <v>0.58533453191216123</v>
      </c>
      <c r="AJ465" s="2440">
        <f t="shared" si="494"/>
        <v>0.5587000000000002</v>
      </c>
      <c r="AK465" s="2440">
        <f t="shared" si="494"/>
        <v>0.52600000000000002</v>
      </c>
      <c r="AL465" s="2440">
        <f t="shared" si="494"/>
        <v>0.52600000000000002</v>
      </c>
      <c r="AM465" s="2440">
        <f t="shared" si="494"/>
        <v>0.49729999999999963</v>
      </c>
      <c r="AN465" s="2440">
        <f t="shared" si="494"/>
        <v>0.48645000000000005</v>
      </c>
      <c r="AO465" s="2440">
        <f t="shared" si="494"/>
        <v>0.46475000000000044</v>
      </c>
      <c r="AP465" s="2440">
        <f t="shared" si="494"/>
        <v>0.43220000000000014</v>
      </c>
      <c r="AQ465" s="2579"/>
      <c r="AR465" s="2049">
        <f t="shared" ref="AR465:BC465" si="495">AR251/AQ251-1</f>
        <v>0.26213592233009719</v>
      </c>
      <c r="AS465" s="2049">
        <f t="shared" si="495"/>
        <v>0.18923076923076931</v>
      </c>
      <c r="AT465" s="2558">
        <f t="shared" si="495"/>
        <v>0.64424320827943071</v>
      </c>
      <c r="AU465" s="2443">
        <f t="shared" si="495"/>
        <v>1.3752950432730136</v>
      </c>
      <c r="AV465" s="2444">
        <f t="shared" si="495"/>
        <v>1.2070221927790659</v>
      </c>
      <c r="AW465" s="2444">
        <f t="shared" si="495"/>
        <v>1.0096052829055981</v>
      </c>
      <c r="AX465" s="2443">
        <f t="shared" si="495"/>
        <v>0.84480955937266611</v>
      </c>
      <c r="AY465" s="2049">
        <f t="shared" si="495"/>
        <v>0.61994980163549518</v>
      </c>
      <c r="AZ465" s="2049">
        <f t="shared" si="495"/>
        <v>0.54513868702518997</v>
      </c>
      <c r="BA465" s="2558">
        <f t="shared" si="495"/>
        <v>0.46651697127992642</v>
      </c>
      <c r="BB465" s="2559">
        <f t="shared" si="495"/>
        <v>0.40610000000000013</v>
      </c>
      <c r="BC465" s="2558">
        <f t="shared" si="495"/>
        <v>0.36080000000000001</v>
      </c>
    </row>
    <row r="466" spans="1:55" s="1953" customFormat="1" ht="10.15" x14ac:dyDescent="0.3">
      <c r="A466" s="2042"/>
      <c r="B466" s="2498" t="s">
        <v>516</v>
      </c>
      <c r="C466" s="1973"/>
      <c r="D466" s="1973"/>
      <c r="E466" s="1973"/>
      <c r="F466" s="1973"/>
      <c r="G466" s="2054">
        <f t="shared" ref="G466:R466" si="496">G313/C313-1</f>
        <v>3.666666666666667</v>
      </c>
      <c r="H466" s="2054">
        <f t="shared" si="496"/>
        <v>3.0326086956521738</v>
      </c>
      <c r="I466" s="2054">
        <f t="shared" si="496"/>
        <v>2.2345679012345681</v>
      </c>
      <c r="J466" s="2054">
        <f t="shared" si="496"/>
        <v>1.506726457399103</v>
      </c>
      <c r="K466" s="2555">
        <f t="shared" si="496"/>
        <v>1.4421768707482991</v>
      </c>
      <c r="L466" s="2555">
        <f t="shared" si="496"/>
        <v>2.68733153638814</v>
      </c>
      <c r="M466" s="2574">
        <f t="shared" si="496"/>
        <v>2.6622137404580153</v>
      </c>
      <c r="N466" s="2574">
        <f t="shared" si="496"/>
        <v>1.6923076923076925</v>
      </c>
      <c r="O466" s="2574">
        <f t="shared" si="496"/>
        <v>0.81754874651810594</v>
      </c>
      <c r="P466" s="2574">
        <f t="shared" si="496"/>
        <v>3.654970760234022E-3</v>
      </c>
      <c r="Q466" s="2574">
        <f t="shared" si="496"/>
        <v>-6.9306930693069257E-2</v>
      </c>
      <c r="R466" s="2574">
        <f t="shared" si="496"/>
        <v>0.1362126245847175</v>
      </c>
      <c r="S466" s="2574" t="s">
        <v>1027</v>
      </c>
      <c r="T466" s="2574" t="s">
        <v>1027</v>
      </c>
      <c r="U466" s="2574" t="s">
        <v>1027</v>
      </c>
      <c r="V466" s="2574" t="s">
        <v>1027</v>
      </c>
      <c r="W466" s="2574"/>
      <c r="X466" s="2574"/>
      <c r="Y466" s="2574"/>
      <c r="Z466" s="2574"/>
      <c r="AA466" s="2574"/>
      <c r="AB466" s="2574"/>
      <c r="AC466" s="2574"/>
      <c r="AD466" s="2574"/>
      <c r="AE466" s="2574"/>
      <c r="AF466" s="2574"/>
      <c r="AG466" s="2574"/>
      <c r="AH466" s="2574"/>
      <c r="AI466" s="2574"/>
      <c r="AJ466" s="2574"/>
      <c r="AK466" s="2574"/>
      <c r="AL466" s="2574"/>
      <c r="AM466" s="2574"/>
      <c r="AN466" s="2574"/>
      <c r="AO466" s="2574"/>
      <c r="AP466" s="2574"/>
      <c r="AQ466" s="1952"/>
      <c r="AR466" s="2044">
        <f>AR313/AQ313-1</f>
        <v>4</v>
      </c>
      <c r="AS466" s="2044">
        <f>AS313/AR313-1</f>
        <v>2.2370370370370369</v>
      </c>
      <c r="AT466" s="2408">
        <f>AT313/AS313-1</f>
        <v>2.152173913043478</v>
      </c>
      <c r="AU466" s="2407">
        <f>AU313/AT313-1</f>
        <v>0.12050816696914701</v>
      </c>
      <c r="AV466" s="2261" t="s">
        <v>1027</v>
      </c>
      <c r="AW466" s="2261" t="s">
        <v>1027</v>
      </c>
      <c r="AX466" s="2534" t="s">
        <v>1027</v>
      </c>
      <c r="AY466" s="2261" t="s">
        <v>1027</v>
      </c>
      <c r="AZ466" s="2261" t="s">
        <v>1027</v>
      </c>
      <c r="BA466" s="2535" t="s">
        <v>1027</v>
      </c>
      <c r="BB466" s="2534" t="s">
        <v>1027</v>
      </c>
      <c r="BC466" s="2535" t="s">
        <v>1027</v>
      </c>
    </row>
    <row r="467" spans="1:55" s="2585" customFormat="1" ht="10.15" x14ac:dyDescent="0.3">
      <c r="A467" s="2042"/>
      <c r="B467" s="2580" t="s">
        <v>1153</v>
      </c>
      <c r="C467" s="2058"/>
      <c r="D467" s="2058"/>
      <c r="E467" s="2058"/>
      <c r="F467" s="2058"/>
      <c r="G467" s="2440"/>
      <c r="H467" s="2440"/>
      <c r="I467" s="2440"/>
      <c r="J467" s="2440"/>
      <c r="K467" s="2581"/>
      <c r="L467" s="2581"/>
      <c r="M467" s="2582"/>
      <c r="N467" s="2582"/>
      <c r="O467" s="2440"/>
      <c r="P467" s="2440"/>
      <c r="Q467" s="2440"/>
      <c r="R467" s="2440"/>
      <c r="S467" s="2054">
        <f t="shared" ref="S467:AP467" si="497">S260/O260-1</f>
        <v>2.8608374384236455</v>
      </c>
      <c r="T467" s="2054">
        <f t="shared" si="497"/>
        <v>3.0178173719376389</v>
      </c>
      <c r="U467" s="2054">
        <f t="shared" si="497"/>
        <v>2.734375</v>
      </c>
      <c r="V467" s="2054">
        <f t="shared" si="497"/>
        <v>2.3449744463373086</v>
      </c>
      <c r="W467" s="2054">
        <f t="shared" si="497"/>
        <v>0.30175438596491233</v>
      </c>
      <c r="X467" s="2054">
        <f t="shared" si="497"/>
        <v>0.32982261640798227</v>
      </c>
      <c r="Y467" s="2054">
        <f t="shared" si="497"/>
        <v>0.3322667979325622</v>
      </c>
      <c r="Z467" s="2054">
        <f t="shared" si="497"/>
        <v>0.34250063661828367</v>
      </c>
      <c r="AA467" s="2054">
        <f t="shared" si="497"/>
        <v>0.4641019358000491</v>
      </c>
      <c r="AB467" s="2054">
        <f t="shared" si="497"/>
        <v>0.23801583993330544</v>
      </c>
      <c r="AC467" s="2054">
        <f t="shared" si="497"/>
        <v>0.19915019397746159</v>
      </c>
      <c r="AD467" s="2054">
        <f t="shared" si="497"/>
        <v>7.5682852807283707E-2</v>
      </c>
      <c r="AE467" s="2054">
        <f t="shared" si="497"/>
        <v>7.5481171548117176E-2</v>
      </c>
      <c r="AF467" s="2054">
        <f t="shared" si="497"/>
        <v>0.2282828282828282</v>
      </c>
      <c r="AG467" s="2054">
        <f t="shared" si="497"/>
        <v>0.13942381759359113</v>
      </c>
      <c r="AH467" s="2054">
        <f t="shared" si="497"/>
        <v>4.8139657908658151E-2</v>
      </c>
      <c r="AI467" s="2054">
        <f t="shared" si="497"/>
        <v>8.8390911920323667E-2</v>
      </c>
      <c r="AJ467" s="2054">
        <f t="shared" si="497"/>
        <v>0.33867390653002261</v>
      </c>
      <c r="AK467" s="2054">
        <f t="shared" si="497"/>
        <v>0.29557062357422126</v>
      </c>
      <c r="AL467" s="2054">
        <f t="shared" si="497"/>
        <v>0.58064586242222882</v>
      </c>
      <c r="AM467" s="2054">
        <f t="shared" si="497"/>
        <v>0.2379755898656859</v>
      </c>
      <c r="AN467" s="2054">
        <f t="shared" si="497"/>
        <v>8.1750714739484254E-2</v>
      </c>
      <c r="AO467" s="2054">
        <f t="shared" si="497"/>
        <v>9.1470157941732966E-2</v>
      </c>
      <c r="AP467" s="2054">
        <f t="shared" si="497"/>
        <v>0.11432173953294411</v>
      </c>
      <c r="AQ467" s="2583"/>
      <c r="AR467" s="2444"/>
      <c r="AS467" s="2444"/>
      <c r="AT467" s="2442"/>
      <c r="AU467" s="2443"/>
      <c r="AV467" s="2444"/>
      <c r="AW467" s="1947">
        <f t="shared" ref="AW467:BC467" si="498">(AW260-AV260)/AV260</f>
        <v>0.32790334622955269</v>
      </c>
      <c r="AX467" s="2584">
        <f t="shared" si="498"/>
        <v>0.23067879779186259</v>
      </c>
      <c r="AY467" s="2019">
        <f t="shared" si="498"/>
        <v>0.12397723968933007</v>
      </c>
      <c r="AZ467" s="2019">
        <f t="shared" si="498"/>
        <v>0.32061060380739476</v>
      </c>
      <c r="BA467" s="2016">
        <f t="shared" si="498"/>
        <v>0.12349256217961423</v>
      </c>
      <c r="BB467" s="2015">
        <f t="shared" si="498"/>
        <v>8.7106206629986443E-2</v>
      </c>
      <c r="BC467" s="2016">
        <f t="shared" si="498"/>
        <v>7.8663794124545799E-2</v>
      </c>
    </row>
    <row r="468" spans="1:55" s="2585" customFormat="1" ht="10.15" x14ac:dyDescent="0.3">
      <c r="A468" s="1970" t="s">
        <v>1154</v>
      </c>
      <c r="B468" s="2580" t="s">
        <v>1155</v>
      </c>
      <c r="C468" s="2058"/>
      <c r="D468" s="2058"/>
      <c r="E468" s="2058"/>
      <c r="F468" s="2058"/>
      <c r="G468" s="2440"/>
      <c r="H468" s="2440"/>
      <c r="I468" s="2440"/>
      <c r="J468" s="2440"/>
      <c r="K468" s="2581"/>
      <c r="L468" s="2581"/>
      <c r="M468" s="2582"/>
      <c r="N468" s="2582"/>
      <c r="O468" s="2440"/>
      <c r="P468" s="2440"/>
      <c r="Q468" s="2440"/>
      <c r="R468" s="2440"/>
      <c r="S468" s="2054">
        <f t="shared" ref="S468:AI468" si="499">S306/O306-1</f>
        <v>0.30487804878048785</v>
      </c>
      <c r="T468" s="2054">
        <f t="shared" si="499"/>
        <v>0.77608142493638677</v>
      </c>
      <c r="U468" s="2054">
        <f t="shared" si="499"/>
        <v>0.6100000000000001</v>
      </c>
      <c r="V468" s="2054">
        <f t="shared" si="499"/>
        <v>0.87934560327198374</v>
      </c>
      <c r="W468" s="2054">
        <f t="shared" si="499"/>
        <v>0.20560747663551404</v>
      </c>
      <c r="X468" s="2054">
        <f t="shared" si="499"/>
        <v>0.27077363896848139</v>
      </c>
      <c r="Y468" s="2054">
        <f t="shared" si="499"/>
        <v>-8.6390532544378673E-2</v>
      </c>
      <c r="Z468" s="2054">
        <f t="shared" si="499"/>
        <v>7.5081610446137148E-2</v>
      </c>
      <c r="AA468" s="2054">
        <f t="shared" si="499"/>
        <v>0.64186046511627914</v>
      </c>
      <c r="AB468" s="2054">
        <f t="shared" si="499"/>
        <v>0.20180383314543415</v>
      </c>
      <c r="AC468" s="2054">
        <f t="shared" si="499"/>
        <v>0.72668393782383411</v>
      </c>
      <c r="AD468" s="2054">
        <f t="shared" si="499"/>
        <v>0.22165991902834015</v>
      </c>
      <c r="AE468" s="2054">
        <f t="shared" si="499"/>
        <v>0.10198300283286121</v>
      </c>
      <c r="AF468" s="2054">
        <f t="shared" si="499"/>
        <v>0.13508442776735463</v>
      </c>
      <c r="AG468" s="2054">
        <f t="shared" si="499"/>
        <v>0.39834958739684923</v>
      </c>
      <c r="AH468" s="2054">
        <f t="shared" si="499"/>
        <v>0.89560894780447398</v>
      </c>
      <c r="AI468" s="2054">
        <f t="shared" si="499"/>
        <v>-6.2553556126820897E-2</v>
      </c>
      <c r="AJ468" s="2054">
        <v>-0.2</v>
      </c>
      <c r="AK468" s="2054">
        <v>-0.3</v>
      </c>
      <c r="AL468" s="2054">
        <v>-0.5</v>
      </c>
      <c r="AM468" s="2054">
        <v>0.15</v>
      </c>
      <c r="AN468" s="2054">
        <v>0.13</v>
      </c>
      <c r="AO468" s="2054">
        <v>0.14000000000000001</v>
      </c>
      <c r="AP468" s="2054">
        <v>0.14000000000000001</v>
      </c>
      <c r="AQ468" s="2583"/>
      <c r="AR468" s="2444"/>
      <c r="AS468" s="2444"/>
      <c r="AT468" s="2442"/>
      <c r="AU468" s="2443"/>
      <c r="AV468" s="2444"/>
      <c r="AW468" s="1947">
        <f>(AW306-AV306)/AV306</f>
        <v>9.8431765098431767E-2</v>
      </c>
      <c r="AX468" s="2584">
        <f>(AX306-AW306)/AW306</f>
        <v>0.41707168894289187</v>
      </c>
      <c r="AY468" s="1947">
        <f>(AY306-AX306)/AX306</f>
        <v>0.39957127545551985</v>
      </c>
      <c r="AZ468" s="1947">
        <f>(AZ306-AY306)/AY306</f>
        <v>-0.30911318731811915</v>
      </c>
      <c r="BA468" s="2586">
        <f>(BA306-AZ306)/AZ306</f>
        <v>0.14027932960893852</v>
      </c>
      <c r="BB468" s="2584">
        <v>0.08</v>
      </c>
      <c r="BC468" s="2586">
        <v>0.08</v>
      </c>
    </row>
    <row r="469" spans="1:55" s="2592" customFormat="1" x14ac:dyDescent="0.35">
      <c r="A469" s="2042"/>
      <c r="B469" s="1980" t="s">
        <v>1156</v>
      </c>
      <c r="C469" s="2560"/>
      <c r="D469" s="2560"/>
      <c r="E469" s="2560"/>
      <c r="F469" s="2560"/>
      <c r="G469" s="2587">
        <f t="shared" ref="G469:AP469" si="500">G323/C323-1</f>
        <v>0.58663329898424843</v>
      </c>
      <c r="H469" s="2587">
        <f t="shared" si="500"/>
        <v>0.46841893522864431</v>
      </c>
      <c r="I469" s="2587">
        <f t="shared" si="500"/>
        <v>0.61692400586560847</v>
      </c>
      <c r="J469" s="2587">
        <f t="shared" si="500"/>
        <v>0.38701867650449628</v>
      </c>
      <c r="K469" s="2566">
        <f t="shared" si="500"/>
        <v>0.46325848951568016</v>
      </c>
      <c r="L469" s="2566">
        <f t="shared" si="500"/>
        <v>0.53689497716894974</v>
      </c>
      <c r="M469" s="2588">
        <f t="shared" si="500"/>
        <v>0.39658575620165371</v>
      </c>
      <c r="N469" s="2588">
        <f t="shared" si="500"/>
        <v>0.44834178372537603</v>
      </c>
      <c r="O469" s="2587">
        <f t="shared" si="500"/>
        <v>0.28368524507006532</v>
      </c>
      <c r="P469" s="2587">
        <f t="shared" si="500"/>
        <v>0.31742824885614129</v>
      </c>
      <c r="Q469" s="2587">
        <f t="shared" si="500"/>
        <v>0.31949272317506394</v>
      </c>
      <c r="R469" s="2587">
        <f t="shared" si="500"/>
        <v>0.38789096126255385</v>
      </c>
      <c r="S469" s="2587">
        <f t="shared" si="500"/>
        <v>0.58824401086688072</v>
      </c>
      <c r="T469" s="2587">
        <f t="shared" si="500"/>
        <v>0.54670515538315811</v>
      </c>
      <c r="U469" s="2587">
        <f t="shared" si="500"/>
        <v>0.54149900124482531</v>
      </c>
      <c r="V469" s="2589">
        <f t="shared" si="500"/>
        <v>0.59522825008269931</v>
      </c>
      <c r="W469" s="2590">
        <f t="shared" si="500"/>
        <v>0.56073894383280454</v>
      </c>
      <c r="X469" s="2590">
        <f t="shared" si="500"/>
        <v>0.60743030444418533</v>
      </c>
      <c r="Y469" s="2590">
        <f t="shared" si="500"/>
        <v>0.55926983173076916</v>
      </c>
      <c r="Z469" s="2590">
        <f t="shared" si="500"/>
        <v>0.60532932424375963</v>
      </c>
      <c r="AA469" s="2590">
        <f t="shared" si="500"/>
        <v>0.61246612466124661</v>
      </c>
      <c r="AB469" s="2590">
        <f t="shared" si="500"/>
        <v>0.54471898697434784</v>
      </c>
      <c r="AC469" s="2590">
        <f t="shared" si="500"/>
        <v>0.41251144192320655</v>
      </c>
      <c r="AD469" s="2590">
        <f t="shared" si="500"/>
        <v>0.50968804495252851</v>
      </c>
      <c r="AE469" s="2590">
        <f t="shared" si="500"/>
        <v>0.42021749876421155</v>
      </c>
      <c r="AF469" s="2590">
        <f t="shared" si="500"/>
        <v>0.39776624230751167</v>
      </c>
      <c r="AG469" s="2590">
        <f t="shared" si="500"/>
        <v>0.37669469124644017</v>
      </c>
      <c r="AH469" s="2590">
        <f t="shared" si="500"/>
        <v>0.22263577830541825</v>
      </c>
      <c r="AI469" s="2590">
        <f t="shared" si="500"/>
        <v>0.33784936131704435</v>
      </c>
      <c r="AJ469" s="2590">
        <f t="shared" si="500"/>
        <v>0.31733485911874482</v>
      </c>
      <c r="AK469" s="2590">
        <f t="shared" si="500"/>
        <v>0.29410366601741522</v>
      </c>
      <c r="AL469" s="2590">
        <f t="shared" si="500"/>
        <v>0.3904313298361124</v>
      </c>
      <c r="AM469" s="2590">
        <f t="shared" si="500"/>
        <v>0.29719567701602889</v>
      </c>
      <c r="AN469" s="2590">
        <f t="shared" si="500"/>
        <v>0.25520121931804951</v>
      </c>
      <c r="AO469" s="2590">
        <f t="shared" si="500"/>
        <v>0.25870454029971279</v>
      </c>
      <c r="AP469" s="2590">
        <f t="shared" si="500"/>
        <v>0.24495269636663353</v>
      </c>
      <c r="AQ469" s="2591"/>
      <c r="AR469" s="2568">
        <f t="shared" ref="AR469:BC469" si="501">AR323/AQ323-1</f>
        <v>0.7236953807740325</v>
      </c>
      <c r="AS469" s="2568">
        <f t="shared" si="501"/>
        <v>0.52110554219659888</v>
      </c>
      <c r="AT469" s="2569">
        <f t="shared" si="501"/>
        <v>0.45139417949108629</v>
      </c>
      <c r="AU469" s="2567">
        <f t="shared" si="501"/>
        <v>0.32726628523437085</v>
      </c>
      <c r="AV469" s="2568">
        <f t="shared" si="501"/>
        <v>0.56484383496633472</v>
      </c>
      <c r="AW469" s="2568">
        <f t="shared" si="501"/>
        <v>0.58122990023566867</v>
      </c>
      <c r="AX469" s="2567">
        <f t="shared" si="501"/>
        <v>0.50577385661655994</v>
      </c>
      <c r="AY469" s="2568">
        <f t="shared" si="501"/>
        <v>0.35257825519313024</v>
      </c>
      <c r="AZ469" s="2568">
        <f t="shared" si="501"/>
        <v>0.33099503731943947</v>
      </c>
      <c r="BA469" s="2569">
        <f t="shared" si="501"/>
        <v>0.26339628163588724</v>
      </c>
      <c r="BB469" s="2567">
        <f t="shared" si="501"/>
        <v>0.22648183286775647</v>
      </c>
      <c r="BC469" s="2569">
        <f t="shared" si="501"/>
        <v>0.20583907278117475</v>
      </c>
    </row>
    <row r="470" spans="1:55" s="1953" customFormat="1" ht="10.15" x14ac:dyDescent="0.3">
      <c r="A470" s="2042"/>
      <c r="B470" s="2472" t="s">
        <v>1157</v>
      </c>
      <c r="C470" s="2054"/>
      <c r="D470" s="2054"/>
      <c r="E470" s="2054"/>
      <c r="F470" s="2054"/>
      <c r="G470" s="2054"/>
      <c r="H470" s="2054"/>
      <c r="I470" s="2054"/>
      <c r="J470" s="2054"/>
      <c r="K470" s="2555"/>
      <c r="L470" s="2555"/>
      <c r="M470" s="2574"/>
      <c r="N470" s="2574"/>
      <c r="O470" s="2054"/>
      <c r="P470" s="2054"/>
      <c r="Q470" s="2054"/>
      <c r="R470" s="2054"/>
      <c r="S470" s="2054"/>
      <c r="T470" s="2054"/>
      <c r="U470" s="2054"/>
      <c r="V470" s="2533"/>
      <c r="W470" s="2012"/>
      <c r="X470" s="2012"/>
      <c r="Y470" s="2012">
        <f t="shared" ref="Y470:AP470" si="502">(Y323-Y195-Y196)/(U323-U195-U196)-1</f>
        <v>0.48589618389423084</v>
      </c>
      <c r="Z470" s="2012">
        <f t="shared" si="502"/>
        <v>0.53140309494802862</v>
      </c>
      <c r="AA470" s="2012">
        <f t="shared" si="502"/>
        <v>0.49412163239279461</v>
      </c>
      <c r="AB470" s="2012">
        <f t="shared" si="502"/>
        <v>0.39546823409890797</v>
      </c>
      <c r="AC470" s="2012">
        <f t="shared" si="502"/>
        <v>0.36029625510294361</v>
      </c>
      <c r="AD470" s="2012">
        <f t="shared" si="502"/>
        <v>0.42808056872037925</v>
      </c>
      <c r="AE470" s="2012">
        <f t="shared" si="502"/>
        <v>0.38353716274789607</v>
      </c>
      <c r="AF470" s="2012">
        <f t="shared" si="502"/>
        <v>0.3965367064910752</v>
      </c>
      <c r="AG470" s="2012">
        <f t="shared" si="502"/>
        <v>0.3598134314490653</v>
      </c>
      <c r="AH470" s="2012">
        <f t="shared" si="502"/>
        <v>0.23883798935653244</v>
      </c>
      <c r="AI470" s="2012">
        <f t="shared" si="502"/>
        <v>0.33929380464434789</v>
      </c>
      <c r="AJ470" s="2012">
        <f t="shared" si="502"/>
        <v>0.31147495474302112</v>
      </c>
      <c r="AK470" s="2012">
        <f t="shared" si="502"/>
        <v>0.29017815216789811</v>
      </c>
      <c r="AL470" s="2012">
        <f t="shared" si="502"/>
        <v>0.38026753587138629</v>
      </c>
      <c r="AM470" s="2012">
        <f t="shared" si="502"/>
        <v>0.28979687619220496</v>
      </c>
      <c r="AN470" s="2012">
        <f t="shared" si="502"/>
        <v>0.25177489236631012</v>
      </c>
      <c r="AO470" s="2012">
        <f t="shared" si="502"/>
        <v>0.25367726665613732</v>
      </c>
      <c r="AP470" s="2012">
        <f t="shared" si="502"/>
        <v>0.23940228142741637</v>
      </c>
      <c r="AQ470" s="2593"/>
      <c r="AR470" s="2044"/>
      <c r="AS470" s="2044"/>
      <c r="AT470" s="2408"/>
      <c r="AU470" s="2407"/>
      <c r="AV470" s="2044"/>
      <c r="AW470" s="2044">
        <f t="shared" ref="AW470:BC470" si="503">(AW323-AW195-AW196)/(AV323-AV195-AV196)-1</f>
        <v>0.53852520644708823</v>
      </c>
      <c r="AX470" s="2407">
        <f t="shared" si="503"/>
        <v>0.4122838357829548</v>
      </c>
      <c r="AY470" s="2044">
        <f t="shared" si="503"/>
        <v>0.34352037359588961</v>
      </c>
      <c r="AZ470" s="2044">
        <f t="shared" si="503"/>
        <v>0.32653727773492469</v>
      </c>
      <c r="BA470" s="2408">
        <f t="shared" si="503"/>
        <v>0.25806764672645932</v>
      </c>
      <c r="BB470" s="2407">
        <f t="shared" si="503"/>
        <v>0.22372537002944815</v>
      </c>
      <c r="BC470" s="2408">
        <f t="shared" si="503"/>
        <v>0.20553527214135792</v>
      </c>
    </row>
    <row r="471" spans="1:55" s="1953" customFormat="1" ht="10.15" x14ac:dyDescent="0.3">
      <c r="A471" s="2042"/>
      <c r="B471" s="2475" t="s">
        <v>1040</v>
      </c>
      <c r="C471" s="2054"/>
      <c r="D471" s="2054"/>
      <c r="E471" s="2054"/>
      <c r="F471" s="2054"/>
      <c r="G471" s="2054">
        <f t="shared" ref="G471:AP471" si="504">G337/C337-1</f>
        <v>0.73700107874865162</v>
      </c>
      <c r="H471" s="2054">
        <f t="shared" si="504"/>
        <v>0.56353265145554676</v>
      </c>
      <c r="I471" s="2054">
        <f t="shared" si="504"/>
        <v>0.67864547339322745</v>
      </c>
      <c r="J471" s="2054">
        <f t="shared" si="504"/>
        <v>0.33828357042363599</v>
      </c>
      <c r="K471" s="2054">
        <f t="shared" si="504"/>
        <v>0.38939262203452985</v>
      </c>
      <c r="L471" s="2054">
        <f t="shared" si="504"/>
        <v>0.41313372751289479</v>
      </c>
      <c r="M471" s="2054">
        <f t="shared" si="504"/>
        <v>0.28029367366543156</v>
      </c>
      <c r="N471" s="2054">
        <f t="shared" si="504"/>
        <v>0.31900478916014485</v>
      </c>
      <c r="O471" s="2054">
        <f t="shared" si="504"/>
        <v>0.20990523869122124</v>
      </c>
      <c r="P471" s="2054">
        <f t="shared" si="504"/>
        <v>0.33891213389121333</v>
      </c>
      <c r="Q471" s="2054">
        <f t="shared" si="504"/>
        <v>0.26437644032370433</v>
      </c>
      <c r="R471" s="2054">
        <f t="shared" si="504"/>
        <v>0.29489904357066954</v>
      </c>
      <c r="S471" s="2054">
        <f t="shared" si="504"/>
        <v>0.50805379045367216</v>
      </c>
      <c r="T471" s="2054">
        <f t="shared" si="504"/>
        <v>0.40751329787234036</v>
      </c>
      <c r="U471" s="2054">
        <f t="shared" si="504"/>
        <v>0.44633774160732442</v>
      </c>
      <c r="V471" s="2054">
        <f t="shared" si="504"/>
        <v>0.57905895226371218</v>
      </c>
      <c r="W471" s="2012">
        <f t="shared" si="504"/>
        <v>0.60333170014698667</v>
      </c>
      <c r="X471" s="2012">
        <f t="shared" si="504"/>
        <v>0.56455193915631341</v>
      </c>
      <c r="Y471" s="2012">
        <f t="shared" si="504"/>
        <v>0.40525174374303963</v>
      </c>
      <c r="Z471" s="2012">
        <f t="shared" si="504"/>
        <v>0.27454632075880281</v>
      </c>
      <c r="AA471" s="2012">
        <f t="shared" si="504"/>
        <v>0.13678034470113687</v>
      </c>
      <c r="AB471" s="2012">
        <f t="shared" si="504"/>
        <v>0.15827294685990334</v>
      </c>
      <c r="AC471" s="2012">
        <f t="shared" si="504"/>
        <v>0.17758081334723674</v>
      </c>
      <c r="AD471" s="2012">
        <f t="shared" si="504"/>
        <v>0.2874813103167051</v>
      </c>
      <c r="AE471" s="2012">
        <f t="shared" si="504"/>
        <v>0.47680107526881721</v>
      </c>
      <c r="AF471" s="2012">
        <f t="shared" si="504"/>
        <v>0.39385329232052557</v>
      </c>
      <c r="AG471" s="2012">
        <f t="shared" si="504"/>
        <v>0.36587266448242284</v>
      </c>
      <c r="AH471" s="2012">
        <f t="shared" si="504"/>
        <v>0.10356841216216206</v>
      </c>
      <c r="AI471" s="2012">
        <f t="shared" si="504"/>
        <v>0.26013433569361277</v>
      </c>
      <c r="AJ471" s="2012">
        <f t="shared" si="504"/>
        <v>0.35865408315336444</v>
      </c>
      <c r="AK471" s="2012">
        <f t="shared" si="504"/>
        <v>0.32018712652441206</v>
      </c>
      <c r="AL471" s="2012">
        <f t="shared" si="504"/>
        <v>0.61987508860432561</v>
      </c>
      <c r="AM471" s="2012">
        <f t="shared" si="504"/>
        <v>0.40683550116534928</v>
      </c>
      <c r="AN471" s="2012">
        <f t="shared" si="504"/>
        <v>0.30046492601708263</v>
      </c>
      <c r="AO471" s="2012">
        <f t="shared" si="504"/>
        <v>0.25739636961370871</v>
      </c>
      <c r="AP471" s="2012">
        <f t="shared" si="504"/>
        <v>0.27288584880688926</v>
      </c>
      <c r="AQ471" s="2593"/>
      <c r="AR471" s="2044">
        <f t="shared" ref="AR471:BC471" si="505">AR337/AQ337-1</f>
        <v>0.84084329299977734</v>
      </c>
      <c r="AS471" s="2044">
        <f t="shared" si="505"/>
        <v>0.57815146382772808</v>
      </c>
      <c r="AT471" s="2408">
        <f t="shared" si="505"/>
        <v>0.33818832247348918</v>
      </c>
      <c r="AU471" s="2407">
        <f t="shared" si="505"/>
        <v>0.27531029215199543</v>
      </c>
      <c r="AV471" s="2044">
        <f t="shared" si="505"/>
        <v>0.47915793256273576</v>
      </c>
      <c r="AW471" s="2044">
        <f t="shared" si="505"/>
        <v>0.44976212167223406</v>
      </c>
      <c r="AX471" s="2407">
        <f t="shared" si="505"/>
        <v>0.18637499825445802</v>
      </c>
      <c r="AY471" s="2044">
        <f t="shared" si="505"/>
        <v>0.33798664037901305</v>
      </c>
      <c r="AZ471" s="2044">
        <f t="shared" si="505"/>
        <v>0.36984007332978397</v>
      </c>
      <c r="BA471" s="2408">
        <f t="shared" si="505"/>
        <v>0.34888836725856942</v>
      </c>
      <c r="BB471" s="2407">
        <f t="shared" si="505"/>
        <v>0.26298567045111154</v>
      </c>
      <c r="BC471" s="2408">
        <f t="shared" si="505"/>
        <v>0.234868960705376</v>
      </c>
    </row>
    <row r="472" spans="1:55" s="1953" customFormat="1" ht="10.15" x14ac:dyDescent="0.3">
      <c r="A472" s="2042"/>
      <c r="B472" s="2475" t="s">
        <v>1047</v>
      </c>
      <c r="C472" s="1950"/>
      <c r="D472" s="1950"/>
      <c r="E472" s="1950"/>
      <c r="F472" s="1950"/>
      <c r="G472" s="2054">
        <f t="shared" ref="G472:AP472" si="506">G345/C345-1</f>
        <v>1.3113006396588487</v>
      </c>
      <c r="H472" s="2054">
        <f t="shared" si="506"/>
        <v>-5.7450271247739604</v>
      </c>
      <c r="I472" s="2054">
        <f t="shared" si="506"/>
        <v>0.73932806324110678</v>
      </c>
      <c r="J472" s="2054">
        <f t="shared" si="506"/>
        <v>0.22439353099730464</v>
      </c>
      <c r="K472" s="2054">
        <f t="shared" si="506"/>
        <v>0.26273062730627306</v>
      </c>
      <c r="L472" s="2054">
        <f t="shared" si="506"/>
        <v>-0.17206554878048785</v>
      </c>
      <c r="M472" s="2054">
        <f t="shared" si="506"/>
        <v>6.2038404726735497E-2</v>
      </c>
      <c r="N472" s="2054">
        <f t="shared" si="506"/>
        <v>-0.52320675105485237</v>
      </c>
      <c r="O472" s="2054">
        <f t="shared" si="506"/>
        <v>-0.24590882524839275</v>
      </c>
      <c r="P472" s="2054">
        <f t="shared" si="506"/>
        <v>0.4718066743383198</v>
      </c>
      <c r="Q472" s="2054">
        <f t="shared" si="506"/>
        <v>0.33026639563496318</v>
      </c>
      <c r="R472" s="2054">
        <f t="shared" si="506"/>
        <v>0.9669103501346672</v>
      </c>
      <c r="S472" s="2054">
        <f t="shared" si="506"/>
        <v>0.70780856423173799</v>
      </c>
      <c r="T472" s="2054">
        <f t="shared" si="506"/>
        <v>0.41438623924941353</v>
      </c>
      <c r="U472" s="2054">
        <f t="shared" si="506"/>
        <v>0.66189480456811967</v>
      </c>
      <c r="V472" s="2054">
        <f t="shared" si="506"/>
        <v>0.86463223787167443</v>
      </c>
      <c r="W472" s="2012">
        <f t="shared" si="506"/>
        <v>0.98695257544815074</v>
      </c>
      <c r="X472" s="2012">
        <f t="shared" si="506"/>
        <v>0.83349917081260361</v>
      </c>
      <c r="Y472" s="2012">
        <f t="shared" si="506"/>
        <v>0.25803329461866054</v>
      </c>
      <c r="Z472" s="2012">
        <f t="shared" si="506"/>
        <v>-3.2626940830885465E-2</v>
      </c>
      <c r="AA472" s="2012">
        <f t="shared" si="506"/>
        <v>-0.54205447381944838</v>
      </c>
      <c r="AB472" s="2012">
        <f t="shared" si="506"/>
        <v>-0.18590207428847083</v>
      </c>
      <c r="AC472" s="2012">
        <f t="shared" si="506"/>
        <v>3.0850900138482906E-2</v>
      </c>
      <c r="AD472" s="2012">
        <f t="shared" si="506"/>
        <v>-4.9452337056718365E-2</v>
      </c>
      <c r="AE472" s="2012">
        <f t="shared" si="506"/>
        <v>2.0392768079800501</v>
      </c>
      <c r="AF472" s="2012">
        <f t="shared" si="506"/>
        <v>0.50833271609510411</v>
      </c>
      <c r="AG472" s="2012">
        <f t="shared" si="506"/>
        <v>0.47622956937084848</v>
      </c>
      <c r="AH472" s="2012">
        <f t="shared" si="506"/>
        <v>-0.18642327438676554</v>
      </c>
      <c r="AI472" s="2012">
        <f t="shared" si="506"/>
        <v>0.42379487179487185</v>
      </c>
      <c r="AJ472" s="2012">
        <f t="shared" si="506"/>
        <v>0.50477991597583571</v>
      </c>
      <c r="AK472" s="2012">
        <f t="shared" si="506"/>
        <v>0.41325550685816892</v>
      </c>
      <c r="AL472" s="2012">
        <f t="shared" si="506"/>
        <v>2.311053620533293</v>
      </c>
      <c r="AM472" s="2012">
        <f t="shared" si="506"/>
        <v>0.34480890139157649</v>
      </c>
      <c r="AN472" s="2012">
        <f t="shared" si="506"/>
        <v>0.43850151112888081</v>
      </c>
      <c r="AO472" s="2012">
        <f t="shared" si="506"/>
        <v>0.27001832199049192</v>
      </c>
      <c r="AP472" s="2012">
        <f t="shared" si="506"/>
        <v>0.40523534508367409</v>
      </c>
      <c r="AQ472" s="2593"/>
      <c r="AR472" s="2044">
        <f t="shared" ref="AR472:BC472" si="507">AR345/AQ345-1</f>
        <v>1.1437686939182452</v>
      </c>
      <c r="AS472" s="2044">
        <f t="shared" si="507"/>
        <v>1.3179239140545067</v>
      </c>
      <c r="AT472" s="2408">
        <f t="shared" si="507"/>
        <v>-7.1629213483146104E-2</v>
      </c>
      <c r="AU472" s="2407">
        <f t="shared" si="507"/>
        <v>0.25792089907067206</v>
      </c>
      <c r="AV472" s="2044">
        <f t="shared" si="507"/>
        <v>0.651261081712597</v>
      </c>
      <c r="AW472" s="2044">
        <f t="shared" si="507"/>
        <v>0.44238892935178442</v>
      </c>
      <c r="AX472" s="2407">
        <f t="shared" si="507"/>
        <v>-0.1764434313414317</v>
      </c>
      <c r="AY472" s="2044">
        <f t="shared" si="507"/>
        <v>0.60167472496671581</v>
      </c>
      <c r="AZ472" s="2044">
        <f t="shared" si="507"/>
        <v>0.58446734581935922</v>
      </c>
      <c r="BA472" s="2408">
        <f t="shared" si="507"/>
        <v>0.34561218399873894</v>
      </c>
      <c r="BB472" s="2407">
        <f t="shared" si="507"/>
        <v>0.34566969700355266</v>
      </c>
      <c r="BC472" s="2408">
        <f t="shared" si="507"/>
        <v>0.29479990220805896</v>
      </c>
    </row>
    <row r="473" spans="1:55" s="1953" customFormat="1" ht="10.15" x14ac:dyDescent="0.3">
      <c r="A473" s="2042"/>
      <c r="B473" s="2475" t="s">
        <v>1063</v>
      </c>
      <c r="C473" s="1972"/>
      <c r="D473" s="1972"/>
      <c r="E473" s="1972"/>
      <c r="F473" s="1972"/>
      <c r="G473" s="2054">
        <f t="shared" ref="G473:AP473" si="508">G362/C362-1</f>
        <v>1.5861364124455393</v>
      </c>
      <c r="H473" s="2054">
        <f t="shared" si="508"/>
        <v>-4.9642100963099498</v>
      </c>
      <c r="I473" s="2054">
        <f t="shared" si="508"/>
        <v>0.88435460399151378</v>
      </c>
      <c r="J473" s="2054">
        <f t="shared" si="508"/>
        <v>0.77452471956898972</v>
      </c>
      <c r="K473" s="2054">
        <f t="shared" si="508"/>
        <v>1.7963129496402876</v>
      </c>
      <c r="L473" s="2054">
        <f t="shared" si="508"/>
        <v>-0.38626696374316383</v>
      </c>
      <c r="M473" s="2054">
        <f t="shared" si="508"/>
        <v>-0.28407323202106016</v>
      </c>
      <c r="N473" s="2054">
        <f t="shared" si="508"/>
        <v>-0.57752908260933589</v>
      </c>
      <c r="O473" s="2054">
        <f t="shared" si="508"/>
        <v>1.4775687409551375</v>
      </c>
      <c r="P473" s="2054">
        <f t="shared" si="508"/>
        <v>6.492739273927393</v>
      </c>
      <c r="Q473" s="2054">
        <f t="shared" si="508"/>
        <v>1.081898713020224</v>
      </c>
      <c r="R473" s="2054">
        <f t="shared" si="508"/>
        <v>0.85221331474381312</v>
      </c>
      <c r="S473" s="2054">
        <f t="shared" si="508"/>
        <v>-0.76823727933541019</v>
      </c>
      <c r="T473" s="2054">
        <f t="shared" si="508"/>
        <v>-0.68836717614412191</v>
      </c>
      <c r="U473" s="2054">
        <f t="shared" si="508"/>
        <v>0.37740847784200393</v>
      </c>
      <c r="V473" s="2054">
        <f t="shared" si="508"/>
        <v>0.85397064358298835</v>
      </c>
      <c r="W473" s="2012">
        <f t="shared" si="508"/>
        <v>0.96457574908989074</v>
      </c>
      <c r="X473" s="2012">
        <f t="shared" si="508"/>
        <v>1.460494699646643</v>
      </c>
      <c r="Y473" s="2012">
        <f t="shared" si="508"/>
        <v>0.35991140642303443</v>
      </c>
      <c r="Z473" s="2012">
        <f t="shared" si="508"/>
        <v>-0.32592367032074709</v>
      </c>
      <c r="AA473" s="2012">
        <f t="shared" si="508"/>
        <v>-0.45477870429762668</v>
      </c>
      <c r="AB473" s="2012">
        <f t="shared" si="508"/>
        <v>4.78515625E-2</v>
      </c>
      <c r="AC473" s="2012">
        <f t="shared" si="508"/>
        <v>0.32710440596605528</v>
      </c>
      <c r="AD473" s="2012">
        <f t="shared" si="508"/>
        <v>2.5204035536816742</v>
      </c>
      <c r="AE473" s="2012">
        <f t="shared" si="508"/>
        <v>1.4996078431372548</v>
      </c>
      <c r="AF473" s="2012">
        <f t="shared" si="508"/>
        <v>2.8785154322679678</v>
      </c>
      <c r="AG473" s="2012">
        <f t="shared" si="508"/>
        <v>0.61904146751065747</v>
      </c>
      <c r="AH473" s="2012">
        <f t="shared" si="508"/>
        <v>-0.98511484665725646</v>
      </c>
      <c r="AI473" s="2012">
        <f t="shared" si="508"/>
        <v>1.4284593661750864</v>
      </c>
      <c r="AJ473" s="2012">
        <f t="shared" si="508"/>
        <v>-0.63720833780254504</v>
      </c>
      <c r="AK473" s="2012">
        <f t="shared" si="508"/>
        <v>-8.0182742139804364E-2</v>
      </c>
      <c r="AL473" s="2012">
        <f t="shared" si="508"/>
        <v>59.295682413271052</v>
      </c>
      <c r="AM473" s="2012">
        <f t="shared" si="508"/>
        <v>-0.19137868127808155</v>
      </c>
      <c r="AN473" s="2012">
        <f t="shared" si="508"/>
        <v>0.45081745775311477</v>
      </c>
      <c r="AO473" s="2012">
        <f t="shared" si="508"/>
        <v>0.28281513549575532</v>
      </c>
      <c r="AP473" s="2012">
        <f t="shared" si="508"/>
        <v>0.44491119053623618</v>
      </c>
      <c r="AQ473" s="2593"/>
      <c r="AR473" s="2044">
        <f t="shared" ref="AR473:BC473" si="509">AR362/AQ362-1</f>
        <v>0.8540192926045016</v>
      </c>
      <c r="AS473" s="2044">
        <f t="shared" si="509"/>
        <v>1.5416776505954446</v>
      </c>
      <c r="AT473" s="2408">
        <f t="shared" si="509"/>
        <v>0.10631093068861941</v>
      </c>
      <c r="AU473" s="2407">
        <f t="shared" si="509"/>
        <v>1.9312911184210528</v>
      </c>
      <c r="AV473" s="2044">
        <f t="shared" si="509"/>
        <v>-0.42170601355047765</v>
      </c>
      <c r="AW473" s="2044">
        <f t="shared" si="509"/>
        <v>0.48964245864260425</v>
      </c>
      <c r="AX473" s="2407">
        <f t="shared" si="509"/>
        <v>0.30648733146616292</v>
      </c>
      <c r="AY473" s="2044">
        <f t="shared" si="509"/>
        <v>0.7492584191240621</v>
      </c>
      <c r="AZ473" s="2044">
        <f t="shared" si="509"/>
        <v>-8.2012057854563558E-3</v>
      </c>
      <c r="BA473" s="2408">
        <f t="shared" si="509"/>
        <v>0.1800355322427305</v>
      </c>
      <c r="BB473" s="2407">
        <f t="shared" si="509"/>
        <v>0.35085174810461428</v>
      </c>
      <c r="BC473" s="2408">
        <f t="shared" si="509"/>
        <v>0.29797434963244895</v>
      </c>
    </row>
    <row r="474" spans="1:55" s="1953" customFormat="1" ht="10.15" x14ac:dyDescent="0.3">
      <c r="A474" s="2042"/>
      <c r="B474" s="2475" t="s">
        <v>1158</v>
      </c>
      <c r="C474" s="1950"/>
      <c r="D474" s="1950"/>
      <c r="E474" s="1950"/>
      <c r="F474" s="1950"/>
      <c r="G474" s="2054">
        <f t="shared" ref="G474:AP474" si="510">G375/C375-1</f>
        <v>1.6081045814133712</v>
      </c>
      <c r="H474" s="2054">
        <f t="shared" si="510"/>
        <v>-4.2273958921239885</v>
      </c>
      <c r="I474" s="2054">
        <f t="shared" si="510"/>
        <v>1.083630644789439</v>
      </c>
      <c r="J474" s="2054">
        <f t="shared" si="510"/>
        <v>0.3352369359610492</v>
      </c>
      <c r="K474" s="2054">
        <f t="shared" si="510"/>
        <v>1.8156934306569341</v>
      </c>
      <c r="L474" s="2054">
        <f t="shared" si="510"/>
        <v>-0.42078668740236047</v>
      </c>
      <c r="M474" s="2054">
        <f t="shared" si="510"/>
        <v>-0.34986056735641913</v>
      </c>
      <c r="N474" s="2054">
        <f t="shared" si="510"/>
        <v>-0.52290295216124616</v>
      </c>
      <c r="O474" s="2054">
        <f t="shared" si="510"/>
        <v>1.2514638327752299</v>
      </c>
      <c r="P474" s="2054">
        <f t="shared" si="510"/>
        <v>6.2701020540821641</v>
      </c>
      <c r="Q474" s="2054">
        <f t="shared" si="510"/>
        <v>1.1368336768669729</v>
      </c>
      <c r="R474" s="2054">
        <f t="shared" si="510"/>
        <v>0.88288346142013574</v>
      </c>
      <c r="S474" s="2054">
        <f t="shared" si="510"/>
        <v>-0.75330542998239602</v>
      </c>
      <c r="T474" s="2054">
        <f t="shared" si="510"/>
        <v>-0.6652431020153815</v>
      </c>
      <c r="U474" s="2054">
        <f t="shared" si="510"/>
        <v>0.4167214245527826</v>
      </c>
      <c r="V474" s="2054">
        <f t="shared" si="510"/>
        <v>0.95669854947600785</v>
      </c>
      <c r="W474" s="2012">
        <f t="shared" si="510"/>
        <v>0.9211790576609955</v>
      </c>
      <c r="X474" s="2012">
        <f t="shared" si="510"/>
        <v>1.2808847570851967</v>
      </c>
      <c r="Y474" s="2012">
        <f t="shared" si="510"/>
        <v>0.32556659836197266</v>
      </c>
      <c r="Z474" s="2012">
        <f t="shared" si="510"/>
        <v>-0.30084059651403194</v>
      </c>
      <c r="AA474" s="2012">
        <f t="shared" si="510"/>
        <v>-0.41488675035706535</v>
      </c>
      <c r="AB474" s="2012">
        <f t="shared" si="510"/>
        <v>0.12431445458152557</v>
      </c>
      <c r="AC474" s="2012">
        <f t="shared" si="510"/>
        <v>0.37307898552182772</v>
      </c>
      <c r="AD474" s="2012">
        <f t="shared" si="510"/>
        <v>2.4119185619678332</v>
      </c>
      <c r="AE474" s="2012">
        <f t="shared" si="510"/>
        <v>1.439706896886237</v>
      </c>
      <c r="AF474" s="2012">
        <f t="shared" si="510"/>
        <v>2.6106306807885846</v>
      </c>
      <c r="AG474" s="2012">
        <f t="shared" si="510"/>
        <v>0.54684599982000703</v>
      </c>
      <c r="AH474" s="2012">
        <f t="shared" si="510"/>
        <v>-0.88005534897879145</v>
      </c>
      <c r="AI474" s="2012">
        <f t="shared" si="510"/>
        <v>1.1529770309102116</v>
      </c>
      <c r="AJ474" s="2012">
        <f t="shared" si="510"/>
        <v>-0.63411632154440301</v>
      </c>
      <c r="AK474" s="2012">
        <f t="shared" si="510"/>
        <v>-9.9128508631124101E-2</v>
      </c>
      <c r="AL474" s="2012">
        <f t="shared" si="510"/>
        <v>6.4036991217380548</v>
      </c>
      <c r="AM474" s="2012">
        <f t="shared" si="510"/>
        <v>-0.19097714011584788</v>
      </c>
      <c r="AN474" s="2012">
        <f t="shared" si="510"/>
        <v>0.41463138820752166</v>
      </c>
      <c r="AO474" s="2012">
        <f t="shared" si="510"/>
        <v>0.26360134175709349</v>
      </c>
      <c r="AP474" s="2012">
        <f t="shared" si="510"/>
        <v>0.38960576240328804</v>
      </c>
      <c r="AQ474" s="2067"/>
      <c r="AR474" s="2044">
        <f t="shared" ref="AR474:BC474" si="511">AR375/AQ375-1</f>
        <v>1.0983599935529171</v>
      </c>
      <c r="AS474" s="2044">
        <f t="shared" si="511"/>
        <v>1.6612805502762549</v>
      </c>
      <c r="AT474" s="2408">
        <f t="shared" si="511"/>
        <v>4.2535124233259447E-2</v>
      </c>
      <c r="AU474" s="2407">
        <f t="shared" si="511"/>
        <v>1.8578052959776716</v>
      </c>
      <c r="AV474" s="2044">
        <f t="shared" si="511"/>
        <v>-0.39123019509370371</v>
      </c>
      <c r="AW474" s="2044">
        <f t="shared" si="511"/>
        <v>0.44330500485069546</v>
      </c>
      <c r="AX474" s="2407">
        <f t="shared" si="511"/>
        <v>0.36181984012662349</v>
      </c>
      <c r="AY474" s="2044">
        <f t="shared" si="511"/>
        <v>0.67560327619924365</v>
      </c>
      <c r="AZ474" s="2044">
        <f t="shared" si="511"/>
        <v>-3.8822247766188145E-2</v>
      </c>
      <c r="BA474" s="2408">
        <f t="shared" si="511"/>
        <v>0.16601834240649183</v>
      </c>
      <c r="BB474" s="2407">
        <f t="shared" si="511"/>
        <v>0.32399265787167919</v>
      </c>
      <c r="BC474" s="2408">
        <f t="shared" si="511"/>
        <v>0.27637007559664029</v>
      </c>
    </row>
    <row r="475" spans="1:55" s="2592" customFormat="1" x14ac:dyDescent="0.35">
      <c r="A475" s="2042"/>
      <c r="B475" s="2592" t="s">
        <v>987</v>
      </c>
      <c r="C475" s="2027"/>
      <c r="D475" s="2027"/>
      <c r="E475" s="2027"/>
      <c r="F475" s="2027"/>
      <c r="G475" s="2587"/>
      <c r="H475" s="2587"/>
      <c r="I475" s="2587"/>
      <c r="J475" s="2587"/>
      <c r="K475" s="2587"/>
      <c r="L475" s="2587"/>
      <c r="M475" s="2587"/>
      <c r="N475" s="2587"/>
      <c r="O475" s="2587"/>
      <c r="P475" s="2587"/>
      <c r="Q475" s="2587"/>
      <c r="R475" s="2587"/>
      <c r="S475" s="2587">
        <f t="shared" ref="S475:AP475" si="512">S332/O332-1</f>
        <v>0.40354993369376713</v>
      </c>
      <c r="T475" s="2587">
        <f t="shared" si="512"/>
        <v>0.41858656556819285</v>
      </c>
      <c r="U475" s="2587">
        <f t="shared" si="512"/>
        <v>0.45705852301753991</v>
      </c>
      <c r="V475" s="2587">
        <f t="shared" si="512"/>
        <v>0.4557071483474251</v>
      </c>
      <c r="W475" s="2590">
        <f t="shared" si="512"/>
        <v>0.70928119776146525</v>
      </c>
      <c r="X475" s="2590">
        <f t="shared" si="512"/>
        <v>0.57733159734119099</v>
      </c>
      <c r="Y475" s="2590">
        <f t="shared" si="512"/>
        <v>0.31138727648135878</v>
      </c>
      <c r="Z475" s="2590">
        <f t="shared" si="512"/>
        <v>0.10916771170219786</v>
      </c>
      <c r="AA475" s="2590">
        <f t="shared" si="512"/>
        <v>0.12688153754570974</v>
      </c>
      <c r="AB475" s="2590">
        <f t="shared" si="512"/>
        <v>5.9518637587974155E-3</v>
      </c>
      <c r="AC475" s="2590">
        <f t="shared" si="512"/>
        <v>8.6299090963103842E-2</v>
      </c>
      <c r="AD475" s="2590">
        <f t="shared" si="512"/>
        <v>0.23516810473073479</v>
      </c>
      <c r="AE475" s="2590">
        <f t="shared" si="512"/>
        <v>0.30390159233265424</v>
      </c>
      <c r="AF475" s="2590">
        <f t="shared" si="512"/>
        <v>0.38592096739365145</v>
      </c>
      <c r="AG475" s="2590">
        <f t="shared" si="512"/>
        <v>0.38545683266333031</v>
      </c>
      <c r="AH475" s="2590">
        <f t="shared" si="512"/>
        <v>-4.4804162451221319E-2</v>
      </c>
      <c r="AI475" s="2590">
        <f t="shared" si="512"/>
        <v>0.31299918972103247</v>
      </c>
      <c r="AJ475" s="2590">
        <f t="shared" si="512"/>
        <v>0.31731414443089712</v>
      </c>
      <c r="AK475" s="2590">
        <f t="shared" si="512"/>
        <v>0.33507372688226211</v>
      </c>
      <c r="AL475" s="2590">
        <f t="shared" si="512"/>
        <v>0.84506223538724523</v>
      </c>
      <c r="AM475" s="2590">
        <f t="shared" si="512"/>
        <v>0.2711689908208732</v>
      </c>
      <c r="AN475" s="2590">
        <f t="shared" si="512"/>
        <v>0.32620469374203309</v>
      </c>
      <c r="AO475" s="2590">
        <f t="shared" si="512"/>
        <v>0.22812032261161752</v>
      </c>
      <c r="AP475" s="2590">
        <f t="shared" si="512"/>
        <v>0.27065229115524114</v>
      </c>
      <c r="AQ475" s="2594"/>
      <c r="AR475" s="2568"/>
      <c r="AS475" s="2568"/>
      <c r="AT475" s="2569"/>
      <c r="AU475" s="2567">
        <f t="shared" ref="AU475:BC475" si="513">AU399/AT399-1</f>
        <v>0.2639550316183934</v>
      </c>
      <c r="AV475" s="2568">
        <f t="shared" si="513"/>
        <v>0.4241712991558575</v>
      </c>
      <c r="AW475" s="2568">
        <f t="shared" si="513"/>
        <v>0.40234487943098363</v>
      </c>
      <c r="AX475" s="2567">
        <f t="shared" si="513"/>
        <v>8.5554055029225973E-2</v>
      </c>
      <c r="AY475" s="2568">
        <f t="shared" si="513"/>
        <v>0.30231144707602886</v>
      </c>
      <c r="AZ475" s="2568">
        <f t="shared" si="513"/>
        <v>0.39908909623486188</v>
      </c>
      <c r="BA475" s="2569">
        <f t="shared" si="513"/>
        <v>0.26802078985864464</v>
      </c>
      <c r="BB475" s="2567">
        <f t="shared" si="513"/>
        <v>0.27522613718696776</v>
      </c>
      <c r="BC475" s="2569">
        <f t="shared" si="513"/>
        <v>0.25508244709059347</v>
      </c>
    </row>
    <row r="476" spans="1:55" s="1999" customFormat="1" ht="10.15" x14ac:dyDescent="0.3">
      <c r="A476" s="2042"/>
      <c r="B476" s="1999" t="s">
        <v>1098</v>
      </c>
      <c r="C476" s="2577"/>
      <c r="D476" s="2577"/>
      <c r="E476" s="2577"/>
      <c r="F476" s="2577"/>
      <c r="G476" s="2440">
        <f t="shared" ref="G476:AP476" si="514">G398/C398-1</f>
        <v>1.1298383573612933</v>
      </c>
      <c r="H476" s="2440">
        <f t="shared" si="514"/>
        <v>1.1111561866125759</v>
      </c>
      <c r="I476" s="2440">
        <f t="shared" si="514"/>
        <v>0.95200694293773047</v>
      </c>
      <c r="J476" s="2440">
        <f t="shared" si="514"/>
        <v>0.40437464946719004</v>
      </c>
      <c r="K476" s="2440">
        <f t="shared" si="514"/>
        <v>0.40695766327535288</v>
      </c>
      <c r="L476" s="2440">
        <f t="shared" si="514"/>
        <v>0.30561106840891616</v>
      </c>
      <c r="M476" s="2440">
        <f t="shared" si="514"/>
        <v>0.34296638804908408</v>
      </c>
      <c r="N476" s="2440">
        <f t="shared" si="514"/>
        <v>0.24644205634620975</v>
      </c>
      <c r="O476" s="2440">
        <f t="shared" si="514"/>
        <v>0.23454630277583388</v>
      </c>
      <c r="P476" s="2440">
        <f t="shared" si="514"/>
        <v>0.31237489697397858</v>
      </c>
      <c r="Q476" s="2440">
        <f t="shared" si="514"/>
        <v>0.26537773952194921</v>
      </c>
      <c r="R476" s="2440">
        <f t="shared" si="514"/>
        <v>0.33962483979960378</v>
      </c>
      <c r="S476" s="2440">
        <f t="shared" si="514"/>
        <v>0.41360415682569673</v>
      </c>
      <c r="T476" s="2440">
        <f t="shared" si="514"/>
        <v>0.42427776780907944</v>
      </c>
      <c r="U476" s="2440">
        <f t="shared" si="514"/>
        <v>0.41389775521950711</v>
      </c>
      <c r="V476" s="2440">
        <f t="shared" si="514"/>
        <v>0.44346842929205077</v>
      </c>
      <c r="W476" s="2392">
        <f t="shared" si="514"/>
        <v>0.67907505179442618</v>
      </c>
      <c r="X476" s="2392">
        <f t="shared" si="514"/>
        <v>0.576755905511811</v>
      </c>
      <c r="Y476" s="2392">
        <f t="shared" si="514"/>
        <v>0.3390696125235928</v>
      </c>
      <c r="Z476" s="2392">
        <f t="shared" si="514"/>
        <v>0.17213954329095627</v>
      </c>
      <c r="AA476" s="2392">
        <f t="shared" si="514"/>
        <v>0.16856392294220668</v>
      </c>
      <c r="AB476" s="2392">
        <f t="shared" si="514"/>
        <v>6.707682473732568E-2</v>
      </c>
      <c r="AC476" s="2392">
        <f t="shared" si="514"/>
        <v>0.12505872923748718</v>
      </c>
      <c r="AD476" s="2392">
        <f t="shared" si="514"/>
        <v>0.29361570885165</v>
      </c>
      <c r="AE476" s="2392">
        <f t="shared" si="514"/>
        <v>0.33648966245444334</v>
      </c>
      <c r="AF476" s="2392">
        <f t="shared" si="514"/>
        <v>0.38903032572070395</v>
      </c>
      <c r="AG476" s="2392">
        <f t="shared" si="514"/>
        <v>0.37270315417117028</v>
      </c>
      <c r="AH476" s="2392">
        <f t="shared" si="514"/>
        <v>1.0887705634586409E-2</v>
      </c>
      <c r="AI476" s="2392">
        <f t="shared" si="514"/>
        <v>0.30075437076303579</v>
      </c>
      <c r="AJ476" s="2392">
        <f t="shared" si="514"/>
        <v>0.29981073849577955</v>
      </c>
      <c r="AK476" s="2392">
        <f t="shared" si="514"/>
        <v>0.32221497228541796</v>
      </c>
      <c r="AL476" s="2392">
        <f t="shared" si="514"/>
        <v>0.69584551163612085</v>
      </c>
      <c r="AM476" s="2392">
        <f t="shared" si="514"/>
        <v>0.26498860421000914</v>
      </c>
      <c r="AN476" s="2392">
        <f t="shared" si="514"/>
        <v>0.31254571305461654</v>
      </c>
      <c r="AO476" s="2392">
        <f t="shared" si="514"/>
        <v>0.22705365607824723</v>
      </c>
      <c r="AP476" s="2392">
        <f t="shared" si="514"/>
        <v>0.26226673141714141</v>
      </c>
      <c r="AQ476" s="2595"/>
      <c r="AR476" s="2049">
        <f t="shared" ref="AR476:BC476" si="515">AR398/AQ398-1</f>
        <v>1.2830629639813034</v>
      </c>
      <c r="AS476" s="2049">
        <f t="shared" si="515"/>
        <v>0.85048473535256219</v>
      </c>
      <c r="AT476" s="2558">
        <f t="shared" si="515"/>
        <v>0.32612020435390976</v>
      </c>
      <c r="AU476" s="2559">
        <f t="shared" si="515"/>
        <v>0.28432262655510021</v>
      </c>
      <c r="AV476" s="2049">
        <f t="shared" si="515"/>
        <v>0.42254489873901413</v>
      </c>
      <c r="AW476" s="2049">
        <f t="shared" si="515"/>
        <v>0.42086601482754915</v>
      </c>
      <c r="AX476" s="2559">
        <f t="shared" si="515"/>
        <v>0.1367967332123412</v>
      </c>
      <c r="AY476" s="2049">
        <f t="shared" si="515"/>
        <v>0.31094092995410105</v>
      </c>
      <c r="AZ476" s="2049">
        <f t="shared" si="515"/>
        <v>0.3718909841890663</v>
      </c>
      <c r="BA476" s="2558">
        <f t="shared" si="515"/>
        <v>0.26209038595420098</v>
      </c>
      <c r="BB476" s="2559">
        <f t="shared" si="515"/>
        <v>0.24855520448647894</v>
      </c>
      <c r="BC476" s="2558">
        <f t="shared" si="515"/>
        <v>0.2348875078949344</v>
      </c>
    </row>
    <row r="477" spans="1:55" s="1953" customFormat="1" ht="10.15" x14ac:dyDescent="0.3">
      <c r="A477" s="2042"/>
      <c r="B477" s="1953" t="s">
        <v>1099</v>
      </c>
      <c r="C477" s="1950"/>
      <c r="D477" s="1950"/>
      <c r="E477" s="1950"/>
      <c r="F477" s="1950"/>
      <c r="G477" s="2054">
        <f t="shared" ref="G477:AP477" si="516">G400/C400-1</f>
        <v>1.2164634146341462</v>
      </c>
      <c r="H477" s="2054">
        <f t="shared" si="516"/>
        <v>1.1498417164966583</v>
      </c>
      <c r="I477" s="2054">
        <f t="shared" si="516"/>
        <v>1.0042966560807023</v>
      </c>
      <c r="J477" s="2054">
        <f t="shared" si="516"/>
        <v>0.36326705152875771</v>
      </c>
      <c r="K477" s="2054">
        <f t="shared" si="516"/>
        <v>0.36124484181568084</v>
      </c>
      <c r="L477" s="2054">
        <f t="shared" si="516"/>
        <v>0.20337041884816753</v>
      </c>
      <c r="M477" s="2054">
        <f t="shared" si="516"/>
        <v>0.27318482617205708</v>
      </c>
      <c r="N477" s="2054">
        <f t="shared" si="516"/>
        <v>0.13409661229611047</v>
      </c>
      <c r="O477" s="2054">
        <f t="shared" si="516"/>
        <v>0.15649867374005311</v>
      </c>
      <c r="P477" s="2054">
        <f t="shared" si="516"/>
        <v>0.29966009517335146</v>
      </c>
      <c r="Q477" s="2054">
        <f t="shared" si="516"/>
        <v>0.23016105417276722</v>
      </c>
      <c r="R477" s="2054">
        <f t="shared" si="516"/>
        <v>0.33660627852302594</v>
      </c>
      <c r="S477" s="2054">
        <f t="shared" si="516"/>
        <v>0.36609873307121021</v>
      </c>
      <c r="T477" s="2054">
        <f t="shared" si="516"/>
        <v>0.390940474945078</v>
      </c>
      <c r="U477" s="2054">
        <f t="shared" si="516"/>
        <v>0.45251130683170682</v>
      </c>
      <c r="V477" s="2054">
        <f t="shared" si="516"/>
        <v>0.43176409725814802</v>
      </c>
      <c r="W477" s="2012">
        <f t="shared" si="516"/>
        <v>0.72145826670930613</v>
      </c>
      <c r="X477" s="2012">
        <f t="shared" si="516"/>
        <v>0.5997292418772564</v>
      </c>
      <c r="Y477" s="2012">
        <f t="shared" si="516"/>
        <v>0.29486234021632263</v>
      </c>
      <c r="Z477" s="2012">
        <f t="shared" si="516"/>
        <v>0.11836970660500068</v>
      </c>
      <c r="AA477" s="2012">
        <f t="shared" si="516"/>
        <v>0.13310421697937946</v>
      </c>
      <c r="AB477" s="2012">
        <f t="shared" si="516"/>
        <v>-3.4132581100141057E-2</v>
      </c>
      <c r="AC477" s="2012">
        <f t="shared" si="516"/>
        <v>6.8122132573959826E-2</v>
      </c>
      <c r="AD477" s="2012">
        <f t="shared" si="516"/>
        <v>2.5781855776686458E-2</v>
      </c>
      <c r="AE477" s="2012">
        <f t="shared" si="516"/>
        <v>0.29067956389868033</v>
      </c>
      <c r="AF477" s="2012">
        <f t="shared" si="516"/>
        <v>0.38770443925233655</v>
      </c>
      <c r="AG477" s="2012">
        <f t="shared" si="516"/>
        <v>0.40381539190710347</v>
      </c>
      <c r="AH477" s="2012">
        <f t="shared" si="516"/>
        <v>-5.7952755905511522E-3</v>
      </c>
      <c r="AI477" s="2012">
        <f t="shared" si="516"/>
        <v>0.34709431565576376</v>
      </c>
      <c r="AJ477" s="2012">
        <f t="shared" si="516"/>
        <v>0.37910618432536802</v>
      </c>
      <c r="AK477" s="2012">
        <f t="shared" si="516"/>
        <v>0.35917135790903476</v>
      </c>
      <c r="AL477" s="2012">
        <f t="shared" si="516"/>
        <v>1.0677726158539511</v>
      </c>
      <c r="AM477" s="2012">
        <f t="shared" si="516"/>
        <v>0.28905307565003913</v>
      </c>
      <c r="AN477" s="2012">
        <f t="shared" si="516"/>
        <v>0.34968785894089383</v>
      </c>
      <c r="AO477" s="2012">
        <f t="shared" si="516"/>
        <v>0.23885817409652366</v>
      </c>
      <c r="AP477" s="2012">
        <f t="shared" si="516"/>
        <v>0.30188593382293782</v>
      </c>
      <c r="AQ477" s="2596"/>
      <c r="AR477" s="2044">
        <f t="shared" ref="AR477:BC477" si="517">AR400/AQ400-1</f>
        <v>1.4720051044823736</v>
      </c>
      <c r="AS477" s="2044">
        <f t="shared" si="517"/>
        <v>0.87345937923469052</v>
      </c>
      <c r="AT477" s="2408">
        <f t="shared" si="517"/>
        <v>0.24558261288878169</v>
      </c>
      <c r="AU477" s="2407">
        <f t="shared" si="517"/>
        <v>0.24945386168182959</v>
      </c>
      <c r="AV477" s="2044">
        <f t="shared" si="517"/>
        <v>0.41753718130311612</v>
      </c>
      <c r="AW477" s="2044">
        <f t="shared" si="517"/>
        <v>0.39561280249804831</v>
      </c>
      <c r="AX477" s="2407">
        <f t="shared" si="517"/>
        <v>5.801608699056926E-2</v>
      </c>
      <c r="AY477" s="2044">
        <f t="shared" si="517"/>
        <v>0.3023737774253239</v>
      </c>
      <c r="AZ477" s="2044">
        <f t="shared" si="517"/>
        <v>0.45149647692871753</v>
      </c>
      <c r="BA477" s="2408">
        <f t="shared" si="517"/>
        <v>0.28664610263392198</v>
      </c>
      <c r="BB477" s="2407">
        <f t="shared" si="517"/>
        <v>0.28973109573879463</v>
      </c>
      <c r="BC477" s="2408">
        <f t="shared" si="517"/>
        <v>0.26569370292855288</v>
      </c>
    </row>
    <row r="478" spans="1:55" s="1999" customFormat="1" ht="10.15" x14ac:dyDescent="0.3">
      <c r="A478" s="2042"/>
      <c r="B478" s="1999" t="s">
        <v>1102</v>
      </c>
      <c r="C478" s="2577"/>
      <c r="D478" s="2577"/>
      <c r="E478" s="2577"/>
      <c r="F478" s="2577"/>
      <c r="G478" s="2440">
        <f t="shared" ref="G478:AP478" si="518">G403/C403-1</f>
        <v>1.2745091795010874</v>
      </c>
      <c r="H478" s="2440">
        <f t="shared" si="518"/>
        <v>1.1660608352318453</v>
      </c>
      <c r="I478" s="2440">
        <f t="shared" si="518"/>
        <v>1.1739310166130692</v>
      </c>
      <c r="J478" s="2440">
        <f t="shared" si="518"/>
        <v>0.91956564321581769</v>
      </c>
      <c r="K478" s="2440">
        <f t="shared" si="518"/>
        <v>0.59655247654374866</v>
      </c>
      <c r="L478" s="2440">
        <f t="shared" si="518"/>
        <v>0.15526896317665018</v>
      </c>
      <c r="M478" s="2440">
        <f t="shared" si="518"/>
        <v>0.2534645895058778</v>
      </c>
      <c r="N478" s="2440">
        <f t="shared" si="518"/>
        <v>-7.6913216254326233E-3</v>
      </c>
      <c r="O478" s="2440">
        <f t="shared" si="518"/>
        <v>0.29274292742927432</v>
      </c>
      <c r="P478" s="2440">
        <f t="shared" si="518"/>
        <v>0.35149823736780261</v>
      </c>
      <c r="Q478" s="2440">
        <f t="shared" si="518"/>
        <v>0.26382005337399916</v>
      </c>
      <c r="R478" s="2440">
        <f t="shared" si="518"/>
        <v>-2.3898721095465647E-2</v>
      </c>
      <c r="S478" s="2440">
        <f t="shared" si="518"/>
        <v>0.26768157310497931</v>
      </c>
      <c r="T478" s="2440">
        <f t="shared" si="518"/>
        <v>0.40734702749701124</v>
      </c>
      <c r="U478" s="2440">
        <f t="shared" si="518"/>
        <v>0.3569230769230769</v>
      </c>
      <c r="V478" s="2440">
        <f t="shared" si="518"/>
        <v>0.38168343038644781</v>
      </c>
      <c r="W478" s="2392">
        <f t="shared" si="518"/>
        <v>0.66950212659494612</v>
      </c>
      <c r="X478" s="2392">
        <f t="shared" si="518"/>
        <v>0.70584601127500202</v>
      </c>
      <c r="Y478" s="2392">
        <f t="shared" si="518"/>
        <v>0.20079142768218405</v>
      </c>
      <c r="Z478" s="2392">
        <f t="shared" si="518"/>
        <v>0.35047892720306506</v>
      </c>
      <c r="AA478" s="2392">
        <f t="shared" si="518"/>
        <v>4.0961086967381544E-3</v>
      </c>
      <c r="AB478" s="2392">
        <f t="shared" si="518"/>
        <v>6.1750192403458692E-2</v>
      </c>
      <c r="AC478" s="2392">
        <f t="shared" si="518"/>
        <v>0.10330655015366386</v>
      </c>
      <c r="AD478" s="2392">
        <f t="shared" si="518"/>
        <v>0.42251223491027723</v>
      </c>
      <c r="AE478" s="2392">
        <f t="shared" si="518"/>
        <v>0.5396746430525845</v>
      </c>
      <c r="AF478" s="2392">
        <f t="shared" si="518"/>
        <v>0.39640984095851284</v>
      </c>
      <c r="AG478" s="2392">
        <f t="shared" si="518"/>
        <v>0.56032486491928712</v>
      </c>
      <c r="AH478" s="2392">
        <f t="shared" si="518"/>
        <v>0.11123853211009171</v>
      </c>
      <c r="AI478" s="2392">
        <f t="shared" si="518"/>
        <v>0.27545316488416427</v>
      </c>
      <c r="AJ478" s="2392">
        <f t="shared" si="518"/>
        <v>0.20016533640139045</v>
      </c>
      <c r="AK478" s="2392">
        <f t="shared" si="518"/>
        <v>0.28446080745590363</v>
      </c>
      <c r="AL478" s="2392">
        <f t="shared" si="518"/>
        <v>0.66100881916894738</v>
      </c>
      <c r="AM478" s="2392">
        <f t="shared" si="518"/>
        <v>0.32354914579773353</v>
      </c>
      <c r="AN478" s="2392">
        <f t="shared" si="518"/>
        <v>0.31063766496466783</v>
      </c>
      <c r="AO478" s="2392">
        <f t="shared" si="518"/>
        <v>0.22874602314050851</v>
      </c>
      <c r="AP478" s="2392">
        <f t="shared" si="518"/>
        <v>0.19445047308227958</v>
      </c>
      <c r="AQ478" s="2595"/>
      <c r="AR478" s="2049">
        <f t="shared" ref="AR478:BC478" si="519">AR403/AQ403-1</f>
        <v>0.60911345319280841</v>
      </c>
      <c r="AS478" s="2049">
        <f t="shared" si="519"/>
        <v>1.5855297630514351</v>
      </c>
      <c r="AT478" s="2558">
        <f t="shared" si="519"/>
        <v>0.3031717429181644</v>
      </c>
      <c r="AU478" s="2559">
        <f t="shared" si="519"/>
        <v>0.22326405763128565</v>
      </c>
      <c r="AV478" s="2049">
        <f t="shared" si="519"/>
        <v>0.35241055362108864</v>
      </c>
      <c r="AW478" s="2049">
        <f t="shared" si="519"/>
        <v>0.43792227540564355</v>
      </c>
      <c r="AX478" s="2559">
        <f t="shared" si="519"/>
        <v>0.13055495469512346</v>
      </c>
      <c r="AY478" s="2049">
        <f t="shared" si="519"/>
        <v>0.40818257190841645</v>
      </c>
      <c r="AZ478" s="2049">
        <f t="shared" si="519"/>
        <v>0.32486473056870291</v>
      </c>
      <c r="BA478" s="2558">
        <f t="shared" si="519"/>
        <v>0.26117289750573303</v>
      </c>
      <c r="BB478" s="2559">
        <f t="shared" si="519"/>
        <v>0.26412064380788536</v>
      </c>
      <c r="BC478" s="2558">
        <f t="shared" si="519"/>
        <v>0.24768900091518109</v>
      </c>
    </row>
    <row r="479" spans="1:55" s="1999" customFormat="1" ht="10.15" x14ac:dyDescent="0.3">
      <c r="A479" s="2042"/>
      <c r="B479" s="1999" t="s">
        <v>1159</v>
      </c>
      <c r="C479" s="2577"/>
      <c r="D479" s="2577"/>
      <c r="E479" s="2577"/>
      <c r="F479" s="2577"/>
      <c r="G479" s="2440">
        <f t="shared" ref="G479:AP479" si="520">G409/C409-1</f>
        <v>15.402516480938967</v>
      </c>
      <c r="H479" s="2440">
        <f t="shared" si="520"/>
        <v>12.039863291975131</v>
      </c>
      <c r="I479" s="2440">
        <f t="shared" si="520"/>
        <v>27.95968024063308</v>
      </c>
      <c r="J479" s="2440">
        <f t="shared" si="520"/>
        <v>31.99634544380983</v>
      </c>
      <c r="K479" s="2440">
        <f t="shared" si="520"/>
        <v>0.57906672840681384</v>
      </c>
      <c r="L479" s="2440">
        <f t="shared" si="520"/>
        <v>9.3277522329997309E-2</v>
      </c>
      <c r="M479" s="2440">
        <f t="shared" si="520"/>
        <v>0.10651338192984761</v>
      </c>
      <c r="N479" s="2440">
        <f t="shared" si="520"/>
        <v>-8.05909322448779E-2</v>
      </c>
      <c r="O479" s="2440">
        <f t="shared" si="520"/>
        <v>0.17432736777076729</v>
      </c>
      <c r="P479" s="2440">
        <f t="shared" si="520"/>
        <v>0.24833080440671673</v>
      </c>
      <c r="Q479" s="2440">
        <f t="shared" si="520"/>
        <v>0.23610066184236156</v>
      </c>
      <c r="R479" s="2440">
        <f t="shared" si="520"/>
        <v>-4.3751621228186099E-2</v>
      </c>
      <c r="S479" s="2440">
        <f t="shared" si="520"/>
        <v>0.22888340519549266</v>
      </c>
      <c r="T479" s="2440">
        <f t="shared" si="520"/>
        <v>0.3892851495766092</v>
      </c>
      <c r="U479" s="2440">
        <f t="shared" si="520"/>
        <v>0.29136161891553591</v>
      </c>
      <c r="V479" s="2547">
        <f t="shared" si="520"/>
        <v>0.36478642901304292</v>
      </c>
      <c r="W479" s="2392">
        <f t="shared" si="520"/>
        <v>0.61461685620035067</v>
      </c>
      <c r="X479" s="2392">
        <f t="shared" si="520"/>
        <v>0.63331223944207427</v>
      </c>
      <c r="Y479" s="2392">
        <f t="shared" si="520"/>
        <v>0.25525083678908822</v>
      </c>
      <c r="Z479" s="2392">
        <f t="shared" si="520"/>
        <v>0.44459146757643908</v>
      </c>
      <c r="AA479" s="2392">
        <f t="shared" si="520"/>
        <v>3.6396796373495688E-2</v>
      </c>
      <c r="AB479" s="2392">
        <f t="shared" si="520"/>
        <v>8.5154519349670998E-2</v>
      </c>
      <c r="AC479" s="2392">
        <f t="shared" si="520"/>
        <v>8.7414871973606534E-2</v>
      </c>
      <c r="AD479" s="2392">
        <f t="shared" si="520"/>
        <v>0.39777119160184227</v>
      </c>
      <c r="AE479" s="2392">
        <f t="shared" si="520"/>
        <v>0.50424381477586788</v>
      </c>
      <c r="AF479" s="2392">
        <f t="shared" si="520"/>
        <v>0.31071267390439039</v>
      </c>
      <c r="AG479" s="2392">
        <f t="shared" si="520"/>
        <v>0.47344590561577404</v>
      </c>
      <c r="AH479" s="2392">
        <f t="shared" si="520"/>
        <v>1.7959363715678966E-2</v>
      </c>
      <c r="AI479" s="2392">
        <f t="shared" si="520"/>
        <v>0.14695691675445444</v>
      </c>
      <c r="AJ479" s="2392">
        <f t="shared" si="520"/>
        <v>0.17181680577400837</v>
      </c>
      <c r="AK479" s="2392">
        <f t="shared" si="520"/>
        <v>0.21593183567382312</v>
      </c>
      <c r="AL479" s="2392">
        <f t="shared" si="520"/>
        <v>0.55467595136990577</v>
      </c>
      <c r="AM479" s="2392">
        <f t="shared" si="520"/>
        <v>0.28219140106828866</v>
      </c>
      <c r="AN479" s="2392">
        <f t="shared" si="520"/>
        <v>0.25450942534687271</v>
      </c>
      <c r="AO479" s="2392">
        <f t="shared" si="520"/>
        <v>0.19710561609042632</v>
      </c>
      <c r="AP479" s="2392">
        <f t="shared" si="520"/>
        <v>0.17784779523977479</v>
      </c>
      <c r="AQ479" s="2597"/>
      <c r="AR479" s="2049">
        <f t="shared" ref="AR479:BC479" si="521">AR409/AQ409-1</f>
        <v>0.82454826219630317</v>
      </c>
      <c r="AS479" s="2049">
        <f t="shared" si="521"/>
        <v>1.6677290059904171</v>
      </c>
      <c r="AT479" s="2558">
        <f t="shared" si="521"/>
        <v>0.2241414859544808</v>
      </c>
      <c r="AU479" s="2559">
        <f t="shared" si="521"/>
        <v>0.15109654324598609</v>
      </c>
      <c r="AV479" s="2049">
        <f t="shared" si="521"/>
        <v>0.30963665341584057</v>
      </c>
      <c r="AW479" s="2049">
        <f t="shared" si="521"/>
        <v>0.53814010756440678</v>
      </c>
      <c r="AX479" s="2559">
        <f t="shared" si="521"/>
        <v>9.9565219757383305E-2</v>
      </c>
      <c r="AY479" s="2049">
        <f t="shared" si="521"/>
        <v>0.29885651078075748</v>
      </c>
      <c r="AZ479" s="2049">
        <f t="shared" si="521"/>
        <v>0.2430583332334677</v>
      </c>
      <c r="BA479" s="2558">
        <f t="shared" si="521"/>
        <v>0.24367794446564295</v>
      </c>
      <c r="BB479" s="2559">
        <f t="shared" si="521"/>
        <v>0.24496015120241421</v>
      </c>
      <c r="BC479" s="2558">
        <f t="shared" si="521"/>
        <v>0.23010654261683672</v>
      </c>
    </row>
    <row r="480" spans="1:55" s="1953" customFormat="1" ht="10.15" x14ac:dyDescent="0.3">
      <c r="A480" s="2042"/>
      <c r="B480" s="2532" t="s">
        <v>1160</v>
      </c>
      <c r="C480" s="1950"/>
      <c r="D480" s="1950"/>
      <c r="E480" s="1950"/>
      <c r="F480" s="1950"/>
      <c r="G480" s="1950"/>
      <c r="H480" s="1950"/>
      <c r="I480" s="1950"/>
      <c r="J480" s="1950"/>
      <c r="K480" s="1950"/>
      <c r="L480" s="1950"/>
      <c r="M480" s="1950"/>
      <c r="N480" s="1950"/>
      <c r="O480" s="1950"/>
      <c r="P480" s="1950"/>
      <c r="Q480" s="1950"/>
      <c r="R480" s="2540"/>
      <c r="S480" s="1950"/>
      <c r="T480" s="1950"/>
      <c r="U480" s="1950"/>
      <c r="V480" s="2540"/>
      <c r="W480" s="1950"/>
      <c r="X480" s="1950"/>
      <c r="Y480" s="1950"/>
      <c r="Z480" s="1950"/>
      <c r="AA480" s="1950"/>
      <c r="AB480" s="1950"/>
      <c r="AC480" s="1950"/>
      <c r="AD480" s="1950"/>
      <c r="AE480" s="1950"/>
      <c r="AF480" s="1950"/>
      <c r="AG480" s="1950"/>
      <c r="AH480" s="1950"/>
      <c r="AI480" s="1950"/>
      <c r="AJ480" s="1950"/>
      <c r="AK480" s="1950"/>
      <c r="AL480" s="1950"/>
      <c r="AM480" s="1950"/>
      <c r="AN480" s="1950"/>
      <c r="AO480" s="1950"/>
      <c r="AP480" s="1950"/>
      <c r="AQ480" s="1952"/>
      <c r="AR480" s="1950"/>
      <c r="AS480" s="1950"/>
      <c r="AT480" s="1951"/>
      <c r="AU480" s="1952"/>
      <c r="AV480" s="1950"/>
      <c r="AW480" s="1950"/>
      <c r="AX480" s="1952"/>
      <c r="AY480" s="1950"/>
      <c r="AZ480" s="1950"/>
      <c r="BA480" s="1951"/>
      <c r="BB480" s="1952"/>
      <c r="BC480" s="1951"/>
    </row>
    <row r="481" spans="1:55" s="1953" customFormat="1" ht="10.15" x14ac:dyDescent="0.3">
      <c r="A481" s="2042"/>
      <c r="B481" s="2473" t="s">
        <v>1141</v>
      </c>
      <c r="C481" s="1972"/>
      <c r="D481" s="1972"/>
      <c r="E481" s="1972"/>
      <c r="F481" s="1972"/>
      <c r="G481" s="1972"/>
      <c r="H481" s="1972"/>
      <c r="I481" s="1972"/>
      <c r="J481" s="1972"/>
      <c r="K481" s="1972"/>
      <c r="L481" s="1972"/>
      <c r="M481" s="1972"/>
      <c r="N481" s="1972"/>
      <c r="O481" s="1972"/>
      <c r="P481" s="1972"/>
      <c r="Q481" s="1972"/>
      <c r="R481" s="1972"/>
      <c r="S481" s="1972"/>
      <c r="T481" s="1972"/>
      <c r="U481" s="1972"/>
      <c r="V481" s="1972"/>
      <c r="W481" s="1972"/>
      <c r="X481" s="1972"/>
      <c r="Y481" s="1972"/>
      <c r="Z481" s="1972"/>
      <c r="AA481" s="1972"/>
      <c r="AB481" s="1972"/>
      <c r="AC481" s="1972"/>
      <c r="AD481" s="1972"/>
      <c r="AE481" s="1972"/>
      <c r="AF481" s="1972"/>
      <c r="AG481" s="1972"/>
      <c r="AH481" s="1972"/>
      <c r="AI481" s="1972"/>
      <c r="AJ481" s="1972"/>
      <c r="AK481" s="1972"/>
      <c r="AL481" s="1972"/>
      <c r="AM481" s="1972"/>
      <c r="AN481" s="1972"/>
      <c r="AO481" s="1972"/>
      <c r="AP481" s="1972"/>
      <c r="AQ481" s="1952"/>
      <c r="AR481" s="1950"/>
      <c r="AS481" s="1950"/>
      <c r="AT481" s="1951"/>
      <c r="AU481" s="1952"/>
      <c r="AV481" s="1950"/>
      <c r="AW481" s="1950"/>
      <c r="AX481" s="1952"/>
      <c r="AY481" s="1950"/>
      <c r="AZ481" s="1950"/>
      <c r="BA481" s="1951"/>
      <c r="BB481" s="1952"/>
      <c r="BC481" s="1951"/>
    </row>
    <row r="482" spans="1:55" s="1953" customFormat="1" ht="10.15" x14ac:dyDescent="0.3">
      <c r="A482" s="2042"/>
      <c r="B482" s="2498" t="s">
        <v>1110</v>
      </c>
      <c r="C482" s="1973"/>
      <c r="D482" s="2054">
        <f t="shared" ref="D482:N485" si="522">D167/C167-1</f>
        <v>9.837529012676316E-2</v>
      </c>
      <c r="E482" s="2054">
        <f t="shared" si="522"/>
        <v>0.6534460338101431</v>
      </c>
      <c r="F482" s="2054">
        <f t="shared" si="522"/>
        <v>-0.28804561541486429</v>
      </c>
      <c r="G482" s="2054">
        <f t="shared" si="522"/>
        <v>0.26940071803369237</v>
      </c>
      <c r="H482" s="2054">
        <f t="shared" si="522"/>
        <v>2.1755683672359805E-3</v>
      </c>
      <c r="I482" s="2054">
        <f t="shared" si="522"/>
        <v>0.81927710843373491</v>
      </c>
      <c r="J482" s="2054">
        <f t="shared" si="522"/>
        <v>-0.4054650677167233</v>
      </c>
      <c r="K482" s="2054">
        <f>K168/J167-1</f>
        <v>0.26833918715504268</v>
      </c>
      <c r="L482" s="2054">
        <f>L168/K168-1</f>
        <v>1.0285623862647419E-2</v>
      </c>
      <c r="M482" s="2054">
        <f>M168/L168-1</f>
        <v>0.66614456887775075</v>
      </c>
      <c r="N482" s="2054">
        <f>N168/M168-1</f>
        <v>-0.38665099882491183</v>
      </c>
      <c r="O482" s="2054">
        <f t="shared" ref="O482:AP485" si="523">O167/N167-1</f>
        <v>0.20251889168765747</v>
      </c>
      <c r="P482" s="2054">
        <f t="shared" si="523"/>
        <v>9.5996169728888692E-2</v>
      </c>
      <c r="Q482" s="2054">
        <f t="shared" si="523"/>
        <v>0.63140938131382085</v>
      </c>
      <c r="R482" s="2054">
        <f t="shared" si="523"/>
        <v>-0.34987950194135764</v>
      </c>
      <c r="S482" s="2054">
        <f t="shared" si="523"/>
        <v>0.26880502497039593</v>
      </c>
      <c r="T482" s="2054">
        <f t="shared" si="523"/>
        <v>3.6520045447167693E-2</v>
      </c>
      <c r="U482" s="2054">
        <f t="shared" si="523"/>
        <v>0.65659254619480123</v>
      </c>
      <c r="V482" s="2054">
        <f t="shared" si="523"/>
        <v>-0.35523206352207204</v>
      </c>
      <c r="W482" s="2012">
        <f t="shared" si="523"/>
        <v>0.40569564579973605</v>
      </c>
      <c r="X482" s="2012">
        <f t="shared" si="523"/>
        <v>7.6082705394623584E-2</v>
      </c>
      <c r="Y482" s="2012">
        <f t="shared" si="523"/>
        <v>0.50301664607109098</v>
      </c>
      <c r="Z482" s="2012">
        <f t="shared" si="523"/>
        <v>-0.32182295948799788</v>
      </c>
      <c r="AA482" s="2012">
        <f t="shared" si="523"/>
        <v>0.3363601787582009</v>
      </c>
      <c r="AB482" s="2012">
        <f t="shared" si="523"/>
        <v>7.6487957593653899E-3</v>
      </c>
      <c r="AC482" s="2012">
        <f t="shared" si="523"/>
        <v>0.47841053523513621</v>
      </c>
      <c r="AD482" s="2012">
        <f t="shared" si="523"/>
        <v>-0.27177637941945576</v>
      </c>
      <c r="AE482" s="2012">
        <f t="shared" si="523"/>
        <v>0.28866334360857882</v>
      </c>
      <c r="AF482" s="2012">
        <f t="shared" si="523"/>
        <v>6.0565190284123105E-3</v>
      </c>
      <c r="AG482" s="2012">
        <f t="shared" si="523"/>
        <v>0.43954014847791179</v>
      </c>
      <c r="AH482" s="2012">
        <f t="shared" si="523"/>
        <v>-0.35257373290108329</v>
      </c>
      <c r="AI482" s="2012">
        <f t="shared" si="523"/>
        <v>0.42220322423058132</v>
      </c>
      <c r="AJ482" s="2012">
        <f t="shared" si="523"/>
        <v>-1.809121702208849E-2</v>
      </c>
      <c r="AK482" s="2012">
        <f t="shared" si="523"/>
        <v>0.40356632732138453</v>
      </c>
      <c r="AL482" s="2012">
        <f t="shared" si="523"/>
        <v>-0.29988397994303095</v>
      </c>
      <c r="AM482" s="2012">
        <f t="shared" si="523"/>
        <v>0.32240621563874949</v>
      </c>
      <c r="AN482" s="2012">
        <f t="shared" si="523"/>
        <v>-4.4953212478757831E-2</v>
      </c>
      <c r="AO482" s="2012">
        <f t="shared" si="523"/>
        <v>0.40257490702435006</v>
      </c>
      <c r="AP482" s="2012">
        <f t="shared" si="523"/>
        <v>-0.31240461140599929</v>
      </c>
      <c r="AQ482" s="1952"/>
      <c r="AR482" s="1950"/>
      <c r="AS482" s="1950"/>
      <c r="AT482" s="1951"/>
      <c r="AU482" s="1952"/>
      <c r="AV482" s="1950"/>
      <c r="AW482" s="1950"/>
      <c r="AX482" s="1952"/>
      <c r="AY482" s="1950"/>
      <c r="AZ482" s="1950"/>
      <c r="BA482" s="1951"/>
      <c r="BB482" s="1952"/>
      <c r="BC482" s="1951"/>
    </row>
    <row r="483" spans="1:55" s="1953" customFormat="1" ht="10.15" outlineLevel="1" x14ac:dyDescent="0.3">
      <c r="A483" s="2042"/>
      <c r="B483" s="2536" t="s">
        <v>1111</v>
      </c>
      <c r="C483" s="1973"/>
      <c r="D483" s="2054">
        <f t="shared" si="522"/>
        <v>0.11376292760540974</v>
      </c>
      <c r="E483" s="2054">
        <f t="shared" si="522"/>
        <v>0.71214285714285719</v>
      </c>
      <c r="F483" s="2054">
        <f t="shared" si="522"/>
        <v>-0.29557780559032121</v>
      </c>
      <c r="G483" s="2054">
        <f t="shared" si="522"/>
        <v>0.28323956174119047</v>
      </c>
      <c r="H483" s="2054">
        <f t="shared" si="522"/>
        <v>-2.5383639090804655E-3</v>
      </c>
      <c r="I483" s="2054">
        <f t="shared" si="522"/>
        <v>0.86801619433198374</v>
      </c>
      <c r="J483" s="2054">
        <f t="shared" si="522"/>
        <v>-0.41971639110780856</v>
      </c>
      <c r="K483" s="2054">
        <f t="shared" si="522"/>
        <v>0.34873546046313098</v>
      </c>
      <c r="L483" s="2054">
        <f t="shared" si="522"/>
        <v>1.0285623862647419E-2</v>
      </c>
      <c r="M483" s="2054">
        <f t="shared" si="522"/>
        <v>0.66614456887775075</v>
      </c>
      <c r="N483" s="2054">
        <f t="shared" si="522"/>
        <v>-0.38665099882491183</v>
      </c>
      <c r="O483" s="2054">
        <f t="shared" si="523"/>
        <v>0.20407694076174421</v>
      </c>
      <c r="P483" s="2054">
        <f t="shared" si="523"/>
        <v>9.8968940936863481E-2</v>
      </c>
      <c r="Q483" s="2054">
        <f t="shared" si="523"/>
        <v>0.6629408698673771</v>
      </c>
      <c r="R483" s="2054">
        <f t="shared" si="523"/>
        <v>-0.36128717698683566</v>
      </c>
      <c r="S483" s="2054">
        <f t="shared" si="523"/>
        <v>0.27497273718647763</v>
      </c>
      <c r="T483" s="2054">
        <f t="shared" si="523"/>
        <v>3.1048197408373612E-2</v>
      </c>
      <c r="U483" s="2054">
        <f t="shared" si="523"/>
        <v>0.69239703015471399</v>
      </c>
      <c r="V483" s="2054">
        <f t="shared" si="523"/>
        <v>-0.3673104259595118</v>
      </c>
      <c r="W483" s="2012">
        <f t="shared" si="523"/>
        <v>0.42211892310672083</v>
      </c>
      <c r="X483" s="2012">
        <f t="shared" si="523"/>
        <v>7.7495096971017752E-2</v>
      </c>
      <c r="Y483" s="2012">
        <f t="shared" si="523"/>
        <v>0.51945294132517628</v>
      </c>
      <c r="Z483" s="2012">
        <f t="shared" si="523"/>
        <v>-0.33142001497379581</v>
      </c>
      <c r="AA483" s="2012">
        <f t="shared" si="523"/>
        <v>0.34298867736717686</v>
      </c>
      <c r="AB483" s="2012">
        <f t="shared" si="523"/>
        <v>3.3908983101096357E-3</v>
      </c>
      <c r="AC483" s="2012">
        <f t="shared" si="523"/>
        <v>0.49683293013979424</v>
      </c>
      <c r="AD483" s="2012">
        <f t="shared" si="523"/>
        <v>-0.27899574363086788</v>
      </c>
      <c r="AE483" s="2012">
        <f t="shared" si="523"/>
        <v>0.29362947245940352</v>
      </c>
      <c r="AF483" s="2012">
        <f t="shared" si="523"/>
        <v>2.4470575786035287E-3</v>
      </c>
      <c r="AG483" s="2012">
        <f t="shared" si="523"/>
        <v>0.4574987464703244</v>
      </c>
      <c r="AH483" s="2012">
        <f t="shared" si="523"/>
        <v>-0.35808180484890184</v>
      </c>
      <c r="AI483" s="2012">
        <f t="shared" si="523"/>
        <v>0.42896833791693112</v>
      </c>
      <c r="AJ483" s="2012">
        <f t="shared" si="523"/>
        <v>-2.4181956356530088E-2</v>
      </c>
      <c r="AK483" s="2012">
        <f t="shared" si="523"/>
        <v>0.4190286905565499</v>
      </c>
      <c r="AL483" s="2012">
        <f t="shared" si="523"/>
        <v>-0.30505398538844808</v>
      </c>
      <c r="AM483" s="2012">
        <f t="shared" si="523"/>
        <v>0.32795208807863285</v>
      </c>
      <c r="AN483" s="2012">
        <f t="shared" si="523"/>
        <v>-5.1649860241152812E-2</v>
      </c>
      <c r="AO483" s="2012">
        <f t="shared" si="523"/>
        <v>0.41806166668478317</v>
      </c>
      <c r="AP483" s="2012">
        <f t="shared" si="523"/>
        <v>-0.31759721602335811</v>
      </c>
      <c r="AQ483" s="2593"/>
      <c r="AR483" s="1973"/>
      <c r="AS483" s="1950"/>
      <c r="AT483" s="1951"/>
      <c r="AU483" s="1952"/>
      <c r="AV483" s="1950"/>
      <c r="AW483" s="1950"/>
      <c r="AX483" s="1952"/>
      <c r="AY483" s="1950"/>
      <c r="AZ483" s="1950"/>
      <c r="BA483" s="1951"/>
      <c r="BB483" s="1952"/>
      <c r="BC483" s="1951"/>
    </row>
    <row r="484" spans="1:55" s="1953" customFormat="1" ht="10.15" outlineLevel="1" x14ac:dyDescent="0.3">
      <c r="A484" s="2042"/>
      <c r="B484" s="2598" t="s">
        <v>1161</v>
      </c>
      <c r="C484" s="2054"/>
      <c r="D484" s="2054"/>
      <c r="E484" s="2054"/>
      <c r="F484" s="2054"/>
      <c r="G484" s="2054"/>
      <c r="H484" s="2054">
        <f t="shared" si="522"/>
        <v>-2.5383639090802435E-3</v>
      </c>
      <c r="I484" s="2054">
        <f t="shared" si="522"/>
        <v>0.73440293146367153</v>
      </c>
      <c r="J484" s="2054">
        <f t="shared" si="522"/>
        <v>-0.45410356793104956</v>
      </c>
      <c r="K484" s="2054">
        <f t="shared" si="522"/>
        <v>0.40183528174120697</v>
      </c>
      <c r="L484" s="2054">
        <f t="shared" si="522"/>
        <v>-1.2675413043322203E-2</v>
      </c>
      <c r="M484" s="2054">
        <f t="shared" si="522"/>
        <v>0.57573362327973387</v>
      </c>
      <c r="N484" s="2054">
        <f t="shared" si="522"/>
        <v>-0.40676080214212784</v>
      </c>
      <c r="O484" s="2054">
        <f t="shared" si="523"/>
        <v>0.34044949220084408</v>
      </c>
      <c r="P484" s="2054">
        <f t="shared" si="523"/>
        <v>9.8062015503876054E-2</v>
      </c>
      <c r="Q484" s="2054">
        <f t="shared" si="523"/>
        <v>0.67905047652665029</v>
      </c>
      <c r="R484" s="2054">
        <f t="shared" si="523"/>
        <v>-0.38371787459925366</v>
      </c>
      <c r="S484" s="2054">
        <f t="shared" si="523"/>
        <v>0.35442606174313496</v>
      </c>
      <c r="T484" s="2054">
        <f t="shared" si="523"/>
        <v>4.8041808336481528E-2</v>
      </c>
      <c r="U484" s="2054">
        <f t="shared" si="523"/>
        <v>0.67726043857014129</v>
      </c>
      <c r="V484" s="2054">
        <f t="shared" si="523"/>
        <v>-0.38799340927000503</v>
      </c>
      <c r="W484" s="2012">
        <f t="shared" si="523"/>
        <v>0.5345897225798899</v>
      </c>
      <c r="X484" s="2012">
        <f t="shared" si="523"/>
        <v>1.9832189168573766E-3</v>
      </c>
      <c r="Y484" s="2012">
        <f t="shared" si="523"/>
        <v>0.47685749086479912</v>
      </c>
      <c r="Z484" s="2012">
        <f t="shared" si="523"/>
        <v>-0.4073969072164948</v>
      </c>
      <c r="AA484" s="2012">
        <f t="shared" si="523"/>
        <v>0.43752446396729439</v>
      </c>
      <c r="AB484" s="2012">
        <f t="shared" si="523"/>
        <v>-4.0238404985931675E-3</v>
      </c>
      <c r="AC484" s="2012">
        <f t="shared" si="523"/>
        <v>0.50643985419198057</v>
      </c>
      <c r="AD484" s="2012">
        <f t="shared" si="523"/>
        <v>-0.39266413937731892</v>
      </c>
      <c r="AE484" s="2012">
        <f t="shared" si="523"/>
        <v>0.39294133271356957</v>
      </c>
      <c r="AF484" s="2012">
        <f t="shared" si="523"/>
        <v>-1.556466606283069E-2</v>
      </c>
      <c r="AG484" s="2012">
        <f t="shared" si="523"/>
        <v>0.4826517517735649</v>
      </c>
      <c r="AH484" s="2012">
        <f t="shared" si="523"/>
        <v>-0.49528864211643664</v>
      </c>
      <c r="AI484" s="2012">
        <f t="shared" si="523"/>
        <v>0.6642075972303112</v>
      </c>
      <c r="AJ484" s="2012">
        <f t="shared" si="523"/>
        <v>-2.838180969786519E-2</v>
      </c>
      <c r="AK484" s="2012">
        <f t="shared" si="523"/>
        <v>0.53166503282393052</v>
      </c>
      <c r="AL484" s="2012">
        <f t="shared" si="523"/>
        <v>-0.45894942434882013</v>
      </c>
      <c r="AM484" s="2012">
        <f t="shared" si="523"/>
        <v>0.52759354074125575</v>
      </c>
      <c r="AN484" s="2012">
        <f t="shared" si="523"/>
        <v>-4.4180479458875599E-2</v>
      </c>
      <c r="AO484" s="2012">
        <f t="shared" si="523"/>
        <v>0.55698181022597915</v>
      </c>
      <c r="AP484" s="2012">
        <f t="shared" si="523"/>
        <v>-0.4721457798525075</v>
      </c>
      <c r="AQ484" s="2013"/>
      <c r="AR484" s="2044"/>
      <c r="AS484" s="2044"/>
      <c r="AT484" s="2014"/>
      <c r="AU484" s="2013"/>
      <c r="AV484" s="2012"/>
      <c r="AW484" s="2012"/>
      <c r="AX484" s="2013"/>
      <c r="AY484" s="2012"/>
      <c r="AZ484" s="2012"/>
      <c r="BA484" s="2014"/>
      <c r="BB484" s="2013"/>
      <c r="BC484" s="2014"/>
    </row>
    <row r="485" spans="1:55" s="1953" customFormat="1" ht="10.15" outlineLevel="1" x14ac:dyDescent="0.3">
      <c r="A485" s="2042"/>
      <c r="B485" s="2598" t="s">
        <v>1146</v>
      </c>
      <c r="C485" s="2054"/>
      <c r="D485" s="2054"/>
      <c r="E485" s="2054"/>
      <c r="F485" s="2054"/>
      <c r="G485" s="2054"/>
      <c r="H485" s="2054">
        <f t="shared" si="522"/>
        <v>-2.5383639090804655E-3</v>
      </c>
      <c r="I485" s="2054">
        <f t="shared" si="522"/>
        <v>1.259697009272561</v>
      </c>
      <c r="J485" s="2054">
        <f t="shared" si="522"/>
        <v>-0.3423452432555163</v>
      </c>
      <c r="K485" s="2054">
        <f t="shared" si="522"/>
        <v>0.26939808043588775</v>
      </c>
      <c r="L485" s="2054">
        <f t="shared" si="522"/>
        <v>5.7642762481209031E-2</v>
      </c>
      <c r="M485" s="2054">
        <f t="shared" si="522"/>
        <v>0.84021937458139617</v>
      </c>
      <c r="N485" s="2054">
        <f t="shared" si="522"/>
        <v>-0.35349699876139351</v>
      </c>
      <c r="O485" s="2054">
        <f t="shared" si="523"/>
        <v>-6.6093182197390909E-3</v>
      </c>
      <c r="P485" s="2054">
        <f t="shared" si="523"/>
        <v>8.6188853595148718E-2</v>
      </c>
      <c r="Q485" s="2054">
        <f t="shared" si="523"/>
        <v>0.66533671505262415</v>
      </c>
      <c r="R485" s="2054">
        <f t="shared" si="523"/>
        <v>-0.33416273713859668</v>
      </c>
      <c r="S485" s="2054">
        <f t="shared" si="523"/>
        <v>0.13748341238454365</v>
      </c>
      <c r="T485" s="2054">
        <f t="shared" si="523"/>
        <v>-8.9517759168351585E-3</v>
      </c>
      <c r="U485" s="2054">
        <f t="shared" si="523"/>
        <v>0.75859557109557119</v>
      </c>
      <c r="V485" s="2054">
        <f t="shared" si="523"/>
        <v>-0.3202717256233949</v>
      </c>
      <c r="W485" s="2012">
        <f t="shared" si="523"/>
        <v>8.2023156611822134E-2</v>
      </c>
      <c r="X485" s="2012">
        <f t="shared" si="523"/>
        <v>0.13302545618382511</v>
      </c>
      <c r="Y485" s="2012">
        <f t="shared" si="523"/>
        <v>0.61258574410975242</v>
      </c>
      <c r="Z485" s="2012">
        <f t="shared" si="523"/>
        <v>-0.29924172369151103</v>
      </c>
      <c r="AA485" s="2012">
        <f t="shared" si="523"/>
        <v>0.21016978974223632</v>
      </c>
      <c r="AB485" s="2012">
        <f t="shared" si="523"/>
        <v>-4.5071241640011639E-2</v>
      </c>
      <c r="AC485" s="2012">
        <f t="shared" si="523"/>
        <v>0.53509439707673567</v>
      </c>
      <c r="AD485" s="2012">
        <f t="shared" si="523"/>
        <v>-0.26655095462434908</v>
      </c>
      <c r="AE485" s="2012">
        <f t="shared" si="523"/>
        <v>0.14279918864097363</v>
      </c>
      <c r="AF485" s="2012">
        <f t="shared" si="523"/>
        <v>-3.7096201632942805E-2</v>
      </c>
      <c r="AG485" s="2012">
        <f t="shared" si="523"/>
        <v>0.43834101382488488</v>
      </c>
      <c r="AH485" s="2012">
        <f t="shared" si="523"/>
        <v>-0.38058011875774278</v>
      </c>
      <c r="AI485" s="2012">
        <f t="shared" si="523"/>
        <v>0.36420689655172422</v>
      </c>
      <c r="AJ485" s="2012">
        <f t="shared" si="523"/>
        <v>-6.2054496739295084E-2</v>
      </c>
      <c r="AK485" s="2012">
        <f t="shared" si="523"/>
        <v>0.45095804026194486</v>
      </c>
      <c r="AL485" s="2012">
        <f t="shared" si="523"/>
        <v>-0.29978622120440479</v>
      </c>
      <c r="AM485" s="2012">
        <f t="shared" si="523"/>
        <v>0.21729230769230767</v>
      </c>
      <c r="AN485" s="2012">
        <f t="shared" si="523"/>
        <v>-7.0140233836370247E-2</v>
      </c>
      <c r="AO485" s="2012">
        <f t="shared" si="523"/>
        <v>0.45095804026194486</v>
      </c>
      <c r="AP485" s="2012">
        <f t="shared" si="523"/>
        <v>-0.31196385213998046</v>
      </c>
      <c r="AQ485" s="2013"/>
      <c r="AR485" s="2044"/>
      <c r="AS485" s="2044"/>
      <c r="AT485" s="2014"/>
      <c r="AU485" s="2013"/>
      <c r="AV485" s="2012"/>
      <c r="AW485" s="2012"/>
      <c r="AX485" s="2013"/>
      <c r="AY485" s="2012"/>
      <c r="AZ485" s="2012"/>
      <c r="BA485" s="2014"/>
      <c r="BB485" s="2013"/>
      <c r="BC485" s="2014"/>
    </row>
    <row r="486" spans="1:55" s="1953" customFormat="1" ht="10.15" outlineLevel="1" x14ac:dyDescent="0.3">
      <c r="A486" s="2042"/>
      <c r="B486" s="2598" t="s">
        <v>1162</v>
      </c>
      <c r="C486" s="2054"/>
      <c r="D486" s="2054"/>
      <c r="E486" s="2054"/>
      <c r="F486" s="2054"/>
      <c r="G486" s="2054"/>
      <c r="H486" s="2054"/>
      <c r="I486" s="2054"/>
      <c r="J486" s="2054"/>
      <c r="K486" s="2054"/>
      <c r="L486" s="2054"/>
      <c r="M486" s="2054"/>
      <c r="N486" s="2054"/>
      <c r="O486" s="2054"/>
      <c r="P486" s="2054"/>
      <c r="Q486" s="2054"/>
      <c r="R486" s="2054"/>
      <c r="S486" s="2054">
        <f t="shared" ref="S486:AP486" si="524">(S171-R171)/R171</f>
        <v>9.4987812309567571E-2</v>
      </c>
      <c r="T486" s="2054">
        <f t="shared" si="524"/>
        <v>4.3478260869565216E-2</v>
      </c>
      <c r="U486" s="2054">
        <f t="shared" si="524"/>
        <v>0.35499999999999998</v>
      </c>
      <c r="V486" s="2054">
        <f t="shared" si="524"/>
        <v>-0.35547355473554737</v>
      </c>
      <c r="W486" s="2054">
        <f t="shared" si="524"/>
        <v>2.0801526717557253</v>
      </c>
      <c r="X486" s="2054">
        <f t="shared" si="524"/>
        <v>0.99876084262701359</v>
      </c>
      <c r="Y486" s="2054">
        <f t="shared" si="524"/>
        <v>0.57594544327340358</v>
      </c>
      <c r="Z486" s="2054">
        <f t="shared" si="524"/>
        <v>0.1457513768686074</v>
      </c>
      <c r="AA486" s="2054">
        <f t="shared" si="524"/>
        <v>0.2290128755364807</v>
      </c>
      <c r="AB486" s="2054">
        <f t="shared" si="524"/>
        <v>0.13074451739069703</v>
      </c>
      <c r="AC486" s="2054">
        <f t="shared" si="524"/>
        <v>0.39567634342186536</v>
      </c>
      <c r="AD486" s="2054">
        <f t="shared" si="524"/>
        <v>0.19773411223225348</v>
      </c>
      <c r="AE486" s="2054">
        <f t="shared" si="524"/>
        <v>0.23743718592964824</v>
      </c>
      <c r="AF486" s="2054">
        <f t="shared" si="524"/>
        <v>8.7488802627650047E-2</v>
      </c>
      <c r="AG486" s="2054">
        <f t="shared" si="524"/>
        <v>0.41757276221856121</v>
      </c>
      <c r="AH486" s="2054">
        <f t="shared" si="524"/>
        <v>-1.2202680715890602E-2</v>
      </c>
      <c r="AI486" s="2054">
        <f t="shared" si="524"/>
        <v>0.18067375191183968</v>
      </c>
      <c r="AJ486" s="2054">
        <f t="shared" si="524"/>
        <v>7.8771673420581102E-3</v>
      </c>
      <c r="AK486" s="2054">
        <f t="shared" si="524"/>
        <v>0.21399679993672352</v>
      </c>
      <c r="AL486" s="2054">
        <f t="shared" si="524"/>
        <v>1.0880700521505315E-2</v>
      </c>
      <c r="AM486" s="2054">
        <f t="shared" si="524"/>
        <v>0.16193512986680006</v>
      </c>
      <c r="AN486" s="2054">
        <f t="shared" si="524"/>
        <v>-5.2765302303591589E-2</v>
      </c>
      <c r="AO486" s="2054">
        <f t="shared" si="524"/>
        <v>0.19597110048933347</v>
      </c>
      <c r="AP486" s="2054">
        <f t="shared" si="524"/>
        <v>-2.4302164431857926E-2</v>
      </c>
      <c r="AQ486" s="2013"/>
      <c r="AR486" s="2044"/>
      <c r="AS486" s="2044"/>
      <c r="AT486" s="2014"/>
      <c r="AU486" s="2013"/>
      <c r="AV486" s="2012"/>
      <c r="AW486" s="2012"/>
      <c r="AX486" s="2013"/>
      <c r="AY486" s="2012"/>
      <c r="AZ486" s="2012"/>
      <c r="BA486" s="2014"/>
      <c r="BB486" s="2013"/>
      <c r="BC486" s="2014"/>
    </row>
    <row r="487" spans="1:55" s="1953" customFormat="1" ht="10.15" outlineLevel="1" x14ac:dyDescent="0.3">
      <c r="A487" s="2042"/>
      <c r="B487" s="2536" t="s">
        <v>1115</v>
      </c>
      <c r="C487" s="1973"/>
      <c r="D487" s="2054">
        <f t="shared" ref="D487:AP488" si="525">D183/C183-1</f>
        <v>-3.6649214659685847E-2</v>
      </c>
      <c r="E487" s="2054">
        <f t="shared" si="525"/>
        <v>5.7971014492753659E-2</v>
      </c>
      <c r="F487" s="2054">
        <f t="shared" si="525"/>
        <v>-0.16438356164383561</v>
      </c>
      <c r="G487" s="2054">
        <f t="shared" si="525"/>
        <v>7.7868852459016313E-2</v>
      </c>
      <c r="H487" s="2054">
        <f t="shared" si="525"/>
        <v>7.9847908745247054E-2</v>
      </c>
      <c r="I487" s="2054">
        <f t="shared" si="525"/>
        <v>7.7464788732394263E-2</v>
      </c>
      <c r="J487" s="2054">
        <f t="shared" si="525"/>
        <v>-2.9411764705882359E-2</v>
      </c>
      <c r="K487" s="2054">
        <f t="shared" si="525"/>
        <v>0.19360269360269355</v>
      </c>
      <c r="L487" s="2054">
        <f t="shared" si="525"/>
        <v>0.11424541607898453</v>
      </c>
      <c r="M487" s="2054">
        <f t="shared" si="525"/>
        <v>8.8607594936708889E-2</v>
      </c>
      <c r="N487" s="2054">
        <f t="shared" si="525"/>
        <v>-1.6279069767441867E-2</v>
      </c>
      <c r="O487" s="2054">
        <f t="shared" si="525"/>
        <v>0.17848699763593379</v>
      </c>
      <c r="P487" s="2054">
        <f t="shared" si="525"/>
        <v>4.9147442326980872E-2</v>
      </c>
      <c r="Q487" s="2054">
        <f t="shared" si="525"/>
        <v>0.11089866156787753</v>
      </c>
      <c r="R487" s="2054">
        <f t="shared" si="525"/>
        <v>-6.7986230636833067E-2</v>
      </c>
      <c r="S487" s="2054">
        <f t="shared" si="525"/>
        <v>0.16435826408125576</v>
      </c>
      <c r="T487" s="2054">
        <f t="shared" si="525"/>
        <v>0.13798572561459155</v>
      </c>
      <c r="U487" s="2054">
        <f t="shared" si="525"/>
        <v>5.505226480836245E-2</v>
      </c>
      <c r="V487" s="2054">
        <f t="shared" si="525"/>
        <v>-2.9722589167767488E-2</v>
      </c>
      <c r="W487" s="2012">
        <f t="shared" si="525"/>
        <v>0.11708645336963919</v>
      </c>
      <c r="X487" s="2012">
        <f t="shared" si="525"/>
        <v>4.448507007922009E-2</v>
      </c>
      <c r="Y487" s="2012">
        <f t="shared" si="525"/>
        <v>0.12368728121353567</v>
      </c>
      <c r="Z487" s="2012">
        <f t="shared" si="525"/>
        <v>-2.2326064382139132E-2</v>
      </c>
      <c r="AA487" s="2012">
        <f t="shared" si="525"/>
        <v>0.19490175252257047</v>
      </c>
      <c r="AB487" s="2012">
        <f t="shared" si="525"/>
        <v>0.10977777777777775</v>
      </c>
      <c r="AC487" s="2012">
        <f t="shared" si="525"/>
        <v>7.8894673608330024E-2</v>
      </c>
      <c r="AD487" s="2012">
        <f t="shared" si="525"/>
        <v>-5.4565701559020074E-2</v>
      </c>
      <c r="AE487" s="2012">
        <f t="shared" si="525"/>
        <v>0.17471535139379668</v>
      </c>
      <c r="AF487" s="2012">
        <f t="shared" si="525"/>
        <v>9.725935828876997E-2</v>
      </c>
      <c r="AG487" s="2012">
        <f t="shared" si="525"/>
        <v>2.4977155041120858E-2</v>
      </c>
      <c r="AH487" s="2012">
        <f t="shared" si="525"/>
        <v>-0.17176820208023769</v>
      </c>
      <c r="AI487" s="2012">
        <f t="shared" si="525"/>
        <v>0.25008970218873339</v>
      </c>
      <c r="AJ487" s="2012">
        <f t="shared" si="525"/>
        <v>0.15903846153846168</v>
      </c>
      <c r="AK487" s="2012">
        <f t="shared" si="525"/>
        <v>2.4977155041120858E-2</v>
      </c>
      <c r="AL487" s="2012">
        <f t="shared" si="525"/>
        <v>-0.12463305910919431</v>
      </c>
      <c r="AM487" s="2012">
        <f t="shared" si="525"/>
        <v>0.17316110513096516</v>
      </c>
      <c r="AN487" s="2012">
        <f t="shared" si="525"/>
        <v>0.15903846153846168</v>
      </c>
      <c r="AO487" s="2012">
        <f t="shared" si="525"/>
        <v>1.6575702950619942E-2</v>
      </c>
      <c r="AP487" s="2012">
        <f t="shared" si="525"/>
        <v>-0.13186749663721764</v>
      </c>
      <c r="AQ487" s="2593"/>
      <c r="AR487" s="1973"/>
      <c r="AS487" s="1950"/>
      <c r="AT487" s="1951"/>
      <c r="AU487" s="1952"/>
      <c r="AV487" s="1950"/>
      <c r="AW487" s="1950"/>
      <c r="AX487" s="1952"/>
      <c r="AY487" s="1950"/>
      <c r="AZ487" s="1950"/>
      <c r="BA487" s="1951"/>
      <c r="BB487" s="1952"/>
      <c r="BC487" s="1951"/>
    </row>
    <row r="488" spans="1:55" s="1953" customFormat="1" ht="10.15" x14ac:dyDescent="0.3">
      <c r="A488" s="2042"/>
      <c r="B488" s="2498" t="s">
        <v>1116</v>
      </c>
      <c r="C488" s="1972"/>
      <c r="D488" s="2054">
        <f t="shared" si="525"/>
        <v>7.7002053388090408E-2</v>
      </c>
      <c r="E488" s="2054">
        <f t="shared" si="525"/>
        <v>4.2897998093422318E-2</v>
      </c>
      <c r="F488" s="2054">
        <f t="shared" si="525"/>
        <v>-4.6617915904936025E-2</v>
      </c>
      <c r="G488" s="2054">
        <f t="shared" si="525"/>
        <v>7.0949185043144736E-2</v>
      </c>
      <c r="H488" s="2054">
        <f t="shared" si="525"/>
        <v>5.2820053715308957E-2</v>
      </c>
      <c r="I488" s="2054">
        <f t="shared" si="525"/>
        <v>7.4829931972789199E-2</v>
      </c>
      <c r="J488" s="2054">
        <f t="shared" si="525"/>
        <v>2.3734177215189778E-2</v>
      </c>
      <c r="K488" s="2054">
        <f t="shared" si="525"/>
        <v>0.13523956723338482</v>
      </c>
      <c r="L488" s="2054">
        <f t="shared" si="525"/>
        <v>0.10074880871341052</v>
      </c>
      <c r="M488" s="2054">
        <f t="shared" si="525"/>
        <v>9.0290661719233167E-2</v>
      </c>
      <c r="N488" s="2054">
        <f t="shared" si="525"/>
        <v>-7.1469086783891078E-2</v>
      </c>
      <c r="O488" s="2054">
        <f t="shared" si="525"/>
        <v>6.6585216860109986E-2</v>
      </c>
      <c r="P488" s="2054">
        <f t="shared" si="525"/>
        <v>5.1546391752577359E-2</v>
      </c>
      <c r="Q488" s="2054">
        <f t="shared" si="525"/>
        <v>0.12309368191721126</v>
      </c>
      <c r="R488" s="2054">
        <f t="shared" si="525"/>
        <v>-3.7342386032977681E-2</v>
      </c>
      <c r="S488" s="2054">
        <f t="shared" si="525"/>
        <v>0.28413098236775824</v>
      </c>
      <c r="T488" s="2054">
        <f t="shared" si="525"/>
        <v>0.11573165947430364</v>
      </c>
      <c r="U488" s="2054">
        <f t="shared" si="525"/>
        <v>0.40857946554149094</v>
      </c>
      <c r="V488" s="2054">
        <f t="shared" si="525"/>
        <v>-1.6974538192710886E-2</v>
      </c>
      <c r="W488" s="2012">
        <f t="shared" si="525"/>
        <v>7.8466226510919279E-2</v>
      </c>
      <c r="X488" s="2012">
        <f t="shared" si="525"/>
        <v>6.6399811631740135E-2</v>
      </c>
      <c r="Y488" s="2012">
        <f t="shared" si="525"/>
        <v>0.41289467873702801</v>
      </c>
      <c r="Z488" s="2012">
        <f t="shared" si="525"/>
        <v>-0.11454914830442253</v>
      </c>
      <c r="AA488" s="2012">
        <f t="shared" si="525"/>
        <v>8.595128838686894E-2</v>
      </c>
      <c r="AB488" s="2012">
        <f t="shared" si="525"/>
        <v>5.4119941491955093E-2</v>
      </c>
      <c r="AC488" s="2012">
        <f t="shared" si="525"/>
        <v>0.23481344434165896</v>
      </c>
      <c r="AD488" s="2012">
        <f t="shared" si="525"/>
        <v>-0.11636908477962293</v>
      </c>
      <c r="AE488" s="2012">
        <f t="shared" si="525"/>
        <v>0.10385756676557856</v>
      </c>
      <c r="AF488" s="2012">
        <f t="shared" si="525"/>
        <v>8.0517153097798166E-2</v>
      </c>
      <c r="AG488" s="2012">
        <f t="shared" si="525"/>
        <v>0.16727875844094298</v>
      </c>
      <c r="AH488" s="2012">
        <f t="shared" si="525"/>
        <v>-0.20724652390134979</v>
      </c>
      <c r="AI488" s="2012">
        <f t="shared" si="525"/>
        <v>0.30789911663039304</v>
      </c>
      <c r="AJ488" s="2012">
        <f t="shared" si="525"/>
        <v>1.5441868798959923E-4</v>
      </c>
      <c r="AK488" s="2012">
        <f t="shared" si="525"/>
        <v>0.36037234796797701</v>
      </c>
      <c r="AL488" s="2012">
        <f t="shared" si="525"/>
        <v>-0.21743772829828423</v>
      </c>
      <c r="AM488" s="2012">
        <f t="shared" si="525"/>
        <v>0.21729208335221695</v>
      </c>
      <c r="AN488" s="2012">
        <f t="shared" si="525"/>
        <v>-4.401189884014578E-2</v>
      </c>
      <c r="AO488" s="2012">
        <f t="shared" si="525"/>
        <v>0.43161626742809056</v>
      </c>
      <c r="AP488" s="2012">
        <f t="shared" si="525"/>
        <v>-0.2401451128545764</v>
      </c>
      <c r="AQ488" s="1952"/>
      <c r="AR488" s="1950"/>
      <c r="AS488" s="1950"/>
      <c r="AT488" s="1951"/>
      <c r="AU488" s="1952"/>
      <c r="AV488" s="1950"/>
      <c r="AW488" s="1950"/>
      <c r="AX488" s="1952"/>
      <c r="AY488" s="1950"/>
      <c r="AZ488" s="1950"/>
      <c r="BA488" s="1951"/>
      <c r="BB488" s="1952"/>
      <c r="BC488" s="1951"/>
    </row>
    <row r="489" spans="1:55" s="1953" customFormat="1" ht="10.15" x14ac:dyDescent="0.3">
      <c r="A489" s="2042"/>
      <c r="B489" s="2473" t="s">
        <v>1163</v>
      </c>
      <c r="C489" s="1972"/>
      <c r="D489" s="2054">
        <f t="shared" ref="D489:AP489" si="526">D251/C251-1</f>
        <v>5.8064516129032295E-2</v>
      </c>
      <c r="E489" s="2054">
        <f t="shared" si="526"/>
        <v>6.0975609756097615E-3</v>
      </c>
      <c r="F489" s="2054">
        <f t="shared" si="526"/>
        <v>6.0606060606060996E-3</v>
      </c>
      <c r="G489" s="2054">
        <f t="shared" si="526"/>
        <v>4.8192771084337283E-2</v>
      </c>
      <c r="H489" s="2054">
        <f t="shared" si="526"/>
        <v>9.1954022988505857E-2</v>
      </c>
      <c r="I489" s="2054">
        <f t="shared" si="526"/>
        <v>3.1578947368421151E-2</v>
      </c>
      <c r="J489" s="2054">
        <f t="shared" si="526"/>
        <v>8.6734693877551061E-2</v>
      </c>
      <c r="K489" s="2054">
        <f t="shared" si="526"/>
        <v>0.107981220657277</v>
      </c>
      <c r="L489" s="2054">
        <f t="shared" si="526"/>
        <v>0.20762711864406769</v>
      </c>
      <c r="M489" s="2054">
        <f t="shared" si="526"/>
        <v>0.27017543859649118</v>
      </c>
      <c r="N489" s="2054">
        <f t="shared" si="526"/>
        <v>7.182320441988943E-2</v>
      </c>
      <c r="O489" s="2054">
        <f t="shared" si="526"/>
        <v>0.25</v>
      </c>
      <c r="P489" s="2054">
        <f t="shared" si="526"/>
        <v>0.33814432989690713</v>
      </c>
      <c r="Q489" s="2054">
        <f t="shared" si="526"/>
        <v>0.2619414483821263</v>
      </c>
      <c r="R489" s="2054">
        <f t="shared" si="526"/>
        <v>0.30158730158730163</v>
      </c>
      <c r="S489" s="2054">
        <f t="shared" si="526"/>
        <v>0.16604127579737327</v>
      </c>
      <c r="T489" s="2054">
        <f t="shared" si="526"/>
        <v>0.20112630732099768</v>
      </c>
      <c r="U489" s="2054">
        <f t="shared" si="526"/>
        <v>0.18151373074346955</v>
      </c>
      <c r="V489" s="2054">
        <f t="shared" si="526"/>
        <v>0.22619047619047628</v>
      </c>
      <c r="W489" s="2012">
        <f t="shared" si="526"/>
        <v>0.1239019879796579</v>
      </c>
      <c r="X489" s="2012">
        <f t="shared" si="526"/>
        <v>0.22377622377622375</v>
      </c>
      <c r="Y489" s="2012">
        <f t="shared" si="526"/>
        <v>0.20974789915966396</v>
      </c>
      <c r="Z489" s="2012">
        <f t="shared" si="526"/>
        <v>0.21839399833287021</v>
      </c>
      <c r="AA489" s="2012">
        <f t="shared" si="526"/>
        <v>7.1379703534777628E-2</v>
      </c>
      <c r="AB489" s="2012">
        <f t="shared" si="526"/>
        <v>0.20625798212005098</v>
      </c>
      <c r="AC489" s="2012">
        <f t="shared" si="526"/>
        <v>0.16657843656255511</v>
      </c>
      <c r="AD489" s="2012">
        <f t="shared" si="526"/>
        <v>0.16865829677809718</v>
      </c>
      <c r="AE489" s="2012">
        <f t="shared" si="526"/>
        <v>7.8954180688584064E-3</v>
      </c>
      <c r="AF489" s="2012">
        <f t="shared" si="526"/>
        <v>0.19314241684859379</v>
      </c>
      <c r="AG489" s="2012">
        <f t="shared" si="526"/>
        <v>0.15391238833279508</v>
      </c>
      <c r="AH489" s="2012">
        <f t="shared" si="526"/>
        <v>0.13953922208749181</v>
      </c>
      <c r="AI489" s="2012">
        <f t="shared" si="526"/>
        <v>1.0477203896210208E-2</v>
      </c>
      <c r="AJ489" s="2012">
        <f t="shared" si="526"/>
        <v>0.17309693803159187</v>
      </c>
      <c r="AK489" s="2012">
        <f t="shared" si="526"/>
        <v>0.12970443613000926</v>
      </c>
      <c r="AL489" s="2012">
        <f t="shared" si="526"/>
        <v>0.13953922208749181</v>
      </c>
      <c r="AM489" s="2012">
        <f t="shared" si="526"/>
        <v>-8.5271838834893865E-3</v>
      </c>
      <c r="AN489" s="2012">
        <f t="shared" si="526"/>
        <v>0.1645962355820878</v>
      </c>
      <c r="AO489" s="2012">
        <f t="shared" si="526"/>
        <v>0.11321240056606774</v>
      </c>
      <c r="AP489" s="2012">
        <f t="shared" si="526"/>
        <v>0.11421612826332517</v>
      </c>
      <c r="AQ489" s="1952"/>
      <c r="AR489" s="1950"/>
      <c r="AS489" s="1950"/>
      <c r="AT489" s="1951"/>
      <c r="AU489" s="1952"/>
      <c r="AV489" s="1950"/>
      <c r="AW489" s="1950"/>
      <c r="AX489" s="1952"/>
      <c r="AY489" s="1950"/>
      <c r="AZ489" s="1950"/>
      <c r="BA489" s="1951"/>
      <c r="BB489" s="1952"/>
      <c r="BC489" s="1951"/>
    </row>
    <row r="490" spans="1:55" s="1999" customFormat="1" x14ac:dyDescent="0.3">
      <c r="A490" s="2042"/>
      <c r="B490" s="2473" t="s">
        <v>1153</v>
      </c>
      <c r="C490" s="2058"/>
      <c r="D490" s="2058"/>
      <c r="E490" s="2058"/>
      <c r="F490" s="2058"/>
      <c r="G490" s="2440"/>
      <c r="H490" s="2440"/>
      <c r="I490" s="2440"/>
      <c r="J490" s="2440"/>
      <c r="K490" s="2557"/>
      <c r="L490" s="2557"/>
      <c r="M490" s="2578"/>
      <c r="N490" s="2578"/>
      <c r="O490" s="2440"/>
      <c r="P490" s="2440"/>
      <c r="Q490" s="2440"/>
      <c r="R490" s="2440"/>
      <c r="S490" s="2574">
        <f t="shared" ref="S490:AP490" si="527">S260/R260-1</f>
        <v>1.6703577512776833</v>
      </c>
      <c r="T490" s="2574">
        <f t="shared" si="527"/>
        <v>0.15087719298245617</v>
      </c>
      <c r="U490" s="2574">
        <f t="shared" si="527"/>
        <v>0.12610864745011097</v>
      </c>
      <c r="V490" s="2574">
        <f t="shared" si="527"/>
        <v>-3.3472803347280311E-2</v>
      </c>
      <c r="W490" s="2574">
        <f t="shared" si="527"/>
        <v>3.9215686274509887E-2</v>
      </c>
      <c r="X490" s="2574">
        <f t="shared" si="527"/>
        <v>0.17569223229600595</v>
      </c>
      <c r="Y490" s="2574">
        <f t="shared" si="527"/>
        <v>0.12817840766986244</v>
      </c>
      <c r="Z490" s="2574">
        <f t="shared" si="527"/>
        <v>-2.6048401995196757E-2</v>
      </c>
      <c r="AA490" s="2574">
        <f t="shared" si="527"/>
        <v>0.13334597875569054</v>
      </c>
      <c r="AB490" s="2574">
        <f t="shared" si="527"/>
        <v>-5.8577405857740406E-3</v>
      </c>
      <c r="AC490" s="2574">
        <f t="shared" si="527"/>
        <v>9.2760942760942822E-2</v>
      </c>
      <c r="AD490" s="2574">
        <f t="shared" si="527"/>
        <v>-0.12632876290248041</v>
      </c>
      <c r="AE490" s="2574">
        <f t="shared" si="527"/>
        <v>0.13313348615764409</v>
      </c>
      <c r="AF490" s="2574">
        <f t="shared" si="527"/>
        <v>0.13538748832866476</v>
      </c>
      <c r="AG490" s="2574">
        <f t="shared" si="527"/>
        <v>1.3706140350877138E-2</v>
      </c>
      <c r="AH490" s="2574">
        <f t="shared" si="527"/>
        <v>-0.19632233639805297</v>
      </c>
      <c r="AI490" s="2574">
        <f t="shared" si="527"/>
        <v>0.17664872139973076</v>
      </c>
      <c r="AJ490" s="2574">
        <f t="shared" si="527"/>
        <v>0.39647766972305476</v>
      </c>
      <c r="AK490" s="2574">
        <f t="shared" si="527"/>
        <v>-1.8933670127565971E-2</v>
      </c>
      <c r="AL490" s="2574">
        <f t="shared" si="527"/>
        <v>-1.9482419114293714E-2</v>
      </c>
      <c r="AM490" s="2574">
        <f t="shared" si="527"/>
        <v>-7.8438485450938344E-2</v>
      </c>
      <c r="AN490" s="2574">
        <f t="shared" si="527"/>
        <v>0.22025081084558429</v>
      </c>
      <c r="AO490" s="2574">
        <f t="shared" si="527"/>
        <v>-1.0118868028609063E-2</v>
      </c>
      <c r="AP490" s="2574">
        <f t="shared" si="527"/>
        <v>1.0462021569281887E-3</v>
      </c>
      <c r="AQ490" s="2579"/>
      <c r="AR490" s="2049"/>
      <c r="AS490" s="2049"/>
      <c r="AT490" s="2558"/>
      <c r="AU490" s="2559"/>
      <c r="AV490" s="2049"/>
      <c r="AW490" s="2049"/>
      <c r="AX490" s="2559"/>
      <c r="AY490" s="2568"/>
      <c r="AZ490" s="2568"/>
      <c r="BA490" s="2569"/>
      <c r="BB490" s="2567"/>
      <c r="BC490" s="2569"/>
    </row>
    <row r="491" spans="1:55" s="1999" customFormat="1" x14ac:dyDescent="0.3">
      <c r="A491" s="2042"/>
      <c r="B491" s="2473" t="s">
        <v>1164</v>
      </c>
      <c r="C491" s="2058"/>
      <c r="D491" s="2058"/>
      <c r="E491" s="2058"/>
      <c r="F491" s="2058"/>
      <c r="G491" s="2440"/>
      <c r="H491" s="2440"/>
      <c r="I491" s="2440"/>
      <c r="J491" s="2440"/>
      <c r="K491" s="2557"/>
      <c r="L491" s="2557"/>
      <c r="M491" s="2578"/>
      <c r="N491" s="2578"/>
      <c r="O491" s="2440"/>
      <c r="P491" s="2440"/>
      <c r="Q491" s="2440"/>
      <c r="R491" s="2440"/>
      <c r="S491" s="2574">
        <f t="shared" ref="S491:AP491" si="528">S306/R306-1</f>
        <v>9.4069529652351713E-2</v>
      </c>
      <c r="T491" s="2574">
        <f t="shared" si="528"/>
        <v>0.30467289719626178</v>
      </c>
      <c r="U491" s="2574">
        <f t="shared" si="528"/>
        <v>0.21060171919770765</v>
      </c>
      <c r="V491" s="2574">
        <f t="shared" si="528"/>
        <v>8.7573964497041468E-2</v>
      </c>
      <c r="W491" s="2574">
        <f t="shared" si="528"/>
        <v>-0.29815016322089227</v>
      </c>
      <c r="X491" s="2574">
        <f t="shared" si="528"/>
        <v>0.37519379844961231</v>
      </c>
      <c r="Y491" s="2574">
        <f t="shared" si="528"/>
        <v>-0.12965050732807215</v>
      </c>
      <c r="Z491" s="2574">
        <f t="shared" si="528"/>
        <v>0.27979274611398974</v>
      </c>
      <c r="AA491" s="2574">
        <f t="shared" si="528"/>
        <v>7.1862348178137747E-2</v>
      </c>
      <c r="AB491" s="2574">
        <f t="shared" si="528"/>
        <v>6.6100094428707123E-3</v>
      </c>
      <c r="AC491" s="2574">
        <f t="shared" si="528"/>
        <v>0.25046904315197005</v>
      </c>
      <c r="AD491" s="2574">
        <f t="shared" si="528"/>
        <v>-9.4523630907726974E-2</v>
      </c>
      <c r="AE491" s="2574">
        <f t="shared" si="528"/>
        <v>-3.3140016570008313E-2</v>
      </c>
      <c r="AF491" s="2574">
        <f t="shared" si="528"/>
        <v>3.6846615252784876E-2</v>
      </c>
      <c r="AG491" s="2574">
        <f t="shared" si="528"/>
        <v>0.54049586776859515</v>
      </c>
      <c r="AH491" s="2574">
        <f t="shared" si="528"/>
        <v>0.22746781115879822</v>
      </c>
      <c r="AI491" s="2574">
        <f t="shared" si="528"/>
        <v>-0.52185314685314688</v>
      </c>
      <c r="AJ491" s="2574">
        <f t="shared" si="528"/>
        <v>-0.11517367458866545</v>
      </c>
      <c r="AK491" s="2574">
        <f t="shared" si="528"/>
        <v>0.34793388429752059</v>
      </c>
      <c r="AL491" s="2574">
        <f t="shared" si="528"/>
        <v>-0.12323727774371551</v>
      </c>
      <c r="AM491" s="2574">
        <f t="shared" si="528"/>
        <v>9.9737762237762206E-2</v>
      </c>
      <c r="AN491" s="2574">
        <f t="shared" si="528"/>
        <v>-0.13056195850886254</v>
      </c>
      <c r="AO491" s="2574">
        <f t="shared" si="528"/>
        <v>0.35986250274263165</v>
      </c>
      <c r="AP491" s="2574">
        <f t="shared" si="528"/>
        <v>-0.12323727774371562</v>
      </c>
      <c r="AQ491" s="2579"/>
      <c r="AR491" s="2049"/>
      <c r="AS491" s="2049"/>
      <c r="AT491" s="2558"/>
      <c r="AU491" s="2559"/>
      <c r="AV491" s="2049"/>
      <c r="AW491" s="2049"/>
      <c r="AX491" s="2559"/>
      <c r="AY491" s="2568"/>
      <c r="AZ491" s="2568"/>
      <c r="BA491" s="2569"/>
      <c r="BB491" s="2567"/>
      <c r="BC491" s="2569"/>
    </row>
    <row r="492" spans="1:55" s="1999" customFormat="1" x14ac:dyDescent="0.3">
      <c r="A492" s="2042"/>
      <c r="B492" s="1980" t="s">
        <v>1156</v>
      </c>
      <c r="C492" s="1992"/>
      <c r="D492" s="2440">
        <f t="shared" ref="D492:AP492" si="529">D323/C323-1</f>
        <v>9.7747681436773259E-2</v>
      </c>
      <c r="E492" s="2440">
        <f t="shared" si="529"/>
        <v>0.55464664074024417</v>
      </c>
      <c r="F492" s="2440">
        <f t="shared" si="529"/>
        <v>-0.25178987319934443</v>
      </c>
      <c r="G492" s="2440">
        <f t="shared" si="529"/>
        <v>0.24256398432095927</v>
      </c>
      <c r="H492" s="2440">
        <f t="shared" si="529"/>
        <v>1.5958433846724907E-2</v>
      </c>
      <c r="I492" s="2440">
        <f t="shared" si="529"/>
        <v>0.71187214611872141</v>
      </c>
      <c r="J492" s="2440">
        <f t="shared" si="529"/>
        <v>-0.35817551347025878</v>
      </c>
      <c r="K492" s="2440">
        <f t="shared" si="529"/>
        <v>0.31086360236056843</v>
      </c>
      <c r="L492" s="2440">
        <f t="shared" si="529"/>
        <v>6.7085156299537152E-2</v>
      </c>
      <c r="M492" s="2440">
        <f t="shared" si="529"/>
        <v>0.55558856735397222</v>
      </c>
      <c r="N492" s="2440">
        <f t="shared" si="529"/>
        <v>-0.33439016005194999</v>
      </c>
      <c r="O492" s="2440">
        <f t="shared" si="529"/>
        <v>0.16183644189383073</v>
      </c>
      <c r="P492" s="2440">
        <f t="shared" si="529"/>
        <v>9.5134601136082964E-2</v>
      </c>
      <c r="Q492" s="2440">
        <f t="shared" si="529"/>
        <v>0.55802625050741961</v>
      </c>
      <c r="R492" s="2440">
        <f t="shared" si="529"/>
        <v>-0.29988709724111973</v>
      </c>
      <c r="S492" s="2440">
        <f t="shared" si="529"/>
        <v>0.32955673172345357</v>
      </c>
      <c r="T492" s="2440">
        <f t="shared" si="529"/>
        <v>6.6492504820551135E-2</v>
      </c>
      <c r="U492" s="2440">
        <f t="shared" si="529"/>
        <v>0.5527819899685058</v>
      </c>
      <c r="V492" s="2440">
        <f t="shared" si="529"/>
        <v>-0.27548452524038458</v>
      </c>
      <c r="W492" s="2392">
        <f t="shared" si="529"/>
        <v>0.30081132222193419</v>
      </c>
      <c r="X492" s="2392">
        <f t="shared" si="529"/>
        <v>9.8397895743663311E-2</v>
      </c>
      <c r="Y492" s="2392">
        <f t="shared" si="529"/>
        <v>0.50625884401872212</v>
      </c>
      <c r="Z492" s="2392">
        <f t="shared" si="529"/>
        <v>-0.25408295996531294</v>
      </c>
      <c r="AA492" s="2392">
        <f t="shared" si="529"/>
        <v>0.30659432926435448</v>
      </c>
      <c r="AB492" s="2392">
        <f t="shared" si="529"/>
        <v>5.2249134948096909E-2</v>
      </c>
      <c r="AC492" s="2392">
        <f t="shared" si="529"/>
        <v>0.37734297928313065</v>
      </c>
      <c r="AD492" s="2392">
        <f t="shared" si="529"/>
        <v>-0.20276607718412665</v>
      </c>
      <c r="AE492" s="2392">
        <f t="shared" si="529"/>
        <v>0.22915998203170118</v>
      </c>
      <c r="AF492" s="2392">
        <f t="shared" si="529"/>
        <v>3.561484111238733E-2</v>
      </c>
      <c r="AG492" s="2392">
        <f t="shared" si="529"/>
        <v>0.35657931219909766</v>
      </c>
      <c r="AH492" s="2392">
        <f t="shared" si="529"/>
        <v>-0.29198047765335444</v>
      </c>
      <c r="AI492" s="2392">
        <f t="shared" si="529"/>
        <v>0.34498836537956845</v>
      </c>
      <c r="AJ492" s="2392">
        <f t="shared" si="529"/>
        <v>1.9734784994800858E-2</v>
      </c>
      <c r="AK492" s="2392">
        <f t="shared" si="529"/>
        <v>0.33265604338037935</v>
      </c>
      <c r="AL492" s="2392">
        <f t="shared" si="529"/>
        <v>-0.23927846597018498</v>
      </c>
      <c r="AM492" s="2392">
        <f t="shared" si="529"/>
        <v>0.25479989969218941</v>
      </c>
      <c r="AN492" s="2392">
        <f t="shared" si="529"/>
        <v>-1.3277358084591295E-2</v>
      </c>
      <c r="AO492" s="2392">
        <f t="shared" si="529"/>
        <v>0.3363755441315428</v>
      </c>
      <c r="AP492" s="2392">
        <f t="shared" si="529"/>
        <v>-0.24758964899810965</v>
      </c>
      <c r="AQ492" s="2062"/>
      <c r="AR492" s="1992"/>
      <c r="AS492" s="2577"/>
      <c r="AT492" s="2599"/>
      <c r="AU492" s="2579"/>
      <c r="AV492" s="2577"/>
      <c r="AW492" s="2577"/>
      <c r="AX492" s="2579"/>
      <c r="AY492" s="2577"/>
      <c r="AZ492" s="2577"/>
      <c r="BA492" s="2599"/>
      <c r="BB492" s="2579"/>
      <c r="BC492" s="2599"/>
    </row>
    <row r="493" spans="1:55" s="1953" customFormat="1" ht="10.15" x14ac:dyDescent="0.3">
      <c r="A493" s="2042"/>
      <c r="B493" s="2475" t="s">
        <v>1040</v>
      </c>
      <c r="C493" s="1973"/>
      <c r="D493" s="2054">
        <f t="shared" ref="D493:AP493" si="530">D337/C337-1</f>
        <v>9.6871628910463858E-2</v>
      </c>
      <c r="E493" s="2054">
        <f t="shared" si="530"/>
        <v>0.70771046420141626</v>
      </c>
      <c r="F493" s="2054">
        <f t="shared" si="530"/>
        <v>-0.26318820548260768</v>
      </c>
      <c r="G493" s="2054">
        <f t="shared" si="530"/>
        <v>0.25855869939033926</v>
      </c>
      <c r="H493" s="2054">
        <f t="shared" si="530"/>
        <v>-1.2669233635573263E-2</v>
      </c>
      <c r="I493" s="2054">
        <f t="shared" si="530"/>
        <v>0.83343816832305961</v>
      </c>
      <c r="J493" s="2054">
        <f t="shared" si="530"/>
        <v>-0.41258405379442842</v>
      </c>
      <c r="K493" s="2054">
        <f t="shared" si="530"/>
        <v>0.30662305805396572</v>
      </c>
      <c r="L493" s="2054">
        <f t="shared" si="530"/>
        <v>4.2016806722688926E-3</v>
      </c>
      <c r="M493" s="2054">
        <f t="shared" si="530"/>
        <v>0.66108786610878667</v>
      </c>
      <c r="N493" s="2054">
        <f t="shared" si="530"/>
        <v>-0.39482287368026159</v>
      </c>
      <c r="O493" s="2054">
        <f t="shared" si="530"/>
        <v>0.19854764434998229</v>
      </c>
      <c r="P493" s="2054">
        <f t="shared" si="530"/>
        <v>0.11127530663514107</v>
      </c>
      <c r="Q493" s="2054">
        <f t="shared" si="530"/>
        <v>0.56861702127659575</v>
      </c>
      <c r="R493" s="2054">
        <f t="shared" si="530"/>
        <v>-0.38021363173957279</v>
      </c>
      <c r="S493" s="2054">
        <f t="shared" si="530"/>
        <v>0.39584188209547255</v>
      </c>
      <c r="T493" s="2054">
        <f t="shared" si="530"/>
        <v>3.7187653111220076E-2</v>
      </c>
      <c r="U493" s="2054">
        <f t="shared" si="530"/>
        <v>0.61188530398223828</v>
      </c>
      <c r="V493" s="2054">
        <f t="shared" si="530"/>
        <v>-0.32333978078658931</v>
      </c>
      <c r="W493" s="2012">
        <f t="shared" si="530"/>
        <v>0.41729828056650353</v>
      </c>
      <c r="X493" s="2012">
        <f t="shared" si="530"/>
        <v>1.2101210121012063E-2</v>
      </c>
      <c r="Y493" s="2012">
        <f t="shared" si="530"/>
        <v>0.44776570048309172</v>
      </c>
      <c r="Z493" s="2012">
        <f t="shared" si="530"/>
        <v>-0.3862773722627737</v>
      </c>
      <c r="AA493" s="2012">
        <f t="shared" si="530"/>
        <v>0.26410221557700142</v>
      </c>
      <c r="AB493" s="2012">
        <f t="shared" si="530"/>
        <v>3.1236559139784958E-2</v>
      </c>
      <c r="AC493" s="2012">
        <f t="shared" si="530"/>
        <v>0.4718992753245399</v>
      </c>
      <c r="AD493" s="2012">
        <f t="shared" si="530"/>
        <v>-0.32900026565128837</v>
      </c>
      <c r="AE493" s="2012">
        <f t="shared" si="530"/>
        <v>0.44998416385135132</v>
      </c>
      <c r="AF493" s="2012">
        <f t="shared" si="530"/>
        <v>-2.6685112037424741E-2</v>
      </c>
      <c r="AG493" s="2012">
        <f t="shared" si="530"/>
        <v>0.44235192908305443</v>
      </c>
      <c r="AH493" s="2012">
        <f t="shared" si="530"/>
        <v>-0.45786006949847002</v>
      </c>
      <c r="AI493" s="2012">
        <f t="shared" si="530"/>
        <v>0.65569692911125999</v>
      </c>
      <c r="AJ493" s="2012">
        <f t="shared" si="530"/>
        <v>4.9410534470063272E-2</v>
      </c>
      <c r="AK493" s="2012">
        <f t="shared" si="530"/>
        <v>0.40151527331637782</v>
      </c>
      <c r="AL493" s="2012">
        <f t="shared" si="530"/>
        <v>-0.33479205310151938</v>
      </c>
      <c r="AM493" s="2012">
        <f t="shared" si="530"/>
        <v>0.43794619438902149</v>
      </c>
      <c r="AN493" s="2012">
        <f t="shared" si="530"/>
        <v>-2.9935204264682103E-2</v>
      </c>
      <c r="AO493" s="2012">
        <f t="shared" si="530"/>
        <v>0.35510015023890729</v>
      </c>
      <c r="AP493" s="2012">
        <f t="shared" si="530"/>
        <v>-0.32659756097348203</v>
      </c>
      <c r="AQ493" s="2593"/>
      <c r="AR493" s="1973"/>
      <c r="AS493" s="1950"/>
      <c r="AT493" s="1951"/>
      <c r="AU493" s="1952"/>
      <c r="AV493" s="1950"/>
      <c r="AW493" s="1950"/>
      <c r="AX493" s="1952"/>
      <c r="AY493" s="1950"/>
      <c r="AZ493" s="1950"/>
      <c r="BA493" s="1951"/>
      <c r="BB493" s="1952"/>
      <c r="BC493" s="1951"/>
    </row>
    <row r="494" spans="1:55" s="1953" customFormat="1" ht="10.15" x14ac:dyDescent="0.3">
      <c r="A494" s="2042"/>
      <c r="B494" s="2475" t="s">
        <v>1047</v>
      </c>
      <c r="C494" s="1973"/>
      <c r="D494" s="2054">
        <f t="shared" ref="D494:AP494" si="531">D345/C345-1</f>
        <v>-1.4716417910447761</v>
      </c>
      <c r="E494" s="2054">
        <f t="shared" si="531"/>
        <v>-5.5750452079566006</v>
      </c>
      <c r="F494" s="2054">
        <f t="shared" si="531"/>
        <v>-0.12015810276679839</v>
      </c>
      <c r="G494" s="2054">
        <f t="shared" si="531"/>
        <v>0.21743036837376462</v>
      </c>
      <c r="H494" s="2054">
        <f t="shared" si="531"/>
        <v>-3.1734317343173446E-2</v>
      </c>
      <c r="I494" s="2054">
        <f t="shared" si="531"/>
        <v>0.67701981707317072</v>
      </c>
      <c r="J494" s="2054">
        <f t="shared" si="531"/>
        <v>-0.38063856379956829</v>
      </c>
      <c r="K494" s="2054">
        <f t="shared" si="531"/>
        <v>0.25554944046963857</v>
      </c>
      <c r="L494" s="2054">
        <f t="shared" si="531"/>
        <v>-0.36513734658094676</v>
      </c>
      <c r="M494" s="2054">
        <f t="shared" si="531"/>
        <v>1.1512082853855006</v>
      </c>
      <c r="N494" s="2054">
        <f t="shared" si="531"/>
        <v>-0.7219428693698513</v>
      </c>
      <c r="O494" s="2054">
        <f t="shared" si="531"/>
        <v>0.98576375529049631</v>
      </c>
      <c r="P494" s="2054">
        <f t="shared" si="531"/>
        <v>0.23910094942840532</v>
      </c>
      <c r="Q494" s="2054">
        <f t="shared" si="531"/>
        <v>0.9443315089913995</v>
      </c>
      <c r="R494" s="2054">
        <f t="shared" si="531"/>
        <v>-0.58886922953192866</v>
      </c>
      <c r="S494" s="2054">
        <f t="shared" si="531"/>
        <v>0.7241784037558685</v>
      </c>
      <c r="T494" s="2054">
        <f t="shared" si="531"/>
        <v>2.620830496936688E-2</v>
      </c>
      <c r="U494" s="2054">
        <f t="shared" si="531"/>
        <v>1.2845771144278606</v>
      </c>
      <c r="V494" s="2054">
        <f t="shared" si="531"/>
        <v>-0.53871467286101438</v>
      </c>
      <c r="W494" s="2012">
        <f t="shared" si="531"/>
        <v>0.83728493495593792</v>
      </c>
      <c r="X494" s="2012">
        <f t="shared" si="531"/>
        <v>-5.3046308456575098E-2</v>
      </c>
      <c r="Y494" s="2012">
        <f t="shared" si="531"/>
        <v>0.5675349734684032</v>
      </c>
      <c r="Z494" s="2012">
        <f t="shared" si="531"/>
        <v>-0.64529158332051084</v>
      </c>
      <c r="AA494" s="2012">
        <f t="shared" si="531"/>
        <v>-0.13024617720420784</v>
      </c>
      <c r="AB494" s="2012">
        <f t="shared" si="531"/>
        <v>0.68341645885286773</v>
      </c>
      <c r="AC494" s="2012">
        <f t="shared" si="531"/>
        <v>0.98489000814754468</v>
      </c>
      <c r="AD494" s="2012">
        <f t="shared" si="531"/>
        <v>-0.67292335248899171</v>
      </c>
      <c r="AE494" s="2012">
        <f t="shared" si="531"/>
        <v>1.7809469480889901</v>
      </c>
      <c r="AF494" s="2012">
        <f t="shared" si="531"/>
        <v>-0.16455384615384616</v>
      </c>
      <c r="AG494" s="2012">
        <f t="shared" si="531"/>
        <v>0.94264388135926147</v>
      </c>
      <c r="AH494" s="2012">
        <f t="shared" si="531"/>
        <v>-0.81974216380182008</v>
      </c>
      <c r="AI494" s="2012">
        <f t="shared" si="531"/>
        <v>3.8667788528958074</v>
      </c>
      <c r="AJ494" s="2012">
        <f t="shared" si="531"/>
        <v>-0.11703390840132777</v>
      </c>
      <c r="AK494" s="2012">
        <f t="shared" si="531"/>
        <v>0.82448751079648974</v>
      </c>
      <c r="AL494" s="2012">
        <f t="shared" si="531"/>
        <v>-0.577681913654571</v>
      </c>
      <c r="AM494" s="2012">
        <f t="shared" si="531"/>
        <v>0.97667820354549817</v>
      </c>
      <c r="AN494" s="2012">
        <f t="shared" si="531"/>
        <v>-5.5517809462792278E-2</v>
      </c>
      <c r="AO494" s="2012">
        <f t="shared" si="531"/>
        <v>0.61079606036421241</v>
      </c>
      <c r="AP494" s="2012">
        <f t="shared" si="531"/>
        <v>-0.53271831474795173</v>
      </c>
      <c r="AQ494" s="2593"/>
      <c r="AR494" s="1973"/>
      <c r="AS494" s="1950"/>
      <c r="AT494" s="1951"/>
      <c r="AU494" s="1952"/>
      <c r="AV494" s="1950"/>
      <c r="AW494" s="1950"/>
      <c r="AX494" s="1952"/>
      <c r="AY494" s="1950"/>
      <c r="AZ494" s="1950"/>
      <c r="BA494" s="1951"/>
      <c r="BB494" s="1952"/>
      <c r="BC494" s="1951"/>
    </row>
    <row r="495" spans="1:55" s="1953" customFormat="1" ht="10.15" x14ac:dyDescent="0.3">
      <c r="A495" s="2042"/>
      <c r="B495" s="2475" t="s">
        <v>1063</v>
      </c>
      <c r="C495" s="1950"/>
      <c r="D495" s="2054">
        <f t="shared" ref="D495:AP495" si="532">D362/C362-1</f>
        <v>-1.7240909416303596</v>
      </c>
      <c r="E495" s="2054">
        <f t="shared" si="532"/>
        <v>-4.5610765141596019</v>
      </c>
      <c r="F495" s="2054">
        <f t="shared" si="532"/>
        <v>-0.13709316731205445</v>
      </c>
      <c r="G495" s="2054">
        <f t="shared" si="532"/>
        <v>0.16228625425458199</v>
      </c>
      <c r="H495" s="2054">
        <f t="shared" si="532"/>
        <v>0.10993705035971213</v>
      </c>
      <c r="I495" s="2054">
        <f t="shared" si="532"/>
        <v>0.69272837755722105</v>
      </c>
      <c r="J495" s="2054">
        <f t="shared" si="532"/>
        <v>-0.18738781859518971</v>
      </c>
      <c r="K495" s="2054">
        <f t="shared" si="532"/>
        <v>0.83154174642909728</v>
      </c>
      <c r="L495" s="2054">
        <f t="shared" si="532"/>
        <v>-0.75639170284611668</v>
      </c>
      <c r="M495" s="2054">
        <f t="shared" si="532"/>
        <v>0.97458745874587449</v>
      </c>
      <c r="N495" s="2054">
        <f t="shared" si="532"/>
        <v>-0.520474678255056</v>
      </c>
      <c r="O495" s="2054">
        <f t="shared" si="532"/>
        <v>9.7410247472987095</v>
      </c>
      <c r="P495" s="2054">
        <f t="shared" si="532"/>
        <v>-0.26327232606438211</v>
      </c>
      <c r="Q495" s="2054">
        <f t="shared" si="532"/>
        <v>-0.45135004184469008</v>
      </c>
      <c r="R495" s="2054">
        <f t="shared" si="532"/>
        <v>-0.57337829158638409</v>
      </c>
      <c r="S495" s="2054">
        <f t="shared" si="532"/>
        <v>0.34399698908543463</v>
      </c>
      <c r="T495" s="2054">
        <f t="shared" si="532"/>
        <v>-9.3811257350882027E-3</v>
      </c>
      <c r="U495" s="2054">
        <f t="shared" si="532"/>
        <v>1.4250176678445228</v>
      </c>
      <c r="V495" s="2054">
        <f t="shared" si="532"/>
        <v>-0.42577373666724949</v>
      </c>
      <c r="W495" s="2012">
        <f t="shared" si="532"/>
        <v>0.42417783191230196</v>
      </c>
      <c r="X495" s="2012">
        <f t="shared" si="532"/>
        <v>0.24068134844273392</v>
      </c>
      <c r="Y495" s="2012">
        <f t="shared" si="532"/>
        <v>0.34030330882352944</v>
      </c>
      <c r="Z495" s="2012">
        <f t="shared" si="532"/>
        <v>-0.715369449682839</v>
      </c>
      <c r="AA495" s="2012">
        <f t="shared" si="532"/>
        <v>0.15193494955578979</v>
      </c>
      <c r="AB495" s="2012">
        <f t="shared" si="532"/>
        <v>1.3844444444444446</v>
      </c>
      <c r="AC495" s="2012">
        <f t="shared" si="532"/>
        <v>0.69749465489830609</v>
      </c>
      <c r="AD495" s="2012">
        <f t="shared" si="532"/>
        <v>-0.24496189122852341</v>
      </c>
      <c r="AE495" s="2012">
        <f t="shared" si="532"/>
        <v>-0.18208648787373283</v>
      </c>
      <c r="AF495" s="2012">
        <f t="shared" si="532"/>
        <v>2.6998221943311371</v>
      </c>
      <c r="AG495" s="2012">
        <f t="shared" si="532"/>
        <v>-0.29140046361734606</v>
      </c>
      <c r="AH495" s="2012">
        <f t="shared" si="532"/>
        <v>-0.99305832601930899</v>
      </c>
      <c r="AI495" s="2012">
        <f t="shared" si="532"/>
        <v>132.43965517241378</v>
      </c>
      <c r="AJ495" s="2012">
        <f t="shared" si="532"/>
        <v>-0.44727728929204003</v>
      </c>
      <c r="AK495" s="2012">
        <f t="shared" si="532"/>
        <v>0.79657404067284321</v>
      </c>
      <c r="AL495" s="2012">
        <f t="shared" si="532"/>
        <v>-0.54496073412461832</v>
      </c>
      <c r="AM495" s="2012">
        <f t="shared" si="532"/>
        <v>0.78955019027309481</v>
      </c>
      <c r="AN495" s="2012">
        <f t="shared" si="532"/>
        <v>-8.3123714086708045E-3</v>
      </c>
      <c r="AO495" s="2012">
        <f t="shared" si="532"/>
        <v>0.58853366362377724</v>
      </c>
      <c r="AP495" s="2012">
        <f t="shared" si="532"/>
        <v>-0.48746213760360779</v>
      </c>
      <c r="AQ495" s="2593"/>
      <c r="AR495" s="1973"/>
      <c r="AS495" s="1950"/>
      <c r="AT495" s="1951"/>
      <c r="AU495" s="1952"/>
      <c r="AV495" s="1950"/>
      <c r="AW495" s="1950"/>
      <c r="AX495" s="1952"/>
      <c r="AY495" s="1950"/>
      <c r="AZ495" s="1950"/>
      <c r="BA495" s="1951"/>
      <c r="BB495" s="1952"/>
      <c r="BC495" s="1951"/>
    </row>
    <row r="496" spans="1:55" s="1953" customFormat="1" ht="10.15" x14ac:dyDescent="0.3">
      <c r="A496" s="2042"/>
      <c r="B496" s="2475" t="s">
        <v>1158</v>
      </c>
      <c r="C496" s="1950"/>
      <c r="D496" s="2054">
        <f>D378/C378-1</f>
        <v>0</v>
      </c>
      <c r="E496" s="2054">
        <f>E378/D378-1</f>
        <v>0</v>
      </c>
      <c r="F496" s="2054">
        <f>F378/E378-1</f>
        <v>0</v>
      </c>
      <c r="G496" s="2054">
        <f t="shared" ref="G496:AP496" si="533">G375/F375-1</f>
        <v>7.0087226398338087E-2</v>
      </c>
      <c r="H496" s="2054">
        <f t="shared" si="533"/>
        <v>0.12103375873029898</v>
      </c>
      <c r="I496" s="2054">
        <f t="shared" si="533"/>
        <v>0.67402685932336071</v>
      </c>
      <c r="J496" s="2054">
        <f t="shared" si="533"/>
        <v>-0.33509737946253637</v>
      </c>
      <c r="K496" s="2054">
        <f t="shared" si="533"/>
        <v>1.2565564900517363</v>
      </c>
      <c r="L496" s="2054">
        <f t="shared" si="533"/>
        <v>-0.76939333314548164</v>
      </c>
      <c r="M496" s="2054">
        <f t="shared" si="533"/>
        <v>0.87901563876285937</v>
      </c>
      <c r="N496" s="2054">
        <f t="shared" si="533"/>
        <v>-0.51206916327349894</v>
      </c>
      <c r="O496" s="2054">
        <f t="shared" si="533"/>
        <v>9.6488928132768379</v>
      </c>
      <c r="P496" s="2054">
        <f t="shared" si="533"/>
        <v>-0.25535823494996013</v>
      </c>
      <c r="Q496" s="2054">
        <f t="shared" si="533"/>
        <v>-0.44771835850451636</v>
      </c>
      <c r="R496" s="2054">
        <f t="shared" si="533"/>
        <v>-0.5700568964561431</v>
      </c>
      <c r="S496" s="2054">
        <f t="shared" si="533"/>
        <v>0.3952132925706886</v>
      </c>
      <c r="T496" s="2054">
        <f t="shared" si="533"/>
        <v>1.0455833544104509E-2</v>
      </c>
      <c r="U496" s="2054">
        <f t="shared" si="533"/>
        <v>1.3373057840014453</v>
      </c>
      <c r="V496" s="2054">
        <f t="shared" si="533"/>
        <v>-0.40618597807466506</v>
      </c>
      <c r="W496" s="2012">
        <f t="shared" si="533"/>
        <v>0.36988631149895812</v>
      </c>
      <c r="X496" s="2012">
        <f t="shared" si="533"/>
        <v>0.19964523829680947</v>
      </c>
      <c r="Y496" s="2012">
        <f t="shared" si="533"/>
        <v>0.35835643068170686</v>
      </c>
      <c r="Z496" s="2012">
        <f t="shared" si="533"/>
        <v>-0.68679758688552139</v>
      </c>
      <c r="AA496" s="2012">
        <f t="shared" si="533"/>
        <v>0.14643188286691688</v>
      </c>
      <c r="AB496" s="2012">
        <f t="shared" si="533"/>
        <v>1.3051579888339457</v>
      </c>
      <c r="AC496" s="2012">
        <f t="shared" si="533"/>
        <v>0.65890482170461651</v>
      </c>
      <c r="AD496" s="2012">
        <f t="shared" si="533"/>
        <v>-0.22173368158257378</v>
      </c>
      <c r="AE496" s="2012">
        <f t="shared" si="533"/>
        <v>-0.18023900024520545</v>
      </c>
      <c r="AF496" s="2012">
        <f t="shared" si="533"/>
        <v>2.4115057711118393</v>
      </c>
      <c r="AG496" s="2012">
        <f t="shared" si="533"/>
        <v>-0.28930136743438351</v>
      </c>
      <c r="AH496" s="2012">
        <f t="shared" si="533"/>
        <v>-0.93965211664574155</v>
      </c>
      <c r="AI496" s="2012">
        <f t="shared" si="533"/>
        <v>13.714508636120755</v>
      </c>
      <c r="AJ496" s="2012">
        <f t="shared" si="533"/>
        <v>-0.42023799479217328</v>
      </c>
      <c r="AK496" s="2012">
        <f t="shared" si="533"/>
        <v>0.74986799011016059</v>
      </c>
      <c r="AL496" s="2012">
        <f t="shared" si="533"/>
        <v>-0.50403850574762465</v>
      </c>
      <c r="AM496" s="2012">
        <f t="shared" si="533"/>
        <v>0.60789541320391449</v>
      </c>
      <c r="AN496" s="2012">
        <f t="shared" si="533"/>
        <v>1.3753221231060708E-2</v>
      </c>
      <c r="AO496" s="2012">
        <f t="shared" si="533"/>
        <v>0.56304713625979641</v>
      </c>
      <c r="AP496" s="2012">
        <f t="shared" si="533"/>
        <v>-0.45458197331058903</v>
      </c>
      <c r="AQ496" s="2067"/>
      <c r="AR496" s="1972"/>
      <c r="AS496" s="1950"/>
      <c r="AT496" s="1951"/>
      <c r="AU496" s="1952"/>
      <c r="AV496" s="1950"/>
      <c r="AW496" s="1950"/>
      <c r="AX496" s="1952"/>
      <c r="AY496" s="1950"/>
      <c r="AZ496" s="1950"/>
      <c r="BA496" s="1951"/>
      <c r="BB496" s="1952"/>
      <c r="BC496" s="1951"/>
    </row>
    <row r="497" spans="1:71" s="1999" customFormat="1" ht="10.15" x14ac:dyDescent="0.3">
      <c r="A497" s="2042"/>
      <c r="B497" s="1953" t="s">
        <v>1098</v>
      </c>
      <c r="C497" s="2577"/>
      <c r="D497" s="2555">
        <f t="shared" ref="D497:AP497" si="534">D398/C398-1</f>
        <v>7.6889471384884223E-2</v>
      </c>
      <c r="E497" s="2555">
        <f t="shared" si="534"/>
        <v>0.86977687626774847</v>
      </c>
      <c r="F497" s="2555">
        <f t="shared" si="534"/>
        <v>-0.14892601431980912</v>
      </c>
      <c r="G497" s="2555">
        <f t="shared" si="534"/>
        <v>0.24284913067863156</v>
      </c>
      <c r="H497" s="2555">
        <f t="shared" si="534"/>
        <v>6.7443386937971805E-2</v>
      </c>
      <c r="I497" s="2555">
        <f t="shared" si="534"/>
        <v>0.72882398155265182</v>
      </c>
      <c r="J497" s="2555">
        <f t="shared" si="534"/>
        <v>-0.38769340209852388</v>
      </c>
      <c r="K497" s="2555">
        <f t="shared" si="534"/>
        <v>0.24513505663665414</v>
      </c>
      <c r="L497" s="2555">
        <f t="shared" si="534"/>
        <v>-9.4471658502449651E-3</v>
      </c>
      <c r="M497" s="2555">
        <f t="shared" si="534"/>
        <v>0.77828800188390446</v>
      </c>
      <c r="N497" s="2555">
        <f t="shared" si="534"/>
        <v>-0.43170231079917898</v>
      </c>
      <c r="O497" s="2555">
        <f t="shared" si="534"/>
        <v>0.23325177676802977</v>
      </c>
      <c r="P497" s="2555">
        <f t="shared" si="534"/>
        <v>5.2999527633443622E-2</v>
      </c>
      <c r="Q497" s="2555">
        <f t="shared" si="534"/>
        <v>0.71460613673066575</v>
      </c>
      <c r="R497" s="2555">
        <f t="shared" si="534"/>
        <v>-0.39835696719166969</v>
      </c>
      <c r="S497" s="2555">
        <f t="shared" si="534"/>
        <v>0.30135675769699088</v>
      </c>
      <c r="T497" s="2555">
        <f t="shared" si="534"/>
        <v>6.0950344182316485E-2</v>
      </c>
      <c r="U497" s="2555">
        <f t="shared" si="534"/>
        <v>0.70211023622047253</v>
      </c>
      <c r="V497" s="2555">
        <f t="shared" si="534"/>
        <v>-0.3857740276081566</v>
      </c>
      <c r="W497" s="2044">
        <f t="shared" si="534"/>
        <v>0.5137675483521118</v>
      </c>
      <c r="X497" s="2044">
        <f t="shared" si="534"/>
        <v>-3.7016398662633732E-3</v>
      </c>
      <c r="Y497" s="2044">
        <f t="shared" si="534"/>
        <v>0.44552754584315446</v>
      </c>
      <c r="Z497" s="2044">
        <f t="shared" si="534"/>
        <v>-0.46234419478760747</v>
      </c>
      <c r="AA497" s="2044">
        <f t="shared" si="534"/>
        <v>0.5091497892464274</v>
      </c>
      <c r="AB497" s="2044">
        <f t="shared" si="534"/>
        <v>-9.0227868796621147E-2</v>
      </c>
      <c r="AC497" s="2044">
        <f t="shared" si="534"/>
        <v>0.52407338075627097</v>
      </c>
      <c r="AD497" s="2044">
        <f t="shared" si="534"/>
        <v>-0.38179227670236804</v>
      </c>
      <c r="AE497" s="2044">
        <f t="shared" si="534"/>
        <v>0.559167130255106</v>
      </c>
      <c r="AF497" s="2044">
        <f t="shared" si="534"/>
        <v>-5.4462510831337019E-2</v>
      </c>
      <c r="AG497" s="2044">
        <f t="shared" si="534"/>
        <v>0.50615886364248941</v>
      </c>
      <c r="AH497" s="2044">
        <f t="shared" si="534"/>
        <v>-0.54473872584108807</v>
      </c>
      <c r="AI497" s="2044">
        <f t="shared" si="534"/>
        <v>1.0062500000000001</v>
      </c>
      <c r="AJ497" s="2044">
        <f t="shared" si="534"/>
        <v>-5.514845100938659E-2</v>
      </c>
      <c r="AK497" s="2044">
        <f t="shared" si="534"/>
        <v>0.53211982419312576</v>
      </c>
      <c r="AL497" s="2044">
        <f t="shared" si="534"/>
        <v>-0.41609132812219107</v>
      </c>
      <c r="AM497" s="2044">
        <f t="shared" si="534"/>
        <v>0.49652982525974743</v>
      </c>
      <c r="AN497" s="2044">
        <f t="shared" si="534"/>
        <v>-1.9626859899556703E-2</v>
      </c>
      <c r="AO497" s="2044">
        <f t="shared" si="534"/>
        <v>0.43232590920656766</v>
      </c>
      <c r="AP497" s="2044">
        <f t="shared" si="534"/>
        <v>-0.39933475032136201</v>
      </c>
      <c r="AQ497" s="2595"/>
      <c r="AR497" s="2207"/>
      <c r="AS497" s="2207"/>
      <c r="AT497" s="2600"/>
      <c r="AU497" s="2595"/>
      <c r="AV497" s="2207"/>
      <c r="AW497" s="2207"/>
      <c r="AX497" s="2595"/>
      <c r="AY497" s="2207"/>
      <c r="AZ497" s="2207"/>
      <c r="BA497" s="2600"/>
      <c r="BB497" s="2595"/>
      <c r="BC497" s="2600"/>
    </row>
    <row r="498" spans="1:71" s="1999" customFormat="1" ht="10.15" x14ac:dyDescent="0.3">
      <c r="A498" s="2042"/>
      <c r="B498" s="1953" t="s">
        <v>1099</v>
      </c>
      <c r="C498" s="2577"/>
      <c r="D498" s="2555">
        <f t="shared" ref="D498:AP498" si="535">D400/C400-1</f>
        <v>8.3460365853658569E-2</v>
      </c>
      <c r="E498" s="2555">
        <f t="shared" si="535"/>
        <v>0.88287020752725986</v>
      </c>
      <c r="F498" s="2555">
        <f t="shared" si="535"/>
        <v>-0.12628432654586208</v>
      </c>
      <c r="G498" s="2555">
        <f t="shared" si="535"/>
        <v>0.24353217874706012</v>
      </c>
      <c r="H498" s="2555">
        <f t="shared" si="535"/>
        <v>5.0894085281980805E-2</v>
      </c>
      <c r="I498" s="2555">
        <f t="shared" si="535"/>
        <v>0.75539921465968596</v>
      </c>
      <c r="J498" s="2555">
        <f t="shared" si="535"/>
        <v>-0.40572280734458011</v>
      </c>
      <c r="K498" s="2555">
        <f t="shared" si="535"/>
        <v>0.24168757841907151</v>
      </c>
      <c r="L498" s="2555">
        <f t="shared" si="535"/>
        <v>-7.0986484779588244E-2</v>
      </c>
      <c r="M498" s="2555">
        <f t="shared" si="535"/>
        <v>0.85723997280761388</v>
      </c>
      <c r="N498" s="2555">
        <f t="shared" si="535"/>
        <v>-0.47064421669106882</v>
      </c>
      <c r="O498" s="2555">
        <f t="shared" si="535"/>
        <v>0.26621490803484993</v>
      </c>
      <c r="P498" s="2555">
        <f t="shared" si="535"/>
        <v>4.4014853647881269E-2</v>
      </c>
      <c r="Q498" s="2555">
        <f t="shared" si="535"/>
        <v>0.75792446908672462</v>
      </c>
      <c r="R498" s="2555">
        <f t="shared" si="535"/>
        <v>-0.42483932397048318</v>
      </c>
      <c r="S498" s="2555">
        <f t="shared" si="535"/>
        <v>0.29415416451112253</v>
      </c>
      <c r="T498" s="2555">
        <f t="shared" si="535"/>
        <v>6.2999680204669062E-2</v>
      </c>
      <c r="U498" s="2555">
        <f t="shared" si="535"/>
        <v>0.83574007220216617</v>
      </c>
      <c r="V498" s="2555">
        <f t="shared" si="535"/>
        <v>-0.43305473615208123</v>
      </c>
      <c r="W498" s="2044">
        <f t="shared" si="535"/>
        <v>0.55600520306402657</v>
      </c>
      <c r="X498" s="2044">
        <f t="shared" si="535"/>
        <v>-1.216793609511424E-2</v>
      </c>
      <c r="Y498" s="2044">
        <f t="shared" si="535"/>
        <v>0.48589562764456984</v>
      </c>
      <c r="Z498" s="2044">
        <f t="shared" si="535"/>
        <v>-0.51033064388546112</v>
      </c>
      <c r="AA498" s="2044">
        <f t="shared" si="535"/>
        <v>0.57650555699147077</v>
      </c>
      <c r="AB498" s="2044">
        <f t="shared" si="535"/>
        <v>-0.15796376752192798</v>
      </c>
      <c r="AC498" s="2044">
        <f t="shared" si="535"/>
        <v>0.64320482866043616</v>
      </c>
      <c r="AD498" s="2044">
        <f t="shared" si="535"/>
        <v>-0.52974109840630368</v>
      </c>
      <c r="AE498" s="2044">
        <f t="shared" si="535"/>
        <v>0.98362204724409441</v>
      </c>
      <c r="AF498" s="2044">
        <f t="shared" si="535"/>
        <v>-9.4664973007303921E-2</v>
      </c>
      <c r="AG498" s="2044">
        <f t="shared" si="535"/>
        <v>0.66228208635869379</v>
      </c>
      <c r="AH498" s="2044">
        <f t="shared" si="535"/>
        <v>-0.66695505380882047</v>
      </c>
      <c r="AI498" s="2044">
        <f t="shared" si="535"/>
        <v>1.687701957802699</v>
      </c>
      <c r="AJ498" s="2044">
        <f t="shared" si="535"/>
        <v>-7.315091445233568E-2</v>
      </c>
      <c r="AK498" s="2044">
        <f t="shared" si="535"/>
        <v>0.63825398379257337</v>
      </c>
      <c r="AL498" s="2044">
        <f t="shared" si="535"/>
        <v>-0.49332273993610465</v>
      </c>
      <c r="AM498" s="2044">
        <f t="shared" si="535"/>
        <v>0.67551811479299917</v>
      </c>
      <c r="AN498" s="2044">
        <f t="shared" si="535"/>
        <v>-2.9553568069084934E-2</v>
      </c>
      <c r="AO498" s="2044">
        <f t="shared" si="535"/>
        <v>0.50372867742933658</v>
      </c>
      <c r="AP498" s="2044">
        <f t="shared" si="535"/>
        <v>-0.46754518664237554</v>
      </c>
      <c r="AQ498" s="2595"/>
      <c r="AR498" s="2207"/>
      <c r="AS498" s="2207"/>
      <c r="AT498" s="2600"/>
      <c r="AU498" s="2595"/>
      <c r="AV498" s="2207"/>
      <c r="AW498" s="2207"/>
      <c r="AX498" s="2595"/>
      <c r="AY498" s="2207"/>
      <c r="AZ498" s="2207"/>
      <c r="BA498" s="2600"/>
      <c r="BB498" s="2595"/>
      <c r="BC498" s="2600"/>
    </row>
    <row r="499" spans="1:71" s="1999" customFormat="1" ht="10.15" x14ac:dyDescent="0.3">
      <c r="A499" s="2042"/>
      <c r="B499" s="1953" t="s">
        <v>1102</v>
      </c>
      <c r="C499" s="2577"/>
      <c r="D499" s="2044">
        <f t="shared" ref="D499:AP499" si="536">D403/C403-1</f>
        <v>0.35021717455842616</v>
      </c>
      <c r="E499" s="2044">
        <f t="shared" si="536"/>
        <v>0.76906860471464977</v>
      </c>
      <c r="F499" s="2044">
        <f t="shared" si="536"/>
        <v>-0.15562212859057512</v>
      </c>
      <c r="G499" s="2044">
        <f t="shared" si="536"/>
        <v>0.12772328456070925</v>
      </c>
      <c r="H499" s="2044">
        <f t="shared" si="536"/>
        <v>0.28583897010691683</v>
      </c>
      <c r="I499" s="2044">
        <f t="shared" si="536"/>
        <v>0.77549635160359753</v>
      </c>
      <c r="J499" s="2044">
        <f t="shared" si="536"/>
        <v>-0.25442033833508559</v>
      </c>
      <c r="K499" s="2044">
        <f t="shared" si="536"/>
        <v>-6.2043327778489976E-2</v>
      </c>
      <c r="L499" s="2044">
        <f t="shared" si="536"/>
        <v>-6.9564028973623016E-2</v>
      </c>
      <c r="M499" s="2044">
        <f t="shared" si="536"/>
        <v>0.92641010575793192</v>
      </c>
      <c r="N499" s="2044">
        <f t="shared" si="536"/>
        <v>-0.40975981700343123</v>
      </c>
      <c r="O499" s="2044">
        <f t="shared" si="536"/>
        <v>0.22193515049735169</v>
      </c>
      <c r="P499" s="2044">
        <f t="shared" si="536"/>
        <v>-2.7275610529654326E-2</v>
      </c>
      <c r="Q499" s="2044">
        <f t="shared" si="536"/>
        <v>0.80143462667101395</v>
      </c>
      <c r="R499" s="2044">
        <f t="shared" si="536"/>
        <v>-0.54413273001508289</v>
      </c>
      <c r="S499" s="2044">
        <f t="shared" si="536"/>
        <v>0.58695076760190568</v>
      </c>
      <c r="T499" s="2044">
        <f t="shared" si="536"/>
        <v>7.9893253273288334E-2</v>
      </c>
      <c r="U499" s="2044">
        <f t="shared" si="536"/>
        <v>0.73689087960460276</v>
      </c>
      <c r="V499" s="2044">
        <f t="shared" si="536"/>
        <v>-0.53581432573029208</v>
      </c>
      <c r="W499" s="2044">
        <f t="shared" si="536"/>
        <v>0.91752873563218396</v>
      </c>
      <c r="X499" s="2044">
        <f t="shared" si="536"/>
        <v>0.10340176832009584</v>
      </c>
      <c r="Y499" s="2044">
        <f t="shared" si="536"/>
        <v>0.22264475530807193</v>
      </c>
      <c r="Z499" s="2044">
        <f t="shared" si="536"/>
        <v>-0.4779501610693524</v>
      </c>
      <c r="AA499" s="2044">
        <f t="shared" si="536"/>
        <v>0.42570395063479682</v>
      </c>
      <c r="AB499" s="2044">
        <f t="shared" si="536"/>
        <v>0.16675787274264953</v>
      </c>
      <c r="AC499" s="2044">
        <f t="shared" si="536"/>
        <v>0.27049844369590237</v>
      </c>
      <c r="AD499" s="2044">
        <f t="shared" si="536"/>
        <v>-0.32691210524549452</v>
      </c>
      <c r="AE499" s="2044">
        <f t="shared" si="536"/>
        <v>0.54312923813322689</v>
      </c>
      <c r="AF499" s="2044">
        <f t="shared" si="536"/>
        <v>5.819251025881278E-2</v>
      </c>
      <c r="AG499" s="2044">
        <f t="shared" si="536"/>
        <v>0.41963358778625959</v>
      </c>
      <c r="AH499" s="2044">
        <f t="shared" si="536"/>
        <v>-0.52063751532488767</v>
      </c>
      <c r="AI499" s="2044">
        <f t="shared" si="536"/>
        <v>0.77116704805491998</v>
      </c>
      <c r="AJ499" s="2044">
        <f t="shared" si="536"/>
        <v>-4.2707917326458844E-3</v>
      </c>
      <c r="AK499" s="2044">
        <f t="shared" si="536"/>
        <v>0.51934375135927957</v>
      </c>
      <c r="AL499" s="2044">
        <f t="shared" si="536"/>
        <v>-0.38010929566534402</v>
      </c>
      <c r="AM499" s="2044">
        <f t="shared" si="536"/>
        <v>0.41132702395347276</v>
      </c>
      <c r="AN499" s="2044">
        <f t="shared" si="536"/>
        <v>-1.3984324946192506E-2</v>
      </c>
      <c r="AO499" s="2044">
        <f t="shared" si="536"/>
        <v>0.42441167545450043</v>
      </c>
      <c r="AP499" s="2044">
        <f t="shared" si="536"/>
        <v>-0.39741107510614626</v>
      </c>
      <c r="AQ499" s="2595"/>
      <c r="AR499" s="2207"/>
      <c r="AS499" s="2207"/>
      <c r="AT499" s="2600"/>
      <c r="AU499" s="2595"/>
      <c r="AV499" s="2207"/>
      <c r="AW499" s="2207"/>
      <c r="AX499" s="2595"/>
      <c r="AY499" s="2207"/>
      <c r="AZ499" s="2207"/>
      <c r="BA499" s="2600"/>
      <c r="BB499" s="2595"/>
      <c r="BC499" s="2600"/>
    </row>
    <row r="500" spans="1:71" s="1999" customFormat="1" ht="10.5" thickBot="1" x14ac:dyDescent="0.35">
      <c r="A500" s="2601"/>
      <c r="B500" s="2602" t="s">
        <v>1165</v>
      </c>
      <c r="C500" s="2603"/>
      <c r="D500" s="2604">
        <f t="shared" ref="D500:AP500" si="537">D405/C405-1</f>
        <v>0.62372881355932197</v>
      </c>
      <c r="E500" s="2604">
        <f t="shared" si="537"/>
        <v>-0.21085594989561585</v>
      </c>
      <c r="F500" s="2604">
        <f t="shared" si="537"/>
        <v>-0.37301587301587302</v>
      </c>
      <c r="G500" s="2604">
        <f t="shared" si="537"/>
        <v>18.723760774692231</v>
      </c>
      <c r="H500" s="2604">
        <f t="shared" si="537"/>
        <v>0.30115920866559964</v>
      </c>
      <c r="I500" s="2604">
        <f t="shared" si="537"/>
        <v>0.74881120573037774</v>
      </c>
      <c r="J500" s="2604">
        <f t="shared" si="537"/>
        <v>-0.2641417630961993</v>
      </c>
      <c r="K500" s="2604">
        <f t="shared" si="537"/>
        <v>-4.6781816054906278E-2</v>
      </c>
      <c r="L500" s="2604">
        <f t="shared" si="537"/>
        <v>-0.10612564101033373</v>
      </c>
      <c r="M500" s="2604">
        <f t="shared" si="537"/>
        <v>0.80878359443731118</v>
      </c>
      <c r="N500" s="2604">
        <f t="shared" si="537"/>
        <v>-0.40511083521458058</v>
      </c>
      <c r="O500" s="2604">
        <f t="shared" si="537"/>
        <v>0.22021942871701672</v>
      </c>
      <c r="P500" s="2604">
        <f t="shared" si="537"/>
        <v>-1.553845835047829E-2</v>
      </c>
      <c r="Q500" s="2604">
        <f t="shared" si="537"/>
        <v>0.80590473283995845</v>
      </c>
      <c r="R500" s="2604">
        <f t="shared" si="537"/>
        <v>-0.54149658204544593</v>
      </c>
      <c r="S500" s="2604">
        <f t="shared" si="537"/>
        <v>0.61598238956003382</v>
      </c>
      <c r="T500" s="2604">
        <f t="shared" si="537"/>
        <v>8.9403974134388609E-2</v>
      </c>
      <c r="U500" s="2604">
        <f t="shared" si="537"/>
        <v>0.71474422179531549</v>
      </c>
      <c r="V500" s="2604">
        <f t="shared" si="537"/>
        <v>-0.51738020784313887</v>
      </c>
      <c r="W500" s="2604">
        <f t="shared" si="537"/>
        <v>0.82686771622990829</v>
      </c>
      <c r="X500" s="2604">
        <f t="shared" si="537"/>
        <v>7.7870509709125235E-2</v>
      </c>
      <c r="Y500" s="2604">
        <f t="shared" si="537"/>
        <v>0.23776620058016817</v>
      </c>
      <c r="Z500" s="2604">
        <f t="shared" si="537"/>
        <v>-0.45988039669296288</v>
      </c>
      <c r="AA500" s="2604">
        <f t="shared" si="537"/>
        <v>0.40382753864859211</v>
      </c>
      <c r="AB500" s="2604">
        <f t="shared" si="537"/>
        <v>0.19355502776825251</v>
      </c>
      <c r="AC500" s="2604">
        <f t="shared" si="537"/>
        <v>0.26975322966236259</v>
      </c>
      <c r="AD500" s="2604">
        <f t="shared" si="537"/>
        <v>-0.29706827802506985</v>
      </c>
      <c r="AE500" s="2604">
        <f t="shared" si="537"/>
        <v>0.46471907382190203</v>
      </c>
      <c r="AF500" s="2604">
        <f t="shared" si="537"/>
        <v>4.341415173311991E-2</v>
      </c>
      <c r="AG500" s="2604">
        <f t="shared" si="537"/>
        <v>0.38869524626932583</v>
      </c>
      <c r="AH500" s="2604">
        <f t="shared" si="537"/>
        <v>-0.48495376548431901</v>
      </c>
      <c r="AI500" s="2604">
        <f t="shared" si="537"/>
        <v>0.58189194330949467</v>
      </c>
      <c r="AJ500" s="2604">
        <f t="shared" si="537"/>
        <v>1.4288418537676151E-2</v>
      </c>
      <c r="AK500" s="2604">
        <f t="shared" si="537"/>
        <v>0.50065838607673729</v>
      </c>
      <c r="AL500" s="2604">
        <f t="shared" si="537"/>
        <v>-0.35491299693271317</v>
      </c>
      <c r="AM500" s="2604">
        <f t="shared" si="537"/>
        <v>0.33077748637546156</v>
      </c>
      <c r="AN500" s="2604">
        <f t="shared" si="537"/>
        <v>1.6195863969088453E-3</v>
      </c>
      <c r="AO500" s="2604">
        <f t="shared" si="537"/>
        <v>0.41182240761838917</v>
      </c>
      <c r="AP500" s="2604">
        <f t="shared" si="537"/>
        <v>-0.37410591197542231</v>
      </c>
      <c r="AQ500" s="2605"/>
      <c r="AR500" s="2606"/>
      <c r="AS500" s="2606"/>
      <c r="AT500" s="2607"/>
      <c r="AU500" s="2605"/>
      <c r="AV500" s="2606"/>
      <c r="AW500" s="2606"/>
      <c r="AX500" s="2605"/>
      <c r="AY500" s="2606"/>
      <c r="AZ500" s="2606"/>
      <c r="BA500" s="2607"/>
      <c r="BB500" s="2605"/>
      <c r="BC500" s="2607"/>
    </row>
    <row r="501" spans="1:71" s="1953" customFormat="1" ht="12" hidden="1" outlineLevel="1" thickBot="1" x14ac:dyDescent="0.4">
      <c r="A501" s="2039"/>
      <c r="B501" s="2532" t="s">
        <v>1166</v>
      </c>
      <c r="C501" s="1950"/>
      <c r="D501" s="1950"/>
      <c r="E501" s="1950"/>
      <c r="F501" s="1950"/>
      <c r="G501" s="1950"/>
      <c r="H501" s="1950"/>
      <c r="I501" s="1950"/>
      <c r="J501" s="1950"/>
      <c r="K501" s="1950"/>
      <c r="L501" s="1950"/>
      <c r="M501" s="1950"/>
      <c r="N501" s="1950"/>
      <c r="O501" s="1950"/>
      <c r="P501" s="1950"/>
      <c r="Q501" s="1950"/>
      <c r="R501" s="1950"/>
      <c r="S501" s="1950"/>
      <c r="T501" s="1950"/>
      <c r="U501" s="1950"/>
      <c r="V501" s="1950"/>
      <c r="W501" s="1950"/>
      <c r="X501" s="1950"/>
      <c r="Y501" s="1950"/>
      <c r="Z501" s="1950"/>
      <c r="AA501" s="1950"/>
      <c r="AB501" s="1950"/>
      <c r="AC501" s="1950"/>
      <c r="AD501" s="1950"/>
      <c r="AE501" s="1950"/>
      <c r="AF501" s="2590"/>
      <c r="AG501" s="1950"/>
      <c r="AH501" s="1950"/>
      <c r="AI501" s="1950"/>
      <c r="AJ501" s="1950"/>
      <c r="AK501" s="1950"/>
      <c r="AL501" s="1950"/>
      <c r="AM501" s="1950"/>
      <c r="AN501" s="1950"/>
      <c r="AO501" s="1950"/>
      <c r="AP501" s="1950"/>
      <c r="AQ501" s="1952"/>
      <c r="AR501" s="1950"/>
      <c r="AS501" s="1950"/>
      <c r="AT501" s="1951"/>
      <c r="AU501" s="1952"/>
      <c r="AV501" s="1950"/>
      <c r="AW501" s="1950"/>
      <c r="AX501" s="1951"/>
      <c r="AY501" s="1952"/>
      <c r="AZ501" s="1950"/>
      <c r="BA501" s="1950"/>
      <c r="BB501" s="1950"/>
      <c r="BC501" s="1950"/>
    </row>
    <row r="502" spans="1:71" s="1953" customFormat="1" ht="10.5" hidden="1" outlineLevel="1" thickBot="1" x14ac:dyDescent="0.35">
      <c r="A502" s="2039"/>
      <c r="B502" s="2475" t="s">
        <v>1110</v>
      </c>
      <c r="C502" s="2533">
        <f>C167/$AR167</f>
        <v>0.19203209106181643</v>
      </c>
      <c r="D502" s="2533">
        <f>D167/$AR$167</f>
        <v>0.2109233037336716</v>
      </c>
      <c r="E502" s="2533">
        <f>E167/$AR$167</f>
        <v>0.34875029999657148</v>
      </c>
      <c r="F502" s="2533">
        <f>F167/$AR$167</f>
        <v>0.24829430520794049</v>
      </c>
      <c r="G502" s="2054">
        <f>G167/$AS167</f>
        <v>0.2036913941327661</v>
      </c>
      <c r="H502" s="2054">
        <f>H167/$AS167</f>
        <v>0.20413453868651954</v>
      </c>
      <c r="I502" s="2054">
        <f>I167/$AS167</f>
        <v>0.37137729327306568</v>
      </c>
      <c r="J502" s="2054">
        <f>J167/$AS167</f>
        <v>0.22079677390764868</v>
      </c>
      <c r="K502" s="2054">
        <f>K168/$AT168</f>
        <v>0.2115951248911806</v>
      </c>
      <c r="L502" s="2054">
        <f>L168/$AT168</f>
        <v>0.21377151275698117</v>
      </c>
      <c r="M502" s="2054">
        <f>M168/$AT168</f>
        <v>0.356174244960825</v>
      </c>
      <c r="N502" s="2054">
        <f>N168/$AT168</f>
        <v>0.2184591173910132</v>
      </c>
      <c r="O502" s="2054">
        <f t="shared" ref="O502:R504" si="538">O168/$AU168</f>
        <v>0.19631901840490798</v>
      </c>
      <c r="P502" s="2054">
        <f t="shared" si="538"/>
        <v>0.21574850374220633</v>
      </c>
      <c r="Q502" s="2054">
        <f t="shared" si="538"/>
        <v>0.35877700448564964</v>
      </c>
      <c r="R502" s="2054">
        <f t="shared" si="538"/>
        <v>0.22915547336723602</v>
      </c>
      <c r="S502" s="2054">
        <f t="shared" ref="S502:V506" si="539">S168/$AV168</f>
        <v>0.20491810461926754</v>
      </c>
      <c r="T502" s="2054">
        <f t="shared" si="539"/>
        <v>0.21128044238403632</v>
      </c>
      <c r="U502" s="2054">
        <f t="shared" si="539"/>
        <v>0.3575703932205172</v>
      </c>
      <c r="V502" s="2054">
        <f t="shared" si="539"/>
        <v>0.22623105977617891</v>
      </c>
      <c r="W502" s="2012">
        <f t="shared" ref="W502:Z506" si="540">W168/$AW168</f>
        <v>0.20793049348942846</v>
      </c>
      <c r="X502" s="2012">
        <f t="shared" si="540"/>
        <v>0.22404408724562327</v>
      </c>
      <c r="Y502" s="2012">
        <f t="shared" si="540"/>
        <v>0.34042444735187671</v>
      </c>
      <c r="Z502" s="2012">
        <f t="shared" si="540"/>
        <v>0.22760097191307155</v>
      </c>
      <c r="AA502" s="2012">
        <f t="shared" ref="AA502:AD506" si="541">AA168/$AX168</f>
        <v>0.21795125497243706</v>
      </c>
      <c r="AB502" s="2012">
        <f t="shared" si="541"/>
        <v>0.21869030551460938</v>
      </c>
      <c r="AC502" s="2012">
        <f t="shared" si="541"/>
        <v>0.32734285079659958</v>
      </c>
      <c r="AD502" s="2012">
        <f t="shared" si="541"/>
        <v>0.23601558871635403</v>
      </c>
      <c r="AE502" s="2012">
        <f t="shared" ref="AE502:AI506" si="542">AE168/$AY168</f>
        <v>0.22720060105184073</v>
      </c>
      <c r="AF502" s="2012">
        <f t="shared" si="542"/>
        <v>0.22775657400450788</v>
      </c>
      <c r="AG502" s="2012">
        <f t="shared" si="542"/>
        <v>0.33195492111194591</v>
      </c>
      <c r="AH502" s="2012">
        <f t="shared" si="542"/>
        <v>0.21308790383170548</v>
      </c>
      <c r="AI502" s="2012">
        <f t="shared" si="542"/>
        <v>0.30449586776859505</v>
      </c>
      <c r="AJ502" s="2012">
        <f t="shared" ref="AJ502:AL506" si="543">AJ168/$AZ168</f>
        <v>0.22573576232790027</v>
      </c>
      <c r="AK502" s="2012">
        <f t="shared" si="543"/>
        <v>0.32032552322794494</v>
      </c>
      <c r="AL502" s="2012">
        <f t="shared" si="543"/>
        <v>0.22260894574562046</v>
      </c>
      <c r="AM502" s="2012"/>
      <c r="AN502" s="2012"/>
      <c r="AO502" s="2012"/>
      <c r="AP502" s="2012"/>
      <c r="AQ502" s="2013"/>
      <c r="AR502" s="2012"/>
      <c r="AS502" s="2012"/>
      <c r="AT502" s="2014"/>
      <c r="AU502" s="2013"/>
      <c r="AV502" s="2012"/>
      <c r="AW502" s="2012"/>
      <c r="AX502" s="2014"/>
      <c r="AY502" s="2013"/>
      <c r="AZ502" s="2012"/>
      <c r="BA502" s="2012"/>
      <c r="BB502" s="2012"/>
      <c r="BC502" s="2012"/>
    </row>
    <row r="503" spans="1:71" s="1953" customFormat="1" ht="10.5" hidden="1" outlineLevel="1" thickBot="1" x14ac:dyDescent="0.35">
      <c r="A503" s="2039"/>
      <c r="B503" s="2475" t="s">
        <v>1116</v>
      </c>
      <c r="C503" s="2533">
        <f>C184/$AR184</f>
        <v>0.23413461538461539</v>
      </c>
      <c r="D503" s="2533">
        <f>D184/$AR184</f>
        <v>0.25216346153846153</v>
      </c>
      <c r="E503" s="2533">
        <f>E184/$AR184</f>
        <v>0.26298076923076924</v>
      </c>
      <c r="F503" s="2533">
        <f>F184/$AR184</f>
        <v>0.25072115384615384</v>
      </c>
      <c r="G503" s="2054">
        <f>G184/$AS184</f>
        <v>0.23026180169037311</v>
      </c>
      <c r="H503" s="2054">
        <f>H184/$AS184</f>
        <v>0.24242424242424243</v>
      </c>
      <c r="I503" s="2054">
        <f>I184/$AS184</f>
        <v>0.26056483199340341</v>
      </c>
      <c r="J503" s="2054">
        <f>J184/$AS184</f>
        <v>0.26674912389198102</v>
      </c>
      <c r="K503" s="2054">
        <f>K184/$AT184</f>
        <v>0.22648781991982733</v>
      </c>
      <c r="L503" s="2054">
        <f>L184/$AT184</f>
        <v>0.24930619796484738</v>
      </c>
      <c r="M503" s="2054">
        <f>M184/$AT184</f>
        <v>0.27181621954979956</v>
      </c>
      <c r="N503" s="2054">
        <f>N184/$AT184</f>
        <v>0.25238976256552575</v>
      </c>
      <c r="O503" s="2054">
        <f t="shared" si="538"/>
        <v>0.19692777406735998</v>
      </c>
      <c r="P503" s="2054">
        <f t="shared" si="538"/>
        <v>0.21623890850109723</v>
      </c>
      <c r="Q503" s="2054">
        <f t="shared" si="538"/>
        <v>0.36307604236237001</v>
      </c>
      <c r="R503" s="2054">
        <f t="shared" si="538"/>
        <v>0.22375727506917278</v>
      </c>
      <c r="S503" s="2054">
        <f t="shared" si="539"/>
        <v>0.20484709342069624</v>
      </c>
      <c r="T503" s="2054">
        <f t="shared" si="539"/>
        <v>0.21468831822109866</v>
      </c>
      <c r="U503" s="2054">
        <f t="shared" si="539"/>
        <v>0.36008822277540598</v>
      </c>
      <c r="V503" s="2054">
        <f t="shared" si="539"/>
        <v>0.22037636558279913</v>
      </c>
      <c r="W503" s="2012">
        <f t="shared" si="540"/>
        <v>0.22942643391521197</v>
      </c>
      <c r="X503" s="2012">
        <f t="shared" si="540"/>
        <v>0.22988143675897973</v>
      </c>
      <c r="Y503" s="2012">
        <f t="shared" si="540"/>
        <v>0.33950212188826179</v>
      </c>
      <c r="Z503" s="2012">
        <f t="shared" si="540"/>
        <v>0.20119000743754648</v>
      </c>
      <c r="AA503" s="2012">
        <f t="shared" si="541"/>
        <v>0.22688146948189231</v>
      </c>
      <c r="AB503" s="2012">
        <f t="shared" si="541"/>
        <v>0.22596853463661074</v>
      </c>
      <c r="AC503" s="2012">
        <f t="shared" si="541"/>
        <v>0.34040800636995139</v>
      </c>
      <c r="AD503" s="2012">
        <f t="shared" si="541"/>
        <v>0.20674198951154554</v>
      </c>
      <c r="AE503" s="2012">
        <f t="shared" si="542"/>
        <v>0.23919587675887705</v>
      </c>
      <c r="AF503" s="2012">
        <f t="shared" si="542"/>
        <v>0.23547287281351911</v>
      </c>
      <c r="AG503" s="2012">
        <f t="shared" si="542"/>
        <v>0.34912426737211794</v>
      </c>
      <c r="AH503" s="2012">
        <f t="shared" si="542"/>
        <v>0.17620698305548588</v>
      </c>
      <c r="AI503" s="2012">
        <f t="shared" si="542"/>
        <v>0.2932449998859723</v>
      </c>
      <c r="AJ503" s="2012">
        <f t="shared" si="543"/>
        <v>0.22781201280052515</v>
      </c>
      <c r="AK503" s="2012">
        <f t="shared" si="543"/>
        <v>0.34893169406380203</v>
      </c>
      <c r="AL503" s="2012">
        <f t="shared" si="543"/>
        <v>0.18878969393616149</v>
      </c>
      <c r="AM503" s="2012"/>
      <c r="AN503" s="2012"/>
      <c r="AO503" s="2012"/>
      <c r="AP503" s="2012"/>
      <c r="AQ503" s="2013"/>
      <c r="AR503" s="2012"/>
      <c r="AS503" s="2012"/>
      <c r="AT503" s="2014"/>
      <c r="AU503" s="2013"/>
      <c r="AV503" s="2012"/>
      <c r="AW503" s="2012"/>
      <c r="AX503" s="2014"/>
      <c r="AY503" s="2013"/>
      <c r="AZ503" s="2012"/>
      <c r="BA503" s="2012"/>
      <c r="BB503" s="2012"/>
      <c r="BC503" s="2012"/>
    </row>
    <row r="504" spans="1:71" s="1953" customFormat="1" ht="10.5" hidden="1" outlineLevel="1" thickBot="1" x14ac:dyDescent="0.35">
      <c r="A504" s="2039"/>
      <c r="B504" s="2475" t="s">
        <v>1117</v>
      </c>
      <c r="C504" s="2533">
        <f>C251/$AR251</f>
        <v>0.23846153846153847</v>
      </c>
      <c r="D504" s="2533">
        <f>D251/$AR251</f>
        <v>0.25230769230769229</v>
      </c>
      <c r="E504" s="2533">
        <f>E251/$AR251</f>
        <v>0.25384615384615383</v>
      </c>
      <c r="F504" s="2533">
        <f>F251/$AR251</f>
        <v>0.25538461538461538</v>
      </c>
      <c r="G504" s="2054">
        <f>G251/$AS251</f>
        <v>0.22509702457956016</v>
      </c>
      <c r="H504" s="2054">
        <f>H251/$AS251</f>
        <v>0.24579560155239327</v>
      </c>
      <c r="I504" s="2054">
        <f>I251/$AS251</f>
        <v>0.25355756791720568</v>
      </c>
      <c r="J504" s="2054">
        <f>J251/$AS251</f>
        <v>0.27554980595084089</v>
      </c>
      <c r="K504" s="2054">
        <f>K251/$AT251</f>
        <v>0.18568056648308418</v>
      </c>
      <c r="L504" s="2054">
        <f>L251/$AT251</f>
        <v>0.22423288749016523</v>
      </c>
      <c r="M504" s="2054">
        <f>M251/$AT251</f>
        <v>0.28481510621557826</v>
      </c>
      <c r="N504" s="2054">
        <f>N251/$AT251</f>
        <v>0.30527143981117233</v>
      </c>
      <c r="O504" s="2054">
        <f t="shared" si="538"/>
        <v>0.19609872571650758</v>
      </c>
      <c r="P504" s="2054">
        <f t="shared" si="538"/>
        <v>0.21300025007748291</v>
      </c>
      <c r="Q504" s="2054">
        <f t="shared" si="538"/>
        <v>0.35471713676942285</v>
      </c>
      <c r="R504" s="2054">
        <f t="shared" si="538"/>
        <v>0.23618388743658655</v>
      </c>
      <c r="S504" s="2054">
        <f t="shared" si="539"/>
        <v>0.20331121939763988</v>
      </c>
      <c r="T504" s="2054">
        <f t="shared" si="539"/>
        <v>0.20149122292021371</v>
      </c>
      <c r="U504" s="2054">
        <f t="shared" si="539"/>
        <v>0.35434157224211826</v>
      </c>
      <c r="V504" s="2054">
        <f t="shared" si="539"/>
        <v>0.24085598544002818</v>
      </c>
      <c r="W504" s="2012">
        <f t="shared" si="540"/>
        <v>0.19082213863514239</v>
      </c>
      <c r="X504" s="2012">
        <f t="shared" si="540"/>
        <v>0.21620634067705535</v>
      </c>
      <c r="Y504" s="2012">
        <f t="shared" si="540"/>
        <v>0.34865126276195596</v>
      </c>
      <c r="Z504" s="2012">
        <f t="shared" si="540"/>
        <v>0.24432025792584633</v>
      </c>
      <c r="AA504" s="2012">
        <f t="shared" si="541"/>
        <v>0.22241984251459246</v>
      </c>
      <c r="AB504" s="2012">
        <f t="shared" si="541"/>
        <v>0.21239510404708392</v>
      </c>
      <c r="AC504" s="2012">
        <f t="shared" si="541"/>
        <v>0.32604653418920887</v>
      </c>
      <c r="AD504" s="2012">
        <f t="shared" si="541"/>
        <v>0.23913851924911475</v>
      </c>
      <c r="AE504" s="2012">
        <f t="shared" si="542"/>
        <v>0.23776833694398333</v>
      </c>
      <c r="AF504" s="2012">
        <f t="shared" si="542"/>
        <v>0.22894803477477985</v>
      </c>
      <c r="AG504" s="2012">
        <f t="shared" si="542"/>
        <v>0.32930534845117182</v>
      </c>
      <c r="AH504" s="2012">
        <f t="shared" si="542"/>
        <v>0.203978279830065</v>
      </c>
      <c r="AI504" s="2012">
        <f t="shared" si="542"/>
        <v>0.27826857609093208</v>
      </c>
      <c r="AJ504" s="2012">
        <f t="shared" si="543"/>
        <v>0.22059964437247082</v>
      </c>
      <c r="AK504" s="2012">
        <f t="shared" si="543"/>
        <v>0.32008082768116225</v>
      </c>
      <c r="AL504" s="2012">
        <f t="shared" si="543"/>
        <v>0.22412500587064835</v>
      </c>
      <c r="AM504" s="2012"/>
      <c r="AN504" s="2012"/>
      <c r="AO504" s="2012"/>
      <c r="AP504" s="2012"/>
      <c r="AQ504" s="2013"/>
      <c r="AR504" s="2012"/>
      <c r="AS504" s="2012"/>
      <c r="AT504" s="2014"/>
      <c r="AU504" s="2013"/>
      <c r="AV504" s="2012"/>
      <c r="AW504" s="2012"/>
      <c r="AX504" s="2014"/>
      <c r="AY504" s="2013"/>
      <c r="AZ504" s="2012"/>
      <c r="BA504" s="2012"/>
      <c r="BB504" s="2012"/>
      <c r="BC504" s="2012"/>
    </row>
    <row r="505" spans="1:71" s="1953" customFormat="1" ht="10.5" hidden="1" outlineLevel="1" thickBot="1" x14ac:dyDescent="0.35">
      <c r="A505" s="2039"/>
      <c r="B505" s="2475" t="s">
        <v>989</v>
      </c>
      <c r="C505" s="2533"/>
      <c r="D505" s="2533"/>
      <c r="E505" s="2533"/>
      <c r="F505" s="2533"/>
      <c r="G505" s="2054"/>
      <c r="H505" s="2054"/>
      <c r="I505" s="2054"/>
      <c r="J505" s="2054"/>
      <c r="K505" s="2054"/>
      <c r="L505" s="2054"/>
      <c r="M505" s="2054"/>
      <c r="N505" s="2054"/>
      <c r="O505" s="2054"/>
      <c r="P505" s="2054"/>
      <c r="Q505" s="2054"/>
      <c r="R505" s="2054"/>
      <c r="S505" s="2054">
        <f t="shared" si="539"/>
        <v>0.22890127388535031</v>
      </c>
      <c r="T505" s="2054">
        <f t="shared" si="539"/>
        <v>0.23885350318471338</v>
      </c>
      <c r="U505" s="2054">
        <f t="shared" si="539"/>
        <v>0.32364649681528662</v>
      </c>
      <c r="V505" s="2054">
        <f t="shared" si="539"/>
        <v>0.20859872611464969</v>
      </c>
      <c r="W505" s="2012">
        <f t="shared" si="540"/>
        <v>0.10248269731411518</v>
      </c>
      <c r="X505" s="2012">
        <f t="shared" si="540"/>
        <v>0.20483840243825005</v>
      </c>
      <c r="Y505" s="2012">
        <f t="shared" si="540"/>
        <v>0.3228141469299638</v>
      </c>
      <c r="Z505" s="2012">
        <f t="shared" si="540"/>
        <v>0.36986475331767094</v>
      </c>
      <c r="AA505" s="2012">
        <f t="shared" si="541"/>
        <v>0.17859994012573596</v>
      </c>
      <c r="AB505" s="2012">
        <f t="shared" si="541"/>
        <v>0.20195090310348268</v>
      </c>
      <c r="AC505" s="2012">
        <f t="shared" si="541"/>
        <v>0.28185809799421213</v>
      </c>
      <c r="AD505" s="2012">
        <f t="shared" si="541"/>
        <v>0.3375910587765692</v>
      </c>
      <c r="AE505" s="2012">
        <f t="shared" si="542"/>
        <v>0.19410441878796308</v>
      </c>
      <c r="AF505" s="2012">
        <f t="shared" si="542"/>
        <v>0.21108638197245791</v>
      </c>
      <c r="AG505" s="2012">
        <f t="shared" si="542"/>
        <v>0.29923030555941948</v>
      </c>
      <c r="AH505" s="2012">
        <f t="shared" si="542"/>
        <v>0.29557889368015949</v>
      </c>
      <c r="AI505" s="2012">
        <f t="shared" si="542"/>
        <v>0.34898224138730466</v>
      </c>
      <c r="AJ505" s="2012">
        <f t="shared" si="543"/>
        <v>0.2255611725325592</v>
      </c>
      <c r="AK505" s="2012">
        <f t="shared" si="543"/>
        <v>0.27383054164450205</v>
      </c>
      <c r="AL505" s="2012">
        <f t="shared" si="543"/>
        <v>0.27681000976177744</v>
      </c>
      <c r="AM505" s="2012"/>
      <c r="AN505" s="2012"/>
      <c r="AO505" s="2012"/>
      <c r="AP505" s="2012"/>
      <c r="AQ505" s="2013"/>
      <c r="AR505" s="2012"/>
      <c r="AS505" s="2012"/>
      <c r="AT505" s="2014"/>
      <c r="AU505" s="2013"/>
      <c r="AV505" s="2012"/>
      <c r="AW505" s="2012"/>
      <c r="AX505" s="2014"/>
      <c r="AY505" s="2013"/>
      <c r="AZ505" s="2012"/>
      <c r="BA505" s="2012"/>
      <c r="BB505" s="2012"/>
      <c r="BC505" s="2012"/>
    </row>
    <row r="506" spans="1:71" s="1953" customFormat="1" ht="10.5" hidden="1" outlineLevel="1" thickBot="1" x14ac:dyDescent="0.35">
      <c r="A506" s="2039"/>
      <c r="B506" s="2475" t="s">
        <v>1167</v>
      </c>
      <c r="C506" s="2533"/>
      <c r="D506" s="2533"/>
      <c r="E506" s="2533"/>
      <c r="F506" s="2533"/>
      <c r="G506" s="2054"/>
      <c r="H506" s="2054"/>
      <c r="I506" s="2054"/>
      <c r="J506" s="2054"/>
      <c r="K506" s="2054"/>
      <c r="L506" s="2054"/>
      <c r="M506" s="2054"/>
      <c r="N506" s="2054"/>
      <c r="O506" s="2054"/>
      <c r="P506" s="2054"/>
      <c r="Q506" s="2054"/>
      <c r="R506" s="2054"/>
      <c r="S506" s="2054">
        <f t="shared" si="539"/>
        <v>0.11363636363636363</v>
      </c>
      <c r="T506" s="2054">
        <f t="shared" si="539"/>
        <v>0.18181818181818182</v>
      </c>
      <c r="U506" s="2054">
        <f t="shared" si="539"/>
        <v>0.29545454545454547</v>
      </c>
      <c r="V506" s="2054">
        <f t="shared" si="539"/>
        <v>0.40909090909090912</v>
      </c>
      <c r="W506" s="2012">
        <f t="shared" si="540"/>
        <v>0.1</v>
      </c>
      <c r="X506" s="2012">
        <f t="shared" si="540"/>
        <v>0.2</v>
      </c>
      <c r="Y506" s="2012">
        <f t="shared" si="540"/>
        <v>0.3</v>
      </c>
      <c r="Z506" s="2012">
        <f t="shared" si="540"/>
        <v>0.4</v>
      </c>
      <c r="AA506" s="2012">
        <f t="shared" si="541"/>
        <v>0.14767932489451477</v>
      </c>
      <c r="AB506" s="2012">
        <f t="shared" si="541"/>
        <v>0.21940928270042195</v>
      </c>
      <c r="AC506" s="2012">
        <f t="shared" si="541"/>
        <v>0.30379746835443039</v>
      </c>
      <c r="AD506" s="2012">
        <f t="shared" si="541"/>
        <v>0.32911392405063289</v>
      </c>
      <c r="AE506" s="2012">
        <f t="shared" si="542"/>
        <v>0.25002515343595938</v>
      </c>
      <c r="AF506" s="2012">
        <f t="shared" si="542"/>
        <v>0.23020424589998997</v>
      </c>
      <c r="AG506" s="2012">
        <f t="shared" si="542"/>
        <v>0.26079082402656201</v>
      </c>
      <c r="AH506" s="2012">
        <f t="shared" si="542"/>
        <v>0.25897977663748867</v>
      </c>
      <c r="AI506" s="2012">
        <f t="shared" si="542"/>
        <v>0.40004024549753497</v>
      </c>
      <c r="AJ506" s="2012">
        <f t="shared" si="543"/>
        <v>0.22995560355975567</v>
      </c>
      <c r="AK506" s="2012">
        <f t="shared" si="543"/>
        <v>0.25356223475036549</v>
      </c>
      <c r="AL506" s="2012">
        <f t="shared" si="543"/>
        <v>0.25007671887123423</v>
      </c>
      <c r="AM506" s="2012"/>
      <c r="AN506" s="2012"/>
      <c r="AO506" s="2012"/>
      <c r="AP506" s="2012"/>
      <c r="AQ506" s="2013"/>
      <c r="AR506" s="2012"/>
      <c r="AS506" s="2012"/>
      <c r="AT506" s="2014"/>
      <c r="AU506" s="2013"/>
      <c r="AV506" s="2012"/>
      <c r="AW506" s="2012"/>
      <c r="AX506" s="2014"/>
      <c r="AY506" s="2013"/>
      <c r="AZ506" s="2012"/>
      <c r="BA506" s="2012"/>
      <c r="BB506" s="2012"/>
      <c r="BC506" s="2012"/>
    </row>
    <row r="507" spans="1:71" s="1953" customFormat="1" ht="10.5" hidden="1" outlineLevel="1" thickBot="1" x14ac:dyDescent="0.35">
      <c r="A507" s="2039"/>
      <c r="B507" s="2475" t="s">
        <v>516</v>
      </c>
      <c r="C507" s="2533">
        <f>C313/$AR313</f>
        <v>0.11666666666666667</v>
      </c>
      <c r="D507" s="2533">
        <f>D313/$AR313</f>
        <v>0.17037037037037037</v>
      </c>
      <c r="E507" s="2533">
        <f>E313/$AR313</f>
        <v>0.3</v>
      </c>
      <c r="F507" s="2533">
        <f>F313/$AR313</f>
        <v>0.41296296296296298</v>
      </c>
      <c r="G507" s="2054">
        <f>G313/$AS313</f>
        <v>0.16819221967963388</v>
      </c>
      <c r="H507" s="2054">
        <f>H313/$AS313</f>
        <v>0.2122425629290618</v>
      </c>
      <c r="I507" s="2054">
        <f>I313/$AS313</f>
        <v>0.2997711670480549</v>
      </c>
      <c r="J507" s="2054">
        <f>J313/$AS313</f>
        <v>0.31979405034324943</v>
      </c>
      <c r="K507" s="2054">
        <f>K313/$AT313</f>
        <v>0.13030852994555353</v>
      </c>
      <c r="L507" s="2054">
        <f>L313/$AT313</f>
        <v>0.24827586206896551</v>
      </c>
      <c r="M507" s="2054">
        <f>M313/$AT313</f>
        <v>0.34827586206896549</v>
      </c>
      <c r="N507" s="2054">
        <f>N313/$AT313</f>
        <v>0.27313974591651541</v>
      </c>
      <c r="O507" s="2054">
        <f>O313/$AU313</f>
        <v>0.21137026239067055</v>
      </c>
      <c r="P507" s="2054">
        <f>P313/$AU313</f>
        <v>0.22238419177194688</v>
      </c>
      <c r="Q507" s="2054">
        <f>Q313/$AU313</f>
        <v>0.28927761580822803</v>
      </c>
      <c r="R507" s="2054">
        <f>R313/$AU313</f>
        <v>0.27696793002915454</v>
      </c>
      <c r="S507" s="2054" t="s">
        <v>1027</v>
      </c>
      <c r="T507" s="2054" t="s">
        <v>1027</v>
      </c>
      <c r="U507" s="2054" t="s">
        <v>1027</v>
      </c>
      <c r="V507" s="2054" t="s">
        <v>1027</v>
      </c>
      <c r="W507" s="2012" t="s">
        <v>1027</v>
      </c>
      <c r="X507" s="2012" t="s">
        <v>1027</v>
      </c>
      <c r="Y507" s="2012" t="s">
        <v>1027</v>
      </c>
      <c r="Z507" s="2012" t="s">
        <v>1027</v>
      </c>
      <c r="AA507" s="2012" t="s">
        <v>1027</v>
      </c>
      <c r="AB507" s="2012" t="s">
        <v>1027</v>
      </c>
      <c r="AC507" s="2012" t="s">
        <v>1027</v>
      </c>
      <c r="AD507" s="2012" t="s">
        <v>1027</v>
      </c>
      <c r="AE507" s="2012" t="s">
        <v>1027</v>
      </c>
      <c r="AF507" s="2012" t="s">
        <v>1027</v>
      </c>
      <c r="AG507" s="2012" t="s">
        <v>1027</v>
      </c>
      <c r="AH507" s="2012" t="s">
        <v>992</v>
      </c>
      <c r="AI507" s="2012" t="s">
        <v>992</v>
      </c>
      <c r="AJ507" s="2012" t="s">
        <v>1027</v>
      </c>
      <c r="AK507" s="2012" t="s">
        <v>1027</v>
      </c>
      <c r="AL507" s="2012" t="s">
        <v>1027</v>
      </c>
      <c r="AM507" s="2012"/>
      <c r="AN507" s="2012"/>
      <c r="AO507" s="2012"/>
      <c r="AP507" s="2012"/>
      <c r="AQ507" s="2013"/>
      <c r="AR507" s="2012"/>
      <c r="AS507" s="2012"/>
      <c r="AT507" s="2014"/>
      <c r="AU507" s="2013"/>
      <c r="AV507" s="2012"/>
      <c r="AW507" s="2012"/>
      <c r="AX507" s="2014"/>
      <c r="AY507" s="2013"/>
      <c r="AZ507" s="2012"/>
      <c r="BA507" s="2012"/>
      <c r="BB507" s="2012"/>
      <c r="BC507" s="2012"/>
    </row>
    <row r="508" spans="1:71" s="1953" customFormat="1" ht="10.5" hidden="1" outlineLevel="1" thickBot="1" x14ac:dyDescent="0.35">
      <c r="A508" s="2039"/>
      <c r="B508" s="2608" t="s">
        <v>1168</v>
      </c>
      <c r="C508" s="2609">
        <f>C323/$AR323</f>
        <v>0.19680157603499726</v>
      </c>
      <c r="D508" s="2609">
        <f>D323/$AR323</f>
        <v>0.21603847379552105</v>
      </c>
      <c r="E508" s="2609">
        <f>E323/$AR323</f>
        <v>0.33586348755685602</v>
      </c>
      <c r="F508" s="2609">
        <f>F323/$AR323</f>
        <v>0.25129646261262567</v>
      </c>
      <c r="G508" s="2610">
        <f>G323/$AS323</f>
        <v>0.20527959774493371</v>
      </c>
      <c r="H508" s="2610">
        <f>H323/$AS323</f>
        <v>0.20855553862562853</v>
      </c>
      <c r="I508" s="2610">
        <f>I323/$AS323</f>
        <v>0.35702041749200059</v>
      </c>
      <c r="J508" s="2610">
        <f>J323/$AS323</f>
        <v>0.22914444613743715</v>
      </c>
      <c r="K508" s="2610">
        <f>K323/$AT323</f>
        <v>0.20695764001889663</v>
      </c>
      <c r="L508" s="2610">
        <f>L323/$AT323</f>
        <v>0.22084142564694767</v>
      </c>
      <c r="M508" s="2610">
        <f>M323/$AT323</f>
        <v>0.34353839693454413</v>
      </c>
      <c r="N508" s="2610">
        <f>N323/$AT323</f>
        <v>0.22866253739961157</v>
      </c>
      <c r="O508" s="2610">
        <f>O323/$AU323</f>
        <v>0.20016214666363466</v>
      </c>
      <c r="P508" s="2610">
        <f>P323/$AU323</f>
        <v>0.21920449264902167</v>
      </c>
      <c r="Q508" s="2610">
        <f>Q323/$AU323</f>
        <v>0.3415263537763365</v>
      </c>
      <c r="R508" s="2610">
        <f>R323/$AU323</f>
        <v>0.2391070069110072</v>
      </c>
      <c r="S508" s="2610">
        <f>S323/$AV323</f>
        <v>0.20315530760142286</v>
      </c>
      <c r="T508" s="2610">
        <f>T323/$AV323</f>
        <v>0.21666361287143102</v>
      </c>
      <c r="U508" s="2610">
        <f>U323/$AV323</f>
        <v>0.33643135594826662</v>
      </c>
      <c r="V508" s="2610">
        <f>V323/$AV323</f>
        <v>0.24374972357887953</v>
      </c>
      <c r="W508" s="2610">
        <f>W323/$AW323</f>
        <v>0.20052264390688307</v>
      </c>
      <c r="X508" s="2610">
        <f>X323/$AW323</f>
        <v>0.22025365011627629</v>
      </c>
      <c r="Y508" s="2610">
        <f>Y323/$AW323</f>
        <v>0.33175900841504641</v>
      </c>
      <c r="Z508" s="2610">
        <f>Z323/$AW323</f>
        <v>0.24746469756179426</v>
      </c>
      <c r="AA508" s="2610">
        <f>AA323/$AX323</f>
        <v>0.21473076392353335</v>
      </c>
      <c r="AB508" s="2610">
        <f>AB323/$AX323</f>
        <v>0.22595026058528198</v>
      </c>
      <c r="AC508" s="2610">
        <f>AC323/$AX323</f>
        <v>0.31121100508433197</v>
      </c>
      <c r="AD508" s="2610">
        <f>AD323/$AX323</f>
        <v>0.2481079704068527</v>
      </c>
      <c r="AE508" s="2610">
        <f>AE323/$AY323</f>
        <v>0.22546894220450411</v>
      </c>
      <c r="AF508" s="2610">
        <f>AF323/$AY323</f>
        <v>0.23349898275689557</v>
      </c>
      <c r="AG508" s="2610">
        <f>AG323/$AY323</f>
        <v>0.31675988942753835</v>
      </c>
      <c r="AH508" s="2610">
        <f>AH323/$AY323</f>
        <v>0.22427218561106196</v>
      </c>
      <c r="AI508" s="2610">
        <f>AI323/$AY323</f>
        <v>0.30164348032512539</v>
      </c>
      <c r="AJ508" s="2610">
        <f>AJ323/$AZ323</f>
        <v>0.23110255179757064</v>
      </c>
      <c r="AK508" s="2610">
        <f>AK323/$AZ323</f>
        <v>0.30798021229365968</v>
      </c>
      <c r="AL508" s="2610">
        <f>AL323/$AZ323</f>
        <v>0.23428717954686087</v>
      </c>
      <c r="AM508" s="2610"/>
      <c r="AN508" s="2610"/>
      <c r="AO508" s="2610"/>
      <c r="AP508" s="2610"/>
      <c r="AQ508" s="2611"/>
      <c r="AR508" s="2610"/>
      <c r="AS508" s="2610"/>
      <c r="AT508" s="2612"/>
      <c r="AU508" s="2611"/>
      <c r="AV508" s="2610"/>
      <c r="AW508" s="2610"/>
      <c r="AX508" s="2612"/>
      <c r="AY508" s="2611"/>
      <c r="AZ508" s="2610"/>
      <c r="BA508" s="2610"/>
      <c r="BB508" s="2610"/>
      <c r="BC508" s="2610"/>
    </row>
    <row r="509" spans="1:71" s="1953" customFormat="1" ht="10.15" collapsed="1" x14ac:dyDescent="0.3">
      <c r="A509" s="2039"/>
      <c r="B509" s="2473"/>
      <c r="C509" s="2533"/>
      <c r="D509" s="2533"/>
      <c r="E509" s="2533"/>
      <c r="F509" s="2533"/>
      <c r="G509" s="2054"/>
      <c r="H509" s="2054"/>
      <c r="I509" s="2054"/>
      <c r="J509" s="2054"/>
      <c r="K509" s="2054"/>
      <c r="L509" s="2054"/>
      <c r="M509" s="2054"/>
      <c r="N509" s="2054"/>
      <c r="O509" s="2054"/>
      <c r="P509" s="2054"/>
      <c r="Q509" s="2054"/>
      <c r="R509" s="2613"/>
      <c r="S509" s="2012"/>
      <c r="T509" s="2012"/>
      <c r="U509" s="2012"/>
      <c r="V509" s="2012"/>
      <c r="W509" s="2012"/>
      <c r="X509" s="2012"/>
      <c r="Y509" s="2012"/>
      <c r="Z509" s="2012"/>
      <c r="AA509" s="2012"/>
      <c r="AB509" s="2012"/>
      <c r="AC509" s="2012"/>
      <c r="AD509" s="2012"/>
      <c r="AE509" s="2012"/>
      <c r="AF509" s="2012"/>
      <c r="AG509" s="2012"/>
      <c r="AH509" s="2012"/>
      <c r="AI509" s="2012"/>
      <c r="AJ509" s="2012"/>
      <c r="AK509" s="2012"/>
      <c r="AL509" s="2012"/>
      <c r="AM509" s="2012"/>
      <c r="AN509" s="2012"/>
      <c r="AO509" s="2012"/>
      <c r="AP509" s="2012"/>
      <c r="AQ509" s="2012"/>
      <c r="AR509" s="2012"/>
      <c r="AS509" s="2012"/>
      <c r="AT509" s="2012"/>
      <c r="AU509" s="2012"/>
      <c r="AV509" s="2613"/>
      <c r="AW509" s="1950"/>
      <c r="AX509" s="1950"/>
      <c r="AY509" s="1950"/>
      <c r="AZ509" s="1950"/>
      <c r="BA509" s="1950"/>
      <c r="BB509" s="1950"/>
      <c r="BC509" s="1950"/>
    </row>
    <row r="510" spans="1:71" s="1953" customFormat="1" ht="10.15" x14ac:dyDescent="0.3">
      <c r="A510" s="2039"/>
      <c r="B510" s="2473" t="s">
        <v>1169</v>
      </c>
      <c r="C510" s="2248">
        <f>(C516+C517-C546-C534-C536-C547-C535)/C6</f>
        <v>0</v>
      </c>
      <c r="D510" s="2248">
        <f>(D516+D517-D546-D534-D536-D547-D535)/D6</f>
        <v>0</v>
      </c>
      <c r="E510" s="2248">
        <f>(E516+E517-E546-E534-E536-E547-E535)/E6</f>
        <v>0</v>
      </c>
      <c r="F510" s="2248">
        <f>(F516+F517-F546-F534-F536-F547-F535)/F6</f>
        <v>0</v>
      </c>
      <c r="G510" s="2248">
        <f>(G516+G517-G546-G534-G536-G547-G535)/G6</f>
        <v>0</v>
      </c>
      <c r="H510" s="1974">
        <f t="shared" ref="H510:AI510" si="544">(H516+H517+H519+H525-H546-H534-H536-H547-H535)/H6</f>
        <v>1131.0457516339868</v>
      </c>
      <c r="I510" s="1974">
        <f t="shared" si="544"/>
        <v>1809.4718932223268</v>
      </c>
      <c r="J510" s="1974">
        <f t="shared" si="544"/>
        <v>1129.5926903030693</v>
      </c>
      <c r="K510" s="1974">
        <f t="shared" si="544"/>
        <v>113.4824940357212</v>
      </c>
      <c r="L510" s="1974">
        <f t="shared" si="544"/>
        <v>9311.66503747149</v>
      </c>
      <c r="M510" s="1974">
        <f t="shared" si="544"/>
        <v>12354.543403281436</v>
      </c>
      <c r="N510" s="1974">
        <f t="shared" si="544"/>
        <v>14198.580416196161</v>
      </c>
      <c r="O510" s="1974">
        <f t="shared" si="544"/>
        <v>14522.096774193547</v>
      </c>
      <c r="P510" s="1974">
        <f t="shared" si="544"/>
        <v>12800.837057083518</v>
      </c>
      <c r="Q510" s="1974">
        <f t="shared" si="544"/>
        <v>15430.701781469017</v>
      </c>
      <c r="R510" s="1974">
        <f t="shared" si="544"/>
        <v>23167.803970223325</v>
      </c>
      <c r="S510" s="1974">
        <f t="shared" si="544"/>
        <v>5818.4745482176977</v>
      </c>
      <c r="T510" s="1974">
        <f t="shared" si="544"/>
        <v>9098.1480092974434</v>
      </c>
      <c r="U510" s="1974">
        <f t="shared" si="544"/>
        <v>12286.043497047387</v>
      </c>
      <c r="V510" s="1974">
        <f t="shared" si="544"/>
        <v>13151.005346350534</v>
      </c>
      <c r="W510" s="1974">
        <f t="shared" si="544"/>
        <v>13302.848376676058</v>
      </c>
      <c r="X510" s="1974">
        <f t="shared" si="544"/>
        <v>15980.791486931297</v>
      </c>
      <c r="Y510" s="1974">
        <f t="shared" si="544"/>
        <v>19927.762322671872</v>
      </c>
      <c r="Z510" s="1974">
        <f t="shared" si="544"/>
        <v>19585.020565634666</v>
      </c>
      <c r="AA510" s="1974">
        <f t="shared" si="544"/>
        <v>24534.010367079234</v>
      </c>
      <c r="AB510" s="1974">
        <f t="shared" si="544"/>
        <v>25595.224228305182</v>
      </c>
      <c r="AC510" s="1974">
        <f t="shared" si="544"/>
        <v>29312.486364628028</v>
      </c>
      <c r="AD510" s="1974">
        <f t="shared" si="544"/>
        <v>33668.345452378118</v>
      </c>
      <c r="AE510" s="1974">
        <f t="shared" si="544"/>
        <v>36407.865986890021</v>
      </c>
      <c r="AF510" s="1974">
        <f t="shared" si="544"/>
        <v>36798.270772416297</v>
      </c>
      <c r="AG510" s="1974">
        <f t="shared" si="544"/>
        <v>59320.578011433819</v>
      </c>
      <c r="AH510" s="1974">
        <f t="shared" si="544"/>
        <v>56365.664896621849</v>
      </c>
      <c r="AI510" s="1974">
        <f t="shared" si="544"/>
        <v>62749.288757413196</v>
      </c>
      <c r="AJ510" s="1974"/>
      <c r="AK510" s="1974"/>
      <c r="AL510" s="1974"/>
      <c r="AM510" s="1974"/>
      <c r="AN510" s="1974"/>
      <c r="AO510" s="1974"/>
      <c r="AP510" s="1974"/>
      <c r="AQ510" s="1974">
        <f t="shared" ref="AQ510:BC510" si="545">(AQ516+AQ517+AQ519+AQ525-AQ546-AQ534-AQ536-AQ547-AQ535)/AQ6</f>
        <v>3386.6454689984103</v>
      </c>
      <c r="AR510" s="1974">
        <f t="shared" si="545"/>
        <v>909.22264442583889</v>
      </c>
      <c r="AS510" s="1974">
        <f t="shared" si="545"/>
        <v>1129.5926903030693</v>
      </c>
      <c r="AT510" s="1974">
        <f t="shared" si="545"/>
        <v>14198.580416196161</v>
      </c>
      <c r="AU510" s="1974">
        <f t="shared" si="545"/>
        <v>23167.803970223325</v>
      </c>
      <c r="AV510" s="1974">
        <f t="shared" si="545"/>
        <v>13151.005346350534</v>
      </c>
      <c r="AW510" s="1974">
        <f t="shared" si="545"/>
        <v>19585.020565634666</v>
      </c>
      <c r="AX510" s="1974">
        <f t="shared" si="545"/>
        <v>33668.345452378118</v>
      </c>
      <c r="AY510" s="1974">
        <f t="shared" si="545"/>
        <v>56365.664896621849</v>
      </c>
      <c r="AZ510" s="1974">
        <f t="shared" si="545"/>
        <v>70173.900432611597</v>
      </c>
      <c r="BA510" s="1974">
        <f t="shared" si="545"/>
        <v>83207.986220264822</v>
      </c>
      <c r="BB510" s="1974">
        <f t="shared" si="545"/>
        <v>96140.197229426805</v>
      </c>
      <c r="BC510" s="1974">
        <f t="shared" si="545"/>
        <v>114738.54900159802</v>
      </c>
    </row>
    <row r="511" spans="1:71" s="2617" customFormat="1" ht="10.5" thickBot="1" x14ac:dyDescent="0.35">
      <c r="A511" s="2039"/>
      <c r="B511" s="2614" t="s">
        <v>1170</v>
      </c>
      <c r="C511" s="2615">
        <f t="shared" ref="C511:AI511" si="546">C510/C379</f>
        <v>0</v>
      </c>
      <c r="D511" s="2615">
        <f t="shared" si="546"/>
        <v>0</v>
      </c>
      <c r="E511" s="2615">
        <f t="shared" si="546"/>
        <v>0</v>
      </c>
      <c r="F511" s="2615">
        <f t="shared" si="546"/>
        <v>0</v>
      </c>
      <c r="G511" s="2615">
        <f t="shared" si="546"/>
        <v>0</v>
      </c>
      <c r="H511" s="2615">
        <f t="shared" si="546"/>
        <v>0.4881509502088851</v>
      </c>
      <c r="I511" s="2615">
        <f t="shared" si="546"/>
        <v>0.77228847341968709</v>
      </c>
      <c r="J511" s="2615">
        <f t="shared" si="546"/>
        <v>0.47803330101695696</v>
      </c>
      <c r="K511" s="2615">
        <f t="shared" si="546"/>
        <v>4.86631621079422E-2</v>
      </c>
      <c r="L511" s="2615">
        <f t="shared" si="546"/>
        <v>3.8193868078225965</v>
      </c>
      <c r="M511" s="2615">
        <f t="shared" si="546"/>
        <v>4.7737802949310026</v>
      </c>
      <c r="N511" s="2615">
        <f t="shared" si="546"/>
        <v>5.4926810120681475</v>
      </c>
      <c r="O511" s="2615">
        <f t="shared" si="546"/>
        <v>5.6113202373236275</v>
      </c>
      <c r="P511" s="2615">
        <f t="shared" si="546"/>
        <v>4.9925261533087042</v>
      </c>
      <c r="Q511" s="2615">
        <f t="shared" si="546"/>
        <v>6.0512556005760851</v>
      </c>
      <c r="R511" s="2615">
        <f t="shared" si="546"/>
        <v>9.0996873410146613</v>
      </c>
      <c r="S511" s="2615">
        <f t="shared" si="546"/>
        <v>2.2657611169072029</v>
      </c>
      <c r="T511" s="2615">
        <f t="shared" si="546"/>
        <v>3.545653939710617</v>
      </c>
      <c r="U511" s="2615">
        <f t="shared" si="546"/>
        <v>4.7787022547831146</v>
      </c>
      <c r="V511" s="2615">
        <f t="shared" si="546"/>
        <v>5.0953139660405009</v>
      </c>
      <c r="W511" s="2615">
        <f t="shared" si="546"/>
        <v>5.1184487790211843</v>
      </c>
      <c r="X511" s="2615">
        <f t="shared" si="546"/>
        <v>6.1299545404416174</v>
      </c>
      <c r="Y511" s="2615">
        <f t="shared" si="546"/>
        <v>7.6205592056106584</v>
      </c>
      <c r="Z511" s="2615">
        <f t="shared" si="546"/>
        <v>7.4780529078406515</v>
      </c>
      <c r="AA511" s="2615">
        <f t="shared" si="546"/>
        <v>9.3391741024283341</v>
      </c>
      <c r="AB511" s="2615">
        <f t="shared" si="546"/>
        <v>9.7394308326884254</v>
      </c>
      <c r="AC511" s="2615">
        <f t="shared" si="546"/>
        <v>11.213652014012252</v>
      </c>
      <c r="AD511" s="2615">
        <f t="shared" si="546"/>
        <v>12.826036362810711</v>
      </c>
      <c r="AE511" s="2615">
        <f t="shared" si="546"/>
        <v>13.822272584240707</v>
      </c>
      <c r="AF511" s="2615">
        <f t="shared" si="546"/>
        <v>13.954596424882935</v>
      </c>
      <c r="AG511" s="2615">
        <f t="shared" si="546"/>
        <v>22.184210176302848</v>
      </c>
      <c r="AH511" s="2615">
        <f t="shared" si="546"/>
        <v>20.669477409835661</v>
      </c>
      <c r="AI511" s="2615">
        <f t="shared" si="546"/>
        <v>22.894933415091927</v>
      </c>
      <c r="AJ511" s="2615"/>
      <c r="AK511" s="2615"/>
      <c r="AL511" s="2615"/>
      <c r="AM511" s="2615"/>
      <c r="AN511" s="2615"/>
      <c r="AO511" s="2615"/>
      <c r="AP511" s="2615"/>
      <c r="AQ511" s="2615">
        <f t="shared" ref="AQ511:BC511" si="547">AQ510/AQ379</f>
        <v>1.3428411851698692</v>
      </c>
      <c r="AR511" s="2615">
        <f t="shared" si="547"/>
        <v>0.38058712617238966</v>
      </c>
      <c r="AS511" s="2615">
        <f t="shared" si="547"/>
        <v>0.48438794609908631</v>
      </c>
      <c r="AT511" s="2615">
        <f t="shared" si="547"/>
        <v>5.7114160966195335</v>
      </c>
      <c r="AU511" s="2615">
        <f t="shared" si="547"/>
        <v>9.0428586925149599</v>
      </c>
      <c r="AV511" s="2615">
        <f t="shared" si="547"/>
        <v>5.111156372464257</v>
      </c>
      <c r="AW511" s="2615">
        <f t="shared" si="547"/>
        <v>7.5038392971780334</v>
      </c>
      <c r="AX511" s="2615">
        <f t="shared" si="547"/>
        <v>12.835816032168555</v>
      </c>
      <c r="AY511" s="2615">
        <f t="shared" si="547"/>
        <v>21.126561055705341</v>
      </c>
      <c r="AZ511" s="2615">
        <f t="shared" si="547"/>
        <v>25.527220377640095</v>
      </c>
      <c r="BA511" s="2615">
        <f t="shared" si="547"/>
        <v>30.027697815019256</v>
      </c>
      <c r="BB511" s="2615">
        <f t="shared" si="547"/>
        <v>34.351100907616264</v>
      </c>
      <c r="BC511" s="2615">
        <f t="shared" si="547"/>
        <v>40.590428037744495</v>
      </c>
      <c r="BD511" s="2616"/>
      <c r="BE511" s="2616"/>
      <c r="BF511" s="2616"/>
      <c r="BG511" s="2616"/>
      <c r="BH511" s="2616"/>
      <c r="BI511" s="2616"/>
      <c r="BJ511" s="2616"/>
      <c r="BK511" s="2616"/>
      <c r="BL511" s="2616"/>
      <c r="BM511" s="2616"/>
      <c r="BN511" s="2616"/>
      <c r="BO511" s="2616"/>
      <c r="BP511" s="2616"/>
      <c r="BQ511" s="2616"/>
      <c r="BR511" s="2616"/>
      <c r="BS511" s="2616"/>
    </row>
    <row r="512" spans="1:71" s="2617" customFormat="1" ht="10.5" thickBot="1" x14ac:dyDescent="0.35">
      <c r="A512" s="2618" t="s">
        <v>1171</v>
      </c>
      <c r="B512" s="1945" t="s">
        <v>200</v>
      </c>
      <c r="C512" s="2206"/>
      <c r="D512" s="2206"/>
      <c r="E512" s="2206"/>
      <c r="F512" s="2206"/>
      <c r="G512" s="2206"/>
      <c r="H512" s="2206"/>
      <c r="I512" s="2206"/>
      <c r="J512" s="2206"/>
      <c r="K512" s="2206"/>
      <c r="L512" s="2206"/>
      <c r="M512" s="2206"/>
      <c r="N512" s="2206"/>
      <c r="O512" s="2206"/>
      <c r="P512" s="2206"/>
      <c r="Q512" s="2206"/>
      <c r="R512" s="2206"/>
      <c r="S512" s="2206"/>
      <c r="T512" s="2206"/>
      <c r="U512" s="2206"/>
      <c r="V512" s="2206"/>
      <c r="W512" s="2206"/>
      <c r="X512" s="2206"/>
      <c r="Y512" s="2206"/>
      <c r="Z512" s="2206"/>
      <c r="AA512" s="2206"/>
      <c r="AB512" s="2206"/>
      <c r="AC512" s="2206"/>
      <c r="AD512" s="2206"/>
      <c r="AE512" s="2206"/>
      <c r="AF512" s="2206"/>
      <c r="AG512" s="2206"/>
      <c r="AH512" s="2206"/>
      <c r="AI512" s="2206"/>
      <c r="AJ512" s="2206"/>
      <c r="AK512" s="2206"/>
      <c r="AL512" s="2206"/>
      <c r="AM512" s="2206"/>
      <c r="AN512" s="2206"/>
      <c r="AO512" s="2206"/>
      <c r="AP512" s="2206"/>
      <c r="AQ512" s="2206"/>
      <c r="AR512" s="2206"/>
      <c r="AS512" s="2206"/>
      <c r="AT512" s="2206"/>
      <c r="AU512" s="2206"/>
      <c r="AV512" s="2206"/>
      <c r="AW512" s="2206"/>
      <c r="AX512" s="2206"/>
      <c r="AY512" s="2206"/>
      <c r="AZ512" s="2206"/>
      <c r="BA512" s="2206"/>
      <c r="BB512" s="2206"/>
      <c r="BC512" s="2206"/>
      <c r="BD512" s="2616"/>
      <c r="BE512" s="2616"/>
      <c r="BF512" s="2616"/>
      <c r="BG512" s="2616"/>
      <c r="BH512" s="2616"/>
      <c r="BI512" s="2616"/>
      <c r="BJ512" s="2616"/>
      <c r="BK512" s="2616"/>
      <c r="BL512" s="2616"/>
      <c r="BM512" s="2616"/>
      <c r="BN512" s="2616"/>
      <c r="BO512" s="2616"/>
      <c r="BP512" s="2616"/>
      <c r="BQ512" s="2616"/>
      <c r="BR512" s="2616"/>
      <c r="BS512" s="2616"/>
    </row>
    <row r="513" spans="1:55" s="1960" customFormat="1" ht="13.15" thickBot="1" x14ac:dyDescent="0.4">
      <c r="A513" s="2618"/>
      <c r="B513" s="1954"/>
      <c r="C513" s="1955" t="str">
        <f t="shared" ref="C513:BC513" si="548">C5</f>
        <v>F1Q13</v>
      </c>
      <c r="D513" s="1955" t="str">
        <f t="shared" si="548"/>
        <v>F2Q13</v>
      </c>
      <c r="E513" s="1955" t="str">
        <f t="shared" si="548"/>
        <v>F3Q13</v>
      </c>
      <c r="F513" s="1955" t="str">
        <f t="shared" si="548"/>
        <v>F4Q13</v>
      </c>
      <c r="G513" s="1955" t="str">
        <f t="shared" si="548"/>
        <v>F1Q14</v>
      </c>
      <c r="H513" s="1955" t="str">
        <f t="shared" si="548"/>
        <v>F2Q14</v>
      </c>
      <c r="I513" s="1955" t="str">
        <f t="shared" si="548"/>
        <v>F3Q14</v>
      </c>
      <c r="J513" s="1955" t="str">
        <f t="shared" si="548"/>
        <v>F4Q14</v>
      </c>
      <c r="K513" s="1955" t="str">
        <f t="shared" si="548"/>
        <v>F1Q15</v>
      </c>
      <c r="L513" s="1955" t="str">
        <f t="shared" si="548"/>
        <v>F2Q15</v>
      </c>
      <c r="M513" s="1955" t="str">
        <f t="shared" si="548"/>
        <v>F3Q15</v>
      </c>
      <c r="N513" s="1955" t="str">
        <f t="shared" si="548"/>
        <v>F4Q15</v>
      </c>
      <c r="O513" s="1955" t="str">
        <f t="shared" si="548"/>
        <v>F1Q16</v>
      </c>
      <c r="P513" s="1955" t="str">
        <f t="shared" si="548"/>
        <v>F2Q16</v>
      </c>
      <c r="Q513" s="1955" t="str">
        <f t="shared" si="548"/>
        <v>F3Q16</v>
      </c>
      <c r="R513" s="1955" t="str">
        <f t="shared" si="548"/>
        <v>F4Q16</v>
      </c>
      <c r="S513" s="1955" t="str">
        <f t="shared" si="548"/>
        <v>F1Q17</v>
      </c>
      <c r="T513" s="1955" t="str">
        <f t="shared" si="548"/>
        <v>F2Q17</v>
      </c>
      <c r="U513" s="1955" t="str">
        <f t="shared" si="548"/>
        <v>F3Q17</v>
      </c>
      <c r="V513" s="1955" t="str">
        <f t="shared" si="548"/>
        <v>F4Q17</v>
      </c>
      <c r="W513" s="1955" t="str">
        <f t="shared" si="548"/>
        <v>F1Q18</v>
      </c>
      <c r="X513" s="1955" t="str">
        <f t="shared" si="548"/>
        <v>F2Q18</v>
      </c>
      <c r="Y513" s="1955" t="str">
        <f t="shared" si="548"/>
        <v>F3Q18</v>
      </c>
      <c r="Z513" s="1955" t="str">
        <f t="shared" si="548"/>
        <v>F4Q18</v>
      </c>
      <c r="AA513" s="1955" t="str">
        <f t="shared" si="548"/>
        <v>F1Q19</v>
      </c>
      <c r="AB513" s="1955" t="str">
        <f t="shared" si="548"/>
        <v>F2Q19</v>
      </c>
      <c r="AC513" s="1955" t="str">
        <f t="shared" si="548"/>
        <v>F3Q19</v>
      </c>
      <c r="AD513" s="1955" t="str">
        <f t="shared" si="548"/>
        <v>F4Q19</v>
      </c>
      <c r="AE513" s="1955" t="str">
        <f t="shared" si="548"/>
        <v>F1Q20</v>
      </c>
      <c r="AF513" s="1955" t="str">
        <f t="shared" si="548"/>
        <v>F2Q20</v>
      </c>
      <c r="AG513" s="1955" t="str">
        <f t="shared" si="548"/>
        <v>F3Q20</v>
      </c>
      <c r="AH513" s="1955" t="str">
        <f t="shared" si="548"/>
        <v>F4Q20</v>
      </c>
      <c r="AI513" s="1955" t="str">
        <f t="shared" si="548"/>
        <v>F1Q21</v>
      </c>
      <c r="AJ513" s="1955" t="str">
        <f t="shared" si="548"/>
        <v>F2Q21E</v>
      </c>
      <c r="AK513" s="1955" t="str">
        <f t="shared" si="548"/>
        <v>F3Q21E</v>
      </c>
      <c r="AL513" s="1955" t="str">
        <f t="shared" si="548"/>
        <v>F4Q21E</v>
      </c>
      <c r="AM513" s="1955" t="str">
        <f t="shared" si="548"/>
        <v>F1Q22E</v>
      </c>
      <c r="AN513" s="1955" t="str">
        <f t="shared" si="548"/>
        <v>F2Q22E</v>
      </c>
      <c r="AO513" s="1955" t="str">
        <f t="shared" si="548"/>
        <v>F3Q22E</v>
      </c>
      <c r="AP513" s="1955" t="str">
        <f t="shared" si="548"/>
        <v>F4Q22E</v>
      </c>
      <c r="AQ513" s="2619" t="str">
        <f t="shared" si="548"/>
        <v>FY2012</v>
      </c>
      <c r="AR513" s="1955" t="str">
        <f t="shared" si="548"/>
        <v>FY2013</v>
      </c>
      <c r="AS513" s="1955" t="str">
        <f t="shared" si="548"/>
        <v>FY2014</v>
      </c>
      <c r="AT513" s="1955" t="str">
        <f t="shared" si="548"/>
        <v>FY2015</v>
      </c>
      <c r="AU513" s="1957" t="str">
        <f t="shared" si="548"/>
        <v>FY2016</v>
      </c>
      <c r="AV513" s="1958" t="str">
        <f t="shared" si="548"/>
        <v>FY2017</v>
      </c>
      <c r="AW513" s="1958" t="str">
        <f t="shared" si="548"/>
        <v>FY2018</v>
      </c>
      <c r="AX513" s="1957" t="str">
        <f t="shared" si="548"/>
        <v>FY2019</v>
      </c>
      <c r="AY513" s="1958" t="str">
        <f t="shared" si="548"/>
        <v>FY2020</v>
      </c>
      <c r="AZ513" s="1958" t="str">
        <f t="shared" si="548"/>
        <v>FY2021E</v>
      </c>
      <c r="BA513" s="1959" t="str">
        <f t="shared" si="548"/>
        <v>FY2022E</v>
      </c>
      <c r="BB513" s="1957" t="str">
        <f t="shared" si="548"/>
        <v>FY2023E</v>
      </c>
      <c r="BC513" s="1959" t="str">
        <f t="shared" si="548"/>
        <v>FY2024E</v>
      </c>
    </row>
    <row r="514" spans="1:55" s="1953" customFormat="1" ht="10.15" x14ac:dyDescent="0.3">
      <c r="A514" s="2620"/>
      <c r="B514" s="2487" t="s">
        <v>202</v>
      </c>
      <c r="C514" s="1950"/>
      <c r="D514" s="1950"/>
      <c r="E514" s="1950"/>
      <c r="F514" s="1972"/>
      <c r="G514" s="1950"/>
      <c r="H514" s="1950"/>
      <c r="I514" s="1972"/>
      <c r="J514" s="1972"/>
      <c r="K514" s="1972"/>
      <c r="L514" s="1972"/>
      <c r="M514" s="1972"/>
      <c r="N514" s="1972"/>
      <c r="O514" s="1950"/>
      <c r="P514" s="1950"/>
      <c r="Q514" s="1950"/>
      <c r="R514" s="1950"/>
      <c r="S514" s="1950"/>
      <c r="T514" s="1950"/>
      <c r="U514" s="1950"/>
      <c r="V514" s="1950"/>
      <c r="W514" s="1950"/>
      <c r="X514" s="1950"/>
      <c r="Y514" s="1950"/>
      <c r="Z514" s="1950"/>
      <c r="AA514" s="1950"/>
      <c r="AB514" s="1950"/>
      <c r="AC514" s="1950"/>
      <c r="AD514" s="1950"/>
      <c r="AE514" s="1950"/>
      <c r="AF514" s="1950"/>
      <c r="AG514" s="1950"/>
      <c r="AH514" s="1950"/>
      <c r="AI514" s="1950"/>
      <c r="AJ514" s="1950"/>
      <c r="AK514" s="1950"/>
      <c r="AL514" s="1950"/>
      <c r="AM514" s="1950"/>
      <c r="AN514" s="1950"/>
      <c r="AO514" s="1950"/>
      <c r="AP514" s="1950"/>
      <c r="AQ514" s="2067"/>
      <c r="AR514" s="1972"/>
      <c r="AS514" s="1950"/>
      <c r="AT514" s="1950"/>
      <c r="AU514" s="1952"/>
      <c r="AV514" s="1950"/>
      <c r="AW514" s="1950"/>
      <c r="AX514" s="1952"/>
      <c r="AY514" s="1950"/>
      <c r="AZ514" s="1950"/>
      <c r="BA514" s="1951"/>
      <c r="BB514" s="1952"/>
      <c r="BC514" s="1951"/>
    </row>
    <row r="515" spans="1:55" s="1953" customFormat="1" ht="10.15" x14ac:dyDescent="0.3">
      <c r="A515" s="2131"/>
      <c r="B515" s="2476" t="s">
        <v>1172</v>
      </c>
      <c r="C515" s="1950"/>
      <c r="D515" s="1950"/>
      <c r="E515" s="1950"/>
      <c r="F515" s="1972"/>
      <c r="G515" s="1950"/>
      <c r="H515" s="1950"/>
      <c r="I515" s="1972"/>
      <c r="J515" s="1972"/>
      <c r="K515" s="1972"/>
      <c r="L515" s="1973"/>
      <c r="M515" s="1972"/>
      <c r="N515" s="1972"/>
      <c r="O515" s="1950"/>
      <c r="P515" s="1950"/>
      <c r="Q515" s="1950"/>
      <c r="R515" s="1950"/>
      <c r="S515" s="1950"/>
      <c r="T515" s="1950"/>
      <c r="U515" s="1950"/>
      <c r="V515" s="1950"/>
      <c r="W515" s="1950"/>
      <c r="X515" s="1950"/>
      <c r="Y515" s="1950"/>
      <c r="Z515" s="1950"/>
      <c r="AA515" s="1950"/>
      <c r="AB515" s="1950"/>
      <c r="AC515" s="1950"/>
      <c r="AD515" s="1950"/>
      <c r="AE515" s="1950"/>
      <c r="AF515" s="1950"/>
      <c r="AG515" s="1950"/>
      <c r="AH515" s="1950"/>
      <c r="AI515" s="1950"/>
      <c r="AJ515" s="1950"/>
      <c r="AK515" s="1950"/>
      <c r="AL515" s="1950"/>
      <c r="AM515" s="1950"/>
      <c r="AN515" s="1950"/>
      <c r="AO515" s="1950"/>
      <c r="AP515" s="1950"/>
      <c r="AQ515" s="2067"/>
      <c r="AR515" s="1972"/>
      <c r="AS515" s="1948"/>
      <c r="AT515" s="1950"/>
      <c r="AU515" s="1952"/>
      <c r="AV515" s="1950"/>
      <c r="AW515" s="1950"/>
      <c r="AX515" s="1952"/>
      <c r="AY515" s="1950"/>
      <c r="AZ515" s="1950"/>
      <c r="BA515" s="1951"/>
      <c r="BB515" s="1952"/>
      <c r="BC515" s="1951"/>
    </row>
    <row r="516" spans="1:55" s="1953" customFormat="1" ht="10.15" x14ac:dyDescent="0.3">
      <c r="A516" s="2131"/>
      <c r="B516" s="2476" t="s">
        <v>1173</v>
      </c>
      <c r="C516" s="1950"/>
      <c r="D516" s="1950"/>
      <c r="E516" s="1950"/>
      <c r="F516" s="1973"/>
      <c r="G516" s="1950"/>
      <c r="H516" s="1973">
        <v>33045</v>
      </c>
      <c r="I516" s="1973">
        <v>41714</v>
      </c>
      <c r="J516" s="1973">
        <f>AS516</f>
        <v>33045</v>
      </c>
      <c r="K516" s="1973">
        <v>51912</v>
      </c>
      <c r="L516" s="1973">
        <v>88089</v>
      </c>
      <c r="M516" s="1973">
        <v>107050</v>
      </c>
      <c r="N516" s="1973">
        <v>108193</v>
      </c>
      <c r="O516" s="1975">
        <v>104064</v>
      </c>
      <c r="P516" s="1973">
        <v>96747</v>
      </c>
      <c r="Q516" s="1973">
        <v>110301</v>
      </c>
      <c r="R516" s="1973">
        <v>106818</v>
      </c>
      <c r="S516" s="1973">
        <v>82246</v>
      </c>
      <c r="T516" s="1973">
        <v>103684</v>
      </c>
      <c r="U516" s="1973">
        <v>133989</v>
      </c>
      <c r="V516" s="1973">
        <v>143736</v>
      </c>
      <c r="W516" s="1974">
        <v>145144</v>
      </c>
      <c r="X516" s="1973">
        <v>148746</v>
      </c>
      <c r="Y516" s="1973">
        <v>212196</v>
      </c>
      <c r="Z516" s="1973">
        <v>199309</v>
      </c>
      <c r="AA516" s="1973">
        <v>167895</v>
      </c>
      <c r="AB516" s="1973">
        <v>164375</v>
      </c>
      <c r="AC516" s="1973">
        <v>189204</v>
      </c>
      <c r="AD516" s="1973">
        <v>189976</v>
      </c>
      <c r="AE516" s="1973">
        <v>210539</v>
      </c>
      <c r="AF516" s="1973">
        <v>234177</v>
      </c>
      <c r="AG516" s="1973">
        <v>350575</v>
      </c>
      <c r="AH516" s="1973">
        <v>330503</v>
      </c>
      <c r="AI516" s="1973">
        <v>309267</v>
      </c>
      <c r="AJ516" s="1973"/>
      <c r="AK516" s="1973"/>
      <c r="AL516" s="1973"/>
      <c r="AM516" s="1973"/>
      <c r="AN516" s="1973"/>
      <c r="AO516" s="1973"/>
      <c r="AP516" s="1973"/>
      <c r="AQ516" s="2593">
        <v>16857</v>
      </c>
      <c r="AR516" s="1973">
        <v>30396</v>
      </c>
      <c r="AS516" s="1973">
        <v>33045</v>
      </c>
      <c r="AT516" s="1948">
        <f>N516</f>
        <v>108193</v>
      </c>
      <c r="AU516" s="1949">
        <f t="shared" ref="AU516:AU521" si="549">R516</f>
        <v>106818</v>
      </c>
      <c r="AV516" s="1948">
        <f t="shared" ref="AV516:AV521" si="550">V516</f>
        <v>143736</v>
      </c>
      <c r="AW516" s="1948">
        <f t="shared" ref="AW516:AW521" si="551">Z516</f>
        <v>199309</v>
      </c>
      <c r="AX516" s="1949">
        <f>AD516</f>
        <v>189976</v>
      </c>
      <c r="AY516" s="1973">
        <v>330503</v>
      </c>
      <c r="AZ516" s="1948">
        <f>AZ662</f>
        <v>381445.98311480356</v>
      </c>
      <c r="BA516" s="1981">
        <f>BA662</f>
        <v>463144.77078590658</v>
      </c>
      <c r="BB516" s="1949">
        <f>BB662</f>
        <v>543019.0930518728</v>
      </c>
      <c r="BC516" s="1981">
        <f>BC662</f>
        <v>662514.30431150564</v>
      </c>
    </row>
    <row r="517" spans="1:55" s="1953" customFormat="1" ht="10.15" x14ac:dyDescent="0.3">
      <c r="A517" s="2131"/>
      <c r="B517" s="2476" t="s">
        <v>1174</v>
      </c>
      <c r="C517" s="1950"/>
      <c r="D517" s="1950"/>
      <c r="E517" s="1950"/>
      <c r="F517" s="1973"/>
      <c r="G517" s="1950"/>
      <c r="H517" s="2248">
        <v>10587</v>
      </c>
      <c r="I517" s="2248">
        <v>7248</v>
      </c>
      <c r="J517" s="2248">
        <f>AS517</f>
        <v>10587</v>
      </c>
      <c r="K517" s="2248">
        <v>5970</v>
      </c>
      <c r="L517" s="2248">
        <v>21822</v>
      </c>
      <c r="M517" s="2248">
        <v>23691</v>
      </c>
      <c r="N517" s="2248">
        <v>14148</v>
      </c>
      <c r="O517" s="1975">
        <v>11207</v>
      </c>
      <c r="P517" s="2248">
        <v>8944</v>
      </c>
      <c r="Q517" s="2248">
        <v>8022</v>
      </c>
      <c r="R517" s="2248">
        <v>4700</v>
      </c>
      <c r="S517" s="2248">
        <v>7170</v>
      </c>
      <c r="T517" s="2248">
        <v>3870</v>
      </c>
      <c r="U517" s="2248">
        <v>4499</v>
      </c>
      <c r="V517" s="2248">
        <v>3011</v>
      </c>
      <c r="W517" s="1974">
        <v>3008</v>
      </c>
      <c r="X517" s="1973">
        <v>11109</v>
      </c>
      <c r="Y517" s="1973">
        <v>8184</v>
      </c>
      <c r="Z517" s="1973">
        <v>6086</v>
      </c>
      <c r="AA517" s="1973">
        <v>9388</v>
      </c>
      <c r="AB517" s="1973">
        <v>7500</v>
      </c>
      <c r="AC517" s="1973">
        <v>3113</v>
      </c>
      <c r="AD517" s="1973">
        <v>3262</v>
      </c>
      <c r="AE517" s="1973">
        <v>1650</v>
      </c>
      <c r="AF517" s="1973">
        <v>1074</v>
      </c>
      <c r="AG517" s="1973">
        <v>1371</v>
      </c>
      <c r="AH517" s="1973">
        <v>28478</v>
      </c>
      <c r="AI517" s="1973">
        <v>72311</v>
      </c>
      <c r="AJ517" s="1973"/>
      <c r="AK517" s="1973"/>
      <c r="AL517" s="1973"/>
      <c r="AM517" s="1973"/>
      <c r="AN517" s="1973"/>
      <c r="AO517" s="1973"/>
      <c r="AP517" s="1973"/>
      <c r="AQ517" s="2593">
        <v>4887</v>
      </c>
      <c r="AR517" s="1973">
        <v>2290</v>
      </c>
      <c r="AS517" s="1973">
        <v>10587</v>
      </c>
      <c r="AT517" s="1948">
        <f>N517</f>
        <v>14148</v>
      </c>
      <c r="AU517" s="1949">
        <f t="shared" si="549"/>
        <v>4700</v>
      </c>
      <c r="AV517" s="1948">
        <f t="shared" si="550"/>
        <v>3011</v>
      </c>
      <c r="AW517" s="1948">
        <f t="shared" si="551"/>
        <v>6086</v>
      </c>
      <c r="AX517" s="1949">
        <f>AD517</f>
        <v>3262</v>
      </c>
      <c r="AY517" s="1973">
        <v>28478</v>
      </c>
      <c r="AZ517" s="1948">
        <f>AI517</f>
        <v>72311</v>
      </c>
      <c r="BA517" s="1981">
        <f>AZ517</f>
        <v>72311</v>
      </c>
      <c r="BB517" s="1949">
        <f>BA517</f>
        <v>72311</v>
      </c>
      <c r="BC517" s="1981">
        <f>BB517</f>
        <v>72311</v>
      </c>
    </row>
    <row r="518" spans="1:55" s="1953" customFormat="1" ht="10.15" x14ac:dyDescent="0.3">
      <c r="A518" s="2131" t="s">
        <v>1175</v>
      </c>
      <c r="B518" s="2476" t="s">
        <v>1176</v>
      </c>
      <c r="C518" s="1950"/>
      <c r="D518" s="1950"/>
      <c r="E518" s="1950"/>
      <c r="F518" s="1973"/>
      <c r="G518" s="1950"/>
      <c r="H518" s="2248">
        <v>4921</v>
      </c>
      <c r="I518" s="2248">
        <v>4244</v>
      </c>
      <c r="J518" s="2248">
        <f>AS518</f>
        <v>4921</v>
      </c>
      <c r="K518" s="2248">
        <v>6118</v>
      </c>
      <c r="L518" s="2248">
        <v>2477</v>
      </c>
      <c r="M518" s="2248">
        <v>2220</v>
      </c>
      <c r="N518" s="2248">
        <v>2297</v>
      </c>
      <c r="O518" s="1975">
        <v>1915</v>
      </c>
      <c r="P518" s="2248">
        <v>1919</v>
      </c>
      <c r="Q518" s="2248">
        <v>1312</v>
      </c>
      <c r="R518" s="2248">
        <v>1346</v>
      </c>
      <c r="S518" s="2248">
        <v>508</v>
      </c>
      <c r="T518" s="2248">
        <v>203</v>
      </c>
      <c r="U518" s="2248">
        <v>1004</v>
      </c>
      <c r="V518" s="2248">
        <v>2655</v>
      </c>
      <c r="W518" s="1974">
        <v>3211</v>
      </c>
      <c r="X518" s="1973">
        <v>2941</v>
      </c>
      <c r="Y518" s="1973">
        <v>3381</v>
      </c>
      <c r="Z518" s="1973">
        <v>3417</v>
      </c>
      <c r="AA518" s="1973">
        <v>6342</v>
      </c>
      <c r="AB518" s="1973">
        <v>7878</v>
      </c>
      <c r="AC518" s="1973">
        <v>7911</v>
      </c>
      <c r="AD518" s="1973">
        <v>8518</v>
      </c>
      <c r="AE518" s="1973">
        <v>7301</v>
      </c>
      <c r="AF518" s="1973">
        <v>14095</v>
      </c>
      <c r="AG518" s="1973">
        <v>20949</v>
      </c>
      <c r="AH518" s="1973">
        <v>15479</v>
      </c>
      <c r="AI518" s="1973">
        <v>14126</v>
      </c>
      <c r="AJ518" s="1973"/>
      <c r="AK518" s="1973"/>
      <c r="AL518" s="1973"/>
      <c r="AM518" s="1973"/>
      <c r="AN518" s="1973"/>
      <c r="AO518" s="1973"/>
      <c r="AP518" s="1973"/>
      <c r="AQ518" s="1976">
        <v>3312</v>
      </c>
      <c r="AR518" s="1974">
        <v>3687</v>
      </c>
      <c r="AS518" s="1974">
        <v>4921</v>
      </c>
      <c r="AT518" s="1948">
        <f>N518</f>
        <v>2297</v>
      </c>
      <c r="AU518" s="1949">
        <f t="shared" si="549"/>
        <v>1346</v>
      </c>
      <c r="AV518" s="1948">
        <f t="shared" si="550"/>
        <v>2655</v>
      </c>
      <c r="AW518" s="1948">
        <f t="shared" si="551"/>
        <v>3417</v>
      </c>
      <c r="AX518" s="1949">
        <f>AD518</f>
        <v>8518</v>
      </c>
      <c r="AY518" s="1973">
        <v>15479</v>
      </c>
      <c r="AZ518" s="1948">
        <f>AY518*1.1</f>
        <v>17026.900000000001</v>
      </c>
      <c r="BA518" s="1981">
        <f>AZ518*1.1</f>
        <v>18729.590000000004</v>
      </c>
      <c r="BB518" s="1949">
        <f>BA518*1.1</f>
        <v>20602.549000000006</v>
      </c>
      <c r="BC518" s="1981">
        <f>BB518*1.1</f>
        <v>22662.80390000001</v>
      </c>
    </row>
    <row r="519" spans="1:55" s="1953" customFormat="1" ht="10.15" x14ac:dyDescent="0.3">
      <c r="A519" s="2131"/>
      <c r="B519" s="2476" t="s">
        <v>1177</v>
      </c>
      <c r="C519" s="1950"/>
      <c r="D519" s="1950"/>
      <c r="E519" s="1950"/>
      <c r="F519" s="1972"/>
      <c r="G519" s="1950"/>
      <c r="H519" s="2248">
        <v>1442</v>
      </c>
      <c r="I519" s="2248">
        <v>1207</v>
      </c>
      <c r="J519" s="2248">
        <f>AS519</f>
        <v>1442</v>
      </c>
      <c r="K519" s="2248">
        <v>1737</v>
      </c>
      <c r="L519" s="2248">
        <v>1896</v>
      </c>
      <c r="M519" s="2248">
        <v>2570</v>
      </c>
      <c r="N519" s="2248">
        <v>3658</v>
      </c>
      <c r="O519" s="1975">
        <v>391</v>
      </c>
      <c r="P519" s="2248">
        <v>2274</v>
      </c>
      <c r="Q519" s="2248">
        <v>2059</v>
      </c>
      <c r="R519" s="2248">
        <v>4178</v>
      </c>
      <c r="S519" s="2248">
        <v>2672</v>
      </c>
      <c r="T519" s="2248">
        <v>3454</v>
      </c>
      <c r="U519" s="2248">
        <v>3308</v>
      </c>
      <c r="V519" s="2248">
        <v>4054</v>
      </c>
      <c r="W519" s="1974">
        <v>4462</v>
      </c>
      <c r="X519" s="1973">
        <v>5155</v>
      </c>
      <c r="Y519" s="1973">
        <v>3752</v>
      </c>
      <c r="Z519" s="1973">
        <v>4815</v>
      </c>
      <c r="AA519" s="1973">
        <v>7868</v>
      </c>
      <c r="AB519" s="1973">
        <v>9662</v>
      </c>
      <c r="AC519" s="1973">
        <v>8274</v>
      </c>
      <c r="AD519" s="1973">
        <v>9927</v>
      </c>
      <c r="AE519" s="1973">
        <v>8431</v>
      </c>
      <c r="AF519" s="1973">
        <v>5759</v>
      </c>
      <c r="AG519" s="1973">
        <v>5264</v>
      </c>
      <c r="AH519" s="1973">
        <v>4234</v>
      </c>
      <c r="AI519" s="1973">
        <v>4980</v>
      </c>
      <c r="AJ519" s="1973"/>
      <c r="AK519" s="1973"/>
      <c r="AL519" s="1973"/>
      <c r="AM519" s="1973"/>
      <c r="AN519" s="1973"/>
      <c r="AO519" s="1973"/>
      <c r="AP519" s="1973"/>
      <c r="AQ519" s="1976">
        <v>593</v>
      </c>
      <c r="AR519" s="1974">
        <v>629</v>
      </c>
      <c r="AS519" s="1974">
        <v>1442</v>
      </c>
      <c r="AT519" s="1948">
        <f>N519</f>
        <v>3658</v>
      </c>
      <c r="AU519" s="1949">
        <f t="shared" si="549"/>
        <v>4178</v>
      </c>
      <c r="AV519" s="1948">
        <f t="shared" si="550"/>
        <v>4054</v>
      </c>
      <c r="AW519" s="1948">
        <f t="shared" si="551"/>
        <v>4815</v>
      </c>
      <c r="AX519" s="1949">
        <f>AD519</f>
        <v>9927</v>
      </c>
      <c r="AY519" s="1973">
        <v>4234</v>
      </c>
      <c r="AZ519" s="1948">
        <f>AY519</f>
        <v>4234</v>
      </c>
      <c r="BA519" s="1981">
        <f>AZ519</f>
        <v>4234</v>
      </c>
      <c r="BB519" s="1949">
        <f>BA519</f>
        <v>4234</v>
      </c>
      <c r="BC519" s="1981">
        <f>BB519</f>
        <v>4234</v>
      </c>
    </row>
    <row r="520" spans="1:55" s="1953" customFormat="1" ht="10.15" x14ac:dyDescent="0.3">
      <c r="A520" s="2131"/>
      <c r="B520" s="2476" t="s">
        <v>1178</v>
      </c>
      <c r="C520" s="1950"/>
      <c r="D520" s="1950"/>
      <c r="E520" s="1950"/>
      <c r="F520" s="1973"/>
      <c r="G520" s="1950"/>
      <c r="H520" s="2248">
        <f t="shared" ref="H520:P520" si="552">H521+H522</f>
        <v>17838</v>
      </c>
      <c r="I520" s="2248">
        <f t="shared" si="552"/>
        <v>15414</v>
      </c>
      <c r="J520" s="2248">
        <f t="shared" si="552"/>
        <v>17838</v>
      </c>
      <c r="K520" s="2248">
        <f t="shared" si="552"/>
        <v>21787</v>
      </c>
      <c r="L520" s="2248">
        <f t="shared" si="552"/>
        <v>27130</v>
      </c>
      <c r="M520" s="2248">
        <f t="shared" si="552"/>
        <v>34665</v>
      </c>
      <c r="N520" s="2248">
        <f t="shared" si="552"/>
        <v>13813</v>
      </c>
      <c r="O520" s="2248">
        <f t="shared" si="552"/>
        <v>17320</v>
      </c>
      <c r="P520" s="2248">
        <f t="shared" si="552"/>
        <v>12107</v>
      </c>
      <c r="Q520" s="2248">
        <v>14938</v>
      </c>
      <c r="R520" s="2248">
        <v>17028</v>
      </c>
      <c r="S520" s="2248">
        <v>20492</v>
      </c>
      <c r="T520" s="2248">
        <v>25115</v>
      </c>
      <c r="U520" s="2248">
        <v>25728</v>
      </c>
      <c r="V520" s="2248">
        <v>28408</v>
      </c>
      <c r="W520" s="1974">
        <v>30569</v>
      </c>
      <c r="X520" s="1973">
        <v>36697</v>
      </c>
      <c r="Y520" s="1973">
        <v>40777</v>
      </c>
      <c r="Z520" s="1973">
        <v>43228</v>
      </c>
      <c r="AA520" s="1973">
        <v>45501</v>
      </c>
      <c r="AB520" s="1973">
        <v>48468</v>
      </c>
      <c r="AC520" s="1973">
        <v>53178</v>
      </c>
      <c r="AD520" s="1973">
        <v>58590</v>
      </c>
      <c r="AE520" s="1973">
        <v>62711</v>
      </c>
      <c r="AF520" s="1973">
        <v>80582</v>
      </c>
      <c r="AG520" s="1973">
        <v>81287</v>
      </c>
      <c r="AH520" s="1973">
        <v>84229</v>
      </c>
      <c r="AI520" s="1973">
        <v>90628</v>
      </c>
      <c r="AJ520" s="1973"/>
      <c r="AK520" s="1973"/>
      <c r="AL520" s="1973"/>
      <c r="AM520" s="1973"/>
      <c r="AN520" s="1973"/>
      <c r="AO520" s="1973"/>
      <c r="AP520" s="1973"/>
      <c r="AQ520" s="1976"/>
      <c r="AR520" s="1974"/>
      <c r="AS520" s="1974"/>
      <c r="AT520" s="1948"/>
      <c r="AU520" s="1949">
        <f t="shared" si="549"/>
        <v>17028</v>
      </c>
      <c r="AV520" s="1948">
        <f t="shared" si="550"/>
        <v>28408</v>
      </c>
      <c r="AW520" s="1948">
        <f t="shared" si="551"/>
        <v>43228</v>
      </c>
      <c r="AX520" s="1949">
        <f>AD520</f>
        <v>58590</v>
      </c>
      <c r="AY520" s="1973">
        <v>84229</v>
      </c>
      <c r="AZ520" s="1948">
        <f>AZ571*AZ323</f>
        <v>115331.87794941191</v>
      </c>
      <c r="BA520" s="1981">
        <f>BA571*BA323</f>
        <v>145709.86575537099</v>
      </c>
      <c r="BB520" s="1949">
        <f>BB571*BB323</f>
        <v>178710.50321856217</v>
      </c>
      <c r="BC520" s="1981">
        <f>BC571*BC323</f>
        <v>215496.10749732814</v>
      </c>
    </row>
    <row r="521" spans="1:55" s="1953" customFormat="1" ht="10.15" x14ac:dyDescent="0.3">
      <c r="A521" s="2131"/>
      <c r="B521" s="2520" t="s">
        <v>1179</v>
      </c>
      <c r="C521" s="1950"/>
      <c r="D521" s="1950"/>
      <c r="E521" s="1950"/>
      <c r="F521" s="1973"/>
      <c r="G521" s="1950"/>
      <c r="H521" s="2248">
        <v>4679</v>
      </c>
      <c r="I521" s="2248">
        <v>2980</v>
      </c>
      <c r="J521" s="2248">
        <f t="shared" ref="J521:J531" si="553">AS521</f>
        <v>4679</v>
      </c>
      <c r="K521" s="2248">
        <v>7145</v>
      </c>
      <c r="L521" s="2248">
        <v>7944</v>
      </c>
      <c r="M521" s="2248">
        <v>10986</v>
      </c>
      <c r="N521" s="2248">
        <v>12978</v>
      </c>
      <c r="O521" s="1975">
        <v>14812</v>
      </c>
      <c r="P521" s="2248">
        <v>12107</v>
      </c>
      <c r="Q521" s="2248"/>
      <c r="R521" s="2248"/>
      <c r="S521" s="2248"/>
      <c r="T521" s="2248"/>
      <c r="U521" s="2248"/>
      <c r="V521" s="2248"/>
      <c r="W521" s="1974"/>
      <c r="X521" s="1973"/>
      <c r="Y521" s="1973"/>
      <c r="Z521" s="1973"/>
      <c r="AA521" s="1973"/>
      <c r="AB521" s="1973"/>
      <c r="AC521" s="1973"/>
      <c r="AD521" s="1973"/>
      <c r="AE521" s="1973"/>
      <c r="AF521" s="1973"/>
      <c r="AG521" s="1973"/>
      <c r="AH521" s="1973"/>
      <c r="AI521" s="1973"/>
      <c r="AJ521" s="1973"/>
      <c r="AK521" s="1973"/>
      <c r="AL521" s="1973"/>
      <c r="AM521" s="1973"/>
      <c r="AN521" s="1973"/>
      <c r="AO521" s="1973"/>
      <c r="AP521" s="1973"/>
      <c r="AQ521" s="1976">
        <v>1669</v>
      </c>
      <c r="AR521" s="1974">
        <v>1734</v>
      </c>
      <c r="AS521" s="1974">
        <v>4679</v>
      </c>
      <c r="AT521" s="1948">
        <f>N521</f>
        <v>12978</v>
      </c>
      <c r="AU521" s="1949">
        <f t="shared" si="549"/>
        <v>0</v>
      </c>
      <c r="AV521" s="1948">
        <f t="shared" si="550"/>
        <v>0</v>
      </c>
      <c r="AW521" s="1948">
        <f t="shared" si="551"/>
        <v>0</v>
      </c>
      <c r="AX521" s="1949"/>
      <c r="AY521" s="1973"/>
      <c r="AZ521" s="1948"/>
      <c r="BA521" s="1981"/>
      <c r="BB521" s="1949"/>
      <c r="BC521" s="1981"/>
    </row>
    <row r="522" spans="1:55" s="1953" customFormat="1" ht="10.15" x14ac:dyDescent="0.3">
      <c r="A522" s="2131"/>
      <c r="B522" s="2520" t="s">
        <v>1180</v>
      </c>
      <c r="C522" s="1950"/>
      <c r="D522" s="1950"/>
      <c r="E522" s="1950"/>
      <c r="F522" s="1973"/>
      <c r="G522" s="1950"/>
      <c r="H522" s="2248">
        <v>13159</v>
      </c>
      <c r="I522" s="2248">
        <v>12434</v>
      </c>
      <c r="J522" s="2248">
        <f t="shared" si="553"/>
        <v>13159</v>
      </c>
      <c r="K522" s="2248">
        <v>14642</v>
      </c>
      <c r="L522" s="2248">
        <v>19186</v>
      </c>
      <c r="M522" s="2248">
        <v>23679</v>
      </c>
      <c r="N522" s="2248">
        <v>835</v>
      </c>
      <c r="O522" s="1975">
        <v>2508</v>
      </c>
      <c r="P522" s="2248"/>
      <c r="Q522" s="2248"/>
      <c r="R522" s="2248"/>
      <c r="S522" s="2248"/>
      <c r="T522" s="2248"/>
      <c r="U522" s="2248"/>
      <c r="V522" s="2248"/>
      <c r="W522" s="1974"/>
      <c r="X522" s="1973"/>
      <c r="Y522" s="1973"/>
      <c r="Z522" s="1973"/>
      <c r="AA522" s="1973"/>
      <c r="AB522" s="1973"/>
      <c r="AC522" s="1973"/>
      <c r="AD522" s="1973"/>
      <c r="AE522" s="1973"/>
      <c r="AF522" s="1973"/>
      <c r="AG522" s="1973"/>
      <c r="AH522" s="1973"/>
      <c r="AI522" s="1973"/>
      <c r="AJ522" s="1973"/>
      <c r="AK522" s="1973"/>
      <c r="AL522" s="1973"/>
      <c r="AM522" s="1973"/>
      <c r="AN522" s="1973"/>
      <c r="AO522" s="1973"/>
      <c r="AP522" s="1973"/>
      <c r="AQ522" s="1976">
        <v>581</v>
      </c>
      <c r="AR522" s="1974">
        <v>4426</v>
      </c>
      <c r="AS522" s="1974">
        <v>13159</v>
      </c>
      <c r="AT522" s="1948">
        <f>N522</f>
        <v>835</v>
      </c>
      <c r="AU522" s="1949"/>
      <c r="AV522" s="1948"/>
      <c r="AW522" s="1948"/>
      <c r="AX522" s="1949"/>
      <c r="AY522" s="1973"/>
      <c r="AZ522" s="1948">
        <f>AY522</f>
        <v>0</v>
      </c>
      <c r="BA522" s="1981">
        <f>AZ522</f>
        <v>0</v>
      </c>
      <c r="BB522" s="1949">
        <f>BA522</f>
        <v>0</v>
      </c>
      <c r="BC522" s="1981">
        <f>BB522</f>
        <v>0</v>
      </c>
    </row>
    <row r="523" spans="1:55" s="1999" customFormat="1" ht="10.15" x14ac:dyDescent="0.3">
      <c r="A523" s="2131"/>
      <c r="B523" s="2487" t="s">
        <v>1181</v>
      </c>
      <c r="C523" s="2577"/>
      <c r="D523" s="2577"/>
      <c r="E523" s="2577"/>
      <c r="F523" s="1992"/>
      <c r="G523" s="2577"/>
      <c r="H523" s="2474">
        <v>67833</v>
      </c>
      <c r="I523" s="2474">
        <v>69827</v>
      </c>
      <c r="J523" s="2474">
        <f t="shared" si="553"/>
        <v>67833</v>
      </c>
      <c r="K523" s="2474">
        <f t="shared" ref="K523:P523" si="554">SUM(K516:K519)</f>
        <v>65737</v>
      </c>
      <c r="L523" s="2474">
        <f t="shared" si="554"/>
        <v>114284</v>
      </c>
      <c r="M523" s="2474">
        <f t="shared" si="554"/>
        <v>135531</v>
      </c>
      <c r="N523" s="2474">
        <f t="shared" si="554"/>
        <v>128296</v>
      </c>
      <c r="O523" s="2474">
        <f t="shared" si="554"/>
        <v>117577</v>
      </c>
      <c r="P523" s="2474">
        <f t="shared" si="554"/>
        <v>109884</v>
      </c>
      <c r="Q523" s="2474">
        <f t="shared" ref="Q523:Y523" si="555">SUM(Q516:Q520)</f>
        <v>136632</v>
      </c>
      <c r="R523" s="2474">
        <f t="shared" si="555"/>
        <v>134070</v>
      </c>
      <c r="S523" s="2474">
        <f t="shared" si="555"/>
        <v>113088</v>
      </c>
      <c r="T523" s="2474">
        <f t="shared" si="555"/>
        <v>136326</v>
      </c>
      <c r="U523" s="2474">
        <f t="shared" si="555"/>
        <v>168528</v>
      </c>
      <c r="V523" s="2474">
        <f t="shared" si="555"/>
        <v>181864</v>
      </c>
      <c r="W523" s="2474">
        <f t="shared" si="555"/>
        <v>186394</v>
      </c>
      <c r="X523" s="2474">
        <f t="shared" si="555"/>
        <v>204648</v>
      </c>
      <c r="Y523" s="2474">
        <f t="shared" si="555"/>
        <v>268290</v>
      </c>
      <c r="Z523" s="2474">
        <f t="shared" ref="Z523:AI523" si="556">Z516+Z517+Z518+Z519+Z520</f>
        <v>256855</v>
      </c>
      <c r="AA523" s="2474">
        <f t="shared" si="556"/>
        <v>236994</v>
      </c>
      <c r="AB523" s="2474">
        <f t="shared" si="556"/>
        <v>237883</v>
      </c>
      <c r="AC523" s="2474">
        <f t="shared" si="556"/>
        <v>261680</v>
      </c>
      <c r="AD523" s="2474">
        <f t="shared" si="556"/>
        <v>270273</v>
      </c>
      <c r="AE523" s="1992">
        <f t="shared" si="556"/>
        <v>290632</v>
      </c>
      <c r="AF523" s="1992">
        <f t="shared" si="556"/>
        <v>335687</v>
      </c>
      <c r="AG523" s="1992">
        <f t="shared" si="556"/>
        <v>459446</v>
      </c>
      <c r="AH523" s="1992">
        <f t="shared" si="556"/>
        <v>462923</v>
      </c>
      <c r="AI523" s="2474">
        <f t="shared" si="556"/>
        <v>491312</v>
      </c>
      <c r="AJ523" s="1992"/>
      <c r="AK523" s="1992"/>
      <c r="AL523" s="1992"/>
      <c r="AM523" s="1992"/>
      <c r="AN523" s="1992"/>
      <c r="AO523" s="1992"/>
      <c r="AP523" s="1992"/>
      <c r="AQ523" s="1993">
        <f>SUM(AQ516:AQ522)</f>
        <v>27899</v>
      </c>
      <c r="AR523" s="1994">
        <f>SUM(AR516:AR522)</f>
        <v>43162</v>
      </c>
      <c r="AS523" s="1994">
        <f>SUM(AS516:AS522)</f>
        <v>67833</v>
      </c>
      <c r="AT523" s="1994">
        <f>SUM(AT516:AT522)</f>
        <v>142109</v>
      </c>
      <c r="AU523" s="1993">
        <f>SUM(AU516:AU520)</f>
        <v>134070</v>
      </c>
      <c r="AV523" s="1995">
        <f t="shared" ref="AV523:AV531" si="557">V523</f>
        <v>181864</v>
      </c>
      <c r="AW523" s="1995">
        <f t="shared" ref="AW523:AW531" si="558">Z523</f>
        <v>256855</v>
      </c>
      <c r="AX523" s="1997">
        <f t="shared" ref="AX523:AX531" si="559">AD523</f>
        <v>270273</v>
      </c>
      <c r="AY523" s="1992">
        <f>AY516+AY517+AY518+AY519+AY520</f>
        <v>462923</v>
      </c>
      <c r="AZ523" s="1995">
        <f>SUM(AZ516:AZ520)</f>
        <v>590349.76106421545</v>
      </c>
      <c r="BA523" s="1996">
        <f>SUM(BA516:BA520)</f>
        <v>704129.22654127749</v>
      </c>
      <c r="BB523" s="1997">
        <f>SUM(BB516:BB520)</f>
        <v>818877.14527043491</v>
      </c>
      <c r="BC523" s="1996">
        <f>SUM(BC516:BC520)</f>
        <v>977218.21570883389</v>
      </c>
    </row>
    <row r="524" spans="1:55" s="1953" customFormat="1" ht="10.15" x14ac:dyDescent="0.3">
      <c r="A524" s="2096"/>
      <c r="B524" s="2476" t="s">
        <v>1182</v>
      </c>
      <c r="C524" s="1950"/>
      <c r="D524" s="1950"/>
      <c r="E524" s="1950"/>
      <c r="F524" s="1973"/>
      <c r="G524" s="1950"/>
      <c r="H524" s="2248">
        <v>17666</v>
      </c>
      <c r="I524" s="2248">
        <v>13009</v>
      </c>
      <c r="J524" s="2248">
        <f t="shared" si="553"/>
        <v>17666</v>
      </c>
      <c r="K524" s="2248">
        <v>24443</v>
      </c>
      <c r="L524" s="2248">
        <v>26076</v>
      </c>
      <c r="M524" s="2248">
        <v>25864</v>
      </c>
      <c r="N524" s="2248">
        <v>33877</v>
      </c>
      <c r="O524" s="1975">
        <v>64768</v>
      </c>
      <c r="P524" s="2248">
        <v>68180</v>
      </c>
      <c r="Q524" s="2248">
        <v>79235</v>
      </c>
      <c r="R524" s="2248">
        <v>29392</v>
      </c>
      <c r="S524" s="2248">
        <v>117100</v>
      </c>
      <c r="T524" s="2248">
        <v>119674</v>
      </c>
      <c r="U524" s="2248">
        <v>120065</v>
      </c>
      <c r="V524" s="2248">
        <v>120368</v>
      </c>
      <c r="W524" s="1974">
        <v>118971</v>
      </c>
      <c r="X524" s="1973">
        <v>126850</v>
      </c>
      <c r="Y524" s="1973">
        <v>129505</v>
      </c>
      <c r="Z524" s="1973">
        <v>139700</v>
      </c>
      <c r="AA524" s="1973">
        <v>82553</v>
      </c>
      <c r="AB524" s="1973">
        <v>86823</v>
      </c>
      <c r="AC524" s="1973">
        <v>90831</v>
      </c>
      <c r="AD524" s="1973">
        <v>84454</v>
      </c>
      <c r="AE524" s="1973">
        <v>85596</v>
      </c>
      <c r="AF524" s="1973">
        <v>163261</v>
      </c>
      <c r="AG524" s="1973">
        <v>183882</v>
      </c>
      <c r="AH524" s="1973">
        <v>189632</v>
      </c>
      <c r="AI524" s="1973">
        <v>191567</v>
      </c>
      <c r="AJ524" s="1973"/>
      <c r="AK524" s="1973"/>
      <c r="AL524" s="1973"/>
      <c r="AM524" s="1973"/>
      <c r="AN524" s="1973"/>
      <c r="AO524" s="1973"/>
      <c r="AP524" s="1973"/>
      <c r="AQ524" s="1976">
        <v>1642</v>
      </c>
      <c r="AR524" s="1974">
        <v>1555</v>
      </c>
      <c r="AS524" s="1974">
        <v>17666</v>
      </c>
      <c r="AT524" s="1974">
        <f t="shared" ref="AT524:AT530" si="560">N524</f>
        <v>33877</v>
      </c>
      <c r="AU524" s="1949">
        <f t="shared" ref="AU524:AU530" si="561">R524</f>
        <v>29392</v>
      </c>
      <c r="AV524" s="1948">
        <f t="shared" si="557"/>
        <v>120368</v>
      </c>
      <c r="AW524" s="1948">
        <f t="shared" si="558"/>
        <v>139700</v>
      </c>
      <c r="AX524" s="1949">
        <f t="shared" si="559"/>
        <v>84454</v>
      </c>
      <c r="AY524" s="1973">
        <v>189632</v>
      </c>
      <c r="AZ524" s="1948">
        <f t="shared" ref="AZ524:BC525" si="562">AY524*1.1</f>
        <v>208595.20000000001</v>
      </c>
      <c r="BA524" s="1981">
        <f t="shared" si="562"/>
        <v>229454.72000000003</v>
      </c>
      <c r="BB524" s="1949">
        <f t="shared" si="562"/>
        <v>252400.19200000004</v>
      </c>
      <c r="BC524" s="1981">
        <f t="shared" si="562"/>
        <v>277640.21120000008</v>
      </c>
    </row>
    <row r="525" spans="1:55" s="1953" customFormat="1" ht="10.15" x14ac:dyDescent="0.3">
      <c r="A525" s="2131"/>
      <c r="B525" s="2476" t="s">
        <v>1177</v>
      </c>
      <c r="C525" s="1950"/>
      <c r="D525" s="1950"/>
      <c r="E525" s="1950"/>
      <c r="F525" s="1972"/>
      <c r="G525" s="1950"/>
      <c r="H525" s="2248">
        <v>3023</v>
      </c>
      <c r="I525" s="2248">
        <v>1095</v>
      </c>
      <c r="J525" s="2248">
        <f t="shared" si="553"/>
        <v>3023</v>
      </c>
      <c r="K525" s="2248">
        <v>3190</v>
      </c>
      <c r="L525" s="2248">
        <v>9241</v>
      </c>
      <c r="M525" s="2248">
        <v>11285</v>
      </c>
      <c r="N525" s="2248">
        <v>14611</v>
      </c>
      <c r="O525" s="1975">
        <v>27105</v>
      </c>
      <c r="P525" s="2248">
        <v>27555</v>
      </c>
      <c r="Q525" s="2248">
        <v>36091</v>
      </c>
      <c r="R525" s="2248">
        <v>91461</v>
      </c>
      <c r="S525" s="2248">
        <v>25775</v>
      </c>
      <c r="T525" s="2248">
        <v>37758</v>
      </c>
      <c r="U525" s="2248">
        <v>34331</v>
      </c>
      <c r="V525" s="2248">
        <v>31452</v>
      </c>
      <c r="W525" s="1974">
        <v>30888</v>
      </c>
      <c r="X525" s="1973">
        <v>33049</v>
      </c>
      <c r="Y525" s="1973">
        <v>34855</v>
      </c>
      <c r="Z525" s="1973">
        <v>38192</v>
      </c>
      <c r="AA525" s="1973">
        <v>115286</v>
      </c>
      <c r="AB525" s="1973">
        <v>132467</v>
      </c>
      <c r="AC525" s="1973">
        <v>137000</v>
      </c>
      <c r="AD525" s="1973">
        <v>157090</v>
      </c>
      <c r="AE525" s="1973">
        <v>168709</v>
      </c>
      <c r="AF525" s="1973">
        <v>167690</v>
      </c>
      <c r="AG525" s="1973">
        <v>178155</v>
      </c>
      <c r="AH525" s="1973">
        <v>161329</v>
      </c>
      <c r="AI525" s="1973">
        <v>182209</v>
      </c>
      <c r="AJ525" s="1973"/>
      <c r="AK525" s="1973"/>
      <c r="AL525" s="1973"/>
      <c r="AM525" s="1973"/>
      <c r="AN525" s="1973"/>
      <c r="AO525" s="1973"/>
      <c r="AP525" s="1973"/>
      <c r="AQ525" s="1976">
        <v>248</v>
      </c>
      <c r="AR525" s="1974">
        <v>242</v>
      </c>
      <c r="AS525" s="1974">
        <v>3023</v>
      </c>
      <c r="AT525" s="1974">
        <f t="shared" si="560"/>
        <v>14611</v>
      </c>
      <c r="AU525" s="1949">
        <f t="shared" si="561"/>
        <v>91461</v>
      </c>
      <c r="AV525" s="1948">
        <f t="shared" si="557"/>
        <v>31452</v>
      </c>
      <c r="AW525" s="1948">
        <f t="shared" si="558"/>
        <v>38192</v>
      </c>
      <c r="AX525" s="1949">
        <f t="shared" si="559"/>
        <v>157090</v>
      </c>
      <c r="AY525" s="1973">
        <v>161329</v>
      </c>
      <c r="AZ525" s="1948">
        <f t="shared" si="562"/>
        <v>177461.90000000002</v>
      </c>
      <c r="BA525" s="1981">
        <f t="shared" si="562"/>
        <v>195208.09000000005</v>
      </c>
      <c r="BB525" s="1949">
        <f t="shared" si="562"/>
        <v>214728.89900000006</v>
      </c>
      <c r="BC525" s="1981">
        <f t="shared" si="562"/>
        <v>236201.7889000001</v>
      </c>
    </row>
    <row r="526" spans="1:55" s="1953" customFormat="1" ht="10.15" x14ac:dyDescent="0.3">
      <c r="A526" s="2131"/>
      <c r="B526" s="2476" t="s">
        <v>1179</v>
      </c>
      <c r="C526" s="1950"/>
      <c r="D526" s="1950"/>
      <c r="E526" s="1950"/>
      <c r="F526" s="1973"/>
      <c r="G526" s="1950"/>
      <c r="H526" s="2248">
        <v>2087</v>
      </c>
      <c r="I526" s="2248">
        <v>2041</v>
      </c>
      <c r="J526" s="2248">
        <f t="shared" si="553"/>
        <v>2087</v>
      </c>
      <c r="K526" s="2248">
        <v>2409</v>
      </c>
      <c r="L526" s="2248">
        <v>4535</v>
      </c>
      <c r="M526" s="2248">
        <v>3177</v>
      </c>
      <c r="N526" s="2248">
        <v>4085</v>
      </c>
      <c r="O526" s="1975">
        <v>4020</v>
      </c>
      <c r="P526" s="2248">
        <v>6924</v>
      </c>
      <c r="Q526" s="2248">
        <v>8351</v>
      </c>
      <c r="R526" s="2248">
        <v>6007</v>
      </c>
      <c r="S526" s="2248">
        <v>4996</v>
      </c>
      <c r="T526" s="2248">
        <v>6138</v>
      </c>
      <c r="U526" s="2248">
        <v>7864</v>
      </c>
      <c r="V526" s="2248">
        <v>8703</v>
      </c>
      <c r="W526" s="1974">
        <v>11127</v>
      </c>
      <c r="X526" s="1973">
        <v>13173</v>
      </c>
      <c r="Y526" s="1973">
        <v>14750</v>
      </c>
      <c r="Z526" s="1973">
        <v>16897</v>
      </c>
      <c r="AA526" s="1973">
        <v>23931</v>
      </c>
      <c r="AB526" s="1973">
        <v>26156</v>
      </c>
      <c r="AC526" s="1973">
        <v>25363</v>
      </c>
      <c r="AD526" s="1973">
        <v>28018</v>
      </c>
      <c r="AE526" s="1973">
        <v>46820</v>
      </c>
      <c r="AF526" s="1973">
        <v>49299</v>
      </c>
      <c r="AG526" s="1973">
        <v>54715</v>
      </c>
      <c r="AH526" s="1973">
        <v>57985</v>
      </c>
      <c r="AI526" s="1973">
        <v>58152</v>
      </c>
      <c r="AJ526" s="1973"/>
      <c r="AK526" s="1973"/>
      <c r="AL526" s="1973"/>
      <c r="AM526" s="1973"/>
      <c r="AN526" s="1973"/>
      <c r="AO526" s="1973"/>
      <c r="AP526" s="1973"/>
      <c r="AQ526" s="1976">
        <v>1466</v>
      </c>
      <c r="AR526" s="1974">
        <v>1496</v>
      </c>
      <c r="AS526" s="1974">
        <v>2087</v>
      </c>
      <c r="AT526" s="1974">
        <f t="shared" si="560"/>
        <v>4085</v>
      </c>
      <c r="AU526" s="1949">
        <f t="shared" si="561"/>
        <v>6007</v>
      </c>
      <c r="AV526" s="1948">
        <f t="shared" si="557"/>
        <v>8703</v>
      </c>
      <c r="AW526" s="1948">
        <f t="shared" si="558"/>
        <v>16897</v>
      </c>
      <c r="AX526" s="1949">
        <f t="shared" si="559"/>
        <v>28018</v>
      </c>
      <c r="AY526" s="1973">
        <v>57985</v>
      </c>
      <c r="AZ526" s="1948">
        <f>AZ323*AZ572</f>
        <v>77177.747238967699</v>
      </c>
      <c r="BA526" s="1981">
        <f>BA323*BA572</f>
        <v>97506.078886746152</v>
      </c>
      <c r="BB526" s="1949">
        <f>BB323*BB572</f>
        <v>119589.43434876448</v>
      </c>
      <c r="BC526" s="1981">
        <f>BC323*BC572</f>
        <v>144205.61262953933</v>
      </c>
    </row>
    <row r="527" spans="1:55" s="1953" customFormat="1" ht="10.15" x14ac:dyDescent="0.3">
      <c r="A527" s="2131"/>
      <c r="B527" s="2476" t="s">
        <v>1183</v>
      </c>
      <c r="C527" s="1950"/>
      <c r="D527" s="1950"/>
      <c r="E527" s="1950"/>
      <c r="F527" s="1973"/>
      <c r="G527" s="1950"/>
      <c r="H527" s="2248">
        <v>5581</v>
      </c>
      <c r="I527" s="2248">
        <v>5973</v>
      </c>
      <c r="J527" s="2248">
        <f t="shared" si="553"/>
        <v>5581</v>
      </c>
      <c r="K527" s="2248">
        <v>6738</v>
      </c>
      <c r="L527" s="2248">
        <v>8561</v>
      </c>
      <c r="M527" s="2248">
        <v>9028</v>
      </c>
      <c r="N527" s="2248">
        <v>9139</v>
      </c>
      <c r="O527" s="1975">
        <v>9967</v>
      </c>
      <c r="P527" s="2248">
        <v>11428</v>
      </c>
      <c r="Q527" s="2248">
        <v>13844</v>
      </c>
      <c r="R527" s="2248">
        <v>13629</v>
      </c>
      <c r="S527" s="2248">
        <v>15791</v>
      </c>
      <c r="T527" s="2248">
        <v>16400</v>
      </c>
      <c r="U527" s="2248">
        <v>19899</v>
      </c>
      <c r="V527" s="2248">
        <v>20206</v>
      </c>
      <c r="W527" s="1974">
        <v>43922</v>
      </c>
      <c r="X527" s="1973">
        <v>49587</v>
      </c>
      <c r="Y527" s="1973">
        <v>64973</v>
      </c>
      <c r="Z527" s="1973">
        <v>66489</v>
      </c>
      <c r="AA527" s="1973">
        <v>78659</v>
      </c>
      <c r="AB527" s="1973">
        <v>87025</v>
      </c>
      <c r="AC527" s="1973">
        <v>90814</v>
      </c>
      <c r="AD527" s="1973">
        <v>92030</v>
      </c>
      <c r="AE527" s="1973">
        <v>94184</v>
      </c>
      <c r="AF527" s="1973">
        <v>100907</v>
      </c>
      <c r="AG527" s="1973">
        <v>101520</v>
      </c>
      <c r="AH527" s="1973">
        <v>103387</v>
      </c>
      <c r="AI527" s="1973">
        <v>111461</v>
      </c>
      <c r="AJ527" s="1973"/>
      <c r="AK527" s="1973"/>
      <c r="AL527" s="1973"/>
      <c r="AM527" s="1973"/>
      <c r="AN527" s="1973"/>
      <c r="AO527" s="1973"/>
      <c r="AP527" s="1973"/>
      <c r="AQ527" s="1976">
        <v>2463</v>
      </c>
      <c r="AR527" s="1974">
        <v>3808</v>
      </c>
      <c r="AS527" s="1974">
        <v>5581</v>
      </c>
      <c r="AT527" s="1974">
        <f t="shared" si="560"/>
        <v>9139</v>
      </c>
      <c r="AU527" s="1949">
        <f t="shared" si="561"/>
        <v>13629</v>
      </c>
      <c r="AV527" s="1948">
        <f t="shared" si="557"/>
        <v>20206</v>
      </c>
      <c r="AW527" s="1948">
        <f t="shared" si="558"/>
        <v>66489</v>
      </c>
      <c r="AX527" s="1949">
        <f t="shared" si="559"/>
        <v>92030</v>
      </c>
      <c r="AY527" s="1973">
        <v>103387</v>
      </c>
      <c r="AZ527" s="1948">
        <f>AY527-AZ387-AZ623+AZ625</f>
        <v>136032.57803746519</v>
      </c>
      <c r="BA527" s="1981">
        <f>AZ527-BA387-BA623+BA625</f>
        <v>170322.83641540474</v>
      </c>
      <c r="BB527" s="1949">
        <f>BA527-BB387-BB623+BB625</f>
        <v>213498.68770118986</v>
      </c>
      <c r="BC527" s="1981">
        <f>BB527-BC387-BC623+BC625</f>
        <v>254178.83409517206</v>
      </c>
    </row>
    <row r="528" spans="1:55" s="1953" customFormat="1" ht="10.15" x14ac:dyDescent="0.3">
      <c r="A528" s="2131"/>
      <c r="B528" s="2476" t="s">
        <v>1184</v>
      </c>
      <c r="C528" s="1950"/>
      <c r="D528" s="1950"/>
      <c r="E528" s="1950"/>
      <c r="F528" s="2038"/>
      <c r="G528" s="1950"/>
      <c r="H528" s="2248">
        <v>1660</v>
      </c>
      <c r="I528" s="2477">
        <v>1863</v>
      </c>
      <c r="J528" s="2248">
        <f t="shared" si="553"/>
        <v>1660</v>
      </c>
      <c r="K528" s="2477">
        <v>1650</v>
      </c>
      <c r="L528" s="2477">
        <v>1593</v>
      </c>
      <c r="M528" s="2477">
        <v>2963</v>
      </c>
      <c r="N528" s="2477">
        <v>3105</v>
      </c>
      <c r="O528" s="1975">
        <v>2927</v>
      </c>
      <c r="P528" s="2248">
        <v>2910</v>
      </c>
      <c r="Q528" s="2248">
        <v>2893</v>
      </c>
      <c r="R528" s="2248">
        <v>2876</v>
      </c>
      <c r="S528" s="2248">
        <v>4770</v>
      </c>
      <c r="T528" s="2248">
        <v>4743</v>
      </c>
      <c r="U528" s="2248">
        <v>4718</v>
      </c>
      <c r="V528" s="2248">
        <v>4691</v>
      </c>
      <c r="W528" s="1974">
        <v>6629</v>
      </c>
      <c r="X528" s="1973">
        <v>6779</v>
      </c>
      <c r="Y528" s="1973">
        <v>9257</v>
      </c>
      <c r="Z528" s="1973">
        <v>9377</v>
      </c>
      <c r="AA528" s="1973">
        <v>0</v>
      </c>
      <c r="AB528" s="1973">
        <v>0</v>
      </c>
      <c r="AC528" s="1973">
        <v>0</v>
      </c>
      <c r="AD528" s="1973"/>
      <c r="AE528" s="1973"/>
      <c r="AF528" s="1973"/>
      <c r="AG528" s="1973"/>
      <c r="AH528" s="1973"/>
      <c r="AI528" s="1973"/>
      <c r="AJ528" s="1973"/>
      <c r="AK528" s="1973"/>
      <c r="AL528" s="1973"/>
      <c r="AM528" s="1973"/>
      <c r="AN528" s="1973"/>
      <c r="AO528" s="1973"/>
      <c r="AP528" s="1973"/>
      <c r="AQ528" s="1978">
        <v>1701</v>
      </c>
      <c r="AR528" s="1979">
        <v>1895</v>
      </c>
      <c r="AS528" s="1974">
        <v>1660</v>
      </c>
      <c r="AT528" s="1974">
        <f t="shared" si="560"/>
        <v>3105</v>
      </c>
      <c r="AU528" s="1949">
        <f t="shared" si="561"/>
        <v>2876</v>
      </c>
      <c r="AV528" s="1948">
        <f t="shared" si="557"/>
        <v>4691</v>
      </c>
      <c r="AW528" s="1948">
        <f t="shared" si="558"/>
        <v>9377</v>
      </c>
      <c r="AX528" s="1949">
        <f t="shared" si="559"/>
        <v>0</v>
      </c>
      <c r="AY528" s="1973"/>
      <c r="AZ528" s="1948">
        <v>0</v>
      </c>
      <c r="BA528" s="1981">
        <v>0</v>
      </c>
      <c r="BB528" s="1949">
        <v>0</v>
      </c>
      <c r="BC528" s="1981">
        <v>0</v>
      </c>
    </row>
    <row r="529" spans="1:55" s="1953" customFormat="1" ht="10.15" x14ac:dyDescent="0.3">
      <c r="A529" s="2131"/>
      <c r="B529" s="2476" t="s">
        <v>1185</v>
      </c>
      <c r="C529" s="1950"/>
      <c r="D529" s="1950"/>
      <c r="E529" s="1950"/>
      <c r="F529" s="1972"/>
      <c r="G529" s="1950"/>
      <c r="H529" s="2248">
        <v>1906</v>
      </c>
      <c r="I529" s="2248">
        <v>1610</v>
      </c>
      <c r="J529" s="2248">
        <f t="shared" si="553"/>
        <v>1906</v>
      </c>
      <c r="K529" s="2248">
        <v>5950</v>
      </c>
      <c r="L529" s="2248">
        <v>7261</v>
      </c>
      <c r="M529" s="2248">
        <v>6803</v>
      </c>
      <c r="N529" s="2248">
        <v>6575</v>
      </c>
      <c r="O529" s="1975">
        <v>6202</v>
      </c>
      <c r="P529" s="2248">
        <v>6661</v>
      </c>
      <c r="Q529" s="2248">
        <v>5980</v>
      </c>
      <c r="R529" s="2248">
        <v>5370</v>
      </c>
      <c r="S529" s="2248">
        <v>14236</v>
      </c>
      <c r="T529" s="2248">
        <v>14010</v>
      </c>
      <c r="U529" s="2248">
        <v>12921</v>
      </c>
      <c r="V529" s="2248">
        <v>14108</v>
      </c>
      <c r="W529" s="1974">
        <v>16244</v>
      </c>
      <c r="X529" s="1973">
        <v>14542</v>
      </c>
      <c r="Y529" s="1973">
        <v>27119</v>
      </c>
      <c r="Z529" s="1973">
        <v>27465</v>
      </c>
      <c r="AA529" s="1973">
        <v>51866</v>
      </c>
      <c r="AB529" s="1973">
        <v>50684</v>
      </c>
      <c r="AC529" s="1973">
        <v>67994</v>
      </c>
      <c r="AD529" s="1973">
        <v>68276</v>
      </c>
      <c r="AE529" s="1973">
        <v>66019</v>
      </c>
      <c r="AF529" s="1973">
        <v>66100</v>
      </c>
      <c r="AG529" s="1973">
        <v>64748</v>
      </c>
      <c r="AH529" s="1973">
        <v>60947</v>
      </c>
      <c r="AI529" s="1973">
        <v>57580</v>
      </c>
      <c r="AJ529" s="1973"/>
      <c r="AK529" s="1973"/>
      <c r="AL529" s="1973"/>
      <c r="AM529" s="1973"/>
      <c r="AN529" s="1973"/>
      <c r="AO529" s="1973"/>
      <c r="AP529" s="1973"/>
      <c r="AQ529" s="1976">
        <v>355</v>
      </c>
      <c r="AR529" s="1974">
        <v>334</v>
      </c>
      <c r="AS529" s="1948">
        <v>1906</v>
      </c>
      <c r="AT529" s="1974">
        <f t="shared" si="560"/>
        <v>6575</v>
      </c>
      <c r="AU529" s="1949">
        <f t="shared" si="561"/>
        <v>5370</v>
      </c>
      <c r="AV529" s="1948">
        <f t="shared" si="557"/>
        <v>14108</v>
      </c>
      <c r="AW529" s="1948">
        <f t="shared" si="558"/>
        <v>27465</v>
      </c>
      <c r="AX529" s="1949">
        <f t="shared" si="559"/>
        <v>68276</v>
      </c>
      <c r="AY529" s="1973">
        <v>60947</v>
      </c>
      <c r="AZ529" s="1948">
        <f t="shared" ref="AZ529:BC530" si="563">AY529*1.1</f>
        <v>67041.700000000012</v>
      </c>
      <c r="BA529" s="1981">
        <f t="shared" si="563"/>
        <v>73745.870000000024</v>
      </c>
      <c r="BB529" s="1949">
        <f t="shared" si="563"/>
        <v>81120.457000000039</v>
      </c>
      <c r="BC529" s="1981">
        <f t="shared" si="563"/>
        <v>89232.502700000055</v>
      </c>
    </row>
    <row r="530" spans="1:55" s="1953" customFormat="1" ht="10.15" x14ac:dyDescent="0.3">
      <c r="A530" s="2131"/>
      <c r="B530" s="2476" t="s">
        <v>1186</v>
      </c>
      <c r="C530" s="1950"/>
      <c r="D530" s="1950"/>
      <c r="E530" s="1950"/>
      <c r="F530" s="1973"/>
      <c r="G530" s="1950"/>
      <c r="H530" s="2248">
        <v>11793</v>
      </c>
      <c r="I530" s="2248">
        <v>11640</v>
      </c>
      <c r="J530" s="2248">
        <f t="shared" si="553"/>
        <v>11793</v>
      </c>
      <c r="K530" s="2248">
        <v>29289</v>
      </c>
      <c r="L530" s="2248">
        <v>33661</v>
      </c>
      <c r="M530" s="2248">
        <v>40677</v>
      </c>
      <c r="N530" s="2248">
        <v>41933</v>
      </c>
      <c r="O530" s="1975">
        <v>32174</v>
      </c>
      <c r="P530" s="2248">
        <v>82109</v>
      </c>
      <c r="Q530" s="2248">
        <v>81645</v>
      </c>
      <c r="R530" s="2248">
        <v>81645</v>
      </c>
      <c r="S530" s="2248">
        <v>114214</v>
      </c>
      <c r="T530" s="2248">
        <v>121353</v>
      </c>
      <c r="U530" s="2248">
        <v>122540</v>
      </c>
      <c r="V530" s="2248">
        <v>125420</v>
      </c>
      <c r="W530" s="1974">
        <v>129539</v>
      </c>
      <c r="X530" s="1973">
        <v>130196</v>
      </c>
      <c r="Y530" s="1973">
        <v>162683</v>
      </c>
      <c r="Z530" s="1973">
        <v>162149</v>
      </c>
      <c r="AA530" s="1973">
        <v>207373</v>
      </c>
      <c r="AB530" s="1973">
        <v>203729</v>
      </c>
      <c r="AC530" s="1973">
        <v>244261</v>
      </c>
      <c r="AD530" s="1973">
        <v>264935</v>
      </c>
      <c r="AE530" s="1973">
        <v>266894</v>
      </c>
      <c r="AF530" s="1973">
        <v>276633</v>
      </c>
      <c r="AG530" s="1973">
        <v>277029</v>
      </c>
      <c r="AH530" s="1973">
        <v>276782</v>
      </c>
      <c r="AI530" s="1973">
        <v>276896</v>
      </c>
      <c r="AJ530" s="1973"/>
      <c r="AK530" s="1973"/>
      <c r="AL530" s="1973"/>
      <c r="AM530" s="1973"/>
      <c r="AN530" s="1973"/>
      <c r="AO530" s="1973"/>
      <c r="AP530" s="1973"/>
      <c r="AQ530" s="1976">
        <v>11436</v>
      </c>
      <c r="AR530" s="1974">
        <v>11294</v>
      </c>
      <c r="AS530" s="1948">
        <v>11793</v>
      </c>
      <c r="AT530" s="1974">
        <f t="shared" si="560"/>
        <v>41933</v>
      </c>
      <c r="AU530" s="1949">
        <f t="shared" si="561"/>
        <v>81645</v>
      </c>
      <c r="AV530" s="1948">
        <f t="shared" si="557"/>
        <v>125420</v>
      </c>
      <c r="AW530" s="1948">
        <f t="shared" si="558"/>
        <v>162149</v>
      </c>
      <c r="AX530" s="1949">
        <f t="shared" si="559"/>
        <v>264935</v>
      </c>
      <c r="AY530" s="1973">
        <v>276782</v>
      </c>
      <c r="AZ530" s="1948">
        <f t="shared" si="563"/>
        <v>304460.2</v>
      </c>
      <c r="BA530" s="1981">
        <f t="shared" si="563"/>
        <v>334906.22000000003</v>
      </c>
      <c r="BB530" s="1949">
        <f t="shared" si="563"/>
        <v>368396.84200000006</v>
      </c>
      <c r="BC530" s="1981">
        <f t="shared" si="563"/>
        <v>405236.52620000008</v>
      </c>
    </row>
    <row r="531" spans="1:55" s="1999" customFormat="1" ht="10.15" x14ac:dyDescent="0.3">
      <c r="A531" s="2131"/>
      <c r="B531" s="2487" t="s">
        <v>1187</v>
      </c>
      <c r="C531" s="2577"/>
      <c r="D531" s="2577"/>
      <c r="E531" s="2577"/>
      <c r="F531" s="1992"/>
      <c r="G531" s="2577"/>
      <c r="H531" s="2474">
        <v>111549</v>
      </c>
      <c r="I531" s="2474">
        <v>107058</v>
      </c>
      <c r="J531" s="2474">
        <f t="shared" si="553"/>
        <v>111549</v>
      </c>
      <c r="K531" s="2474">
        <f t="shared" ref="K531:AI531" si="564">SUM(K523:K530)</f>
        <v>139406</v>
      </c>
      <c r="L531" s="2474">
        <f t="shared" si="564"/>
        <v>205212</v>
      </c>
      <c r="M531" s="2474">
        <f t="shared" si="564"/>
        <v>235328</v>
      </c>
      <c r="N531" s="2474">
        <f t="shared" si="564"/>
        <v>241621</v>
      </c>
      <c r="O531" s="2474">
        <f t="shared" si="564"/>
        <v>264740</v>
      </c>
      <c r="P531" s="2474">
        <f t="shared" si="564"/>
        <v>315651</v>
      </c>
      <c r="Q531" s="2474">
        <f t="shared" si="564"/>
        <v>364671</v>
      </c>
      <c r="R531" s="2474">
        <f t="shared" si="564"/>
        <v>364450</v>
      </c>
      <c r="S531" s="2474">
        <f t="shared" si="564"/>
        <v>409970</v>
      </c>
      <c r="T531" s="2474">
        <f t="shared" si="564"/>
        <v>456402</v>
      </c>
      <c r="U531" s="2474">
        <f t="shared" si="564"/>
        <v>490866</v>
      </c>
      <c r="V531" s="2474">
        <f t="shared" si="564"/>
        <v>506812</v>
      </c>
      <c r="W531" s="2474">
        <f t="shared" si="564"/>
        <v>543714</v>
      </c>
      <c r="X531" s="2474">
        <f t="shared" si="564"/>
        <v>578824</v>
      </c>
      <c r="Y531" s="2474">
        <f t="shared" si="564"/>
        <v>711432</v>
      </c>
      <c r="Z531" s="2474">
        <f t="shared" si="564"/>
        <v>717124</v>
      </c>
      <c r="AA531" s="2474">
        <f t="shared" si="564"/>
        <v>796662</v>
      </c>
      <c r="AB531" s="2474">
        <f t="shared" si="564"/>
        <v>824767</v>
      </c>
      <c r="AC531" s="2474">
        <f t="shared" si="564"/>
        <v>917943</v>
      </c>
      <c r="AD531" s="2474">
        <f t="shared" si="564"/>
        <v>965076</v>
      </c>
      <c r="AE531" s="1992">
        <f t="shared" si="564"/>
        <v>1018854</v>
      </c>
      <c r="AF531" s="1992">
        <f t="shared" si="564"/>
        <v>1159577</v>
      </c>
      <c r="AG531" s="1992">
        <f t="shared" si="564"/>
        <v>1319495</v>
      </c>
      <c r="AH531" s="1992">
        <f t="shared" si="564"/>
        <v>1312985</v>
      </c>
      <c r="AI531" s="2474">
        <f t="shared" si="564"/>
        <v>1369177</v>
      </c>
      <c r="AJ531" s="1992"/>
      <c r="AK531" s="1992"/>
      <c r="AL531" s="1992"/>
      <c r="AM531" s="1992"/>
      <c r="AN531" s="1992"/>
      <c r="AO531" s="1992"/>
      <c r="AP531" s="1992"/>
      <c r="AQ531" s="1993">
        <v>47210</v>
      </c>
      <c r="AR531" s="1994">
        <v>63786</v>
      </c>
      <c r="AS531" s="1994">
        <f>SUM(AS523:AS530)</f>
        <v>111549</v>
      </c>
      <c r="AT531" s="1994">
        <f>SUM(AT523:AT530)</f>
        <v>255434</v>
      </c>
      <c r="AU531" s="1993">
        <f>SUM(AU523:AU530)</f>
        <v>364450</v>
      </c>
      <c r="AV531" s="1995">
        <f t="shared" si="557"/>
        <v>506812</v>
      </c>
      <c r="AW531" s="1995">
        <f t="shared" si="558"/>
        <v>717124</v>
      </c>
      <c r="AX531" s="1997">
        <f t="shared" si="559"/>
        <v>965076</v>
      </c>
      <c r="AY531" s="1992">
        <f>SUM(AY523:AY530)</f>
        <v>1312985</v>
      </c>
      <c r="AZ531" s="1995">
        <f>SUM(AZ523:AZ530)</f>
        <v>1561119.0863406484</v>
      </c>
      <c r="BA531" s="1996">
        <f>SUM(BA523:BA530)</f>
        <v>1805273.0418434285</v>
      </c>
      <c r="BB531" s="1997">
        <f>SUM(BB523:BB530)</f>
        <v>2068611.6573203895</v>
      </c>
      <c r="BC531" s="1996">
        <f>SUM(BC523:BC530)</f>
        <v>2383913.6914335457</v>
      </c>
    </row>
    <row r="532" spans="1:55" s="1953" customFormat="1" ht="10.15" x14ac:dyDescent="0.3">
      <c r="A532" s="2131"/>
      <c r="B532" s="2487" t="s">
        <v>1188</v>
      </c>
      <c r="C532" s="1950"/>
      <c r="D532" s="1950"/>
      <c r="E532" s="1950"/>
      <c r="F532" s="1972"/>
      <c r="G532" s="1950"/>
      <c r="H532" s="1975"/>
      <c r="I532" s="2248"/>
      <c r="J532" s="2248"/>
      <c r="K532" s="2248"/>
      <c r="L532" s="2248"/>
      <c r="M532" s="2248"/>
      <c r="N532" s="2248"/>
      <c r="O532" s="1975"/>
      <c r="P532" s="1975"/>
      <c r="Q532" s="1975"/>
      <c r="R532" s="1975"/>
      <c r="S532" s="1975"/>
      <c r="T532" s="1975"/>
      <c r="U532" s="1975"/>
      <c r="V532" s="1975"/>
      <c r="W532" s="1948"/>
      <c r="X532" s="1950"/>
      <c r="Y532" s="1950"/>
      <c r="Z532" s="1973"/>
      <c r="AA532" s="1950"/>
      <c r="AB532" s="1950"/>
      <c r="AC532" s="1950"/>
      <c r="AD532" s="1950"/>
      <c r="AE532" s="1950"/>
      <c r="AF532" s="1950"/>
      <c r="AG532" s="1950"/>
      <c r="AH532" s="1950"/>
      <c r="AI532" s="1950"/>
      <c r="AJ532" s="1950"/>
      <c r="AK532" s="1950"/>
      <c r="AL532" s="1950"/>
      <c r="AM532" s="1950"/>
      <c r="AN532" s="1950"/>
      <c r="AO532" s="1950"/>
      <c r="AP532" s="1950"/>
      <c r="AQ532" s="1976"/>
      <c r="AR532" s="1974"/>
      <c r="AS532" s="1948"/>
      <c r="AT532" s="1948"/>
      <c r="AU532" s="1949"/>
      <c r="AV532" s="1948"/>
      <c r="AW532" s="1948"/>
      <c r="AX532" s="1949"/>
      <c r="AY532" s="1950"/>
      <c r="AZ532" s="1948"/>
      <c r="BA532" s="1981"/>
      <c r="BB532" s="1949"/>
      <c r="BC532" s="1981"/>
    </row>
    <row r="533" spans="1:55" s="1953" customFormat="1" ht="10.15" x14ac:dyDescent="0.3">
      <c r="A533" s="2131"/>
      <c r="B533" s="2476" t="s">
        <v>1189</v>
      </c>
      <c r="C533" s="1950"/>
      <c r="D533" s="1950"/>
      <c r="E533" s="1950"/>
      <c r="F533" s="1972"/>
      <c r="G533" s="1950"/>
      <c r="H533" s="1975"/>
      <c r="I533" s="2248"/>
      <c r="J533" s="2248"/>
      <c r="K533" s="2248"/>
      <c r="L533" s="2248"/>
      <c r="M533" s="2248"/>
      <c r="N533" s="2248"/>
      <c r="O533" s="1975"/>
      <c r="P533" s="1975"/>
      <c r="Q533" s="1975"/>
      <c r="R533" s="1975"/>
      <c r="S533" s="1975"/>
      <c r="T533" s="1975"/>
      <c r="U533" s="1975"/>
      <c r="V533" s="1975"/>
      <c r="W533" s="1948"/>
      <c r="X533" s="1950"/>
      <c r="Y533" s="1950"/>
      <c r="Z533" s="1973"/>
      <c r="AA533" s="1950"/>
      <c r="AB533" s="1950"/>
      <c r="AC533" s="1950"/>
      <c r="AD533" s="1950"/>
      <c r="AE533" s="1950"/>
      <c r="AF533" s="1950"/>
      <c r="AG533" s="1950"/>
      <c r="AH533" s="1950"/>
      <c r="AI533" s="1950"/>
      <c r="AJ533" s="1950"/>
      <c r="AK533" s="1950"/>
      <c r="AL533" s="1950"/>
      <c r="AM533" s="1950"/>
      <c r="AN533" s="1950"/>
      <c r="AO533" s="1950"/>
      <c r="AP533" s="1950"/>
      <c r="AQ533" s="1976"/>
      <c r="AR533" s="1974"/>
      <c r="AS533" s="1948"/>
      <c r="AT533" s="1948"/>
      <c r="AU533" s="1949"/>
      <c r="AV533" s="1948"/>
      <c r="AW533" s="1948"/>
      <c r="AX533" s="1949"/>
      <c r="AY533" s="1950"/>
      <c r="AZ533" s="1948"/>
      <c r="BA533" s="1981"/>
      <c r="BB533" s="1949"/>
      <c r="BC533" s="1981"/>
    </row>
    <row r="534" spans="1:55" s="1953" customFormat="1" ht="10.15" x14ac:dyDescent="0.3">
      <c r="A534" s="2131"/>
      <c r="B534" s="2476" t="s">
        <v>1190</v>
      </c>
      <c r="C534" s="1950"/>
      <c r="D534" s="1950"/>
      <c r="E534" s="1950"/>
      <c r="F534" s="1973"/>
      <c r="G534" s="1950"/>
      <c r="H534" s="2248">
        <v>1100</v>
      </c>
      <c r="I534" s="2248">
        <v>1200</v>
      </c>
      <c r="J534" s="2248">
        <f>AS534</f>
        <v>1100</v>
      </c>
      <c r="K534" s="2248">
        <v>4241</v>
      </c>
      <c r="L534" s="2248">
        <v>3767</v>
      </c>
      <c r="M534" s="2248">
        <v>4835</v>
      </c>
      <c r="N534" s="2248">
        <v>1990</v>
      </c>
      <c r="O534" s="1975">
        <v>2265</v>
      </c>
      <c r="P534" s="2248">
        <v>1440</v>
      </c>
      <c r="Q534" s="2248">
        <v>2950</v>
      </c>
      <c r="R534" s="2248">
        <v>4304</v>
      </c>
      <c r="S534" s="2248">
        <v>4684</v>
      </c>
      <c r="T534" s="2248">
        <v>5520</v>
      </c>
      <c r="U534" s="2248">
        <v>4655</v>
      </c>
      <c r="V534" s="2248">
        <v>5948</v>
      </c>
      <c r="W534" s="1974">
        <v>7660</v>
      </c>
      <c r="X534" s="1973">
        <v>7696</v>
      </c>
      <c r="Y534" s="1973">
        <v>6447</v>
      </c>
      <c r="Z534" s="1973">
        <v>6028</v>
      </c>
      <c r="AA534" s="1973">
        <v>13693</v>
      </c>
      <c r="AB534" s="1973">
        <v>9022</v>
      </c>
      <c r="AC534" s="1973">
        <v>7361</v>
      </c>
      <c r="AD534" s="1973">
        <v>7356</v>
      </c>
      <c r="AE534" s="1973">
        <v>7564</v>
      </c>
      <c r="AF534" s="1973">
        <v>8136</v>
      </c>
      <c r="AG534" s="1973">
        <v>4215</v>
      </c>
      <c r="AH534" s="1973">
        <v>5154</v>
      </c>
      <c r="AI534" s="1973">
        <v>4543</v>
      </c>
      <c r="AJ534" s="1973"/>
      <c r="AK534" s="1973"/>
      <c r="AL534" s="1973"/>
      <c r="AM534" s="1973"/>
      <c r="AN534" s="1973"/>
      <c r="AO534" s="1973"/>
      <c r="AP534" s="1973"/>
      <c r="AQ534" s="1976">
        <v>1283</v>
      </c>
      <c r="AR534" s="1974">
        <v>3350</v>
      </c>
      <c r="AS534" s="1948">
        <v>1100</v>
      </c>
      <c r="AT534" s="1948">
        <f>N534</f>
        <v>1990</v>
      </c>
      <c r="AU534" s="1949">
        <f>R534</f>
        <v>4304</v>
      </c>
      <c r="AV534" s="1948">
        <f t="shared" ref="AV534:AV562" si="565">V534</f>
        <v>5948</v>
      </c>
      <c r="AW534" s="1948">
        <f t="shared" ref="AW534:AW562" si="566">Z534</f>
        <v>6028</v>
      </c>
      <c r="AX534" s="1949">
        <f t="shared" ref="AX534:AX569" si="567">AD534</f>
        <v>7356</v>
      </c>
      <c r="AY534" s="1973">
        <v>5154</v>
      </c>
      <c r="AZ534" s="1948">
        <f>AY534*1.2</f>
        <v>6184.8</v>
      </c>
      <c r="BA534" s="1981">
        <f>AZ534*1.2</f>
        <v>7421.76</v>
      </c>
      <c r="BB534" s="1949">
        <f>BA534*1.2</f>
        <v>8906.1119999999992</v>
      </c>
      <c r="BC534" s="1981">
        <f>BB534*1.2</f>
        <v>10687.334399999998</v>
      </c>
    </row>
    <row r="535" spans="1:55" s="1953" customFormat="1" ht="10.15" x14ac:dyDescent="0.3">
      <c r="A535" s="2131"/>
      <c r="B535" s="2476" t="s">
        <v>1191</v>
      </c>
      <c r="C535" s="1950"/>
      <c r="D535" s="1950"/>
      <c r="E535" s="1950"/>
      <c r="F535" s="1973"/>
      <c r="G535" s="1950"/>
      <c r="H535" s="2248"/>
      <c r="I535" s="2248"/>
      <c r="J535" s="2248"/>
      <c r="K535" s="2248"/>
      <c r="L535" s="2248"/>
      <c r="M535" s="2248"/>
      <c r="N535" s="2248"/>
      <c r="O535" s="1975"/>
      <c r="P535" s="2248"/>
      <c r="Q535" s="2248"/>
      <c r="R535" s="2248"/>
      <c r="S535" s="2248"/>
      <c r="T535" s="2248"/>
      <c r="U535" s="2248">
        <v>9024</v>
      </c>
      <c r="V535" s="2248">
        <v>8949</v>
      </c>
      <c r="W535" s="1974">
        <v>8795</v>
      </c>
      <c r="X535" s="1973">
        <v>8665</v>
      </c>
      <c r="Y535" s="1973">
        <v>0</v>
      </c>
      <c r="Z535" s="1973">
        <v>0</v>
      </c>
      <c r="AA535" s="1973">
        <v>0</v>
      </c>
      <c r="AB535" s="1973">
        <v>0</v>
      </c>
      <c r="AC535" s="1973">
        <v>15451</v>
      </c>
      <c r="AD535" s="1973">
        <v>15110</v>
      </c>
      <c r="AE535" s="1973">
        <v>15455</v>
      </c>
      <c r="AF535" s="1973">
        <v>16019</v>
      </c>
      <c r="AG535" s="1973">
        <v>0</v>
      </c>
      <c r="AH535" s="1973"/>
      <c r="AI535" s="1973"/>
      <c r="AJ535" s="1973"/>
      <c r="AK535" s="1973"/>
      <c r="AL535" s="1973"/>
      <c r="AM535" s="1973"/>
      <c r="AN535" s="1973"/>
      <c r="AO535" s="1973"/>
      <c r="AP535" s="1973"/>
      <c r="AQ535" s="1976"/>
      <c r="AR535" s="1974"/>
      <c r="AS535" s="1948"/>
      <c r="AT535" s="1948"/>
      <c r="AU535" s="1949"/>
      <c r="AV535" s="1948">
        <f t="shared" si="565"/>
        <v>8949</v>
      </c>
      <c r="AW535" s="1948">
        <f t="shared" si="566"/>
        <v>0</v>
      </c>
      <c r="AX535" s="1949">
        <f t="shared" si="567"/>
        <v>15110</v>
      </c>
      <c r="AY535" s="1973"/>
      <c r="AZ535" s="1948">
        <v>0</v>
      </c>
      <c r="BA535" s="1981">
        <v>0</v>
      </c>
      <c r="BB535" s="1949">
        <v>0</v>
      </c>
      <c r="BC535" s="1981">
        <v>0</v>
      </c>
    </row>
    <row r="536" spans="1:55" s="1953" customFormat="1" ht="10.15" x14ac:dyDescent="0.3">
      <c r="A536" s="2096"/>
      <c r="B536" s="2476" t="s">
        <v>1192</v>
      </c>
      <c r="C536" s="1950"/>
      <c r="D536" s="1950"/>
      <c r="E536" s="1950"/>
      <c r="F536" s="1973"/>
      <c r="G536" s="1950"/>
      <c r="H536" s="2248">
        <v>9364</v>
      </c>
      <c r="I536" s="2248">
        <v>8884</v>
      </c>
      <c r="J536" s="2248">
        <f t="shared" ref="J536:J546" si="568">AS536</f>
        <v>9264</v>
      </c>
      <c r="K536" s="2248">
        <v>8831</v>
      </c>
      <c r="L536" s="2248">
        <v>10584</v>
      </c>
      <c r="M536" s="2248">
        <v>14303</v>
      </c>
      <c r="N536" s="2248">
        <v>0</v>
      </c>
      <c r="O536" s="1975"/>
      <c r="P536" s="2248"/>
      <c r="Q536" s="2248"/>
      <c r="R536" s="2248"/>
      <c r="S536" s="2248"/>
      <c r="T536" s="2248"/>
      <c r="U536" s="2248"/>
      <c r="V536" s="2248"/>
      <c r="W536" s="1974"/>
      <c r="X536" s="1973"/>
      <c r="Y536" s="1973"/>
      <c r="Z536" s="1973"/>
      <c r="AA536" s="1973"/>
      <c r="AB536" s="1973"/>
      <c r="AC536" s="1973"/>
      <c r="AD536" s="1973"/>
      <c r="AE536" s="1973"/>
      <c r="AF536" s="1973"/>
      <c r="AG536" s="1973"/>
      <c r="AH536" s="1973"/>
      <c r="AI536" s="1973"/>
      <c r="AJ536" s="1973"/>
      <c r="AK536" s="1973"/>
      <c r="AL536" s="1973"/>
      <c r="AM536" s="1973"/>
      <c r="AN536" s="1973"/>
      <c r="AO536" s="1973"/>
      <c r="AP536" s="1973"/>
      <c r="AQ536" s="1978">
        <v>0</v>
      </c>
      <c r="AR536" s="1974">
        <v>2098</v>
      </c>
      <c r="AS536" s="1948">
        <v>9264</v>
      </c>
      <c r="AT536" s="1948">
        <f t="shared" ref="AT536:AT541" si="569">N536</f>
        <v>0</v>
      </c>
      <c r="AU536" s="1949">
        <f t="shared" ref="AU536:AU541" si="570">R536</f>
        <v>0</v>
      </c>
      <c r="AV536" s="1948">
        <f t="shared" si="565"/>
        <v>0</v>
      </c>
      <c r="AW536" s="1948">
        <f t="shared" si="566"/>
        <v>0</v>
      </c>
      <c r="AX536" s="1949">
        <f t="shared" si="567"/>
        <v>0</v>
      </c>
      <c r="AY536" s="1973"/>
      <c r="AZ536" s="1948">
        <f>AY536</f>
        <v>0</v>
      </c>
      <c r="BA536" s="1981">
        <f>AZ536</f>
        <v>0</v>
      </c>
      <c r="BB536" s="1949">
        <f>BA536</f>
        <v>0</v>
      </c>
      <c r="BC536" s="1981">
        <f>BB536</f>
        <v>0</v>
      </c>
    </row>
    <row r="537" spans="1:55" s="1953" customFormat="1" ht="10.15" x14ac:dyDescent="0.3">
      <c r="A537" s="2096"/>
      <c r="B537" s="2476" t="s">
        <v>1193</v>
      </c>
      <c r="C537" s="1950"/>
      <c r="D537" s="1950"/>
      <c r="E537" s="1950"/>
      <c r="F537" s="1972"/>
      <c r="G537" s="1950"/>
      <c r="H537" s="2248">
        <v>1267</v>
      </c>
      <c r="I537" s="2248">
        <v>451</v>
      </c>
      <c r="J537" s="2248">
        <f t="shared" si="568"/>
        <v>1267</v>
      </c>
      <c r="K537" s="2248">
        <v>1253</v>
      </c>
      <c r="L537" s="2248">
        <v>1441</v>
      </c>
      <c r="M537" s="2248">
        <v>2281</v>
      </c>
      <c r="N537" s="2248">
        <v>2733</v>
      </c>
      <c r="O537" s="1975">
        <v>953</v>
      </c>
      <c r="P537" s="2248">
        <v>1413</v>
      </c>
      <c r="Q537" s="2248">
        <v>3056</v>
      </c>
      <c r="R537" s="2248">
        <v>2790</v>
      </c>
      <c r="S537" s="2248">
        <v>2348</v>
      </c>
      <c r="T537" s="2248">
        <v>3158</v>
      </c>
      <c r="U537" s="2248">
        <v>5736</v>
      </c>
      <c r="V537" s="2248">
        <v>6125</v>
      </c>
      <c r="W537" s="1974">
        <v>10229</v>
      </c>
      <c r="X537" s="1973">
        <v>11637</v>
      </c>
      <c r="Y537" s="1973">
        <v>12474</v>
      </c>
      <c r="Z537" s="1973">
        <v>13689</v>
      </c>
      <c r="AA537" s="1973">
        <v>14247</v>
      </c>
      <c r="AB537" s="1973">
        <v>12361</v>
      </c>
      <c r="AC537" s="1973">
        <v>17348</v>
      </c>
      <c r="AD537" s="1973">
        <v>17685</v>
      </c>
      <c r="AE537" s="1973">
        <v>17764</v>
      </c>
      <c r="AF537" s="1973">
        <v>17152</v>
      </c>
      <c r="AG537" s="1973">
        <v>21883</v>
      </c>
      <c r="AH537" s="1973">
        <v>20190</v>
      </c>
      <c r="AI537" s="1973">
        <v>22327</v>
      </c>
      <c r="AJ537" s="1973"/>
      <c r="AK537" s="1973"/>
      <c r="AL537" s="1973"/>
      <c r="AM537" s="1973"/>
      <c r="AN537" s="1973"/>
      <c r="AO537" s="1973"/>
      <c r="AP537" s="1973"/>
      <c r="AQ537" s="1976">
        <v>375</v>
      </c>
      <c r="AR537" s="1974">
        <v>259</v>
      </c>
      <c r="AS537" s="1948">
        <v>1267</v>
      </c>
      <c r="AT537" s="1948">
        <f t="shared" si="569"/>
        <v>2733</v>
      </c>
      <c r="AU537" s="1949">
        <f t="shared" si="570"/>
        <v>2790</v>
      </c>
      <c r="AV537" s="1948">
        <f t="shared" si="565"/>
        <v>6125</v>
      </c>
      <c r="AW537" s="1948">
        <f t="shared" si="566"/>
        <v>13689</v>
      </c>
      <c r="AX537" s="1949">
        <f t="shared" si="567"/>
        <v>17685</v>
      </c>
      <c r="AY537" s="1973">
        <v>20190</v>
      </c>
      <c r="AZ537" s="1948">
        <f>AY537*0.95</f>
        <v>19180.5</v>
      </c>
      <c r="BA537" s="1981">
        <f>AZ537*0.95</f>
        <v>18221.474999999999</v>
      </c>
      <c r="BB537" s="1949">
        <f>BA537*0.95</f>
        <v>17310.401249999999</v>
      </c>
      <c r="BC537" s="1981">
        <f>BB537*0.95</f>
        <v>16444.881187499999</v>
      </c>
    </row>
    <row r="538" spans="1:55" s="1953" customFormat="1" ht="10.15" x14ac:dyDescent="0.3">
      <c r="A538" s="2131"/>
      <c r="B538" s="2476" t="s">
        <v>1194</v>
      </c>
      <c r="C538" s="1950"/>
      <c r="D538" s="1950"/>
      <c r="E538" s="1950"/>
      <c r="F538" s="1973"/>
      <c r="G538" s="1950"/>
      <c r="H538" s="2248">
        <v>2659</v>
      </c>
      <c r="I538" s="2248">
        <v>2073</v>
      </c>
      <c r="J538" s="2248">
        <f t="shared" si="568"/>
        <v>2659</v>
      </c>
      <c r="K538" s="2248">
        <v>2930</v>
      </c>
      <c r="L538" s="2248"/>
      <c r="M538" s="2248"/>
      <c r="N538" s="2248">
        <v>0</v>
      </c>
      <c r="O538" s="1975"/>
      <c r="P538" s="2248"/>
      <c r="Q538" s="2248"/>
      <c r="R538" s="2248"/>
      <c r="S538" s="2248"/>
      <c r="T538" s="2248"/>
      <c r="U538" s="2248">
        <v>802</v>
      </c>
      <c r="V538" s="2248">
        <v>2322</v>
      </c>
      <c r="W538" s="1974">
        <v>2541</v>
      </c>
      <c r="X538" s="1973">
        <v>2602</v>
      </c>
      <c r="Y538" s="1973">
        <v>2844</v>
      </c>
      <c r="Z538" s="1973">
        <v>3053</v>
      </c>
      <c r="AA538" s="1973">
        <v>5372</v>
      </c>
      <c r="AB538" s="1973">
        <v>6202</v>
      </c>
      <c r="AC538" s="1973">
        <v>6790</v>
      </c>
      <c r="AD538" s="1973">
        <v>8250</v>
      </c>
      <c r="AE538" s="1973">
        <v>6868</v>
      </c>
      <c r="AF538" s="1973">
        <v>7830</v>
      </c>
      <c r="AG538" s="1973">
        <v>9205</v>
      </c>
      <c r="AH538" s="1973">
        <v>3014</v>
      </c>
      <c r="AI538" s="1973">
        <v>1635</v>
      </c>
      <c r="AJ538" s="1973"/>
      <c r="AK538" s="1973"/>
      <c r="AL538" s="1973"/>
      <c r="AM538" s="1973"/>
      <c r="AN538" s="1973"/>
      <c r="AO538" s="1973"/>
      <c r="AP538" s="1973"/>
      <c r="AQ538" s="1976">
        <v>339</v>
      </c>
      <c r="AR538" s="1974">
        <v>1315</v>
      </c>
      <c r="AS538" s="1948">
        <v>2659</v>
      </c>
      <c r="AT538" s="1948">
        <f t="shared" si="569"/>
        <v>0</v>
      </c>
      <c r="AU538" s="1949">
        <f t="shared" si="570"/>
        <v>0</v>
      </c>
      <c r="AV538" s="1948">
        <f t="shared" si="565"/>
        <v>2322</v>
      </c>
      <c r="AW538" s="1948">
        <f t="shared" si="566"/>
        <v>3053</v>
      </c>
      <c r="AX538" s="1949">
        <f t="shared" si="567"/>
        <v>8250</v>
      </c>
      <c r="AY538" s="1973">
        <v>3014</v>
      </c>
      <c r="AZ538" s="1948">
        <f>AY538*1.25</f>
        <v>3767.5</v>
      </c>
      <c r="BA538" s="1981">
        <f>AZ538*1.25</f>
        <v>4709.375</v>
      </c>
      <c r="BB538" s="1949">
        <f>BA538*1.25</f>
        <v>5886.71875</v>
      </c>
      <c r="BC538" s="1981">
        <f>BB538*1.25</f>
        <v>7358.3984375</v>
      </c>
    </row>
    <row r="539" spans="1:55" s="1953" customFormat="1" ht="10.15" x14ac:dyDescent="0.3">
      <c r="A539" s="2131"/>
      <c r="B539" s="2476" t="s">
        <v>1195</v>
      </c>
      <c r="C539" s="1950"/>
      <c r="D539" s="1950"/>
      <c r="E539" s="1950"/>
      <c r="F539" s="1973"/>
      <c r="G539" s="1950"/>
      <c r="H539" s="2248">
        <v>11887</v>
      </c>
      <c r="I539" s="2248">
        <v>13544</v>
      </c>
      <c r="J539" s="2248">
        <f t="shared" si="568"/>
        <v>11887</v>
      </c>
      <c r="K539" s="2248">
        <v>15347</v>
      </c>
      <c r="L539" s="2248">
        <v>17398</v>
      </c>
      <c r="M539" s="2248">
        <v>21240</v>
      </c>
      <c r="N539" s="2248">
        <v>19834</v>
      </c>
      <c r="O539" s="1975">
        <v>20601</v>
      </c>
      <c r="P539" s="2248">
        <v>23609</v>
      </c>
      <c r="Q539" s="2248">
        <v>25445</v>
      </c>
      <c r="R539" s="2248">
        <v>27334</v>
      </c>
      <c r="S539" s="2248">
        <v>33620</v>
      </c>
      <c r="T539" s="2248">
        <v>37206</v>
      </c>
      <c r="U539" s="2248">
        <v>44236</v>
      </c>
      <c r="V539" s="2248">
        <v>46979</v>
      </c>
      <c r="W539" s="1974">
        <v>51988</v>
      </c>
      <c r="X539" s="1973">
        <v>60580</v>
      </c>
      <c r="Y539" s="1973">
        <v>77358</v>
      </c>
      <c r="Z539" s="1973">
        <v>81165</v>
      </c>
      <c r="AA539" s="1973">
        <v>97264</v>
      </c>
      <c r="AB539" s="1973">
        <v>104785</v>
      </c>
      <c r="AC539" s="1973">
        <v>114477</v>
      </c>
      <c r="AD539" s="1973">
        <v>117711</v>
      </c>
      <c r="AE539" s="1973">
        <v>119965</v>
      </c>
      <c r="AF539" s="1973">
        <v>148104</v>
      </c>
      <c r="AG539" s="1973">
        <v>165275</v>
      </c>
      <c r="AH539" s="1973">
        <v>161536</v>
      </c>
      <c r="AI539" s="1973">
        <v>164711</v>
      </c>
      <c r="AJ539" s="1973"/>
      <c r="AK539" s="1973"/>
      <c r="AL539" s="1973"/>
      <c r="AM539" s="1973"/>
      <c r="AN539" s="1973"/>
      <c r="AO539" s="1973"/>
      <c r="AP539" s="1973"/>
      <c r="AQ539" s="1976">
        <v>4659</v>
      </c>
      <c r="AR539" s="1974">
        <v>8961</v>
      </c>
      <c r="AS539" s="1948">
        <v>11887</v>
      </c>
      <c r="AT539" s="1948">
        <f t="shared" si="569"/>
        <v>19834</v>
      </c>
      <c r="AU539" s="1949">
        <f t="shared" si="570"/>
        <v>27334</v>
      </c>
      <c r="AV539" s="1948">
        <f t="shared" si="565"/>
        <v>46979</v>
      </c>
      <c r="AW539" s="1948">
        <f t="shared" si="566"/>
        <v>81165</v>
      </c>
      <c r="AX539" s="1949">
        <f t="shared" si="567"/>
        <v>117711</v>
      </c>
      <c r="AY539" s="1973">
        <v>161536</v>
      </c>
      <c r="AZ539" s="1948">
        <f>AZ336*AZ573</f>
        <v>209188.79720654417</v>
      </c>
      <c r="BA539" s="1981">
        <f>BA336*BA573</f>
        <v>240371.67182707312</v>
      </c>
      <c r="BB539" s="1949">
        <f>BB336*BB573</f>
        <v>234308.90216979335</v>
      </c>
      <c r="BC539" s="1981">
        <f>BC336*BC573</f>
        <v>214361.77201491361</v>
      </c>
    </row>
    <row r="540" spans="1:55" s="1953" customFormat="1" ht="10.15" x14ac:dyDescent="0.3">
      <c r="A540" s="2131"/>
      <c r="B540" s="2476" t="s">
        <v>1196</v>
      </c>
      <c r="C540" s="1950"/>
      <c r="D540" s="1950"/>
      <c r="E540" s="1950"/>
      <c r="F540" s="2038"/>
      <c r="G540" s="1950"/>
      <c r="H540" s="2248">
        <v>4711</v>
      </c>
      <c r="I540" s="2477">
        <v>7879</v>
      </c>
      <c r="J540" s="2248">
        <f t="shared" si="568"/>
        <v>4711</v>
      </c>
      <c r="K540" s="2477">
        <v>5832</v>
      </c>
      <c r="L540" s="2477">
        <v>6738</v>
      </c>
      <c r="M540" s="2477">
        <v>12712</v>
      </c>
      <c r="N540" s="2477">
        <v>7201</v>
      </c>
      <c r="O540" s="1975">
        <v>7478</v>
      </c>
      <c r="P540" s="2248">
        <v>7468</v>
      </c>
      <c r="Q540" s="2248">
        <v>12688</v>
      </c>
      <c r="R540" s="2248">
        <v>7314</v>
      </c>
      <c r="S540" s="2248">
        <v>7609</v>
      </c>
      <c r="T540" s="2248">
        <v>8125</v>
      </c>
      <c r="U540" s="2248">
        <v>13649</v>
      </c>
      <c r="V540" s="2248">
        <v>8189</v>
      </c>
      <c r="W540" s="1974">
        <v>8481</v>
      </c>
      <c r="X540" s="1973">
        <v>8689</v>
      </c>
      <c r="Y540" s="1973">
        <v>15287</v>
      </c>
      <c r="Z540" s="1973">
        <v>9578</v>
      </c>
      <c r="AA540" s="1973">
        <v>9184</v>
      </c>
      <c r="AB540" s="1973">
        <v>9101</v>
      </c>
      <c r="AC540" s="1973">
        <v>18401</v>
      </c>
      <c r="AD540" s="1973">
        <v>10762</v>
      </c>
      <c r="AE540" s="1973">
        <v>11167</v>
      </c>
      <c r="AF540" s="1973">
        <v>11286</v>
      </c>
      <c r="AG540" s="1973">
        <v>23967</v>
      </c>
      <c r="AH540" s="1973">
        <v>13640</v>
      </c>
      <c r="AI540" s="1973">
        <v>14080</v>
      </c>
      <c r="AJ540" s="1973"/>
      <c r="AK540" s="1973"/>
      <c r="AL540" s="1973"/>
      <c r="AM540" s="1973"/>
      <c r="AN540" s="1973"/>
      <c r="AO540" s="1973"/>
      <c r="AP540" s="1973"/>
      <c r="AQ540" s="1978">
        <v>745</v>
      </c>
      <c r="AR540" s="1979">
        <v>3083</v>
      </c>
      <c r="AS540" s="1948">
        <v>4711</v>
      </c>
      <c r="AT540" s="1948">
        <f t="shared" si="569"/>
        <v>7201</v>
      </c>
      <c r="AU540" s="1949">
        <f t="shared" si="570"/>
        <v>7314</v>
      </c>
      <c r="AV540" s="1948">
        <f t="shared" si="565"/>
        <v>8189</v>
      </c>
      <c r="AW540" s="1948">
        <f t="shared" si="566"/>
        <v>9578</v>
      </c>
      <c r="AX540" s="1949">
        <f t="shared" si="567"/>
        <v>10762</v>
      </c>
      <c r="AY540" s="1973">
        <v>13640</v>
      </c>
      <c r="AZ540" s="1948">
        <f>AY540*1.2</f>
        <v>16368</v>
      </c>
      <c r="BA540" s="1981">
        <f>AZ540*1.2</f>
        <v>19641.599999999999</v>
      </c>
      <c r="BB540" s="1949">
        <f>BA540*1.2</f>
        <v>23569.919999999998</v>
      </c>
      <c r="BC540" s="1981">
        <f>BB540*1.2</f>
        <v>28283.903999999999</v>
      </c>
    </row>
    <row r="541" spans="1:55" s="1953" customFormat="1" ht="10.15" x14ac:dyDescent="0.3">
      <c r="A541" s="2131"/>
      <c r="B541" s="2476" t="s">
        <v>1197</v>
      </c>
      <c r="C541" s="1950"/>
      <c r="D541" s="1950"/>
      <c r="E541" s="1950"/>
      <c r="F541" s="1973"/>
      <c r="G541" s="1950"/>
      <c r="H541" s="2248">
        <v>6496</v>
      </c>
      <c r="I541" s="2248">
        <v>6306</v>
      </c>
      <c r="J541" s="2248">
        <f t="shared" si="568"/>
        <v>6496</v>
      </c>
      <c r="K541" s="2248">
        <v>6596</v>
      </c>
      <c r="L541" s="2248">
        <v>7103</v>
      </c>
      <c r="M541" s="2248">
        <v>7729</v>
      </c>
      <c r="N541" s="2248">
        <v>7914</v>
      </c>
      <c r="O541" s="1975">
        <v>8400</v>
      </c>
      <c r="P541" s="2248">
        <v>9157</v>
      </c>
      <c r="Q541" s="2248">
        <v>9863</v>
      </c>
      <c r="R541" s="2248">
        <v>10297</v>
      </c>
      <c r="S541" s="2248">
        <v>12577</v>
      </c>
      <c r="T541" s="2248">
        <v>13422</v>
      </c>
      <c r="U541" s="2248">
        <v>14494</v>
      </c>
      <c r="V541" s="2248">
        <v>15052</v>
      </c>
      <c r="W541" s="1974">
        <v>17312</v>
      </c>
      <c r="X541" s="1973">
        <v>19665</v>
      </c>
      <c r="Y541" s="1973">
        <v>22028</v>
      </c>
      <c r="Z541" s="1973">
        <v>22297</v>
      </c>
      <c r="AA541" s="1973">
        <v>24436</v>
      </c>
      <c r="AB541" s="1973">
        <v>26625</v>
      </c>
      <c r="AC541" s="1973">
        <v>28944</v>
      </c>
      <c r="AD541" s="1973">
        <v>30795</v>
      </c>
      <c r="AE541" s="1973">
        <v>31917</v>
      </c>
      <c r="AF541" s="1973">
        <v>35422</v>
      </c>
      <c r="AG541" s="1973">
        <v>37913</v>
      </c>
      <c r="AH541" s="1973">
        <v>38338</v>
      </c>
      <c r="AI541" s="1973">
        <v>40797</v>
      </c>
      <c r="AJ541" s="1973"/>
      <c r="AK541" s="1973"/>
      <c r="AL541" s="1973"/>
      <c r="AM541" s="1973"/>
      <c r="AN541" s="1973"/>
      <c r="AO541" s="1973"/>
      <c r="AP541" s="1973"/>
      <c r="AQ541" s="1976">
        <v>4350</v>
      </c>
      <c r="AR541" s="1974">
        <v>4929</v>
      </c>
      <c r="AS541" s="1948">
        <v>6496</v>
      </c>
      <c r="AT541" s="1948">
        <f t="shared" si="569"/>
        <v>7914</v>
      </c>
      <c r="AU541" s="1949">
        <f t="shared" si="570"/>
        <v>10297</v>
      </c>
      <c r="AV541" s="1948">
        <f t="shared" si="565"/>
        <v>15052</v>
      </c>
      <c r="AW541" s="1948">
        <f t="shared" si="566"/>
        <v>22297</v>
      </c>
      <c r="AX541" s="1949">
        <f t="shared" si="567"/>
        <v>30795</v>
      </c>
      <c r="AY541" s="1973">
        <v>38338</v>
      </c>
      <c r="AZ541" s="1948">
        <f>AZ574*AZ323</f>
        <v>54273.824917370308</v>
      </c>
      <c r="BA541" s="1981">
        <f>BA574*BA323</f>
        <v>68569.348590762806</v>
      </c>
      <c r="BB541" s="1949">
        <f>BB574*BB323</f>
        <v>84099.060338146897</v>
      </c>
      <c r="BC541" s="1981">
        <f>BC574*BC323</f>
        <v>101409.93293991912</v>
      </c>
    </row>
    <row r="542" spans="1:55" s="1999" customFormat="1" ht="10.15" x14ac:dyDescent="0.3">
      <c r="A542" s="2131"/>
      <c r="B542" s="2487" t="s">
        <v>1198</v>
      </c>
      <c r="C542" s="2577"/>
      <c r="D542" s="2577"/>
      <c r="E542" s="2577"/>
      <c r="F542" s="1992"/>
      <c r="G542" s="2577"/>
      <c r="H542" s="2474">
        <v>37384</v>
      </c>
      <c r="I542" s="2474">
        <v>40337</v>
      </c>
      <c r="J542" s="2474">
        <f t="shared" si="568"/>
        <v>37384</v>
      </c>
      <c r="K542" s="2474">
        <f t="shared" ref="K542:AI542" si="571">SUM(K534:K541)</f>
        <v>45030</v>
      </c>
      <c r="L542" s="2474">
        <f t="shared" si="571"/>
        <v>47031</v>
      </c>
      <c r="M542" s="2474">
        <f t="shared" si="571"/>
        <v>63100</v>
      </c>
      <c r="N542" s="2474">
        <f t="shared" si="571"/>
        <v>39672</v>
      </c>
      <c r="O542" s="2474">
        <f t="shared" si="571"/>
        <v>39697</v>
      </c>
      <c r="P542" s="2474">
        <f t="shared" si="571"/>
        <v>43087</v>
      </c>
      <c r="Q542" s="2474">
        <f t="shared" si="571"/>
        <v>54002</v>
      </c>
      <c r="R542" s="2474">
        <f t="shared" si="571"/>
        <v>52039</v>
      </c>
      <c r="S542" s="2474">
        <f t="shared" si="571"/>
        <v>60838</v>
      </c>
      <c r="T542" s="2474">
        <f t="shared" si="571"/>
        <v>67431</v>
      </c>
      <c r="U542" s="2474">
        <f t="shared" si="571"/>
        <v>92596</v>
      </c>
      <c r="V542" s="2474">
        <f t="shared" si="571"/>
        <v>93564</v>
      </c>
      <c r="W542" s="2474">
        <f t="shared" si="571"/>
        <v>107006</v>
      </c>
      <c r="X542" s="2474">
        <f t="shared" si="571"/>
        <v>119534</v>
      </c>
      <c r="Y542" s="2474">
        <f t="shared" si="571"/>
        <v>136438</v>
      </c>
      <c r="Z542" s="2474">
        <f t="shared" si="571"/>
        <v>135810</v>
      </c>
      <c r="AA542" s="2474">
        <f t="shared" si="571"/>
        <v>164196</v>
      </c>
      <c r="AB542" s="2474">
        <f t="shared" si="571"/>
        <v>168096</v>
      </c>
      <c r="AC542" s="2474">
        <f t="shared" si="571"/>
        <v>208772</v>
      </c>
      <c r="AD542" s="2474">
        <f t="shared" si="571"/>
        <v>207669</v>
      </c>
      <c r="AE542" s="1992">
        <f t="shared" si="571"/>
        <v>210700</v>
      </c>
      <c r="AF542" s="1992">
        <f t="shared" si="571"/>
        <v>243949</v>
      </c>
      <c r="AG542" s="1992">
        <f t="shared" si="571"/>
        <v>262458</v>
      </c>
      <c r="AH542" s="1992">
        <f t="shared" si="571"/>
        <v>241872</v>
      </c>
      <c r="AI542" s="2474">
        <f t="shared" si="571"/>
        <v>248093</v>
      </c>
      <c r="AJ542" s="1992"/>
      <c r="AK542" s="1992"/>
      <c r="AL542" s="1992"/>
      <c r="AM542" s="1992"/>
      <c r="AN542" s="1992"/>
      <c r="AO542" s="1992"/>
      <c r="AP542" s="1992"/>
      <c r="AQ542" s="1993">
        <v>11751</v>
      </c>
      <c r="AR542" s="1994">
        <v>23995</v>
      </c>
      <c r="AS542" s="1995">
        <f>SUM(AS534:AS541)</f>
        <v>37384</v>
      </c>
      <c r="AT542" s="1995">
        <f>SUM(AT534:AT541)</f>
        <v>39672</v>
      </c>
      <c r="AU542" s="1997">
        <f>SUM(AU534:AU541)</f>
        <v>52039</v>
      </c>
      <c r="AV542" s="1995">
        <f t="shared" si="565"/>
        <v>93564</v>
      </c>
      <c r="AW542" s="1995">
        <f t="shared" si="566"/>
        <v>135810</v>
      </c>
      <c r="AX542" s="1997">
        <f t="shared" si="567"/>
        <v>207669</v>
      </c>
      <c r="AY542" s="1992">
        <f>SUM(AY534:AY541)</f>
        <v>241872</v>
      </c>
      <c r="AZ542" s="1995">
        <f>SUM(AZ534:AZ541)</f>
        <v>308963.42212391447</v>
      </c>
      <c r="BA542" s="1996">
        <f>SUM(BA534:BA541)</f>
        <v>358935.23041783593</v>
      </c>
      <c r="BB542" s="1997">
        <f>SUM(BB534:BB541)</f>
        <v>374081.11450794025</v>
      </c>
      <c r="BC542" s="1996">
        <f>SUM(BC534:BC541)</f>
        <v>378546.22297983273</v>
      </c>
    </row>
    <row r="543" spans="1:55" s="1953" customFormat="1" ht="10.15" x14ac:dyDescent="0.3">
      <c r="A543" s="2131"/>
      <c r="B543" s="2476" t="s">
        <v>1199</v>
      </c>
      <c r="C543" s="1950"/>
      <c r="D543" s="1950"/>
      <c r="E543" s="1950"/>
      <c r="F543" s="1972"/>
      <c r="G543" s="1950"/>
      <c r="H543" s="2248">
        <v>428</v>
      </c>
      <c r="I543" s="2248">
        <v>396</v>
      </c>
      <c r="J543" s="2248">
        <f t="shared" si="568"/>
        <v>428</v>
      </c>
      <c r="K543" s="2248">
        <v>452</v>
      </c>
      <c r="L543" s="2248">
        <v>443</v>
      </c>
      <c r="M543" s="2248">
        <v>555</v>
      </c>
      <c r="N543" s="2248">
        <v>445</v>
      </c>
      <c r="O543" s="1975">
        <v>437</v>
      </c>
      <c r="P543" s="2248">
        <v>415</v>
      </c>
      <c r="Q543" s="2248">
        <v>402</v>
      </c>
      <c r="R543" s="2248">
        <v>418</v>
      </c>
      <c r="S543" s="2248">
        <v>455</v>
      </c>
      <c r="T543" s="2248">
        <v>438</v>
      </c>
      <c r="U543" s="2248">
        <v>518</v>
      </c>
      <c r="V543" s="2248">
        <v>641</v>
      </c>
      <c r="W543" s="1974">
        <v>812</v>
      </c>
      <c r="X543" s="1973">
        <v>800</v>
      </c>
      <c r="Y543" s="1973">
        <v>898</v>
      </c>
      <c r="Z543" s="1973">
        <v>993</v>
      </c>
      <c r="AA543" s="1973">
        <v>1093</v>
      </c>
      <c r="AB543" s="1973">
        <v>1205</v>
      </c>
      <c r="AC543" s="1973">
        <v>1301</v>
      </c>
      <c r="AD543" s="1973">
        <v>1467</v>
      </c>
      <c r="AE543" s="1973">
        <v>1657</v>
      </c>
      <c r="AF543" s="1973">
        <v>1782</v>
      </c>
      <c r="AG543" s="1973">
        <v>1939</v>
      </c>
      <c r="AH543" s="1973">
        <v>2025</v>
      </c>
      <c r="AI543" s="1973">
        <v>2141</v>
      </c>
      <c r="AJ543" s="1973"/>
      <c r="AK543" s="1973"/>
      <c r="AL543" s="1973"/>
      <c r="AM543" s="1973"/>
      <c r="AN543" s="1973"/>
      <c r="AO543" s="1973"/>
      <c r="AP543" s="1973"/>
      <c r="AQ543" s="1976">
        <v>529</v>
      </c>
      <c r="AR543" s="1974">
        <v>389</v>
      </c>
      <c r="AS543" s="1948">
        <v>428</v>
      </c>
      <c r="AT543" s="1948">
        <f t="shared" ref="AT543:AT548" si="572">N543</f>
        <v>445</v>
      </c>
      <c r="AU543" s="1949">
        <f t="shared" ref="AU543:AU548" si="573">R543</f>
        <v>418</v>
      </c>
      <c r="AV543" s="1948">
        <f t="shared" si="565"/>
        <v>641</v>
      </c>
      <c r="AW543" s="1948">
        <f t="shared" si="566"/>
        <v>993</v>
      </c>
      <c r="AX543" s="1949">
        <f t="shared" si="567"/>
        <v>1467</v>
      </c>
      <c r="AY543" s="1973">
        <v>2025</v>
      </c>
      <c r="AZ543" s="1948">
        <f>AY543*1.4</f>
        <v>2835</v>
      </c>
      <c r="BA543" s="1981">
        <f>AZ543*1.3</f>
        <v>3685.5</v>
      </c>
      <c r="BB543" s="1949">
        <f>BA543*1.3</f>
        <v>4791.1500000000005</v>
      </c>
      <c r="BC543" s="1981">
        <f>BB543*1.3</f>
        <v>6228.4950000000008</v>
      </c>
    </row>
    <row r="544" spans="1:55" s="1953" customFormat="1" ht="10.15" x14ac:dyDescent="0.3">
      <c r="A544" s="2131"/>
      <c r="B544" s="2476" t="s">
        <v>1200</v>
      </c>
      <c r="C544" s="1950"/>
      <c r="D544" s="1950"/>
      <c r="E544" s="1950"/>
      <c r="F544" s="1972"/>
      <c r="G544" s="1950"/>
      <c r="H544" s="2248">
        <v>2136</v>
      </c>
      <c r="I544" s="2248">
        <v>1774</v>
      </c>
      <c r="J544" s="2248">
        <f t="shared" si="568"/>
        <v>2136</v>
      </c>
      <c r="K544" s="2248">
        <v>2986</v>
      </c>
      <c r="L544" s="2248">
        <v>3594</v>
      </c>
      <c r="M544" s="2248">
        <v>4337</v>
      </c>
      <c r="N544" s="2248">
        <v>4493</v>
      </c>
      <c r="O544" s="1975">
        <v>4783</v>
      </c>
      <c r="P544" s="2248">
        <v>5420</v>
      </c>
      <c r="Q544" s="2248">
        <v>6286</v>
      </c>
      <c r="R544" s="2248">
        <v>6471</v>
      </c>
      <c r="S544" s="2248">
        <v>8469</v>
      </c>
      <c r="T544" s="2248">
        <v>10030</v>
      </c>
      <c r="U544" s="2248">
        <v>9734</v>
      </c>
      <c r="V544" s="2248">
        <v>10361</v>
      </c>
      <c r="W544" s="1974">
        <v>12968</v>
      </c>
      <c r="X544" s="1973">
        <v>13523</v>
      </c>
      <c r="Y544" s="1973">
        <v>19076</v>
      </c>
      <c r="Z544" s="1973">
        <v>19312</v>
      </c>
      <c r="AA544" s="1973">
        <v>26041</v>
      </c>
      <c r="AB544" s="1973">
        <v>19628</v>
      </c>
      <c r="AC544" s="1973">
        <v>21006</v>
      </c>
      <c r="AD544" s="1973">
        <v>22517</v>
      </c>
      <c r="AE544" s="1973">
        <v>21874</v>
      </c>
      <c r="AF544" s="1973">
        <v>41892</v>
      </c>
      <c r="AG544" s="1973">
        <v>43879</v>
      </c>
      <c r="AH544" s="1973">
        <v>43898</v>
      </c>
      <c r="AI544" s="1973">
        <v>46557</v>
      </c>
      <c r="AJ544" s="1973"/>
      <c r="AK544" s="1973"/>
      <c r="AL544" s="1973"/>
      <c r="AM544" s="1973"/>
      <c r="AN544" s="1973"/>
      <c r="AO544" s="1973"/>
      <c r="AP544" s="1973"/>
      <c r="AQ544" s="1976">
        <v>413</v>
      </c>
      <c r="AR544" s="1974">
        <v>643</v>
      </c>
      <c r="AS544" s="1948">
        <v>2136</v>
      </c>
      <c r="AT544" s="1948">
        <f t="shared" si="572"/>
        <v>4493</v>
      </c>
      <c r="AU544" s="1949">
        <f t="shared" si="573"/>
        <v>6471</v>
      </c>
      <c r="AV544" s="1948">
        <f t="shared" si="565"/>
        <v>10361</v>
      </c>
      <c r="AW544" s="1948">
        <f t="shared" si="566"/>
        <v>19312</v>
      </c>
      <c r="AX544" s="1949">
        <f t="shared" si="567"/>
        <v>22517</v>
      </c>
      <c r="AY544" s="1973">
        <v>43898</v>
      </c>
      <c r="AZ544" s="1948">
        <f>AZ352*AZ575</f>
        <v>51602.026392303364</v>
      </c>
      <c r="BA544" s="1981">
        <f>BA352*BA575</f>
        <v>59953.567853136898</v>
      </c>
      <c r="BB544" s="1949">
        <f>BB352*BB575</f>
        <v>69119.480124666254</v>
      </c>
      <c r="BC544" s="1981">
        <f>BC352*BC575</f>
        <v>86446.683105286662</v>
      </c>
    </row>
    <row r="545" spans="1:55" s="1953" customFormat="1" ht="10.15" x14ac:dyDescent="0.3">
      <c r="A545" s="2096"/>
      <c r="B545" s="2476" t="s">
        <v>1201</v>
      </c>
      <c r="C545" s="1950"/>
      <c r="D545" s="1950"/>
      <c r="E545" s="1950"/>
      <c r="F545" s="1973"/>
      <c r="G545" s="1950"/>
      <c r="H545" s="2248">
        <v>0</v>
      </c>
      <c r="I545" s="2477">
        <v>0</v>
      </c>
      <c r="J545" s="2248">
        <f t="shared" si="568"/>
        <v>0</v>
      </c>
      <c r="K545" s="2477">
        <v>0</v>
      </c>
      <c r="L545" s="2477"/>
      <c r="M545" s="2477">
        <v>1285</v>
      </c>
      <c r="N545" s="2477">
        <v>0</v>
      </c>
      <c r="O545" s="1975"/>
      <c r="P545" s="2248"/>
      <c r="Q545" s="2248"/>
      <c r="R545" s="2248"/>
      <c r="S545" s="2248"/>
      <c r="T545" s="2248"/>
      <c r="U545" s="2248"/>
      <c r="V545" s="2248"/>
      <c r="W545" s="1974"/>
      <c r="X545" s="1973"/>
      <c r="Y545" s="1973"/>
      <c r="Z545" s="1973"/>
      <c r="AA545" s="1973"/>
      <c r="AB545" s="1973"/>
      <c r="AC545" s="1973"/>
      <c r="AD545" s="1973"/>
      <c r="AE545" s="1973"/>
      <c r="AF545" s="1973"/>
      <c r="AG545" s="1973"/>
      <c r="AH545" s="1973"/>
      <c r="AI545" s="1973"/>
      <c r="AJ545" s="1973"/>
      <c r="AK545" s="1973"/>
      <c r="AL545" s="1973"/>
      <c r="AM545" s="1973"/>
      <c r="AN545" s="1973"/>
      <c r="AO545" s="1973"/>
      <c r="AP545" s="1973"/>
      <c r="AQ545" s="1978">
        <v>0</v>
      </c>
      <c r="AR545" s="1974">
        <v>5191</v>
      </c>
      <c r="AS545" s="1948"/>
      <c r="AT545" s="1948">
        <f t="shared" si="572"/>
        <v>0</v>
      </c>
      <c r="AU545" s="1949">
        <f t="shared" si="573"/>
        <v>0</v>
      </c>
      <c r="AV545" s="1948">
        <f t="shared" si="565"/>
        <v>0</v>
      </c>
      <c r="AW545" s="1948">
        <f t="shared" si="566"/>
        <v>0</v>
      </c>
      <c r="AX545" s="1949">
        <f t="shared" si="567"/>
        <v>0</v>
      </c>
      <c r="AY545" s="1973"/>
      <c r="AZ545" s="1948"/>
      <c r="BA545" s="1981"/>
      <c r="BB545" s="1949"/>
      <c r="BC545" s="1981"/>
    </row>
    <row r="546" spans="1:55" s="1953" customFormat="1" ht="10.15" x14ac:dyDescent="0.3">
      <c r="A546" s="2131"/>
      <c r="B546" s="2476" t="s">
        <v>1202</v>
      </c>
      <c r="C546" s="1950"/>
      <c r="D546" s="1950"/>
      <c r="E546" s="1950"/>
      <c r="F546" s="1973"/>
      <c r="G546" s="1950"/>
      <c r="H546" s="2248">
        <v>30711</v>
      </c>
      <c r="I546" s="2248">
        <v>30226</v>
      </c>
      <c r="J546" s="2248">
        <f t="shared" si="568"/>
        <v>30711</v>
      </c>
      <c r="K546" s="2248">
        <v>49033</v>
      </c>
      <c r="L546" s="2248">
        <v>49542</v>
      </c>
      <c r="M546" s="2248">
        <v>48803</v>
      </c>
      <c r="N546" s="2248">
        <v>1609</v>
      </c>
      <c r="O546" s="1975">
        <v>1694</v>
      </c>
      <c r="P546" s="2248">
        <v>2012</v>
      </c>
      <c r="Q546" s="2248">
        <v>1754</v>
      </c>
      <c r="R546" s="2248">
        <v>1871</v>
      </c>
      <c r="S546" s="2248">
        <v>21692</v>
      </c>
      <c r="T546" s="2248">
        <v>29527</v>
      </c>
      <c r="U546" s="2248">
        <v>30884</v>
      </c>
      <c r="V546" s="2248">
        <v>30959</v>
      </c>
      <c r="W546" s="1974">
        <v>31783</v>
      </c>
      <c r="X546" s="1973">
        <v>30971</v>
      </c>
      <c r="Y546" s="1973">
        <v>34385</v>
      </c>
      <c r="Z546" s="1973">
        <v>34153</v>
      </c>
      <c r="AA546" s="1973">
        <v>34188</v>
      </c>
      <c r="AB546" s="1973">
        <v>35477</v>
      </c>
      <c r="AC546" s="1973">
        <v>35085</v>
      </c>
      <c r="AD546" s="1973">
        <v>35427</v>
      </c>
      <c r="AE546" s="1973">
        <v>38237</v>
      </c>
      <c r="AF546" s="1973">
        <v>40560</v>
      </c>
      <c r="AG546" s="1973">
        <v>38797</v>
      </c>
      <c r="AH546" s="1973">
        <v>39660</v>
      </c>
      <c r="AI546" s="1973">
        <v>40504</v>
      </c>
      <c r="AJ546" s="1973"/>
      <c r="AK546" s="1973"/>
      <c r="AL546" s="1973"/>
      <c r="AM546" s="1973"/>
      <c r="AN546" s="1973"/>
      <c r="AO546" s="1973"/>
      <c r="AP546" s="1973"/>
      <c r="AQ546" s="1978">
        <v>0</v>
      </c>
      <c r="AR546" s="1974">
        <v>22462</v>
      </c>
      <c r="AS546" s="1948">
        <v>30711</v>
      </c>
      <c r="AT546" s="1948">
        <f t="shared" si="572"/>
        <v>1609</v>
      </c>
      <c r="AU546" s="1949">
        <f t="shared" si="573"/>
        <v>1871</v>
      </c>
      <c r="AV546" s="1948">
        <f t="shared" si="565"/>
        <v>30959</v>
      </c>
      <c r="AW546" s="1948">
        <f t="shared" si="566"/>
        <v>34153</v>
      </c>
      <c r="AX546" s="1949">
        <f t="shared" si="567"/>
        <v>35427</v>
      </c>
      <c r="AY546" s="1973">
        <v>39660</v>
      </c>
      <c r="AZ546" s="1948">
        <f>AY546*1.1</f>
        <v>43626</v>
      </c>
      <c r="BA546" s="1981">
        <f>AZ546*1.1</f>
        <v>47988.600000000006</v>
      </c>
      <c r="BB546" s="1949">
        <f>BA546*1.1</f>
        <v>52787.460000000014</v>
      </c>
      <c r="BC546" s="1981">
        <f>BB546*1.1</f>
        <v>58066.20600000002</v>
      </c>
    </row>
    <row r="547" spans="1:55" s="1953" customFormat="1" ht="10.15" x14ac:dyDescent="0.3">
      <c r="A547" s="2131"/>
      <c r="B547" s="2476" t="s">
        <v>1203</v>
      </c>
      <c r="C547" s="1950"/>
      <c r="D547" s="1950"/>
      <c r="E547" s="1950"/>
      <c r="F547" s="1973"/>
      <c r="G547" s="1950"/>
      <c r="H547" s="2248"/>
      <c r="I547" s="2248"/>
      <c r="J547" s="2248"/>
      <c r="K547" s="2248"/>
      <c r="L547" s="2248"/>
      <c r="M547" s="2248"/>
      <c r="N547" s="2248">
        <v>48994</v>
      </c>
      <c r="O547" s="1975">
        <v>48771</v>
      </c>
      <c r="P547" s="2248">
        <v>50711</v>
      </c>
      <c r="Q547" s="2248">
        <v>51812</v>
      </c>
      <c r="R547" s="2248">
        <v>51596</v>
      </c>
      <c r="S547" s="2248">
        <v>52818</v>
      </c>
      <c r="T547" s="2248">
        <v>53048</v>
      </c>
      <c r="U547" s="2248">
        <v>46262</v>
      </c>
      <c r="V547" s="2248">
        <v>45876</v>
      </c>
      <c r="W547" s="1974">
        <v>45080</v>
      </c>
      <c r="X547" s="1973">
        <v>44402</v>
      </c>
      <c r="Y547" s="1973">
        <v>88499</v>
      </c>
      <c r="Z547" s="1973">
        <v>85372</v>
      </c>
      <c r="AA547" s="1973">
        <v>90212</v>
      </c>
      <c r="AB547" s="1973">
        <v>93717</v>
      </c>
      <c r="AC547" s="1973">
        <v>78156</v>
      </c>
      <c r="AD547" s="1973">
        <v>76407</v>
      </c>
      <c r="AE547" s="1973">
        <v>78133</v>
      </c>
      <c r="AF547" s="1973">
        <v>80962</v>
      </c>
      <c r="AG547" s="1973">
        <v>79375</v>
      </c>
      <c r="AH547" s="1973">
        <v>80616</v>
      </c>
      <c r="AI547" s="1973">
        <v>80390</v>
      </c>
      <c r="AJ547" s="1973"/>
      <c r="AK547" s="1973"/>
      <c r="AL547" s="1973"/>
      <c r="AM547" s="1973"/>
      <c r="AN547" s="1973"/>
      <c r="AO547" s="1973"/>
      <c r="AP547" s="1973"/>
      <c r="AQ547" s="1978"/>
      <c r="AR547" s="1974"/>
      <c r="AS547" s="1948"/>
      <c r="AT547" s="1948">
        <f t="shared" si="572"/>
        <v>48994</v>
      </c>
      <c r="AU547" s="1949">
        <f t="shared" si="573"/>
        <v>51596</v>
      </c>
      <c r="AV547" s="1948">
        <f t="shared" si="565"/>
        <v>45876</v>
      </c>
      <c r="AW547" s="1948">
        <f t="shared" si="566"/>
        <v>85372</v>
      </c>
      <c r="AX547" s="1949">
        <f t="shared" si="567"/>
        <v>76407</v>
      </c>
      <c r="AY547" s="1973">
        <v>80616</v>
      </c>
      <c r="AZ547" s="1948">
        <f>AI547</f>
        <v>80390</v>
      </c>
      <c r="BA547" s="1981">
        <f>AZ547</f>
        <v>80390</v>
      </c>
      <c r="BB547" s="1949">
        <f>BA547</f>
        <v>80390</v>
      </c>
      <c r="BC547" s="1981">
        <f>BB547</f>
        <v>80390</v>
      </c>
    </row>
    <row r="548" spans="1:55" s="1953" customFormat="1" ht="10.15" x14ac:dyDescent="0.3">
      <c r="A548" s="2131"/>
      <c r="B548" s="2476" t="s">
        <v>1204</v>
      </c>
      <c r="C548" s="1950"/>
      <c r="D548" s="1950"/>
      <c r="E548" s="1950"/>
      <c r="F548" s="1972"/>
      <c r="G548" s="1950"/>
      <c r="H548" s="2248">
        <v>72</v>
      </c>
      <c r="I548" s="2248">
        <v>72</v>
      </c>
      <c r="J548" s="2248">
        <f t="shared" ref="J548:J554" si="574">AS548</f>
        <v>72</v>
      </c>
      <c r="K548" s="2248">
        <v>1850</v>
      </c>
      <c r="L548" s="2248">
        <v>1948</v>
      </c>
      <c r="M548" s="2248">
        <v>2101</v>
      </c>
      <c r="N548" s="2248">
        <v>2150</v>
      </c>
      <c r="O548" s="1975">
        <v>2029</v>
      </c>
      <c r="P548" s="2248">
        <v>2194</v>
      </c>
      <c r="Q548" s="2248">
        <v>2485</v>
      </c>
      <c r="R548" s="2248">
        <v>2166</v>
      </c>
      <c r="S548" s="2248">
        <v>2602</v>
      </c>
      <c r="T548" s="2248">
        <v>2856</v>
      </c>
      <c r="U548" s="2248">
        <v>1313</v>
      </c>
      <c r="V548" s="2248">
        <v>1290</v>
      </c>
      <c r="W548" s="1974">
        <v>1660</v>
      </c>
      <c r="X548" s="1973">
        <v>1595</v>
      </c>
      <c r="Y548" s="1973">
        <v>2186</v>
      </c>
      <c r="Z548" s="1973">
        <v>2045</v>
      </c>
      <c r="AA548" s="1973">
        <v>5183</v>
      </c>
      <c r="AB548" s="1973">
        <v>5296</v>
      </c>
      <c r="AC548" s="1973">
        <v>5536</v>
      </c>
      <c r="AD548" s="1973">
        <v>6187</v>
      </c>
      <c r="AE548" s="1973">
        <v>23196</v>
      </c>
      <c r="AF548" s="1973">
        <v>22695</v>
      </c>
      <c r="AG548" s="1973">
        <v>25937</v>
      </c>
      <c r="AH548" s="1973">
        <v>25263</v>
      </c>
      <c r="AI548" s="1973">
        <v>23010</v>
      </c>
      <c r="AJ548" s="2621"/>
      <c r="AK548" s="1973"/>
      <c r="AL548" s="1973"/>
      <c r="AM548" s="1973"/>
      <c r="AN548" s="1973"/>
      <c r="AO548" s="1973"/>
      <c r="AP548" s="1973"/>
      <c r="AQ548" s="1976">
        <v>104</v>
      </c>
      <c r="AR548" s="1974">
        <v>60</v>
      </c>
      <c r="AS548" s="1948">
        <v>72</v>
      </c>
      <c r="AT548" s="1948">
        <f t="shared" si="572"/>
        <v>2150</v>
      </c>
      <c r="AU548" s="1949">
        <f t="shared" si="573"/>
        <v>2166</v>
      </c>
      <c r="AV548" s="1948">
        <f t="shared" si="565"/>
        <v>1290</v>
      </c>
      <c r="AW548" s="1948">
        <f t="shared" si="566"/>
        <v>2045</v>
      </c>
      <c r="AX548" s="1949">
        <f t="shared" si="567"/>
        <v>6187</v>
      </c>
      <c r="AY548" s="1973">
        <v>25263</v>
      </c>
      <c r="AZ548" s="1948">
        <f>AY548*1.1</f>
        <v>27789.300000000003</v>
      </c>
      <c r="BA548" s="1981">
        <f>AZ548*1.1</f>
        <v>30568.230000000007</v>
      </c>
      <c r="BB548" s="1949">
        <f>BA548*1.1</f>
        <v>33625.053000000007</v>
      </c>
      <c r="BC548" s="1981">
        <f>BB548*1.1</f>
        <v>36987.558300000012</v>
      </c>
    </row>
    <row r="549" spans="1:55" s="1999" customFormat="1" ht="10.15" x14ac:dyDescent="0.3">
      <c r="A549" s="2131"/>
      <c r="B549" s="2487" t="s">
        <v>1205</v>
      </c>
      <c r="C549" s="2577"/>
      <c r="D549" s="2577"/>
      <c r="E549" s="2577"/>
      <c r="F549" s="1992"/>
      <c r="G549" s="2577"/>
      <c r="H549" s="2474">
        <v>70731</v>
      </c>
      <c r="I549" s="2474">
        <v>72805</v>
      </c>
      <c r="J549" s="2474">
        <f t="shared" si="574"/>
        <v>70731</v>
      </c>
      <c r="K549" s="2474">
        <f t="shared" ref="K549:AI549" si="575">SUM(K542:K548)</f>
        <v>99351</v>
      </c>
      <c r="L549" s="2474">
        <f t="shared" si="575"/>
        <v>102558</v>
      </c>
      <c r="M549" s="2474">
        <f t="shared" si="575"/>
        <v>120181</v>
      </c>
      <c r="N549" s="2474">
        <f t="shared" si="575"/>
        <v>97363</v>
      </c>
      <c r="O549" s="2474">
        <f t="shared" si="575"/>
        <v>97411</v>
      </c>
      <c r="P549" s="2474">
        <f t="shared" si="575"/>
        <v>103839</v>
      </c>
      <c r="Q549" s="2474">
        <f t="shared" si="575"/>
        <v>116741</v>
      </c>
      <c r="R549" s="2474">
        <f t="shared" si="575"/>
        <v>114561</v>
      </c>
      <c r="S549" s="2474">
        <f t="shared" si="575"/>
        <v>146874</v>
      </c>
      <c r="T549" s="2474">
        <f t="shared" si="575"/>
        <v>163330</v>
      </c>
      <c r="U549" s="2474">
        <f t="shared" si="575"/>
        <v>181307</v>
      </c>
      <c r="V549" s="2474">
        <f t="shared" si="575"/>
        <v>182691</v>
      </c>
      <c r="W549" s="2474">
        <f t="shared" si="575"/>
        <v>199309</v>
      </c>
      <c r="X549" s="2474">
        <f t="shared" si="575"/>
        <v>210825</v>
      </c>
      <c r="Y549" s="2474">
        <f t="shared" si="575"/>
        <v>281482</v>
      </c>
      <c r="Z549" s="2474">
        <f t="shared" si="575"/>
        <v>277685</v>
      </c>
      <c r="AA549" s="2474">
        <f t="shared" si="575"/>
        <v>320913</v>
      </c>
      <c r="AB549" s="2474">
        <f t="shared" si="575"/>
        <v>323419</v>
      </c>
      <c r="AC549" s="2474">
        <f t="shared" si="575"/>
        <v>349856</v>
      </c>
      <c r="AD549" s="2474">
        <f t="shared" si="575"/>
        <v>349674</v>
      </c>
      <c r="AE549" s="1992">
        <f t="shared" si="575"/>
        <v>373797</v>
      </c>
      <c r="AF549" s="1992">
        <f t="shared" si="575"/>
        <v>431840</v>
      </c>
      <c r="AG549" s="1992">
        <f t="shared" si="575"/>
        <v>452385</v>
      </c>
      <c r="AH549" s="1992">
        <f t="shared" si="575"/>
        <v>433334</v>
      </c>
      <c r="AI549" s="2474">
        <f t="shared" si="575"/>
        <v>440695</v>
      </c>
      <c r="AJ549" s="1992"/>
      <c r="AK549" s="1992"/>
      <c r="AL549" s="1992"/>
      <c r="AM549" s="1992"/>
      <c r="AN549" s="1992"/>
      <c r="AO549" s="1992"/>
      <c r="AP549" s="1992"/>
      <c r="AQ549" s="1993">
        <v>12797</v>
      </c>
      <c r="AR549" s="1994">
        <v>52740</v>
      </c>
      <c r="AS549" s="1995">
        <f>SUM(AS542:AS548)</f>
        <v>70731</v>
      </c>
      <c r="AT549" s="1995">
        <f>SUM(AT542:AT548)</f>
        <v>97363</v>
      </c>
      <c r="AU549" s="1997">
        <f>SUM(AU542:AU548)</f>
        <v>114561</v>
      </c>
      <c r="AV549" s="1995">
        <f t="shared" si="565"/>
        <v>182691</v>
      </c>
      <c r="AW549" s="1995">
        <f t="shared" si="566"/>
        <v>277685</v>
      </c>
      <c r="AX549" s="1997">
        <f t="shared" si="567"/>
        <v>349674</v>
      </c>
      <c r="AY549" s="1992">
        <f>SUM(AY542:AY548)</f>
        <v>433334</v>
      </c>
      <c r="AZ549" s="1995">
        <f>SUM(AZ542:AZ548)</f>
        <v>515205.74851621781</v>
      </c>
      <c r="BA549" s="1996">
        <f>SUM(BA542:BA548)</f>
        <v>581521.12827097287</v>
      </c>
      <c r="BB549" s="1997">
        <f>SUM(BB542:BB548)</f>
        <v>614794.25763260655</v>
      </c>
      <c r="BC549" s="1996">
        <f>SUM(BC542:BC548)</f>
        <v>646665.1653851195</v>
      </c>
    </row>
    <row r="550" spans="1:55" s="1953" customFormat="1" ht="10.15" x14ac:dyDescent="0.3">
      <c r="A550" s="2131"/>
      <c r="B550" s="2476" t="s">
        <v>1206</v>
      </c>
      <c r="C550" s="1950"/>
      <c r="D550" s="1950"/>
      <c r="E550" s="1950"/>
      <c r="F550" s="2622"/>
      <c r="G550" s="1950"/>
      <c r="H550" s="1975"/>
      <c r="I550" s="2477">
        <v>0</v>
      </c>
      <c r="J550" s="2248">
        <f t="shared" si="574"/>
        <v>0</v>
      </c>
      <c r="K550" s="2477"/>
      <c r="L550" s="2477"/>
      <c r="M550" s="2477"/>
      <c r="N550" s="2477"/>
      <c r="O550" s="1975"/>
      <c r="P550" s="2248"/>
      <c r="Q550" s="1975"/>
      <c r="R550" s="1975"/>
      <c r="S550" s="1975"/>
      <c r="T550" s="1975"/>
      <c r="U550" s="1975"/>
      <c r="V550" s="1975"/>
      <c r="W550" s="1948"/>
      <c r="X550" s="1950"/>
      <c r="Y550" s="1950"/>
      <c r="Z550" s="1973"/>
      <c r="AA550" s="1950"/>
      <c r="AB550" s="1950"/>
      <c r="AC550" s="1950"/>
      <c r="AD550" s="1950"/>
      <c r="AE550" s="1950"/>
      <c r="AF550" s="1950"/>
      <c r="AG550" s="1950"/>
      <c r="AH550" s="1950"/>
      <c r="AI550" s="1950"/>
      <c r="AJ550" s="1950"/>
      <c r="AK550" s="1950"/>
      <c r="AL550" s="1950"/>
      <c r="AM550" s="1950"/>
      <c r="AN550" s="1950"/>
      <c r="AO550" s="1950"/>
      <c r="AP550" s="1950"/>
      <c r="AQ550" s="1978">
        <v>0</v>
      </c>
      <c r="AR550" s="1979">
        <v>0</v>
      </c>
      <c r="AS550" s="1948"/>
      <c r="AT550" s="1948">
        <f t="shared" ref="AT550:AT567" si="576">N550</f>
        <v>0</v>
      </c>
      <c r="AU550" s="1949"/>
      <c r="AV550" s="1948">
        <f t="shared" si="565"/>
        <v>0</v>
      </c>
      <c r="AW550" s="1948">
        <f t="shared" si="566"/>
        <v>0</v>
      </c>
      <c r="AX550" s="1949">
        <f t="shared" si="567"/>
        <v>0</v>
      </c>
      <c r="AY550" s="1950"/>
      <c r="AZ550" s="1948"/>
      <c r="BA550" s="1981"/>
      <c r="BB550" s="1949"/>
      <c r="BC550" s="1981"/>
    </row>
    <row r="551" spans="1:55" s="1953" customFormat="1" ht="10.15" x14ac:dyDescent="0.3">
      <c r="A551" s="2131"/>
      <c r="B551" s="2476" t="s">
        <v>1207</v>
      </c>
      <c r="C551" s="1950"/>
      <c r="D551" s="1950"/>
      <c r="E551" s="1950"/>
      <c r="F551" s="1972"/>
      <c r="G551" s="1950"/>
      <c r="H551" s="1975"/>
      <c r="I551" s="2248"/>
      <c r="J551" s="2248">
        <f t="shared" si="574"/>
        <v>0</v>
      </c>
      <c r="K551" s="2248"/>
      <c r="L551" s="2248"/>
      <c r="M551" s="2248"/>
      <c r="N551" s="2248"/>
      <c r="O551" s="1975"/>
      <c r="P551" s="2248"/>
      <c r="Q551" s="1975"/>
      <c r="R551" s="1975"/>
      <c r="S551" s="1975"/>
      <c r="T551" s="1975"/>
      <c r="U551" s="1975"/>
      <c r="V551" s="1975"/>
      <c r="W551" s="1948"/>
      <c r="X551" s="1950"/>
      <c r="Y551" s="1950"/>
      <c r="Z551" s="1973"/>
      <c r="AA551" s="1950"/>
      <c r="AB551" s="1950"/>
      <c r="AC551" s="1950"/>
      <c r="AD551" s="1950"/>
      <c r="AE551" s="1950"/>
      <c r="AF551" s="1950"/>
      <c r="AG551" s="1950"/>
      <c r="AH551" s="1950"/>
      <c r="AI551" s="1950"/>
      <c r="AJ551" s="1950"/>
      <c r="AK551" s="1950"/>
      <c r="AL551" s="1950"/>
      <c r="AM551" s="1950"/>
      <c r="AN551" s="1950"/>
      <c r="AO551" s="1950"/>
      <c r="AP551" s="1950"/>
      <c r="AQ551" s="1976"/>
      <c r="AR551" s="1974"/>
      <c r="AS551" s="1948"/>
      <c r="AT551" s="1948">
        <f t="shared" si="576"/>
        <v>0</v>
      </c>
      <c r="AU551" s="1949"/>
      <c r="AV551" s="1948">
        <f t="shared" si="565"/>
        <v>0</v>
      </c>
      <c r="AW551" s="1948">
        <f t="shared" si="566"/>
        <v>0</v>
      </c>
      <c r="AX551" s="1949">
        <f t="shared" si="567"/>
        <v>0</v>
      </c>
      <c r="AY551" s="1950"/>
      <c r="AZ551" s="1948"/>
      <c r="BA551" s="1981"/>
      <c r="BB551" s="1949"/>
      <c r="BC551" s="1981"/>
    </row>
    <row r="552" spans="1:55" s="1953" customFormat="1" ht="10.15" x14ac:dyDescent="0.3">
      <c r="A552" s="2096"/>
      <c r="B552" s="2476" t="s">
        <v>1208</v>
      </c>
      <c r="C552" s="1950"/>
      <c r="D552" s="1950"/>
      <c r="E552" s="1950"/>
      <c r="F552" s="1973"/>
      <c r="G552" s="1950"/>
      <c r="H552" s="1975"/>
      <c r="I552" s="2477">
        <v>0</v>
      </c>
      <c r="J552" s="2248">
        <f t="shared" si="574"/>
        <v>10284</v>
      </c>
      <c r="K552" s="2477">
        <v>10345</v>
      </c>
      <c r="L552" s="2477">
        <v>0</v>
      </c>
      <c r="M552" s="2477">
        <v>0</v>
      </c>
      <c r="N552" s="2477">
        <v>0</v>
      </c>
      <c r="O552" s="1975"/>
      <c r="P552" s="2248"/>
      <c r="Q552" s="1975"/>
      <c r="R552" s="1975"/>
      <c r="S552" s="1975"/>
      <c r="T552" s="1975"/>
      <c r="U552" s="1975"/>
      <c r="V552" s="1975"/>
      <c r="W552" s="1948"/>
      <c r="X552" s="1950"/>
      <c r="Y552" s="1950"/>
      <c r="Z552" s="1973"/>
      <c r="AA552" s="1950"/>
      <c r="AB552" s="1950"/>
      <c r="AC552" s="1950"/>
      <c r="AD552" s="1950"/>
      <c r="AE552" s="1950"/>
      <c r="AF552" s="1950"/>
      <c r="AG552" s="1950"/>
      <c r="AH552" s="1950"/>
      <c r="AI552" s="1950"/>
      <c r="AJ552" s="1950"/>
      <c r="AK552" s="1950"/>
      <c r="AL552" s="1950"/>
      <c r="AM552" s="1950"/>
      <c r="AN552" s="1950"/>
      <c r="AO552" s="1950"/>
      <c r="AP552" s="1950"/>
      <c r="AQ552" s="1978">
        <v>0</v>
      </c>
      <c r="AR552" s="1974">
        <v>10447</v>
      </c>
      <c r="AS552" s="1948">
        <v>10284</v>
      </c>
      <c r="AT552" s="1948">
        <f t="shared" si="576"/>
        <v>0</v>
      </c>
      <c r="AU552" s="1949"/>
      <c r="AV552" s="1948">
        <f t="shared" si="565"/>
        <v>0</v>
      </c>
      <c r="AW552" s="1948">
        <f t="shared" si="566"/>
        <v>0</v>
      </c>
      <c r="AX552" s="1949">
        <f t="shared" si="567"/>
        <v>0</v>
      </c>
      <c r="AY552" s="1950"/>
      <c r="AZ552" s="1948"/>
      <c r="BA552" s="1981"/>
      <c r="BB552" s="1949"/>
      <c r="BC552" s="1981"/>
    </row>
    <row r="553" spans="1:55" s="1953" customFormat="1" ht="10.15" x14ac:dyDescent="0.3">
      <c r="A553" s="2096"/>
      <c r="B553" s="2476" t="s">
        <v>516</v>
      </c>
      <c r="C553" s="1950"/>
      <c r="D553" s="1950"/>
      <c r="E553" s="1950"/>
      <c r="F553" s="1972"/>
      <c r="G553" s="1950"/>
      <c r="H553" s="1975"/>
      <c r="I553" s="2248">
        <v>126</v>
      </c>
      <c r="J553" s="2248">
        <f t="shared" si="574"/>
        <v>117</v>
      </c>
      <c r="K553" s="2248">
        <v>113</v>
      </c>
      <c r="L553" s="2248">
        <v>336</v>
      </c>
      <c r="M553" s="2248">
        <v>358</v>
      </c>
      <c r="N553" s="2248">
        <v>658</v>
      </c>
      <c r="O553" s="1975"/>
      <c r="P553" s="2248"/>
      <c r="Q553" s="1975"/>
      <c r="R553" s="1975"/>
      <c r="S553" s="1975"/>
      <c r="T553" s="1975"/>
      <c r="U553" s="1975"/>
      <c r="V553" s="1975"/>
      <c r="W553" s="1948"/>
      <c r="X553" s="1950"/>
      <c r="Y553" s="1950"/>
      <c r="Z553" s="1973"/>
      <c r="AA553" s="1950"/>
      <c r="AB553" s="1950"/>
      <c r="AC553" s="1950"/>
      <c r="AD553" s="1950"/>
      <c r="AE553" s="1950"/>
      <c r="AF553" s="1950"/>
      <c r="AG553" s="1950"/>
      <c r="AH553" s="1950"/>
      <c r="AI553" s="1950"/>
      <c r="AJ553" s="1950"/>
      <c r="AK553" s="1950"/>
      <c r="AL553" s="1950"/>
      <c r="AM553" s="1950"/>
      <c r="AN553" s="1950"/>
      <c r="AO553" s="1950"/>
      <c r="AP553" s="1950"/>
      <c r="AQ553" s="1976">
        <v>30</v>
      </c>
      <c r="AR553" s="1974">
        <v>86</v>
      </c>
      <c r="AS553" s="1948">
        <v>117</v>
      </c>
      <c r="AT553" s="1948">
        <f t="shared" si="576"/>
        <v>658</v>
      </c>
      <c r="AU553" s="1949">
        <f t="shared" ref="AU553:AU567" si="577">R553</f>
        <v>0</v>
      </c>
      <c r="AV553" s="1948">
        <f t="shared" si="565"/>
        <v>0</v>
      </c>
      <c r="AW553" s="1948">
        <f t="shared" si="566"/>
        <v>0</v>
      </c>
      <c r="AX553" s="1949">
        <f t="shared" si="567"/>
        <v>0</v>
      </c>
      <c r="AY553" s="1950"/>
      <c r="AZ553" s="1948"/>
      <c r="BA553" s="1981"/>
      <c r="BB553" s="1949"/>
      <c r="BC553" s="1981"/>
    </row>
    <row r="554" spans="1:55" s="1999" customFormat="1" ht="10.15" x14ac:dyDescent="0.3">
      <c r="A554" s="2131"/>
      <c r="B554" s="2487" t="s">
        <v>1209</v>
      </c>
      <c r="C554" s="2577"/>
      <c r="D554" s="2577"/>
      <c r="E554" s="2577"/>
      <c r="F554" s="1992"/>
      <c r="G554" s="2577"/>
      <c r="H554" s="2488"/>
      <c r="I554" s="2474">
        <v>126</v>
      </c>
      <c r="J554" s="2474">
        <f t="shared" si="574"/>
        <v>10401</v>
      </c>
      <c r="K554" s="2474">
        <f>SUM(K552:K553)</f>
        <v>10458</v>
      </c>
      <c r="L554" s="2474">
        <f>L552+L553</f>
        <v>336</v>
      </c>
      <c r="M554" s="2474">
        <f>M552+M553</f>
        <v>358</v>
      </c>
      <c r="N554" s="2474">
        <v>658</v>
      </c>
      <c r="O554" s="2488">
        <v>654</v>
      </c>
      <c r="P554" s="2474">
        <v>366</v>
      </c>
      <c r="Q554" s="2488">
        <v>384</v>
      </c>
      <c r="R554" s="2488">
        <v>350</v>
      </c>
      <c r="S554" s="2488">
        <v>4424</v>
      </c>
      <c r="T554" s="2488">
        <v>3863</v>
      </c>
      <c r="U554" s="2488">
        <v>3547</v>
      </c>
      <c r="V554" s="2488">
        <v>2992</v>
      </c>
      <c r="W554" s="1995">
        <v>763</v>
      </c>
      <c r="X554" s="2488">
        <v>898</v>
      </c>
      <c r="Y554" s="2488">
        <v>2979</v>
      </c>
      <c r="Z554" s="1992">
        <v>3001</v>
      </c>
      <c r="AA554" s="2623">
        <v>3155</v>
      </c>
      <c r="AB554" s="2623">
        <v>6001</v>
      </c>
      <c r="AC554" s="2624">
        <v>7165</v>
      </c>
      <c r="AD554" s="2488">
        <v>6819</v>
      </c>
      <c r="AE554" s="2488">
        <v>7091</v>
      </c>
      <c r="AF554" s="2488">
        <v>7506</v>
      </c>
      <c r="AG554" s="2488">
        <v>7795</v>
      </c>
      <c r="AH554" s="2488">
        <v>9103</v>
      </c>
      <c r="AI554" s="2488">
        <v>7820</v>
      </c>
      <c r="AJ554" s="2577"/>
      <c r="AK554" s="2577"/>
      <c r="AL554" s="2577"/>
      <c r="AM554" s="2577"/>
      <c r="AN554" s="2577"/>
      <c r="AO554" s="2577"/>
      <c r="AP554" s="2577"/>
      <c r="AQ554" s="1993">
        <v>30</v>
      </c>
      <c r="AR554" s="1994">
        <v>10533</v>
      </c>
      <c r="AS554" s="1995">
        <v>10401</v>
      </c>
      <c r="AT554" s="1995">
        <f t="shared" si="576"/>
        <v>658</v>
      </c>
      <c r="AU554" s="1997">
        <f t="shared" si="577"/>
        <v>350</v>
      </c>
      <c r="AV554" s="1995">
        <f t="shared" si="565"/>
        <v>2992</v>
      </c>
      <c r="AW554" s="1995">
        <f t="shared" si="566"/>
        <v>3001</v>
      </c>
      <c r="AX554" s="1997">
        <f t="shared" si="567"/>
        <v>6819</v>
      </c>
      <c r="AY554" s="2488">
        <v>9103</v>
      </c>
      <c r="AZ554" s="1995"/>
      <c r="BA554" s="1996"/>
      <c r="BB554" s="1997"/>
      <c r="BC554" s="1996"/>
    </row>
    <row r="555" spans="1:55" s="1953" customFormat="1" ht="10.15" x14ac:dyDescent="0.3">
      <c r="A555" s="2131"/>
      <c r="B555" s="2476" t="s">
        <v>1210</v>
      </c>
      <c r="C555" s="1950"/>
      <c r="D555" s="1950"/>
      <c r="E555" s="1950"/>
      <c r="F555" s="1972"/>
      <c r="G555" s="1950"/>
      <c r="H555" s="1975"/>
      <c r="I555" s="2248"/>
      <c r="J555" s="2248"/>
      <c r="K555" s="2248"/>
      <c r="L555" s="2248"/>
      <c r="M555" s="2248"/>
      <c r="N555" s="2248"/>
      <c r="O555" s="1975"/>
      <c r="P555" s="2248"/>
      <c r="Q555" s="1975"/>
      <c r="R555" s="1975"/>
      <c r="S555" s="1975"/>
      <c r="T555" s="1975"/>
      <c r="U555" s="1975"/>
      <c r="V555" s="1975"/>
      <c r="W555" s="1948"/>
      <c r="X555" s="1950"/>
      <c r="Y555" s="1950"/>
      <c r="Z555" s="1973"/>
      <c r="AA555" s="1950"/>
      <c r="AB555" s="1950"/>
      <c r="AC555" s="2625"/>
      <c r="AD555" s="1950"/>
      <c r="AE555" s="1950"/>
      <c r="AF555" s="1950"/>
      <c r="AG555" s="1950"/>
      <c r="AH555" s="1950"/>
      <c r="AI555" s="1950"/>
      <c r="AJ555" s="1950"/>
      <c r="AK555" s="1950"/>
      <c r="AL555" s="1950"/>
      <c r="AM555" s="1950"/>
      <c r="AN555" s="1950"/>
      <c r="AO555" s="1950"/>
      <c r="AP555" s="1950"/>
      <c r="AQ555" s="1976"/>
      <c r="AR555" s="1974"/>
      <c r="AS555" s="1948"/>
      <c r="AT555" s="1948">
        <f t="shared" si="576"/>
        <v>0</v>
      </c>
      <c r="AU555" s="1949">
        <f t="shared" si="577"/>
        <v>0</v>
      </c>
      <c r="AV555" s="1948">
        <f t="shared" si="565"/>
        <v>0</v>
      </c>
      <c r="AW555" s="1948">
        <f t="shared" si="566"/>
        <v>0</v>
      </c>
      <c r="AX555" s="1949">
        <f t="shared" si="567"/>
        <v>0</v>
      </c>
      <c r="AY555" s="1950"/>
      <c r="AZ555" s="1948"/>
      <c r="BA555" s="1981"/>
      <c r="BB555" s="1949"/>
      <c r="BC555" s="1981"/>
    </row>
    <row r="556" spans="1:55" s="1953" customFormat="1" ht="10.15" x14ac:dyDescent="0.3">
      <c r="A556" s="2131"/>
      <c r="B556" s="2476" t="s">
        <v>1211</v>
      </c>
      <c r="C556" s="1950"/>
      <c r="D556" s="1950"/>
      <c r="E556" s="1950"/>
      <c r="F556" s="1972"/>
      <c r="G556" s="1950"/>
      <c r="H556" s="1975"/>
      <c r="I556" s="2248">
        <v>1</v>
      </c>
      <c r="J556" s="2248">
        <f>AS556</f>
        <v>1</v>
      </c>
      <c r="K556" s="2248">
        <v>1</v>
      </c>
      <c r="L556" s="2248">
        <v>1</v>
      </c>
      <c r="M556" s="2248">
        <v>1</v>
      </c>
      <c r="N556" s="2248">
        <v>1</v>
      </c>
      <c r="O556" s="1975">
        <v>1</v>
      </c>
      <c r="P556" s="2248">
        <v>1</v>
      </c>
      <c r="Q556" s="1975">
        <v>1</v>
      </c>
      <c r="R556" s="1975">
        <v>1</v>
      </c>
      <c r="S556" s="1975">
        <v>1</v>
      </c>
      <c r="T556" s="1975">
        <v>1</v>
      </c>
      <c r="U556" s="1975">
        <v>1</v>
      </c>
      <c r="V556" s="1975">
        <v>1</v>
      </c>
      <c r="W556" s="1948">
        <v>1</v>
      </c>
      <c r="X556" s="1975">
        <v>1</v>
      </c>
      <c r="Y556" s="1975">
        <v>1</v>
      </c>
      <c r="Z556" s="1973">
        <v>1</v>
      </c>
      <c r="AA556" s="2625">
        <v>1</v>
      </c>
      <c r="AB556" s="2625">
        <v>1</v>
      </c>
      <c r="AC556" s="2625">
        <v>1</v>
      </c>
      <c r="AD556" s="2625">
        <v>1</v>
      </c>
      <c r="AE556" s="1975">
        <v>1</v>
      </c>
      <c r="AF556" s="1975">
        <v>1</v>
      </c>
      <c r="AG556" s="1975">
        <v>1</v>
      </c>
      <c r="AH556" s="1975">
        <v>1</v>
      </c>
      <c r="AI556" s="2625">
        <v>1</v>
      </c>
      <c r="AJ556" s="1950"/>
      <c r="AK556" s="1950"/>
      <c r="AL556" s="1950"/>
      <c r="AM556" s="1950"/>
      <c r="AN556" s="1950"/>
      <c r="AO556" s="1950"/>
      <c r="AP556" s="1950"/>
      <c r="AQ556" s="1976">
        <v>1</v>
      </c>
      <c r="AR556" s="1974">
        <v>1</v>
      </c>
      <c r="AS556" s="1948">
        <v>1</v>
      </c>
      <c r="AT556" s="1948">
        <f t="shared" si="576"/>
        <v>1</v>
      </c>
      <c r="AU556" s="1949">
        <f t="shared" si="577"/>
        <v>1</v>
      </c>
      <c r="AV556" s="1948">
        <f t="shared" si="565"/>
        <v>1</v>
      </c>
      <c r="AW556" s="1948">
        <f t="shared" si="566"/>
        <v>1</v>
      </c>
      <c r="AX556" s="1949">
        <f t="shared" si="567"/>
        <v>1</v>
      </c>
      <c r="AY556" s="1975">
        <v>1</v>
      </c>
      <c r="AZ556" s="1948"/>
      <c r="BA556" s="1981"/>
      <c r="BB556" s="1949"/>
      <c r="BC556" s="1981"/>
    </row>
    <row r="557" spans="1:55" s="1953" customFormat="1" ht="10.15" x14ac:dyDescent="0.3">
      <c r="A557" s="2131"/>
      <c r="B557" s="2476" t="s">
        <v>1212</v>
      </c>
      <c r="C557" s="1950"/>
      <c r="D557" s="1950"/>
      <c r="E557" s="1950"/>
      <c r="F557" s="1973"/>
      <c r="G557" s="1950"/>
      <c r="H557" s="1975"/>
      <c r="I557" s="2248">
        <v>36173</v>
      </c>
      <c r="J557" s="2248">
        <f>AS557</f>
        <v>27043</v>
      </c>
      <c r="K557" s="2248">
        <v>32192</v>
      </c>
      <c r="L557" s="2248">
        <v>108132</v>
      </c>
      <c r="M557" s="2248">
        <v>112436</v>
      </c>
      <c r="N557" s="2248">
        <v>117142</v>
      </c>
      <c r="O557" s="1975">
        <v>122146</v>
      </c>
      <c r="P557" s="2248">
        <v>122975</v>
      </c>
      <c r="Q557" s="1975">
        <v>127802</v>
      </c>
      <c r="R557" s="1975">
        <v>132206</v>
      </c>
      <c r="S557" s="1975">
        <v>150553</v>
      </c>
      <c r="T557" s="1975">
        <v>154927</v>
      </c>
      <c r="U557" s="1975">
        <v>158596</v>
      </c>
      <c r="V557" s="1975">
        <v>164585</v>
      </c>
      <c r="W557" s="1948">
        <v>170707</v>
      </c>
      <c r="X557" s="1975">
        <v>175186</v>
      </c>
      <c r="Y557" s="1975">
        <v>179686</v>
      </c>
      <c r="Z557" s="1973">
        <v>186764</v>
      </c>
      <c r="AA557" s="2625">
        <v>203367</v>
      </c>
      <c r="AB557" s="2625">
        <v>212682</v>
      </c>
      <c r="AC557" s="2625">
        <v>225328</v>
      </c>
      <c r="AD557" s="2625">
        <v>231783</v>
      </c>
      <c r="AE557" s="1975">
        <v>238023</v>
      </c>
      <c r="AF557" s="1975">
        <v>246073</v>
      </c>
      <c r="AG557" s="1975">
        <v>337046</v>
      </c>
      <c r="AH557" s="1975">
        <v>343707</v>
      </c>
      <c r="AI557" s="2625">
        <v>349742</v>
      </c>
      <c r="AJ557" s="1950"/>
      <c r="AK557" s="1950"/>
      <c r="AL557" s="1950"/>
      <c r="AM557" s="1950"/>
      <c r="AN557" s="1950"/>
      <c r="AO557" s="1950"/>
      <c r="AP557" s="1950"/>
      <c r="AQ557" s="1976">
        <v>20778</v>
      </c>
      <c r="AR557" s="1974">
        <v>21655</v>
      </c>
      <c r="AS557" s="1974">
        <v>27043</v>
      </c>
      <c r="AT557" s="1948">
        <f t="shared" si="576"/>
        <v>117142</v>
      </c>
      <c r="AU557" s="1949">
        <f t="shared" si="577"/>
        <v>132206</v>
      </c>
      <c r="AV557" s="1948">
        <f t="shared" si="565"/>
        <v>164585</v>
      </c>
      <c r="AW557" s="1948">
        <f t="shared" si="566"/>
        <v>186764</v>
      </c>
      <c r="AX557" s="1949">
        <f t="shared" si="567"/>
        <v>231783</v>
      </c>
      <c r="AY557" s="1975">
        <v>343707</v>
      </c>
      <c r="AZ557" s="1948"/>
      <c r="BA557" s="1981"/>
      <c r="BB557" s="1949"/>
      <c r="BC557" s="1981"/>
    </row>
    <row r="558" spans="1:55" s="1953" customFormat="1" ht="10.15" x14ac:dyDescent="0.3">
      <c r="A558" s="2131"/>
      <c r="B558" s="2476" t="s">
        <v>1213</v>
      </c>
      <c r="C558" s="1950"/>
      <c r="D558" s="1950"/>
      <c r="E558" s="1950"/>
      <c r="F558" s="2622"/>
      <c r="G558" s="1950"/>
      <c r="H558" s="1975"/>
      <c r="I558" s="2477">
        <v>0</v>
      </c>
      <c r="J558" s="2248">
        <f>AS558</f>
        <v>0</v>
      </c>
      <c r="K558" s="2477">
        <v>0</v>
      </c>
      <c r="L558" s="2477">
        <v>0</v>
      </c>
      <c r="M558" s="2477">
        <v>0</v>
      </c>
      <c r="N558" s="2477">
        <v>0</v>
      </c>
      <c r="O558" s="1975"/>
      <c r="P558" s="2248"/>
      <c r="Q558" s="1975"/>
      <c r="R558" s="1975"/>
      <c r="S558" s="1975">
        <v>-2823</v>
      </c>
      <c r="T558" s="1975">
        <v>-2823</v>
      </c>
      <c r="U558" s="1975">
        <v>-2823</v>
      </c>
      <c r="V558" s="1975">
        <v>-2823</v>
      </c>
      <c r="W558" s="1948">
        <v>-2823</v>
      </c>
      <c r="X558" s="1975">
        <v>-2823</v>
      </c>
      <c r="Y558" s="1975">
        <v>-2233</v>
      </c>
      <c r="Z558" s="1975">
        <v>-2233</v>
      </c>
      <c r="AA558" s="2625">
        <v>-1412</v>
      </c>
      <c r="AB558" s="2625">
        <v>-1412</v>
      </c>
      <c r="AC558" s="2625">
        <v>-386</v>
      </c>
      <c r="AD558" s="2625">
        <v>0</v>
      </c>
      <c r="AE558" s="1975">
        <v>0</v>
      </c>
      <c r="AF558" s="1975">
        <v>0</v>
      </c>
      <c r="AG558" s="1975"/>
      <c r="AH558" s="1975"/>
      <c r="AI558" s="2625"/>
      <c r="AJ558" s="1950"/>
      <c r="AK558" s="1950"/>
      <c r="AL558" s="1950"/>
      <c r="AM558" s="1950"/>
      <c r="AN558" s="1950"/>
      <c r="AO558" s="1950"/>
      <c r="AP558" s="1950"/>
      <c r="AQ558" s="1978">
        <v>0</v>
      </c>
      <c r="AR558" s="1979">
        <v>0</v>
      </c>
      <c r="AS558" s="1948">
        <v>0</v>
      </c>
      <c r="AT558" s="1948">
        <f t="shared" si="576"/>
        <v>0</v>
      </c>
      <c r="AU558" s="1949">
        <f t="shared" si="577"/>
        <v>0</v>
      </c>
      <c r="AV558" s="1948">
        <f t="shared" si="565"/>
        <v>-2823</v>
      </c>
      <c r="AW558" s="1948">
        <f t="shared" si="566"/>
        <v>-2233</v>
      </c>
      <c r="AX558" s="1949">
        <f t="shared" si="567"/>
        <v>0</v>
      </c>
      <c r="AY558" s="1975"/>
      <c r="AZ558" s="1948"/>
      <c r="BA558" s="1981"/>
      <c r="BB558" s="1949"/>
      <c r="BC558" s="1981"/>
    </row>
    <row r="559" spans="1:55" s="1953" customFormat="1" ht="10.15" x14ac:dyDescent="0.3">
      <c r="A559" s="2131"/>
      <c r="B559" s="2476" t="s">
        <v>1214</v>
      </c>
      <c r="C559" s="1950"/>
      <c r="D559" s="1950"/>
      <c r="E559" s="1950"/>
      <c r="F559" s="2622"/>
      <c r="G559" s="1950"/>
      <c r="H559" s="1975"/>
      <c r="I559" s="2477"/>
      <c r="J559" s="2248"/>
      <c r="K559" s="2477"/>
      <c r="L559" s="2477"/>
      <c r="M559" s="2477">
        <v>-1217</v>
      </c>
      <c r="N559" s="2477">
        <v>-1152</v>
      </c>
      <c r="O559" s="1975">
        <v>-1087</v>
      </c>
      <c r="P559" s="2248">
        <v>-1020</v>
      </c>
      <c r="Q559" s="1975">
        <v>-953</v>
      </c>
      <c r="R559" s="1975">
        <v>-888</v>
      </c>
      <c r="S559" s="1975">
        <v>-822</v>
      </c>
      <c r="T559" s="1975">
        <v>-756</v>
      </c>
      <c r="U559" s="1975">
        <v>-689</v>
      </c>
      <c r="V559" s="1975">
        <v>-624</v>
      </c>
      <c r="W559" s="1948">
        <v>-559</v>
      </c>
      <c r="X559" s="1975">
        <v>-492</v>
      </c>
      <c r="Y559" s="1975">
        <v>-426</v>
      </c>
      <c r="Z559" s="1975">
        <v>-361</v>
      </c>
      <c r="AA559" s="2625">
        <v>-295</v>
      </c>
      <c r="AB559" s="2625">
        <v>-229</v>
      </c>
      <c r="AC559" s="2625">
        <v>-163</v>
      </c>
      <c r="AD559" s="2625">
        <v>-97</v>
      </c>
      <c r="AE559" s="1975">
        <v>-31</v>
      </c>
      <c r="AF559" s="1975">
        <v>0</v>
      </c>
      <c r="AG559" s="1975"/>
      <c r="AH559" s="1975"/>
      <c r="AI559" s="2625"/>
      <c r="AJ559" s="1950"/>
      <c r="AK559" s="1950"/>
      <c r="AL559" s="1950"/>
      <c r="AM559" s="1950"/>
      <c r="AN559" s="1950"/>
      <c r="AO559" s="1950"/>
      <c r="AP559" s="1950"/>
      <c r="AQ559" s="1978"/>
      <c r="AR559" s="1979"/>
      <c r="AS559" s="1948"/>
      <c r="AT559" s="1948">
        <f t="shared" si="576"/>
        <v>-1152</v>
      </c>
      <c r="AU559" s="1949">
        <f t="shared" si="577"/>
        <v>-888</v>
      </c>
      <c r="AV559" s="1948">
        <f t="shared" si="565"/>
        <v>-624</v>
      </c>
      <c r="AW559" s="1948">
        <f t="shared" si="566"/>
        <v>-361</v>
      </c>
      <c r="AX559" s="1949">
        <f t="shared" si="567"/>
        <v>-97</v>
      </c>
      <c r="AY559" s="1975"/>
      <c r="AZ559" s="1948"/>
      <c r="BA559" s="1981"/>
      <c r="BB559" s="1949"/>
      <c r="BC559" s="1981"/>
    </row>
    <row r="560" spans="1:55" s="1953" customFormat="1" ht="10.15" x14ac:dyDescent="0.3">
      <c r="A560" s="2131"/>
      <c r="B560" s="2476" t="s">
        <v>1215</v>
      </c>
      <c r="C560" s="1950"/>
      <c r="D560" s="1950"/>
      <c r="E560" s="1950"/>
      <c r="F560" s="1972"/>
      <c r="G560" s="1950"/>
      <c r="H560" s="1975"/>
      <c r="I560" s="2248">
        <v>-493</v>
      </c>
      <c r="J560" s="2248">
        <f>AS560</f>
        <v>-540</v>
      </c>
      <c r="K560" s="2248">
        <v>-363</v>
      </c>
      <c r="L560" s="2248">
        <v>-1284</v>
      </c>
      <c r="M560" s="2248">
        <v>-351</v>
      </c>
      <c r="N560" s="2248">
        <v>-411</v>
      </c>
      <c r="O560" s="1975">
        <v>-470</v>
      </c>
      <c r="P560" s="2248">
        <v>-71</v>
      </c>
      <c r="Q560" s="1975">
        <v>-87</v>
      </c>
      <c r="R560" s="1975">
        <v>-172</v>
      </c>
      <c r="S560" s="1975">
        <v>-272</v>
      </c>
      <c r="T560" s="1975">
        <v>-282</v>
      </c>
      <c r="U560" s="1975">
        <v>-301</v>
      </c>
      <c r="V560" s="1975">
        <v>-63</v>
      </c>
      <c r="W560" s="1948">
        <v>-160</v>
      </c>
      <c r="X560" s="1975">
        <v>-164</v>
      </c>
      <c r="Y560" s="1975">
        <v>-164</v>
      </c>
      <c r="Z560" s="1975">
        <v>-163</v>
      </c>
      <c r="AA560" s="2625">
        <v>-172</v>
      </c>
      <c r="AB560" s="2625">
        <v>-179</v>
      </c>
      <c r="AC560" s="2625">
        <v>-179</v>
      </c>
      <c r="AD560" s="2625">
        <v>-49</v>
      </c>
      <c r="AE560" s="1975">
        <v>-49</v>
      </c>
      <c r="AF560" s="1975">
        <v>-51</v>
      </c>
      <c r="AG560" s="1975">
        <v>-50</v>
      </c>
      <c r="AH560" s="1975">
        <v>-51</v>
      </c>
      <c r="AI560" s="2625">
        <v>-51</v>
      </c>
      <c r="AJ560" s="1950"/>
      <c r="AK560" s="1950"/>
      <c r="AL560" s="1950"/>
      <c r="AM560" s="1950"/>
      <c r="AN560" s="1950"/>
      <c r="AO560" s="1950"/>
      <c r="AP560" s="1950"/>
      <c r="AQ560" s="1976">
        <v>-819</v>
      </c>
      <c r="AR560" s="1974">
        <v>-852</v>
      </c>
      <c r="AS560" s="1948">
        <v>-540</v>
      </c>
      <c r="AT560" s="1948">
        <f t="shared" si="576"/>
        <v>-411</v>
      </c>
      <c r="AU560" s="1949">
        <f t="shared" si="577"/>
        <v>-172</v>
      </c>
      <c r="AV560" s="1948">
        <f t="shared" si="565"/>
        <v>-63</v>
      </c>
      <c r="AW560" s="1948">
        <f t="shared" si="566"/>
        <v>-163</v>
      </c>
      <c r="AX560" s="1949">
        <f t="shared" si="567"/>
        <v>-49</v>
      </c>
      <c r="AY560" s="1975">
        <v>-51</v>
      </c>
      <c r="AZ560" s="1948"/>
      <c r="BA560" s="1981"/>
      <c r="BB560" s="1949"/>
      <c r="BC560" s="1981"/>
    </row>
    <row r="561" spans="1:55" s="1953" customFormat="1" ht="10.15" x14ac:dyDescent="0.3">
      <c r="A561" s="2131"/>
      <c r="B561" s="2476" t="s">
        <v>1216</v>
      </c>
      <c r="C561" s="1950"/>
      <c r="D561" s="1950"/>
      <c r="E561" s="1950"/>
      <c r="F561" s="1973"/>
      <c r="G561" s="1950"/>
      <c r="H561" s="1975"/>
      <c r="I561" s="2248">
        <v>2388</v>
      </c>
      <c r="J561" s="2248">
        <f>AS561</f>
        <v>2474</v>
      </c>
      <c r="K561" s="2248">
        <v>2511</v>
      </c>
      <c r="L561" s="2248">
        <v>2521</v>
      </c>
      <c r="M561" s="2248">
        <v>2522</v>
      </c>
      <c r="N561" s="2248">
        <v>2715</v>
      </c>
      <c r="O561" s="1975">
        <v>2700</v>
      </c>
      <c r="P561" s="2248">
        <v>3016</v>
      </c>
      <c r="Q561" s="1975">
        <v>3016</v>
      </c>
      <c r="R561" s="1975">
        <v>3244</v>
      </c>
      <c r="S561" s="1975">
        <v>3522</v>
      </c>
      <c r="T561" s="1975">
        <v>3653</v>
      </c>
      <c r="U561" s="1975">
        <v>4022</v>
      </c>
      <c r="V561" s="1975">
        <v>4080</v>
      </c>
      <c r="W561" s="1948">
        <v>4051</v>
      </c>
      <c r="X561" s="1975">
        <v>4118</v>
      </c>
      <c r="Y561" s="1975">
        <v>4183</v>
      </c>
      <c r="Z561" s="1973">
        <v>4378</v>
      </c>
      <c r="AA561" s="2625">
        <v>4528</v>
      </c>
      <c r="AB561" s="2625">
        <v>4535</v>
      </c>
      <c r="AC561" s="2625">
        <v>4561</v>
      </c>
      <c r="AD561" s="2625">
        <v>5068</v>
      </c>
      <c r="AE561" s="1975">
        <v>5166</v>
      </c>
      <c r="AF561" s="1975">
        <v>5581</v>
      </c>
      <c r="AG561" s="1975">
        <v>5969</v>
      </c>
      <c r="AH561" s="1975">
        <v>6100</v>
      </c>
      <c r="AI561" s="2625">
        <v>6392</v>
      </c>
      <c r="AJ561" s="1950"/>
      <c r="AK561" s="1950"/>
      <c r="AL561" s="1950"/>
      <c r="AM561" s="1950"/>
      <c r="AN561" s="1950"/>
      <c r="AO561" s="1950"/>
      <c r="AP561" s="1950"/>
      <c r="AQ561" s="1976">
        <v>1096</v>
      </c>
      <c r="AR561" s="1974">
        <v>1337</v>
      </c>
      <c r="AS561" s="1974">
        <v>2474</v>
      </c>
      <c r="AT561" s="1948">
        <f t="shared" si="576"/>
        <v>2715</v>
      </c>
      <c r="AU561" s="1949">
        <f t="shared" si="577"/>
        <v>3244</v>
      </c>
      <c r="AV561" s="1948">
        <f t="shared" si="565"/>
        <v>4080</v>
      </c>
      <c r="AW561" s="1948">
        <f t="shared" si="566"/>
        <v>4378</v>
      </c>
      <c r="AX561" s="1949">
        <f t="shared" si="567"/>
        <v>5068</v>
      </c>
      <c r="AY561" s="1975">
        <v>6100</v>
      </c>
      <c r="AZ561" s="1948"/>
      <c r="BA561" s="1981"/>
      <c r="BB561" s="1949"/>
      <c r="BC561" s="1981"/>
    </row>
    <row r="562" spans="1:55" s="1953" customFormat="1" ht="10.15" x14ac:dyDescent="0.3">
      <c r="A562" s="2096"/>
      <c r="B562" s="2476" t="s">
        <v>1217</v>
      </c>
      <c r="C562" s="1950"/>
      <c r="D562" s="1950"/>
      <c r="E562" s="1950"/>
      <c r="F562" s="1972"/>
      <c r="G562" s="1950"/>
      <c r="H562" s="1975"/>
      <c r="I562" s="2248"/>
      <c r="J562" s="2248"/>
      <c r="K562" s="2248">
        <v>-823</v>
      </c>
      <c r="L562" s="2248">
        <v>-553</v>
      </c>
      <c r="M562" s="2248">
        <v>1569</v>
      </c>
      <c r="N562" s="2248">
        <v>2302</v>
      </c>
      <c r="O562" s="1975">
        <v>3884</v>
      </c>
      <c r="P562" s="2248">
        <v>3002</v>
      </c>
      <c r="Q562" s="1975">
        <v>9598</v>
      </c>
      <c r="R562" s="1975">
        <v>3844</v>
      </c>
      <c r="S562" s="1975">
        <v>2096</v>
      </c>
      <c r="T562" s="1975">
        <v>11212</v>
      </c>
      <c r="U562" s="1975">
        <v>6910</v>
      </c>
      <c r="V562" s="1975">
        <v>5085</v>
      </c>
      <c r="W562" s="1948">
        <v>4132</v>
      </c>
      <c r="X562" s="1975">
        <v>5474</v>
      </c>
      <c r="Y562" s="1975">
        <v>4035</v>
      </c>
      <c r="Z562" s="1973">
        <v>5083</v>
      </c>
      <c r="AA562" s="2625">
        <v>-2047</v>
      </c>
      <c r="AB562" s="2625">
        <v>-1685</v>
      </c>
      <c r="AC562" s="2625">
        <v>-1119</v>
      </c>
      <c r="AD562" s="2625">
        <v>-2335</v>
      </c>
      <c r="AE562" s="1975">
        <v>-1313</v>
      </c>
      <c r="AF562" s="1975">
        <v>-217</v>
      </c>
      <c r="AG562" s="1975">
        <v>-2048</v>
      </c>
      <c r="AH562" s="1975">
        <v>-643</v>
      </c>
      <c r="AI562" s="2625">
        <v>-909</v>
      </c>
      <c r="AJ562" s="1950"/>
      <c r="AK562" s="1950"/>
      <c r="AL562" s="1950"/>
      <c r="AM562" s="1950"/>
      <c r="AN562" s="1950"/>
      <c r="AO562" s="1950"/>
      <c r="AP562" s="1950"/>
      <c r="AQ562" s="1976"/>
      <c r="AR562" s="1974"/>
      <c r="AS562" s="1974"/>
      <c r="AT562" s="1948">
        <f t="shared" si="576"/>
        <v>2302</v>
      </c>
      <c r="AU562" s="1949">
        <f t="shared" si="577"/>
        <v>3844</v>
      </c>
      <c r="AV562" s="1948">
        <f t="shared" si="565"/>
        <v>5085</v>
      </c>
      <c r="AW562" s="1948">
        <f t="shared" si="566"/>
        <v>5083</v>
      </c>
      <c r="AX562" s="1949">
        <f t="shared" si="567"/>
        <v>-2335</v>
      </c>
      <c r="AY562" s="1975">
        <v>-643</v>
      </c>
      <c r="AZ562" s="1948"/>
      <c r="BA562" s="1981"/>
      <c r="BB562" s="1949"/>
      <c r="BC562" s="1981"/>
    </row>
    <row r="563" spans="1:55" s="1953" customFormat="1" ht="10.15" x14ac:dyDescent="0.3">
      <c r="A563" s="2131"/>
      <c r="B563" s="2520" t="s">
        <v>1218</v>
      </c>
      <c r="C563" s="1950"/>
      <c r="D563" s="1950"/>
      <c r="E563" s="1950"/>
      <c r="F563" s="1973"/>
      <c r="G563" s="1950"/>
      <c r="H563" s="1975"/>
      <c r="I563" s="2248">
        <v>-787</v>
      </c>
      <c r="J563" s="2248">
        <f t="shared" ref="J563:J569" si="578">AS563</f>
        <v>-1144</v>
      </c>
      <c r="K563" s="2248">
        <v>-1077</v>
      </c>
      <c r="L563" s="2248"/>
      <c r="M563" s="2248"/>
      <c r="N563" s="2248"/>
      <c r="O563" s="1975"/>
      <c r="P563" s="2248"/>
      <c r="Q563" s="1975"/>
      <c r="R563" s="1975"/>
      <c r="S563" s="1975"/>
      <c r="T563" s="1975"/>
      <c r="U563" s="1975"/>
      <c r="V563" s="1975"/>
      <c r="W563" s="1948"/>
      <c r="X563" s="1975"/>
      <c r="Y563" s="1975"/>
      <c r="Z563" s="1973"/>
      <c r="AA563" s="2625"/>
      <c r="AB563" s="2625"/>
      <c r="AC563" s="2625"/>
      <c r="AD563" s="2625"/>
      <c r="AE563" s="1975"/>
      <c r="AF563" s="1950"/>
      <c r="AG563" s="1950"/>
      <c r="AH563" s="1950"/>
      <c r="AI563" s="2625"/>
      <c r="AJ563" s="1950"/>
      <c r="AK563" s="1950"/>
      <c r="AL563" s="1950"/>
      <c r="AM563" s="1950"/>
      <c r="AN563" s="1950"/>
      <c r="AO563" s="1950"/>
      <c r="AP563" s="1950"/>
      <c r="AQ563" s="1976">
        <v>-2121</v>
      </c>
      <c r="AR563" s="1974">
        <v>-1666</v>
      </c>
      <c r="AS563" s="1974">
        <v>-1144</v>
      </c>
      <c r="AT563" s="1948">
        <f t="shared" si="576"/>
        <v>0</v>
      </c>
      <c r="AU563" s="1949">
        <f t="shared" si="577"/>
        <v>0</v>
      </c>
      <c r="AV563" s="1948">
        <v>-3618</v>
      </c>
      <c r="AW563" s="1948">
        <v>-3594</v>
      </c>
      <c r="AX563" s="1949">
        <f t="shared" si="567"/>
        <v>0</v>
      </c>
      <c r="AY563" s="1950"/>
      <c r="AZ563" s="1948"/>
      <c r="BA563" s="1981"/>
      <c r="BB563" s="1949"/>
      <c r="BC563" s="1981"/>
    </row>
    <row r="564" spans="1:55" s="1953" customFormat="1" ht="10.15" x14ac:dyDescent="0.3">
      <c r="A564" s="2131"/>
      <c r="B564" s="2520" t="s">
        <v>1219</v>
      </c>
      <c r="C564" s="1950"/>
      <c r="D564" s="1950"/>
      <c r="E564" s="1950"/>
      <c r="F564" s="1972"/>
      <c r="G564" s="1950"/>
      <c r="H564" s="1975"/>
      <c r="I564" s="2248">
        <v>139</v>
      </c>
      <c r="J564" s="2248">
        <f t="shared" si="578"/>
        <v>321</v>
      </c>
      <c r="K564" s="2248">
        <v>202</v>
      </c>
      <c r="L564" s="2248"/>
      <c r="M564" s="2248">
        <v>0</v>
      </c>
      <c r="N564" s="2248"/>
      <c r="O564" s="1975"/>
      <c r="P564" s="2248"/>
      <c r="Q564" s="1975"/>
      <c r="R564" s="1975"/>
      <c r="S564" s="1975"/>
      <c r="T564" s="1975"/>
      <c r="U564" s="1975"/>
      <c r="V564" s="1975"/>
      <c r="W564" s="1948"/>
      <c r="X564" s="1975"/>
      <c r="Y564" s="1975"/>
      <c r="Z564" s="1973"/>
      <c r="AA564" s="2625"/>
      <c r="AB564" s="2625"/>
      <c r="AC564" s="2625"/>
      <c r="AD564" s="2625"/>
      <c r="AE564" s="1950"/>
      <c r="AF564" s="1950"/>
      <c r="AG564" s="1950"/>
      <c r="AH564" s="1950"/>
      <c r="AI564" s="2625"/>
      <c r="AJ564" s="1950"/>
      <c r="AK564" s="1950"/>
      <c r="AL564" s="1950"/>
      <c r="AM564" s="1950"/>
      <c r="AN564" s="1950"/>
      <c r="AO564" s="1950"/>
      <c r="AP564" s="1950"/>
      <c r="AQ564" s="1976">
        <v>1</v>
      </c>
      <c r="AR564" s="1974">
        <v>-8</v>
      </c>
      <c r="AS564" s="1974">
        <v>321</v>
      </c>
      <c r="AT564" s="1948">
        <f t="shared" si="576"/>
        <v>0</v>
      </c>
      <c r="AU564" s="1949">
        <f t="shared" si="577"/>
        <v>0</v>
      </c>
      <c r="AV564" s="1948">
        <v>8703</v>
      </c>
      <c r="AW564" s="1948">
        <v>8677</v>
      </c>
      <c r="AX564" s="1949">
        <f t="shared" si="567"/>
        <v>0</v>
      </c>
      <c r="AY564" s="1950"/>
      <c r="AZ564" s="1948"/>
      <c r="BA564" s="1981"/>
      <c r="BB564" s="1949"/>
      <c r="BC564" s="1981"/>
    </row>
    <row r="565" spans="1:55" s="1953" customFormat="1" ht="10.15" x14ac:dyDescent="0.3">
      <c r="A565" s="2131"/>
      <c r="B565" s="2476" t="s">
        <v>1220</v>
      </c>
      <c r="C565" s="1950"/>
      <c r="D565" s="1950"/>
      <c r="E565" s="1950"/>
      <c r="F565" s="1973"/>
      <c r="G565" s="1950"/>
      <c r="H565" s="1975"/>
      <c r="I565" s="2248">
        <v>-4307</v>
      </c>
      <c r="J565" s="2626">
        <f t="shared" si="578"/>
        <v>1183</v>
      </c>
      <c r="K565" s="2626">
        <v>13315</v>
      </c>
      <c r="L565" s="2626">
        <v>16206</v>
      </c>
      <c r="M565" s="2626">
        <v>22141</v>
      </c>
      <c r="N565" s="2626">
        <v>24842</v>
      </c>
      <c r="O565" s="2627">
        <v>55700</v>
      </c>
      <c r="P565" s="2626">
        <v>63120</v>
      </c>
      <c r="Q565" s="2627">
        <v>75618</v>
      </c>
      <c r="R565" s="2627">
        <v>78752</v>
      </c>
      <c r="S565" s="2627">
        <v>72992</v>
      </c>
      <c r="T565" s="2627">
        <v>80484</v>
      </c>
      <c r="U565" s="2627">
        <v>97969</v>
      </c>
      <c r="V565" s="2627">
        <v>108558</v>
      </c>
      <c r="W565" s="2628">
        <v>123271</v>
      </c>
      <c r="X565" s="2627">
        <v>140872</v>
      </c>
      <c r="Y565" s="2627">
        <v>164879</v>
      </c>
      <c r="Z565" s="1973">
        <v>172353</v>
      </c>
      <c r="AA565" s="2625">
        <v>189119</v>
      </c>
      <c r="AB565" s="2625">
        <v>207847</v>
      </c>
      <c r="AC565" s="2625">
        <v>232850</v>
      </c>
      <c r="AD565" s="2625">
        <v>257886</v>
      </c>
      <c r="AE565" s="1975">
        <v>279236</v>
      </c>
      <c r="AF565" s="1975">
        <v>351412</v>
      </c>
      <c r="AG565" s="1975">
        <v>403198</v>
      </c>
      <c r="AH565" s="1975">
        <v>406287</v>
      </c>
      <c r="AI565" s="2625">
        <v>453528</v>
      </c>
      <c r="AJ565" s="1950"/>
      <c r="AK565" s="1950"/>
      <c r="AL565" s="1950"/>
      <c r="AM565" s="1950"/>
      <c r="AN565" s="1950"/>
      <c r="AO565" s="1950"/>
      <c r="AP565" s="1950"/>
      <c r="AQ565" s="1976">
        <v>12552</v>
      </c>
      <c r="AR565" s="1974">
        <v>-20491</v>
      </c>
      <c r="AS565" s="1974">
        <v>1183</v>
      </c>
      <c r="AT565" s="1948">
        <f t="shared" si="576"/>
        <v>24842</v>
      </c>
      <c r="AU565" s="1949">
        <f t="shared" si="577"/>
        <v>78752</v>
      </c>
      <c r="AV565" s="1948">
        <f>V565</f>
        <v>108558</v>
      </c>
      <c r="AW565" s="1948">
        <f>Z565</f>
        <v>172353</v>
      </c>
      <c r="AX565" s="1949">
        <f t="shared" si="567"/>
        <v>257886</v>
      </c>
      <c r="AY565" s="1975">
        <v>406287</v>
      </c>
      <c r="AZ565" s="1948"/>
      <c r="BA565" s="1981"/>
      <c r="BB565" s="1949"/>
      <c r="BC565" s="1981"/>
    </row>
    <row r="566" spans="1:55" s="1953" customFormat="1" ht="10.15" x14ac:dyDescent="0.3">
      <c r="A566" s="2131"/>
      <c r="B566" s="2476" t="s">
        <v>1221</v>
      </c>
      <c r="C566" s="1950"/>
      <c r="D566" s="1950"/>
      <c r="E566" s="1950"/>
      <c r="F566" s="1972"/>
      <c r="G566" s="1950"/>
      <c r="H566" s="1975"/>
      <c r="I566" s="2248">
        <v>33114</v>
      </c>
      <c r="J566" s="2626">
        <f t="shared" si="578"/>
        <v>29338</v>
      </c>
      <c r="K566" s="2626">
        <f>SUM(K556:K565)</f>
        <v>45958</v>
      </c>
      <c r="L566" s="2626">
        <v>124656</v>
      </c>
      <c r="M566" s="2626">
        <v>137101</v>
      </c>
      <c r="N566" s="2626">
        <v>145439</v>
      </c>
      <c r="O566" s="2627">
        <v>182874</v>
      </c>
      <c r="P566" s="2626">
        <v>191023</v>
      </c>
      <c r="Q566" s="2627">
        <v>214995</v>
      </c>
      <c r="R566" s="2627">
        <v>216987</v>
      </c>
      <c r="S566" s="2627">
        <v>225247</v>
      </c>
      <c r="T566" s="2627">
        <v>246416</v>
      </c>
      <c r="U566" s="2627">
        <f t="shared" ref="U566:AI566" si="579">SUM(U556:U565)</f>
        <v>263685</v>
      </c>
      <c r="V566" s="2627">
        <f t="shared" si="579"/>
        <v>278799</v>
      </c>
      <c r="W566" s="2627">
        <f t="shared" si="579"/>
        <v>298620</v>
      </c>
      <c r="X566" s="2627">
        <f t="shared" si="579"/>
        <v>322172</v>
      </c>
      <c r="Y566" s="2627">
        <f t="shared" si="579"/>
        <v>349961</v>
      </c>
      <c r="Z566" s="2627">
        <f t="shared" si="579"/>
        <v>365822</v>
      </c>
      <c r="AA566" s="2625">
        <f t="shared" si="579"/>
        <v>393089</v>
      </c>
      <c r="AB566" s="2625">
        <f t="shared" si="579"/>
        <v>421560</v>
      </c>
      <c r="AC566" s="2625">
        <f t="shared" si="579"/>
        <v>460893</v>
      </c>
      <c r="AD566" s="2625">
        <f t="shared" si="579"/>
        <v>492257</v>
      </c>
      <c r="AE566" s="1975">
        <f t="shared" si="579"/>
        <v>521033</v>
      </c>
      <c r="AF566" s="1975">
        <f t="shared" si="579"/>
        <v>602799</v>
      </c>
      <c r="AG566" s="1975">
        <f t="shared" si="579"/>
        <v>744116</v>
      </c>
      <c r="AH566" s="1975">
        <f t="shared" si="579"/>
        <v>755401</v>
      </c>
      <c r="AI566" s="2625">
        <f t="shared" si="579"/>
        <v>808703</v>
      </c>
      <c r="AJ566" s="1950"/>
      <c r="AK566" s="1950"/>
      <c r="AL566" s="1950"/>
      <c r="AM566" s="1950"/>
      <c r="AN566" s="1950"/>
      <c r="AO566" s="1950"/>
      <c r="AP566" s="1950"/>
      <c r="AQ566" s="1976">
        <v>31488</v>
      </c>
      <c r="AR566" s="1974">
        <v>-24</v>
      </c>
      <c r="AS566" s="1974">
        <f>SUM(AS556:AS565)</f>
        <v>29338</v>
      </c>
      <c r="AT566" s="1948">
        <f t="shared" si="576"/>
        <v>145439</v>
      </c>
      <c r="AU566" s="1949">
        <f t="shared" si="577"/>
        <v>216987</v>
      </c>
      <c r="AV566" s="1948">
        <f>V566</f>
        <v>278799</v>
      </c>
      <c r="AW566" s="1948">
        <f>Z566</f>
        <v>365822</v>
      </c>
      <c r="AX566" s="1949">
        <f t="shared" si="567"/>
        <v>492257</v>
      </c>
      <c r="AY566" s="1975">
        <f>SUM(AY556:AY565)</f>
        <v>755401</v>
      </c>
      <c r="AZ566" s="1948"/>
      <c r="BA566" s="1981"/>
      <c r="BB566" s="1949"/>
      <c r="BC566" s="1981"/>
    </row>
    <row r="567" spans="1:55" s="1953" customFormat="1" ht="10.15" x14ac:dyDescent="0.3">
      <c r="A567" s="2131"/>
      <c r="B567" s="2476" t="s">
        <v>1222</v>
      </c>
      <c r="C567" s="1950"/>
      <c r="D567" s="1950"/>
      <c r="E567" s="1950"/>
      <c r="F567" s="1972"/>
      <c r="G567" s="1950"/>
      <c r="H567" s="1975"/>
      <c r="I567" s="2248">
        <v>1013</v>
      </c>
      <c r="J567" s="2626">
        <f t="shared" si="578"/>
        <v>1079</v>
      </c>
      <c r="K567" s="2626">
        <v>4603</v>
      </c>
      <c r="L567" s="2626">
        <v>4792</v>
      </c>
      <c r="M567" s="2626">
        <v>12353</v>
      </c>
      <c r="N567" s="2626">
        <v>11974</v>
      </c>
      <c r="O567" s="2627">
        <v>1121</v>
      </c>
      <c r="P567" s="2626">
        <v>32530</v>
      </c>
      <c r="Q567" s="2627">
        <v>32551</v>
      </c>
      <c r="R567" s="2627">
        <v>32552</v>
      </c>
      <c r="S567" s="2627">
        <v>33425</v>
      </c>
      <c r="T567" s="2627">
        <v>42793</v>
      </c>
      <c r="U567" s="2627">
        <v>42327</v>
      </c>
      <c r="V567" s="2627">
        <v>42330</v>
      </c>
      <c r="W567" s="2628">
        <v>45022</v>
      </c>
      <c r="X567" s="2627">
        <v>44929</v>
      </c>
      <c r="Y567" s="2627">
        <v>77010</v>
      </c>
      <c r="Z567" s="1973">
        <v>70616</v>
      </c>
      <c r="AA567" s="2625">
        <v>79505</v>
      </c>
      <c r="AB567" s="2625">
        <v>73787</v>
      </c>
      <c r="AC567" s="2625">
        <v>100029</v>
      </c>
      <c r="AD567" s="2625">
        <v>116326</v>
      </c>
      <c r="AE567" s="1975">
        <v>116933</v>
      </c>
      <c r="AF567" s="1975">
        <v>117432</v>
      </c>
      <c r="AG567" s="1975">
        <v>115199</v>
      </c>
      <c r="AH567" s="1975">
        <v>115147</v>
      </c>
      <c r="AI567" s="2625">
        <v>111959</v>
      </c>
      <c r="AJ567" s="1950"/>
      <c r="AK567" s="1950"/>
      <c r="AL567" s="1950"/>
      <c r="AM567" s="1950"/>
      <c r="AN567" s="1950"/>
      <c r="AO567" s="1950"/>
      <c r="AP567" s="1950"/>
      <c r="AQ567" s="1976">
        <v>2895</v>
      </c>
      <c r="AR567" s="1974">
        <v>537</v>
      </c>
      <c r="AS567" s="1974">
        <v>1079</v>
      </c>
      <c r="AT567" s="1948">
        <f t="shared" si="576"/>
        <v>11974</v>
      </c>
      <c r="AU567" s="1949">
        <f t="shared" si="577"/>
        <v>32552</v>
      </c>
      <c r="AV567" s="1948">
        <f>V567</f>
        <v>42330</v>
      </c>
      <c r="AW567" s="1948">
        <f>Z567</f>
        <v>70616</v>
      </c>
      <c r="AX567" s="1949">
        <f t="shared" si="567"/>
        <v>116326</v>
      </c>
      <c r="AY567" s="1975">
        <v>115147</v>
      </c>
      <c r="AZ567" s="1948"/>
      <c r="BA567" s="1981"/>
      <c r="BB567" s="1949"/>
      <c r="BC567" s="1981"/>
    </row>
    <row r="568" spans="1:55" s="1999" customFormat="1" ht="10.15" x14ac:dyDescent="0.3">
      <c r="A568" s="2131"/>
      <c r="B568" s="2487" t="s">
        <v>1223</v>
      </c>
      <c r="C568" s="2577"/>
      <c r="D568" s="2577"/>
      <c r="E568" s="2577"/>
      <c r="F568" s="2058"/>
      <c r="G568" s="2577"/>
      <c r="H568" s="2488"/>
      <c r="I568" s="2474">
        <v>34127</v>
      </c>
      <c r="J568" s="2623">
        <f t="shared" si="578"/>
        <v>30417</v>
      </c>
      <c r="K568" s="2623">
        <f t="shared" ref="K568:AI568" si="580">SUM(K566:K567)</f>
        <v>50561</v>
      </c>
      <c r="L568" s="2623">
        <f t="shared" si="580"/>
        <v>129448</v>
      </c>
      <c r="M568" s="2623">
        <f t="shared" si="580"/>
        <v>149454</v>
      </c>
      <c r="N568" s="2623">
        <f t="shared" si="580"/>
        <v>157413</v>
      </c>
      <c r="O568" s="2623">
        <f t="shared" si="580"/>
        <v>183995</v>
      </c>
      <c r="P568" s="2623">
        <f t="shared" si="580"/>
        <v>223553</v>
      </c>
      <c r="Q568" s="2623">
        <f t="shared" si="580"/>
        <v>247546</v>
      </c>
      <c r="R568" s="2623">
        <f t="shared" si="580"/>
        <v>249539</v>
      </c>
      <c r="S568" s="2623">
        <f t="shared" si="580"/>
        <v>258672</v>
      </c>
      <c r="T568" s="2623">
        <f t="shared" si="580"/>
        <v>289209</v>
      </c>
      <c r="U568" s="2623">
        <f t="shared" si="580"/>
        <v>306012</v>
      </c>
      <c r="V568" s="2623">
        <f t="shared" si="580"/>
        <v>321129</v>
      </c>
      <c r="W568" s="2623">
        <f t="shared" si="580"/>
        <v>343642</v>
      </c>
      <c r="X568" s="2623">
        <f t="shared" si="580"/>
        <v>367101</v>
      </c>
      <c r="Y568" s="2623">
        <f t="shared" si="580"/>
        <v>426971</v>
      </c>
      <c r="Z568" s="2623">
        <f t="shared" si="580"/>
        <v>436438</v>
      </c>
      <c r="AA568" s="2623">
        <f t="shared" si="580"/>
        <v>472594</v>
      </c>
      <c r="AB568" s="2623">
        <f t="shared" si="580"/>
        <v>495347</v>
      </c>
      <c r="AC568" s="2623">
        <f t="shared" si="580"/>
        <v>560922</v>
      </c>
      <c r="AD568" s="2623">
        <f t="shared" si="580"/>
        <v>608583</v>
      </c>
      <c r="AE568" s="2488">
        <f t="shared" si="580"/>
        <v>637966</v>
      </c>
      <c r="AF568" s="2488">
        <f t="shared" si="580"/>
        <v>720231</v>
      </c>
      <c r="AG568" s="2488">
        <f t="shared" si="580"/>
        <v>859315</v>
      </c>
      <c r="AH568" s="2488">
        <f t="shared" si="580"/>
        <v>870548</v>
      </c>
      <c r="AI568" s="2623">
        <f t="shared" si="580"/>
        <v>920662</v>
      </c>
      <c r="AJ568" s="2577"/>
      <c r="AK568" s="2577"/>
      <c r="AL568" s="2577"/>
      <c r="AM568" s="2577"/>
      <c r="AN568" s="2577"/>
      <c r="AO568" s="2577"/>
      <c r="AP568" s="2577"/>
      <c r="AQ568" s="1993">
        <v>34383</v>
      </c>
      <c r="AR568" s="1994">
        <v>513</v>
      </c>
      <c r="AS568" s="1994">
        <f>SUM(AS566:AS567)</f>
        <v>30417</v>
      </c>
      <c r="AT568" s="1994">
        <f>SUM(AT566:AT567)</f>
        <v>157413</v>
      </c>
      <c r="AU568" s="1993">
        <f>SUM(AU566:AU567)</f>
        <v>249539</v>
      </c>
      <c r="AV568" s="1995">
        <f>V568</f>
        <v>321129</v>
      </c>
      <c r="AW568" s="1995">
        <f>Z568</f>
        <v>436438</v>
      </c>
      <c r="AX568" s="1997">
        <f t="shared" si="567"/>
        <v>608583</v>
      </c>
      <c r="AY568" s="2488">
        <f>SUM(AY566:AY567)</f>
        <v>870548</v>
      </c>
      <c r="AZ568" s="1995">
        <f>AZ531-AZ549</f>
        <v>1045913.3378244305</v>
      </c>
      <c r="BA568" s="1996">
        <f>BA531-BA549</f>
        <v>1223751.9135724558</v>
      </c>
      <c r="BB568" s="1997">
        <f>BB531-BB549</f>
        <v>1453817.3996877829</v>
      </c>
      <c r="BC568" s="1996">
        <f>BC531-BC549</f>
        <v>1737248.5260484261</v>
      </c>
    </row>
    <row r="569" spans="1:55" s="1953" customFormat="1" ht="10.5" thickBot="1" x14ac:dyDescent="0.35">
      <c r="A569" s="2629"/>
      <c r="B569" s="2487" t="s">
        <v>1224</v>
      </c>
      <c r="C569" s="1950"/>
      <c r="D569" s="1950"/>
      <c r="E569" s="1950"/>
      <c r="F569" s="1973"/>
      <c r="G569" s="1950"/>
      <c r="H569" s="1948"/>
      <c r="I569" s="1974">
        <v>107058</v>
      </c>
      <c r="J569" s="2625">
        <f t="shared" si="578"/>
        <v>111549</v>
      </c>
      <c r="K569" s="2625">
        <f t="shared" ref="K569:AI569" si="581">K549+K554+K568</f>
        <v>160370</v>
      </c>
      <c r="L569" s="2625">
        <f t="shared" si="581"/>
        <v>232342</v>
      </c>
      <c r="M569" s="2625">
        <f t="shared" si="581"/>
        <v>269993</v>
      </c>
      <c r="N569" s="2625">
        <f t="shared" si="581"/>
        <v>255434</v>
      </c>
      <c r="O569" s="2625">
        <f t="shared" si="581"/>
        <v>282060</v>
      </c>
      <c r="P569" s="2625">
        <f t="shared" si="581"/>
        <v>327758</v>
      </c>
      <c r="Q569" s="2625">
        <f t="shared" si="581"/>
        <v>364671</v>
      </c>
      <c r="R569" s="2625">
        <f t="shared" si="581"/>
        <v>364450</v>
      </c>
      <c r="S569" s="2625">
        <f t="shared" si="581"/>
        <v>409970</v>
      </c>
      <c r="T569" s="2625">
        <f t="shared" si="581"/>
        <v>456402</v>
      </c>
      <c r="U569" s="2625">
        <f t="shared" si="581"/>
        <v>490866</v>
      </c>
      <c r="V569" s="2625">
        <f t="shared" si="581"/>
        <v>506812</v>
      </c>
      <c r="W569" s="2625">
        <f t="shared" si="581"/>
        <v>543714</v>
      </c>
      <c r="X569" s="2625">
        <f t="shared" si="581"/>
        <v>578824</v>
      </c>
      <c r="Y569" s="2625">
        <f t="shared" si="581"/>
        <v>711432</v>
      </c>
      <c r="Z569" s="2625">
        <f t="shared" si="581"/>
        <v>717124</v>
      </c>
      <c r="AA569" s="2625">
        <f t="shared" si="581"/>
        <v>796662</v>
      </c>
      <c r="AB569" s="2625">
        <f t="shared" si="581"/>
        <v>824767</v>
      </c>
      <c r="AC569" s="2625">
        <f t="shared" si="581"/>
        <v>917943</v>
      </c>
      <c r="AD569" s="2625">
        <f t="shared" si="581"/>
        <v>965076</v>
      </c>
      <c r="AE569" s="1948">
        <f t="shared" si="581"/>
        <v>1018854</v>
      </c>
      <c r="AF569" s="1948">
        <f t="shared" si="581"/>
        <v>1159577</v>
      </c>
      <c r="AG569" s="1948">
        <f t="shared" si="581"/>
        <v>1319495</v>
      </c>
      <c r="AH569" s="1948">
        <f t="shared" si="581"/>
        <v>1312985</v>
      </c>
      <c r="AI569" s="2625">
        <f t="shared" si="581"/>
        <v>1369177</v>
      </c>
      <c r="AJ569" s="1950"/>
      <c r="AK569" s="1950"/>
      <c r="AL569" s="1950"/>
      <c r="AM569" s="1950"/>
      <c r="AN569" s="1950"/>
      <c r="AO569" s="1950"/>
      <c r="AP569" s="1950"/>
      <c r="AQ569" s="1976">
        <v>47210</v>
      </c>
      <c r="AR569" s="1974">
        <v>63786</v>
      </c>
      <c r="AS569" s="1948">
        <f>AS549+AS554+AS568</f>
        <v>111549</v>
      </c>
      <c r="AT569" s="1948">
        <f>AT531</f>
        <v>255434</v>
      </c>
      <c r="AU569" s="1949">
        <f>AU531</f>
        <v>364450</v>
      </c>
      <c r="AV569" s="1948">
        <f>V569</f>
        <v>506812</v>
      </c>
      <c r="AW569" s="1948">
        <f>Z569</f>
        <v>717124</v>
      </c>
      <c r="AX569" s="1949">
        <f t="shared" si="567"/>
        <v>965076</v>
      </c>
      <c r="AY569" s="1948">
        <f>AY549+AY554+AY568</f>
        <v>1312985</v>
      </c>
      <c r="AZ569" s="1948"/>
      <c r="BA569" s="1981"/>
      <c r="BB569" s="1949"/>
      <c r="BC569" s="1981"/>
    </row>
    <row r="570" spans="1:55" s="1953" customFormat="1" ht="10.15" x14ac:dyDescent="0.3">
      <c r="A570" s="2630"/>
      <c r="B570" s="1945" t="s">
        <v>1225</v>
      </c>
      <c r="C570" s="1950"/>
      <c r="D570" s="1950"/>
      <c r="E570" s="1950"/>
      <c r="F570" s="1950"/>
      <c r="G570" s="1950"/>
      <c r="H570" s="1975"/>
      <c r="I570" s="1975"/>
      <c r="J570" s="1975"/>
      <c r="K570" s="1975"/>
      <c r="L570" s="1975"/>
      <c r="M570" s="1975"/>
      <c r="N570" s="1948"/>
      <c r="O570" s="1975"/>
      <c r="P570" s="1975"/>
      <c r="Q570" s="1975"/>
      <c r="R570" s="1948"/>
      <c r="S570" s="1948"/>
      <c r="T570" s="1948"/>
      <c r="U570" s="1948"/>
      <c r="V570" s="1948"/>
      <c r="W570" s="1950"/>
      <c r="X570" s="1950"/>
      <c r="Y570" s="1950"/>
      <c r="Z570" s="1950"/>
      <c r="AA570" s="1950"/>
      <c r="AB570" s="1950"/>
      <c r="AC570" s="1950"/>
      <c r="AD570" s="1950"/>
      <c r="AE570" s="1950"/>
      <c r="AF570" s="1950"/>
      <c r="AG570" s="1950"/>
      <c r="AH570" s="1950"/>
      <c r="AI570" s="1950"/>
      <c r="AJ570" s="1950"/>
      <c r="AK570" s="1950"/>
      <c r="AL570" s="1950"/>
      <c r="AM570" s="1950"/>
      <c r="AN570" s="1950"/>
      <c r="AO570" s="1950"/>
      <c r="AP570" s="1950"/>
      <c r="AQ570" s="1952"/>
      <c r="AR570" s="1950"/>
      <c r="AS570" s="1950"/>
      <c r="AT570" s="1950"/>
      <c r="AU570" s="1952"/>
      <c r="AV570" s="1950"/>
      <c r="AW570" s="1950"/>
      <c r="AX570" s="1952"/>
      <c r="AY570" s="1950"/>
      <c r="AZ570" s="1950"/>
      <c r="BA570" s="1951"/>
      <c r="BB570" s="1952"/>
      <c r="BC570" s="1951"/>
    </row>
    <row r="571" spans="1:55" s="1953" customFormat="1" ht="10.15" x14ac:dyDescent="0.3">
      <c r="A571" s="2630"/>
      <c r="B571" s="2631" t="s">
        <v>1226</v>
      </c>
      <c r="C571" s="1950"/>
      <c r="D571" s="1950"/>
      <c r="E571" s="1950"/>
      <c r="F571" s="1950"/>
      <c r="G571" s="1950"/>
      <c r="H571" s="1950"/>
      <c r="I571" s="1950"/>
      <c r="J571" s="1950"/>
      <c r="K571" s="1950"/>
      <c r="L571" s="1950"/>
      <c r="M571" s="1950"/>
      <c r="N571" s="1950"/>
      <c r="O571" s="1950"/>
      <c r="P571" s="1950"/>
      <c r="Q571" s="1950"/>
      <c r="R571" s="1950"/>
      <c r="S571" s="1950"/>
      <c r="T571" s="1950"/>
      <c r="U571" s="1950"/>
      <c r="V571" s="1950"/>
      <c r="W571" s="1950"/>
      <c r="X571" s="1950"/>
      <c r="Y571" s="1950"/>
      <c r="Z571" s="1950"/>
      <c r="AA571" s="1950"/>
      <c r="AB571" s="1950"/>
      <c r="AC571" s="1950"/>
      <c r="AD571" s="1950"/>
      <c r="AE571" s="1950"/>
      <c r="AF571" s="1950"/>
      <c r="AG571" s="1950"/>
      <c r="AH571" s="1950"/>
      <c r="AI571" s="1950"/>
      <c r="AJ571" s="1950"/>
      <c r="AK571" s="1950"/>
      <c r="AL571" s="1950"/>
      <c r="AM571" s="1950"/>
      <c r="AN571" s="1950"/>
      <c r="AO571" s="1950"/>
      <c r="AP571" s="1950"/>
      <c r="AQ571" s="2262">
        <f>(AQ521+AQ522)/AQ323</f>
        <v>0.11235955056179775</v>
      </c>
      <c r="AR571" s="2263">
        <f>(AR521+AR522)/AR323</f>
        <v>0.17846278645305211</v>
      </c>
      <c r="AS571" s="2263">
        <f>(AS521+AS522)/AS323</f>
        <v>0.3397455431967088</v>
      </c>
      <c r="AT571" s="2263">
        <f>(AT521+AT522)/AT323</f>
        <v>0.18126345073749409</v>
      </c>
      <c r="AU571" s="2262">
        <f>AU520/AU323</f>
        <v>0.168355694412861</v>
      </c>
      <c r="AV571" s="2263">
        <f>AV520/AV323</f>
        <v>0.17948734149223178</v>
      </c>
      <c r="AW571" s="2263">
        <f>AW520/AW323</f>
        <v>0.17272821717692374</v>
      </c>
      <c r="AX571" s="2262">
        <f>AX520/AX323</f>
        <v>0.15547547526297353</v>
      </c>
      <c r="AY571" s="2263">
        <f>AY520/AY323</f>
        <v>0.16524854280170528</v>
      </c>
      <c r="AZ571" s="2263">
        <v>0.17</v>
      </c>
      <c r="BA571" s="2264">
        <f t="shared" ref="BA571:BC572" si="582">AZ571</f>
        <v>0.17</v>
      </c>
      <c r="BB571" s="2262">
        <f t="shared" si="582"/>
        <v>0.17</v>
      </c>
      <c r="BC571" s="2264">
        <f t="shared" si="582"/>
        <v>0.17</v>
      </c>
    </row>
    <row r="572" spans="1:55" s="1953" customFormat="1" ht="10.15" x14ac:dyDescent="0.3">
      <c r="A572" s="2630"/>
      <c r="B572" s="2631" t="s">
        <v>1227</v>
      </c>
      <c r="C572" s="1950"/>
      <c r="D572" s="1950"/>
      <c r="E572" s="1950"/>
      <c r="F572" s="1950"/>
      <c r="G572" s="1950"/>
      <c r="H572" s="1950"/>
      <c r="I572" s="1950"/>
      <c r="J572" s="1950"/>
      <c r="K572" s="1950"/>
      <c r="L572" s="1950"/>
      <c r="M572" s="1950"/>
      <c r="N572" s="1950"/>
      <c r="O572" s="1950"/>
      <c r="P572" s="1950"/>
      <c r="Q572" s="1950"/>
      <c r="R572" s="1950"/>
      <c r="S572" s="1950"/>
      <c r="T572" s="1950"/>
      <c r="U572" s="1950"/>
      <c r="V572" s="1950"/>
      <c r="W572" s="1950"/>
      <c r="X572" s="1950"/>
      <c r="Y572" s="1950"/>
      <c r="Z572" s="1950"/>
      <c r="AA572" s="1950"/>
      <c r="AB572" s="1950"/>
      <c r="AC572" s="1950"/>
      <c r="AD572" s="1950"/>
      <c r="AE572" s="1950"/>
      <c r="AF572" s="1950"/>
      <c r="AG572" s="1950"/>
      <c r="AH572" s="1950"/>
      <c r="AI572" s="1950"/>
      <c r="AJ572" s="1950"/>
      <c r="AK572" s="1950"/>
      <c r="AL572" s="1950"/>
      <c r="AM572" s="1950"/>
      <c r="AN572" s="1950"/>
      <c r="AO572" s="1950"/>
      <c r="AP572" s="1950"/>
      <c r="AQ572" s="2262">
        <f t="shared" ref="AQ572:AY572" si="583">AQ526/AQ323</f>
        <v>7.3208489388264672E-2</v>
      </c>
      <c r="AR572" s="2263">
        <f t="shared" si="583"/>
        <v>4.3340962424312658E-2</v>
      </c>
      <c r="AS572" s="2263">
        <f t="shared" si="583"/>
        <v>3.9749352430291027E-2</v>
      </c>
      <c r="AT572" s="2263">
        <f t="shared" si="583"/>
        <v>5.3606109915490002E-2</v>
      </c>
      <c r="AU572" s="2262">
        <f t="shared" si="583"/>
        <v>5.9391159052035236E-2</v>
      </c>
      <c r="AV572" s="2263">
        <f t="shared" si="583"/>
        <v>5.4987268832965827E-2</v>
      </c>
      <c r="AW572" s="2263">
        <f t="shared" si="583"/>
        <v>6.7516162802777849E-2</v>
      </c>
      <c r="AX572" s="2262">
        <f t="shared" si="583"/>
        <v>7.4349067518654929E-2</v>
      </c>
      <c r="AY572" s="2263">
        <f t="shared" si="583"/>
        <v>0.11376054273892461</v>
      </c>
      <c r="AZ572" s="2263">
        <f>AY572</f>
        <v>0.11376054273892461</v>
      </c>
      <c r="BA572" s="2264">
        <f t="shared" si="582"/>
        <v>0.11376054273892461</v>
      </c>
      <c r="BB572" s="2262">
        <f t="shared" si="582"/>
        <v>0.11376054273892461</v>
      </c>
      <c r="BC572" s="2264">
        <f t="shared" si="582"/>
        <v>0.11376054273892461</v>
      </c>
    </row>
    <row r="573" spans="1:55" s="1953" customFormat="1" ht="10.15" x14ac:dyDescent="0.3">
      <c r="A573" s="2630"/>
      <c r="B573" s="2632" t="s">
        <v>1228</v>
      </c>
      <c r="C573" s="1950"/>
      <c r="D573" s="1950"/>
      <c r="E573" s="1950"/>
      <c r="F573" s="1950"/>
      <c r="G573" s="1950"/>
      <c r="H573" s="1950"/>
      <c r="I573" s="1950"/>
      <c r="J573" s="1950"/>
      <c r="K573" s="1950"/>
      <c r="L573" s="1950"/>
      <c r="M573" s="1950"/>
      <c r="N573" s="1950"/>
      <c r="O573" s="1950"/>
      <c r="P573" s="1950"/>
      <c r="Q573" s="1950"/>
      <c r="R573" s="1950"/>
      <c r="S573" s="1950"/>
      <c r="T573" s="1950"/>
      <c r="U573" s="1950"/>
      <c r="V573" s="1950"/>
      <c r="W573" s="1950"/>
      <c r="X573" s="1950"/>
      <c r="Y573" s="1950"/>
      <c r="Z573" s="1950"/>
      <c r="AA573" s="1950"/>
      <c r="AB573" s="1950"/>
      <c r="AC573" s="1950"/>
      <c r="AD573" s="1950"/>
      <c r="AE573" s="1950"/>
      <c r="AF573" s="1950"/>
      <c r="AG573" s="1950"/>
      <c r="AH573" s="1950"/>
      <c r="AI573" s="1950"/>
      <c r="AJ573" s="1950"/>
      <c r="AK573" s="1950"/>
      <c r="AL573" s="1950"/>
      <c r="AM573" s="1950"/>
      <c r="AN573" s="1950"/>
      <c r="AO573" s="1950"/>
      <c r="AP573" s="1950"/>
      <c r="AQ573" s="2407">
        <f t="shared" ref="AQ573:AY573" si="584">AQ539/AQ336</f>
        <v>-0.7108635947512969</v>
      </c>
      <c r="AR573" s="2044">
        <f t="shared" si="584"/>
        <v>-0.92200843708200431</v>
      </c>
      <c r="AS573" s="2044">
        <f t="shared" si="584"/>
        <v>-0.88914653302416036</v>
      </c>
      <c r="AT573" s="2044">
        <f t="shared" si="584"/>
        <v>-0.83217252664261143</v>
      </c>
      <c r="AU573" s="2407">
        <f t="shared" si="584"/>
        <v>-0.79563382331538346</v>
      </c>
      <c r="AV573" s="2044">
        <f t="shared" si="584"/>
        <v>-0.78978867911840356</v>
      </c>
      <c r="AW573" s="2044">
        <f t="shared" si="584"/>
        <v>-0.75823960240648702</v>
      </c>
      <c r="AX573" s="2407">
        <f t="shared" si="584"/>
        <v>-0.56884728578401289</v>
      </c>
      <c r="AY573" s="2044">
        <f t="shared" si="584"/>
        <v>-0.57207818194052418</v>
      </c>
      <c r="AZ573" s="2044">
        <v>-0.56999999999999995</v>
      </c>
      <c r="BA573" s="2408">
        <v>-0.55000000000000004</v>
      </c>
      <c r="BB573" s="2407">
        <v>-0.45</v>
      </c>
      <c r="BC573" s="2408">
        <v>-0.35</v>
      </c>
    </row>
    <row r="574" spans="1:55" s="1953" customFormat="1" ht="10.15" x14ac:dyDescent="0.3">
      <c r="A574" s="2630"/>
      <c r="B574" s="2633" t="s">
        <v>1229</v>
      </c>
      <c r="C574" s="1950"/>
      <c r="D574" s="1950"/>
      <c r="E574" s="1950"/>
      <c r="F574" s="1950"/>
      <c r="G574" s="1950"/>
      <c r="H574" s="1950"/>
      <c r="I574" s="1950"/>
      <c r="J574" s="1950"/>
      <c r="K574" s="1950"/>
      <c r="L574" s="1950"/>
      <c r="M574" s="1950"/>
      <c r="N574" s="1950"/>
      <c r="O574" s="1950"/>
      <c r="P574" s="1950"/>
      <c r="Q574" s="1950"/>
      <c r="R574" s="1950"/>
      <c r="S574" s="1950"/>
      <c r="T574" s="1950"/>
      <c r="U574" s="1950"/>
      <c r="V574" s="1950"/>
      <c r="W574" s="1950"/>
      <c r="X574" s="1950"/>
      <c r="Y574" s="1950"/>
      <c r="Z574" s="1950"/>
      <c r="AA574" s="1950"/>
      <c r="AB574" s="1950"/>
      <c r="AC574" s="1950"/>
      <c r="AD574" s="1950"/>
      <c r="AE574" s="1950"/>
      <c r="AF574" s="1950"/>
      <c r="AG574" s="1950"/>
      <c r="AH574" s="1950"/>
      <c r="AI574" s="1950"/>
      <c r="AJ574" s="1950"/>
      <c r="AK574" s="1950"/>
      <c r="AL574" s="1950"/>
      <c r="AM574" s="1950"/>
      <c r="AN574" s="1950"/>
      <c r="AO574" s="1950"/>
      <c r="AP574" s="1950"/>
      <c r="AQ574" s="2262">
        <f t="shared" ref="AQ574:AY574" si="585">AQ541/AQ323</f>
        <v>0.21722846441947566</v>
      </c>
      <c r="AR574" s="2263">
        <f t="shared" si="585"/>
        <v>0.14279920039400876</v>
      </c>
      <c r="AS574" s="2263">
        <f t="shared" si="585"/>
        <v>0.12372390674996191</v>
      </c>
      <c r="AT574" s="2263">
        <f t="shared" si="585"/>
        <v>0.10385281612513779</v>
      </c>
      <c r="AU574" s="2407">
        <f t="shared" si="585"/>
        <v>0.10180635338085681</v>
      </c>
      <c r="AV574" s="2263">
        <f t="shared" si="585"/>
        <v>9.5101501835436239E-2</v>
      </c>
      <c r="AW574" s="2263">
        <f t="shared" si="585"/>
        <v>8.9093204830060821E-2</v>
      </c>
      <c r="AX574" s="2262">
        <f t="shared" si="585"/>
        <v>8.1718164545541386E-2</v>
      </c>
      <c r="AY574" s="2263">
        <f t="shared" si="585"/>
        <v>7.521517094981274E-2</v>
      </c>
      <c r="AZ574" s="2263">
        <v>0.08</v>
      </c>
      <c r="BA574" s="2264">
        <v>0.08</v>
      </c>
      <c r="BB574" s="2262">
        <v>0.08</v>
      </c>
      <c r="BC574" s="2264">
        <v>0.08</v>
      </c>
    </row>
    <row r="575" spans="1:55" s="1953" customFormat="1" ht="10.15" x14ac:dyDescent="0.3">
      <c r="A575" s="2630"/>
      <c r="B575" s="2634" t="s">
        <v>1230</v>
      </c>
      <c r="C575" s="1950"/>
      <c r="D575" s="1950"/>
      <c r="E575" s="1950"/>
      <c r="F575" s="1950"/>
      <c r="G575" s="1950"/>
      <c r="H575" s="1950"/>
      <c r="I575" s="1950"/>
      <c r="J575" s="1950"/>
      <c r="K575" s="1950"/>
      <c r="L575" s="1950"/>
      <c r="M575" s="1950"/>
      <c r="N575" s="1950"/>
      <c r="O575" s="1950"/>
      <c r="P575" s="1950"/>
      <c r="Q575" s="1950"/>
      <c r="R575" s="1950"/>
      <c r="S575" s="1950"/>
      <c r="T575" s="1950"/>
      <c r="U575" s="1950"/>
      <c r="V575" s="1950"/>
      <c r="W575" s="1950"/>
      <c r="X575" s="1950"/>
      <c r="Y575" s="1950"/>
      <c r="Z575" s="1950"/>
      <c r="AA575" s="1950"/>
      <c r="AB575" s="1950"/>
      <c r="AC575" s="1950"/>
      <c r="AD575" s="1950"/>
      <c r="AE575" s="1950"/>
      <c r="AF575" s="1950"/>
      <c r="AG575" s="1950"/>
      <c r="AH575" s="1950"/>
      <c r="AI575" s="1950"/>
      <c r="AJ575" s="1950"/>
      <c r="AK575" s="1950"/>
      <c r="AL575" s="1950"/>
      <c r="AM575" s="1950"/>
      <c r="AN575" s="1950"/>
      <c r="AO575" s="1950"/>
      <c r="AP575" s="1950"/>
      <c r="AQ575" s="2407">
        <f t="shared" ref="AQ575:AY575" si="586">AQ544/AQ352</f>
        <v>-0.49049881235154397</v>
      </c>
      <c r="AR575" s="2044">
        <f t="shared" si="586"/>
        <v>-0.44131777625257379</v>
      </c>
      <c r="AS575" s="2044">
        <f t="shared" si="586"/>
        <v>-0.66833541927409257</v>
      </c>
      <c r="AT575" s="2044">
        <f t="shared" si="586"/>
        <v>-0.70028054862842892</v>
      </c>
      <c r="AU575" s="2407">
        <f t="shared" si="586"/>
        <v>-0.76588945437329858</v>
      </c>
      <c r="AV575" s="2044">
        <f t="shared" si="586"/>
        <v>-0.75210511033681771</v>
      </c>
      <c r="AW575" s="2044">
        <f t="shared" si="586"/>
        <v>-1.0611572064399142</v>
      </c>
      <c r="AX575" s="2407">
        <f t="shared" si="586"/>
        <v>-1.3602972270887452</v>
      </c>
      <c r="AY575" s="2044">
        <f t="shared" si="586"/>
        <v>-2.1349090555393446</v>
      </c>
      <c r="AZ575" s="2044">
        <v>-1.2</v>
      </c>
      <c r="BA575" s="2408">
        <v>-1.1000000000000001</v>
      </c>
      <c r="BB575" s="2407">
        <v>-1</v>
      </c>
      <c r="BC575" s="2408">
        <v>-1</v>
      </c>
    </row>
    <row r="576" spans="1:55" s="1953" customFormat="1" ht="10.5" thickBot="1" x14ac:dyDescent="0.35">
      <c r="A576" s="2630"/>
      <c r="B576" s="2635"/>
      <c r="C576" s="2636"/>
      <c r="D576" s="2636"/>
      <c r="E576" s="2636"/>
      <c r="F576" s="2636"/>
      <c r="G576" s="2636"/>
      <c r="H576" s="2636"/>
      <c r="I576" s="2636"/>
      <c r="J576" s="2636"/>
      <c r="K576" s="2636"/>
      <c r="L576" s="2636"/>
      <c r="M576" s="2636"/>
      <c r="N576" s="2636"/>
      <c r="O576" s="2636"/>
      <c r="P576" s="2636"/>
      <c r="Q576" s="2636"/>
      <c r="R576" s="2636"/>
      <c r="S576" s="2636"/>
      <c r="T576" s="2636"/>
      <c r="U576" s="2636"/>
      <c r="V576" s="2636"/>
      <c r="W576" s="2636"/>
      <c r="X576" s="2636"/>
      <c r="Y576" s="2636"/>
      <c r="Z576" s="2636"/>
      <c r="AA576" s="2636"/>
      <c r="AB576" s="2636"/>
      <c r="AC576" s="2636"/>
      <c r="AD576" s="2636"/>
      <c r="AE576" s="2636"/>
      <c r="AF576" s="2636"/>
      <c r="AG576" s="2636"/>
      <c r="AH576" s="2636"/>
      <c r="AI576" s="2636"/>
      <c r="AJ576" s="2636"/>
      <c r="AK576" s="2636"/>
      <c r="AL576" s="2636"/>
      <c r="AM576" s="2636"/>
      <c r="AN576" s="2636"/>
      <c r="AO576" s="2636"/>
      <c r="AP576" s="2636"/>
      <c r="AQ576" s="2637"/>
      <c r="AR576" s="2636"/>
      <c r="AS576" s="2636"/>
      <c r="AT576" s="2636"/>
      <c r="AU576" s="2637"/>
      <c r="AV576" s="2636"/>
      <c r="AW576" s="2636"/>
      <c r="AX576" s="2637"/>
      <c r="AY576" s="2636"/>
      <c r="AZ576" s="2636"/>
      <c r="BA576" s="2638"/>
      <c r="BB576" s="2637"/>
      <c r="BC576" s="2638"/>
    </row>
    <row r="577" spans="1:55" s="1953" customFormat="1" ht="10.15" x14ac:dyDescent="0.3">
      <c r="A577" s="2630"/>
      <c r="C577" s="1950"/>
      <c r="D577" s="1950"/>
      <c r="E577" s="1950"/>
      <c r="F577" s="1950"/>
      <c r="G577" s="1950"/>
      <c r="H577" s="1950"/>
      <c r="I577" s="1950"/>
      <c r="J577" s="1950"/>
      <c r="K577" s="1950"/>
      <c r="L577" s="1950"/>
      <c r="M577" s="1950"/>
      <c r="N577" s="1950"/>
      <c r="O577" s="1950"/>
      <c r="P577" s="1950"/>
      <c r="Q577" s="1950"/>
      <c r="R577" s="1950"/>
      <c r="S577" s="1950"/>
      <c r="T577" s="1950"/>
      <c r="U577" s="1950"/>
      <c r="V577" s="1950"/>
      <c r="W577" s="1950"/>
      <c r="X577" s="1950"/>
      <c r="Y577" s="1950"/>
      <c r="Z577" s="1950"/>
      <c r="AA577" s="1950"/>
      <c r="AB577" s="1950"/>
      <c r="AC577" s="1950"/>
      <c r="AD577" s="1950"/>
      <c r="AE577" s="1950"/>
      <c r="AF577" s="1950"/>
      <c r="AG577" s="1950"/>
      <c r="AH577" s="1950"/>
      <c r="AI577" s="1950"/>
      <c r="AJ577" s="1950"/>
      <c r="AK577" s="1950"/>
      <c r="AL577" s="1950"/>
      <c r="AM577" s="1950"/>
      <c r="AN577" s="1950"/>
      <c r="AO577" s="1950"/>
      <c r="AP577" s="1950"/>
      <c r="AQ577" s="1950"/>
      <c r="AR577" s="1950"/>
      <c r="AS577" s="1950"/>
      <c r="AT577" s="1950"/>
      <c r="AU577" s="1950"/>
      <c r="AV577" s="1950"/>
      <c r="AW577" s="1950"/>
      <c r="AX577" s="1950"/>
      <c r="AY577" s="1950"/>
      <c r="AZ577" s="1950"/>
      <c r="BA577" s="1950"/>
      <c r="BB577" s="1950"/>
      <c r="BC577" s="1950"/>
    </row>
    <row r="578" spans="1:55" s="1953" customFormat="1" ht="10.5" thickBot="1" x14ac:dyDescent="0.35">
      <c r="A578" s="2618" t="s">
        <v>1231</v>
      </c>
      <c r="B578" s="1945" t="s">
        <v>53</v>
      </c>
      <c r="C578" s="2636"/>
      <c r="D578" s="2636"/>
      <c r="E578" s="2636"/>
      <c r="F578" s="2636"/>
      <c r="G578" s="2636"/>
      <c r="H578" s="2636"/>
      <c r="I578" s="2636"/>
      <c r="J578" s="2636"/>
      <c r="K578" s="2636"/>
      <c r="L578" s="2636"/>
      <c r="M578" s="2636"/>
      <c r="N578" s="2636"/>
      <c r="O578" s="2636"/>
      <c r="P578" s="2636"/>
      <c r="Q578" s="2636"/>
      <c r="R578" s="2636"/>
      <c r="S578" s="2636"/>
      <c r="T578" s="2636"/>
      <c r="U578" s="2636"/>
      <c r="V578" s="2636"/>
      <c r="W578" s="2636"/>
      <c r="X578" s="2636"/>
      <c r="Y578" s="2636"/>
      <c r="Z578" s="2636"/>
      <c r="AA578" s="2636"/>
      <c r="AB578" s="2636"/>
      <c r="AC578" s="2636"/>
      <c r="AD578" s="2636"/>
      <c r="AE578" s="2636"/>
      <c r="AF578" s="2636"/>
      <c r="AG578" s="2636"/>
      <c r="AH578" s="2636"/>
      <c r="AI578" s="2636"/>
      <c r="AJ578" s="2636"/>
      <c r="AK578" s="2636"/>
      <c r="AL578" s="2636"/>
      <c r="AM578" s="2636"/>
      <c r="AN578" s="2636"/>
      <c r="AO578" s="2636"/>
      <c r="AP578" s="2636"/>
      <c r="AQ578" s="2636"/>
      <c r="AR578" s="2636"/>
      <c r="AS578" s="2636"/>
      <c r="AT578" s="2636"/>
      <c r="AU578" s="2636"/>
      <c r="AV578" s="2636"/>
      <c r="AW578" s="2636"/>
      <c r="AX578" s="2636"/>
      <c r="AY578" s="1950"/>
      <c r="AZ578" s="1950"/>
      <c r="BA578" s="1950"/>
      <c r="BB578" s="1950"/>
      <c r="BC578" s="1950"/>
    </row>
    <row r="579" spans="1:55" s="1960" customFormat="1" ht="13.15" thickBot="1" x14ac:dyDescent="0.4">
      <c r="A579" s="1953"/>
      <c r="B579" s="1954"/>
      <c r="C579" s="1955" t="str">
        <f t="shared" ref="C579:BC579" si="587">C5</f>
        <v>F1Q13</v>
      </c>
      <c r="D579" s="1955" t="str">
        <f t="shared" si="587"/>
        <v>F2Q13</v>
      </c>
      <c r="E579" s="1955" t="str">
        <f t="shared" si="587"/>
        <v>F3Q13</v>
      </c>
      <c r="F579" s="1955" t="str">
        <f t="shared" si="587"/>
        <v>F4Q13</v>
      </c>
      <c r="G579" s="1955" t="str">
        <f t="shared" si="587"/>
        <v>F1Q14</v>
      </c>
      <c r="H579" s="1955" t="str">
        <f t="shared" si="587"/>
        <v>F2Q14</v>
      </c>
      <c r="I579" s="1955" t="str">
        <f t="shared" si="587"/>
        <v>F3Q14</v>
      </c>
      <c r="J579" s="1955" t="str">
        <f t="shared" si="587"/>
        <v>F4Q14</v>
      </c>
      <c r="K579" s="1955" t="str">
        <f t="shared" si="587"/>
        <v>F1Q15</v>
      </c>
      <c r="L579" s="1955" t="str">
        <f t="shared" si="587"/>
        <v>F2Q15</v>
      </c>
      <c r="M579" s="1955" t="str">
        <f t="shared" si="587"/>
        <v>F3Q15</v>
      </c>
      <c r="N579" s="1955" t="str">
        <f t="shared" si="587"/>
        <v>F4Q15</v>
      </c>
      <c r="O579" s="1955" t="str">
        <f t="shared" si="587"/>
        <v>F1Q16</v>
      </c>
      <c r="P579" s="1955" t="str">
        <f t="shared" si="587"/>
        <v>F2Q16</v>
      </c>
      <c r="Q579" s="1955" t="str">
        <f t="shared" si="587"/>
        <v>F3Q16</v>
      </c>
      <c r="R579" s="1955" t="str">
        <f t="shared" si="587"/>
        <v>F4Q16</v>
      </c>
      <c r="S579" s="1955" t="str">
        <f t="shared" si="587"/>
        <v>F1Q17</v>
      </c>
      <c r="T579" s="1955" t="str">
        <f t="shared" si="587"/>
        <v>F2Q17</v>
      </c>
      <c r="U579" s="1955" t="str">
        <f t="shared" si="587"/>
        <v>F3Q17</v>
      </c>
      <c r="V579" s="1955" t="str">
        <f t="shared" si="587"/>
        <v>F4Q17</v>
      </c>
      <c r="W579" s="1955" t="str">
        <f t="shared" si="587"/>
        <v>F1Q18</v>
      </c>
      <c r="X579" s="1955" t="str">
        <f t="shared" si="587"/>
        <v>F2Q18</v>
      </c>
      <c r="Y579" s="1955" t="str">
        <f t="shared" si="587"/>
        <v>F3Q18</v>
      </c>
      <c r="Z579" s="1955" t="str">
        <f t="shared" si="587"/>
        <v>F4Q18</v>
      </c>
      <c r="AA579" s="1955" t="str">
        <f t="shared" si="587"/>
        <v>F1Q19</v>
      </c>
      <c r="AB579" s="1955" t="str">
        <f t="shared" si="587"/>
        <v>F2Q19</v>
      </c>
      <c r="AC579" s="1955" t="str">
        <f t="shared" si="587"/>
        <v>F3Q19</v>
      </c>
      <c r="AD579" s="1955" t="str">
        <f t="shared" si="587"/>
        <v>F4Q19</v>
      </c>
      <c r="AE579" s="1955" t="str">
        <f t="shared" si="587"/>
        <v>F1Q20</v>
      </c>
      <c r="AF579" s="1955" t="str">
        <f t="shared" si="587"/>
        <v>F2Q20</v>
      </c>
      <c r="AG579" s="1955" t="str">
        <f t="shared" si="587"/>
        <v>F3Q20</v>
      </c>
      <c r="AH579" s="1955" t="str">
        <f t="shared" si="587"/>
        <v>F4Q20</v>
      </c>
      <c r="AI579" s="1955" t="str">
        <f t="shared" si="587"/>
        <v>F1Q21</v>
      </c>
      <c r="AJ579" s="1955" t="str">
        <f t="shared" si="587"/>
        <v>F2Q21E</v>
      </c>
      <c r="AK579" s="1955" t="str">
        <f t="shared" si="587"/>
        <v>F3Q21E</v>
      </c>
      <c r="AL579" s="1955" t="str">
        <f t="shared" si="587"/>
        <v>F4Q21E</v>
      </c>
      <c r="AM579" s="1955" t="str">
        <f t="shared" si="587"/>
        <v>F1Q22E</v>
      </c>
      <c r="AN579" s="1955" t="str">
        <f t="shared" si="587"/>
        <v>F2Q22E</v>
      </c>
      <c r="AO579" s="1955" t="str">
        <f t="shared" si="587"/>
        <v>F3Q22E</v>
      </c>
      <c r="AP579" s="1955" t="str">
        <f t="shared" si="587"/>
        <v>F4Q22E</v>
      </c>
      <c r="AQ579" s="1957" t="str">
        <f t="shared" si="587"/>
        <v>FY2012</v>
      </c>
      <c r="AR579" s="1958" t="str">
        <f t="shared" si="587"/>
        <v>FY2013</v>
      </c>
      <c r="AS579" s="1958" t="str">
        <f t="shared" si="587"/>
        <v>FY2014</v>
      </c>
      <c r="AT579" s="1958" t="str">
        <f t="shared" si="587"/>
        <v>FY2015</v>
      </c>
      <c r="AU579" s="1957" t="str">
        <f t="shared" si="587"/>
        <v>FY2016</v>
      </c>
      <c r="AV579" s="1958" t="str">
        <f t="shared" si="587"/>
        <v>FY2017</v>
      </c>
      <c r="AW579" s="1958" t="str">
        <f t="shared" si="587"/>
        <v>FY2018</v>
      </c>
      <c r="AX579" s="1957" t="str">
        <f t="shared" si="587"/>
        <v>FY2019</v>
      </c>
      <c r="AY579" s="1958" t="str">
        <f t="shared" si="587"/>
        <v>FY2020</v>
      </c>
      <c r="AZ579" s="1958" t="str">
        <f t="shared" si="587"/>
        <v>FY2021E</v>
      </c>
      <c r="BA579" s="1959" t="str">
        <f t="shared" si="587"/>
        <v>FY2022E</v>
      </c>
      <c r="BB579" s="1957" t="str">
        <f t="shared" si="587"/>
        <v>FY2023E</v>
      </c>
      <c r="BC579" s="1959" t="str">
        <f t="shared" si="587"/>
        <v>FY2024E</v>
      </c>
    </row>
    <row r="580" spans="1:55" s="1953" customFormat="1" ht="10.15" x14ac:dyDescent="0.3">
      <c r="A580" s="2639"/>
      <c r="B580" s="2487" t="s">
        <v>1232</v>
      </c>
      <c r="C580" s="1950"/>
      <c r="D580" s="1950"/>
      <c r="E580" s="1972"/>
      <c r="F580" s="1950"/>
      <c r="G580" s="1950"/>
      <c r="H580" s="1950"/>
      <c r="I580" s="1972"/>
      <c r="J580" s="1950"/>
      <c r="K580" s="1950"/>
      <c r="L580" s="1950"/>
      <c r="M580" s="1950"/>
      <c r="N580" s="1950"/>
      <c r="O580" s="1950"/>
      <c r="P580" s="1950"/>
      <c r="Q580" s="1950"/>
      <c r="R580" s="1950"/>
      <c r="S580" s="1950"/>
      <c r="T580" s="1950"/>
      <c r="U580" s="1950"/>
      <c r="V580" s="1950"/>
      <c r="W580" s="1950"/>
      <c r="X580" s="1950"/>
      <c r="Y580" s="1950"/>
      <c r="Z580" s="1950"/>
      <c r="AA580" s="1950"/>
      <c r="AB580" s="1950"/>
      <c r="AC580" s="1950"/>
      <c r="AD580" s="1950"/>
      <c r="AE580" s="1950"/>
      <c r="AF580" s="1950"/>
      <c r="AG580" s="1950"/>
      <c r="AH580" s="1950"/>
      <c r="AI580" s="1950"/>
      <c r="AJ580" s="1950"/>
      <c r="AK580" s="1950"/>
      <c r="AL580" s="1950"/>
      <c r="AM580" s="1950"/>
      <c r="AN580" s="1950"/>
      <c r="AO580" s="1950"/>
      <c r="AP580" s="1950"/>
      <c r="AQ580" s="2067"/>
      <c r="AR580" s="1972"/>
      <c r="AS580" s="1950"/>
      <c r="AT580" s="1950"/>
      <c r="AU580" s="1952"/>
      <c r="AV580" s="1950"/>
      <c r="AW580" s="1950"/>
      <c r="AX580" s="1952"/>
      <c r="AY580" s="1950"/>
      <c r="AZ580" s="1950"/>
      <c r="BA580" s="1951"/>
      <c r="BB580" s="1952"/>
      <c r="BC580" s="1951"/>
    </row>
    <row r="581" spans="1:55" s="1953" customFormat="1" ht="10.15" x14ac:dyDescent="0.3">
      <c r="A581" s="2640"/>
      <c r="B581" s="2641" t="str">
        <f t="shared" ref="B581:AT581" si="588">B362</f>
        <v>Net income</v>
      </c>
      <c r="C581" s="1975">
        <f t="shared" si="588"/>
        <v>1719.9402083333332</v>
      </c>
      <c r="D581" s="1975">
        <f t="shared" si="588"/>
        <v>-1245.3931250000001</v>
      </c>
      <c r="E581" s="1975">
        <f t="shared" si="588"/>
        <v>4434.9402083333334</v>
      </c>
      <c r="F581" s="1975">
        <f t="shared" si="588"/>
        <v>3826.9402083333339</v>
      </c>
      <c r="G581" s="1975">
        <f t="shared" si="588"/>
        <v>4448</v>
      </c>
      <c r="H581" s="1975">
        <f t="shared" si="588"/>
        <v>4937</v>
      </c>
      <c r="I581" s="1975">
        <f t="shared" si="588"/>
        <v>8357</v>
      </c>
      <c r="J581" s="1975">
        <f t="shared" si="588"/>
        <v>6791</v>
      </c>
      <c r="K581" s="1975">
        <f t="shared" si="588"/>
        <v>12438</v>
      </c>
      <c r="L581" s="1975">
        <f t="shared" si="588"/>
        <v>3030</v>
      </c>
      <c r="M581" s="1975">
        <f t="shared" si="588"/>
        <v>5983</v>
      </c>
      <c r="N581" s="1975">
        <f t="shared" si="588"/>
        <v>2869</v>
      </c>
      <c r="O581" s="1975">
        <f t="shared" si="588"/>
        <v>30816</v>
      </c>
      <c r="P581" s="1975">
        <f t="shared" si="588"/>
        <v>22703</v>
      </c>
      <c r="Q581" s="1975">
        <f t="shared" si="588"/>
        <v>12456</v>
      </c>
      <c r="R581" s="1975">
        <f t="shared" si="588"/>
        <v>5314</v>
      </c>
      <c r="S581" s="1975">
        <f t="shared" si="588"/>
        <v>7142</v>
      </c>
      <c r="T581" s="1975">
        <f t="shared" si="588"/>
        <v>7075</v>
      </c>
      <c r="U581" s="1975">
        <f t="shared" si="588"/>
        <v>17157</v>
      </c>
      <c r="V581" s="1975">
        <f t="shared" si="588"/>
        <v>9852</v>
      </c>
      <c r="W581" s="1948">
        <f t="shared" si="588"/>
        <v>14031</v>
      </c>
      <c r="X581" s="1975">
        <f t="shared" si="588"/>
        <v>17408</v>
      </c>
      <c r="Y581" s="1975">
        <f t="shared" si="588"/>
        <v>23332</v>
      </c>
      <c r="Z581" s="1975">
        <f t="shared" si="588"/>
        <v>6641</v>
      </c>
      <c r="AA581" s="1948">
        <f t="shared" si="588"/>
        <v>7650</v>
      </c>
      <c r="AB581" s="1975">
        <f t="shared" si="588"/>
        <v>18241</v>
      </c>
      <c r="AC581" s="1975">
        <f t="shared" si="588"/>
        <v>30964</v>
      </c>
      <c r="AD581" s="1975">
        <f t="shared" si="588"/>
        <v>23379</v>
      </c>
      <c r="AE581" s="1975">
        <f t="shared" si="588"/>
        <v>19122</v>
      </c>
      <c r="AF581" s="1975">
        <f t="shared" si="588"/>
        <v>70748</v>
      </c>
      <c r="AG581" s="1975">
        <f t="shared" si="588"/>
        <v>50132</v>
      </c>
      <c r="AH581" s="1975">
        <f t="shared" si="588"/>
        <v>348</v>
      </c>
      <c r="AI581" s="1975">
        <f t="shared" si="588"/>
        <v>46437</v>
      </c>
      <c r="AJ581" s="1975">
        <f t="shared" si="588"/>
        <v>25666.784517145537</v>
      </c>
      <c r="AK581" s="1975">
        <f t="shared" si="588"/>
        <v>46112.278771047328</v>
      </c>
      <c r="AL581" s="1975">
        <f t="shared" si="588"/>
        <v>20982.897479818326</v>
      </c>
      <c r="AM581" s="1975">
        <f t="shared" si="588"/>
        <v>37549.948177489729</v>
      </c>
      <c r="AN581" s="1975">
        <f t="shared" si="588"/>
        <v>37237.819061862094</v>
      </c>
      <c r="AO581" s="1975">
        <f t="shared" si="588"/>
        <v>59153.529139699123</v>
      </c>
      <c r="AP581" s="1975">
        <f t="shared" si="588"/>
        <v>30318.423378464089</v>
      </c>
      <c r="AQ581" s="1976">
        <f t="shared" si="588"/>
        <v>4665</v>
      </c>
      <c r="AR581" s="1974">
        <f t="shared" si="588"/>
        <v>8649</v>
      </c>
      <c r="AS581" s="1948">
        <f t="shared" si="588"/>
        <v>21982.97</v>
      </c>
      <c r="AT581" s="1948">
        <f t="shared" si="588"/>
        <v>24320</v>
      </c>
      <c r="AU581" s="1949">
        <f>SUM(O581:R581)</f>
        <v>71289</v>
      </c>
      <c r="AV581" s="1948">
        <f t="shared" ref="AV581:BC581" si="589">AV362</f>
        <v>41226</v>
      </c>
      <c r="AW581" s="1948">
        <f t="shared" si="589"/>
        <v>61412</v>
      </c>
      <c r="AX581" s="1949">
        <f t="shared" si="589"/>
        <v>80234</v>
      </c>
      <c r="AY581" s="1948">
        <f t="shared" si="589"/>
        <v>140350</v>
      </c>
      <c r="AZ581" s="1948">
        <f t="shared" si="589"/>
        <v>139198.96076801119</v>
      </c>
      <c r="BA581" s="1981">
        <f t="shared" si="589"/>
        <v>164259.71975751506</v>
      </c>
      <c r="BB581" s="1949">
        <f t="shared" si="589"/>
        <v>221890.52957761328</v>
      </c>
      <c r="BC581" s="1981">
        <f t="shared" si="589"/>
        <v>288008.2158181023</v>
      </c>
    </row>
    <row r="582" spans="1:55" s="1953" customFormat="1" ht="10.15" x14ac:dyDescent="0.3">
      <c r="A582" s="2017"/>
      <c r="B582" s="2476" t="s">
        <v>1233</v>
      </c>
      <c r="C582" s="1975"/>
      <c r="D582" s="1975"/>
      <c r="E582" s="2248"/>
      <c r="F582" s="1975"/>
      <c r="G582" s="1975"/>
      <c r="H582" s="1975"/>
      <c r="I582" s="1975"/>
      <c r="J582" s="1975"/>
      <c r="K582" s="1975"/>
      <c r="L582" s="1975"/>
      <c r="M582" s="1975"/>
      <c r="N582" s="1975"/>
      <c r="O582" s="1975"/>
      <c r="P582" s="1975"/>
      <c r="Q582" s="1975"/>
      <c r="R582" s="1975"/>
      <c r="S582" s="1975"/>
      <c r="T582" s="1975"/>
      <c r="U582" s="1975"/>
      <c r="V582" s="1975"/>
      <c r="W582" s="1948"/>
      <c r="X582" s="1975"/>
      <c r="Y582" s="1975"/>
      <c r="Z582" s="1975"/>
      <c r="AA582" s="1948"/>
      <c r="AB582" s="1975"/>
      <c r="AC582" s="1975"/>
      <c r="AD582" s="1975"/>
      <c r="AE582" s="1975"/>
      <c r="AF582" s="1975"/>
      <c r="AG582" s="1975"/>
      <c r="AH582" s="1975"/>
      <c r="AI582" s="1975"/>
      <c r="AJ582" s="1975"/>
      <c r="AK582" s="1975"/>
      <c r="AL582" s="1975"/>
      <c r="AM582" s="1975"/>
      <c r="AN582" s="1975"/>
      <c r="AO582" s="1975"/>
      <c r="AP582" s="1975"/>
      <c r="AQ582" s="1976"/>
      <c r="AR582" s="1974"/>
      <c r="AS582" s="1948"/>
      <c r="AT582" s="1948"/>
      <c r="AU582" s="1949"/>
      <c r="AV582" s="1948"/>
      <c r="AW582" s="1948"/>
      <c r="AX582" s="1949"/>
      <c r="AY582" s="1948"/>
      <c r="AZ582" s="1948"/>
      <c r="BA582" s="1981"/>
      <c r="BB582" s="1949"/>
      <c r="BC582" s="1981"/>
    </row>
    <row r="583" spans="1:55" s="1953" customFormat="1" ht="10.15" x14ac:dyDescent="0.3">
      <c r="A583" s="2642"/>
      <c r="B583" s="2476" t="s">
        <v>1234</v>
      </c>
      <c r="C583" s="1975"/>
      <c r="D583" s="1975"/>
      <c r="E583" s="2248"/>
      <c r="F583" s="1975"/>
      <c r="G583" s="1975">
        <v>0</v>
      </c>
      <c r="H583" s="1975"/>
      <c r="I583" s="1975"/>
      <c r="J583" s="1975"/>
      <c r="K583" s="1975">
        <v>-6251</v>
      </c>
      <c r="L583" s="1975"/>
      <c r="M583" s="1975"/>
      <c r="N583" s="1975"/>
      <c r="O583" s="1975"/>
      <c r="P583" s="1975"/>
      <c r="Q583" s="1975"/>
      <c r="R583" s="1975"/>
      <c r="S583" s="1975"/>
      <c r="T583" s="1975"/>
      <c r="U583" s="1975"/>
      <c r="V583" s="1975"/>
      <c r="W583" s="1948"/>
      <c r="X583" s="1975"/>
      <c r="Y583" s="1975"/>
      <c r="Z583" s="1975"/>
      <c r="AA583" s="1948"/>
      <c r="AB583" s="1975"/>
      <c r="AC583" s="1975"/>
      <c r="AD583" s="1975"/>
      <c r="AE583" s="1975"/>
      <c r="AF583" s="1975"/>
      <c r="AG583" s="1975"/>
      <c r="AH583" s="1975"/>
      <c r="AI583" s="1975"/>
      <c r="AJ583" s="1975"/>
      <c r="AK583" s="1975"/>
      <c r="AL583" s="1975"/>
      <c r="AM583" s="1975"/>
      <c r="AN583" s="1975"/>
      <c r="AO583" s="1975"/>
      <c r="AP583" s="1975"/>
      <c r="AQ583" s="1976"/>
      <c r="AR583" s="1974"/>
      <c r="AS583" s="1948"/>
      <c r="AT583" s="1948">
        <v>-6535</v>
      </c>
      <c r="AU583" s="1949">
        <v>-18603</v>
      </c>
      <c r="AV583" s="1948">
        <v>-770</v>
      </c>
      <c r="AW583" s="1948">
        <v>-24436</v>
      </c>
      <c r="AX583" s="1949">
        <v>-30187</v>
      </c>
      <c r="AY583" s="1948">
        <v>-1538</v>
      </c>
      <c r="AZ583" s="1948">
        <f>AY583</f>
        <v>-1538</v>
      </c>
      <c r="BA583" s="1981"/>
      <c r="BB583" s="1949"/>
      <c r="BC583" s="1981"/>
    </row>
    <row r="584" spans="1:55" s="1953" customFormat="1" ht="10.15" x14ac:dyDescent="0.3">
      <c r="A584" s="2642"/>
      <c r="B584" s="2476" t="s">
        <v>1235</v>
      </c>
      <c r="C584" s="1975"/>
      <c r="D584" s="1975"/>
      <c r="E584" s="2248"/>
      <c r="F584" s="1975"/>
      <c r="G584" s="1975">
        <v>4</v>
      </c>
      <c r="H584" s="1975"/>
      <c r="I584" s="1975"/>
      <c r="J584" s="1975"/>
      <c r="K584" s="1975">
        <v>0</v>
      </c>
      <c r="L584" s="1975"/>
      <c r="M584" s="1975"/>
      <c r="N584" s="1975"/>
      <c r="O584" s="1975"/>
      <c r="P584" s="1975"/>
      <c r="Q584" s="1975"/>
      <c r="R584" s="1975"/>
      <c r="S584" s="1975"/>
      <c r="T584" s="1975"/>
      <c r="U584" s="1975"/>
      <c r="V584" s="1975"/>
      <c r="W584" s="1948"/>
      <c r="X584" s="1975"/>
      <c r="Y584" s="1975"/>
      <c r="Z584" s="1975"/>
      <c r="AA584" s="1948"/>
      <c r="AB584" s="1975"/>
      <c r="AC584" s="1975"/>
      <c r="AD584" s="1975"/>
      <c r="AE584" s="1975"/>
      <c r="AF584" s="1975"/>
      <c r="AG584" s="1975"/>
      <c r="AH584" s="1975"/>
      <c r="AI584" s="1975"/>
      <c r="AJ584" s="1975"/>
      <c r="AK584" s="1975"/>
      <c r="AL584" s="1975"/>
      <c r="AM584" s="1975"/>
      <c r="AN584" s="1975"/>
      <c r="AO584" s="1975"/>
      <c r="AP584" s="1975"/>
      <c r="AQ584" s="1976">
        <v>-24</v>
      </c>
      <c r="AR584" s="1974">
        <v>-68</v>
      </c>
      <c r="AS584" s="1948">
        <v>3</v>
      </c>
      <c r="AT584" s="1948">
        <v>-128</v>
      </c>
      <c r="AU584" s="1949">
        <v>-3089</v>
      </c>
      <c r="AV584" s="1948">
        <v>-536</v>
      </c>
      <c r="AW584" s="1948">
        <v>-2971</v>
      </c>
      <c r="AX584" s="1949">
        <v>-42</v>
      </c>
      <c r="AY584" s="1948">
        <v>-1</v>
      </c>
      <c r="AZ584" s="1948">
        <f>AY584</f>
        <v>-1</v>
      </c>
      <c r="BA584" s="1981">
        <f>AZ584</f>
        <v>-1</v>
      </c>
      <c r="BB584" s="1949">
        <f>BA584</f>
        <v>-1</v>
      </c>
      <c r="BC584" s="1981">
        <f>BB584</f>
        <v>-1</v>
      </c>
    </row>
    <row r="585" spans="1:55" s="1953" customFormat="1" ht="10.15" x14ac:dyDescent="0.3">
      <c r="A585" s="2642"/>
      <c r="B585" s="2476" t="s">
        <v>1236</v>
      </c>
      <c r="C585" s="1975"/>
      <c r="D585" s="1975"/>
      <c r="E585" s="2248"/>
      <c r="F585" s="1975"/>
      <c r="G585" s="1975">
        <v>98</v>
      </c>
      <c r="H585" s="1975"/>
      <c r="I585" s="1975"/>
      <c r="J585" s="1975"/>
      <c r="K585" s="1975">
        <v>-207</v>
      </c>
      <c r="L585" s="1975"/>
      <c r="M585" s="1975"/>
      <c r="N585" s="1975"/>
      <c r="O585" s="1975"/>
      <c r="P585" s="1975"/>
      <c r="Q585" s="1975"/>
      <c r="R585" s="1975"/>
      <c r="S585" s="1975"/>
      <c r="T585" s="1975"/>
      <c r="U585" s="1975"/>
      <c r="V585" s="1975"/>
      <c r="W585" s="1948"/>
      <c r="X585" s="1975"/>
      <c r="Y585" s="1975"/>
      <c r="Z585" s="1975"/>
      <c r="AA585" s="1948"/>
      <c r="AB585" s="1975"/>
      <c r="AC585" s="1975"/>
      <c r="AD585" s="1975"/>
      <c r="AE585" s="1975"/>
      <c r="AF585" s="1975"/>
      <c r="AG585" s="1975"/>
      <c r="AH585" s="1975"/>
      <c r="AI585" s="1975"/>
      <c r="AJ585" s="1975"/>
      <c r="AK585" s="1975"/>
      <c r="AL585" s="1975"/>
      <c r="AM585" s="1975"/>
      <c r="AN585" s="1975"/>
      <c r="AO585" s="1975"/>
      <c r="AP585" s="1975"/>
      <c r="AQ585" s="1976">
        <v>138</v>
      </c>
      <c r="AR585" s="1974">
        <v>-80</v>
      </c>
      <c r="AS585" s="1948">
        <v>90</v>
      </c>
      <c r="AT585" s="1948">
        <v>-178</v>
      </c>
      <c r="AU585" s="1949">
        <v>-906</v>
      </c>
      <c r="AV585" s="1948">
        <v>-5488</v>
      </c>
      <c r="AW585" s="1948">
        <v>-70</v>
      </c>
      <c r="AX585" s="1949">
        <v>-16082</v>
      </c>
      <c r="AY585" s="1948">
        <v>4439</v>
      </c>
      <c r="AZ585" s="1948">
        <f>AZ391+AZ392</f>
        <v>-21280</v>
      </c>
      <c r="BA585" s="1981">
        <f>BA391+BA392</f>
        <v>-3000</v>
      </c>
      <c r="BB585" s="1949">
        <f>BB391+BB392</f>
        <v>-3000</v>
      </c>
      <c r="BC585" s="1981">
        <f>BC391+BC392</f>
        <v>-3000</v>
      </c>
    </row>
    <row r="586" spans="1:55" s="1953" customFormat="1" ht="10.15" x14ac:dyDescent="0.3">
      <c r="A586" s="2017"/>
      <c r="B586" s="2476" t="s">
        <v>1237</v>
      </c>
      <c r="C586" s="1975"/>
      <c r="D586" s="1975"/>
      <c r="E586" s="2248"/>
      <c r="F586" s="1975"/>
      <c r="G586" s="1975">
        <v>-149</v>
      </c>
      <c r="H586" s="1975"/>
      <c r="I586" s="1975"/>
      <c r="J586" s="1975"/>
      <c r="K586" s="1975">
        <v>43</v>
      </c>
      <c r="L586" s="1975"/>
      <c r="M586" s="1975"/>
      <c r="N586" s="1975"/>
      <c r="O586" s="1975"/>
      <c r="P586" s="1975"/>
      <c r="Q586" s="1975"/>
      <c r="R586" s="1975"/>
      <c r="S586" s="1975"/>
      <c r="T586" s="1975"/>
      <c r="U586" s="1975"/>
      <c r="V586" s="1975"/>
      <c r="W586" s="1948"/>
      <c r="X586" s="1975"/>
      <c r="Y586" s="1975"/>
      <c r="Z586" s="1975"/>
      <c r="AA586" s="1948"/>
      <c r="AB586" s="1975"/>
      <c r="AC586" s="1975"/>
      <c r="AD586" s="1975"/>
      <c r="AE586" s="1975"/>
      <c r="AF586" s="1975"/>
      <c r="AG586" s="1975"/>
      <c r="AH586" s="1975"/>
      <c r="AI586" s="1975"/>
      <c r="AJ586" s="1975"/>
      <c r="AK586" s="1975"/>
      <c r="AL586" s="1975"/>
      <c r="AM586" s="1975"/>
      <c r="AN586" s="1975"/>
      <c r="AO586" s="1975"/>
      <c r="AP586" s="1975"/>
      <c r="AQ586" s="1976">
        <v>264</v>
      </c>
      <c r="AR586" s="1974">
        <v>245</v>
      </c>
      <c r="AS586" s="1948">
        <v>21</v>
      </c>
      <c r="AT586" s="1948">
        <v>102</v>
      </c>
      <c r="AU586" s="1949">
        <v>84</v>
      </c>
      <c r="AV586" s="1948">
        <v>-759</v>
      </c>
      <c r="AW586" s="1948">
        <v>1415</v>
      </c>
      <c r="AX586" s="1949">
        <v>-1422</v>
      </c>
      <c r="AY586" s="1948">
        <v>1661</v>
      </c>
      <c r="AZ586" s="1948">
        <v>0</v>
      </c>
      <c r="BA586" s="1981">
        <v>0</v>
      </c>
      <c r="BB586" s="1949">
        <v>0</v>
      </c>
      <c r="BC586" s="1981">
        <v>0</v>
      </c>
    </row>
    <row r="587" spans="1:55" s="1953" customFormat="1" ht="10.15" x14ac:dyDescent="0.3">
      <c r="A587" s="2017"/>
      <c r="B587" s="2476" t="s">
        <v>1238</v>
      </c>
      <c r="C587" s="1975"/>
      <c r="D587" s="1975"/>
      <c r="E587" s="2248"/>
      <c r="F587" s="1975"/>
      <c r="G587" s="1975"/>
      <c r="H587" s="1975"/>
      <c r="I587" s="1975"/>
      <c r="J587" s="1975"/>
      <c r="K587" s="1975"/>
      <c r="L587" s="1975"/>
      <c r="M587" s="1975"/>
      <c r="N587" s="1975"/>
      <c r="O587" s="1975"/>
      <c r="P587" s="1975"/>
      <c r="Q587" s="1975"/>
      <c r="R587" s="1975"/>
      <c r="S587" s="1975"/>
      <c r="T587" s="1975"/>
      <c r="U587" s="1975"/>
      <c r="V587" s="1975"/>
      <c r="W587" s="1948"/>
      <c r="X587" s="1975"/>
      <c r="Y587" s="1975"/>
      <c r="Z587" s="1975"/>
      <c r="AA587" s="1948"/>
      <c r="AB587" s="1975"/>
      <c r="AC587" s="1975"/>
      <c r="AD587" s="1975"/>
      <c r="AE587" s="1975"/>
      <c r="AF587" s="1975"/>
      <c r="AG587" s="1975"/>
      <c r="AH587" s="1975"/>
      <c r="AI587" s="1975"/>
      <c r="AJ587" s="1975"/>
      <c r="AK587" s="1975"/>
      <c r="AL587" s="1975"/>
      <c r="AM587" s="1975"/>
      <c r="AN587" s="1975"/>
      <c r="AO587" s="1975"/>
      <c r="AP587" s="1975"/>
      <c r="AQ587" s="1976"/>
      <c r="AR587" s="1974"/>
      <c r="AS587" s="1948"/>
      <c r="AT587" s="1948"/>
      <c r="AU587" s="1949"/>
      <c r="AV587" s="1948"/>
      <c r="AW587" s="1948"/>
      <c r="AX587" s="1949"/>
      <c r="AY587" s="1948">
        <v>-71561</v>
      </c>
      <c r="AZ587" s="1948"/>
      <c r="BA587" s="1981"/>
      <c r="BB587" s="1949"/>
      <c r="BC587" s="1981"/>
    </row>
    <row r="588" spans="1:55" s="1953" customFormat="1" ht="10.15" x14ac:dyDescent="0.3">
      <c r="A588" s="2017"/>
      <c r="B588" s="2476" t="s">
        <v>1239</v>
      </c>
      <c r="C588" s="1975"/>
      <c r="D588" s="1975"/>
      <c r="E588" s="2477"/>
      <c r="F588" s="1975"/>
      <c r="G588" s="1975">
        <v>-316</v>
      </c>
      <c r="H588" s="1975"/>
      <c r="I588" s="1975"/>
      <c r="J588" s="1975"/>
      <c r="K588" s="1975">
        <v>0</v>
      </c>
      <c r="L588" s="1975"/>
      <c r="M588" s="1975"/>
      <c r="N588" s="1975"/>
      <c r="O588" s="1975"/>
      <c r="P588" s="1975"/>
      <c r="Q588" s="1975"/>
      <c r="R588" s="1975"/>
      <c r="S588" s="1975"/>
      <c r="T588" s="1975"/>
      <c r="U588" s="1975"/>
      <c r="V588" s="1975"/>
      <c r="W588" s="1948"/>
      <c r="X588" s="1975"/>
      <c r="Y588" s="1975"/>
      <c r="Z588" s="1975"/>
      <c r="AA588" s="1948"/>
      <c r="AB588" s="1975"/>
      <c r="AC588" s="1975"/>
      <c r="AD588" s="1975"/>
      <c r="AE588" s="1975"/>
      <c r="AF588" s="1975"/>
      <c r="AG588" s="1975"/>
      <c r="AH588" s="1975"/>
      <c r="AI588" s="1975"/>
      <c r="AJ588" s="1975"/>
      <c r="AK588" s="1975"/>
      <c r="AL588" s="1975"/>
      <c r="AM588" s="1975"/>
      <c r="AN588" s="1975"/>
      <c r="AO588" s="1975"/>
      <c r="AP588" s="1975"/>
      <c r="AQ588" s="1976">
        <v>3</v>
      </c>
      <c r="AR588" s="1974">
        <v>-8</v>
      </c>
      <c r="AS588" s="1948">
        <v>-387</v>
      </c>
      <c r="AT588" s="1948">
        <v>-307</v>
      </c>
      <c r="AU588" s="1949">
        <v>-26913</v>
      </c>
      <c r="AV588" s="1948">
        <v>35</v>
      </c>
      <c r="AW588" s="1948">
        <v>-14</v>
      </c>
      <c r="AX588" s="1949">
        <v>4</v>
      </c>
      <c r="AY588" s="1948">
        <v>-10042</v>
      </c>
      <c r="AZ588" s="1948">
        <v>0</v>
      </c>
      <c r="BA588" s="1981">
        <v>0</v>
      </c>
      <c r="BB588" s="1949">
        <v>0</v>
      </c>
      <c r="BC588" s="1981">
        <v>0</v>
      </c>
    </row>
    <row r="589" spans="1:55" s="1953" customFormat="1" ht="10.15" x14ac:dyDescent="0.3">
      <c r="A589" s="2017"/>
      <c r="B589" s="2476" t="s">
        <v>579</v>
      </c>
      <c r="C589" s="1975"/>
      <c r="D589" s="1975"/>
      <c r="E589" s="2248"/>
      <c r="F589" s="1975"/>
      <c r="G589" s="1975">
        <v>243</v>
      </c>
      <c r="H589" s="1975"/>
      <c r="I589" s="1975"/>
      <c r="J589" s="1975"/>
      <c r="K589" s="1975">
        <v>423</v>
      </c>
      <c r="L589" s="1975"/>
      <c r="M589" s="1975"/>
      <c r="N589" s="1975"/>
      <c r="O589" s="1975"/>
      <c r="P589" s="1975"/>
      <c r="Q589" s="1975"/>
      <c r="R589" s="1975"/>
      <c r="S589" s="1975"/>
      <c r="T589" s="1975"/>
      <c r="U589" s="1975"/>
      <c r="V589" s="1975"/>
      <c r="W589" s="1948"/>
      <c r="X589" s="1975"/>
      <c r="Y589" s="1975"/>
      <c r="Z589" s="1975"/>
      <c r="AA589" s="1948"/>
      <c r="AB589" s="1975"/>
      <c r="AC589" s="1975"/>
      <c r="AD589" s="1975"/>
      <c r="AE589" s="1975"/>
      <c r="AF589" s="1975"/>
      <c r="AG589" s="1975"/>
      <c r="AH589" s="1975"/>
      <c r="AI589" s="1975"/>
      <c r="AJ589" s="1975"/>
      <c r="AK589" s="1975"/>
      <c r="AL589" s="1975"/>
      <c r="AM589" s="1975"/>
      <c r="AN589" s="1975"/>
      <c r="AO589" s="1975"/>
      <c r="AP589" s="1975"/>
      <c r="AQ589" s="1976">
        <v>715</v>
      </c>
      <c r="AR589" s="1974">
        <v>805</v>
      </c>
      <c r="AS589" s="1948">
        <v>1339</v>
      </c>
      <c r="AT589" s="1948">
        <v>2326</v>
      </c>
      <c r="AU589" s="1949">
        <v>3770</v>
      </c>
      <c r="AV589" s="1979">
        <v>5284</v>
      </c>
      <c r="AW589" s="1979">
        <v>8789</v>
      </c>
      <c r="AX589" s="1949">
        <v>14962</v>
      </c>
      <c r="AY589" s="1979">
        <v>20523</v>
      </c>
      <c r="AZ589" s="1979">
        <f>AZ665*AZ323</f>
        <v>27136.912458685154</v>
      </c>
      <c r="BA589" s="1977">
        <f>BA665*BA323</f>
        <v>38570.258582304079</v>
      </c>
      <c r="BB589" s="1978">
        <f>BB665*BB323</f>
        <v>47305.721440207628</v>
      </c>
      <c r="BC589" s="1977">
        <f>BC665*BC323</f>
        <v>57043.087278704501</v>
      </c>
    </row>
    <row r="590" spans="1:55" s="1953" customFormat="1" ht="10.15" x14ac:dyDescent="0.3">
      <c r="A590" s="2017"/>
      <c r="B590" s="2476" t="s">
        <v>1044</v>
      </c>
      <c r="C590" s="1975"/>
      <c r="D590" s="1975"/>
      <c r="E590" s="2248"/>
      <c r="F590" s="1975"/>
      <c r="G590" s="1975">
        <v>35</v>
      </c>
      <c r="H590" s="1975"/>
      <c r="I590" s="1975"/>
      <c r="J590" s="1975"/>
      <c r="K590" s="1975">
        <v>234</v>
      </c>
      <c r="L590" s="1975"/>
      <c r="M590" s="1975"/>
      <c r="N590" s="1975"/>
      <c r="O590" s="1975"/>
      <c r="P590" s="1975"/>
      <c r="Q590" s="1975"/>
      <c r="R590" s="1975"/>
      <c r="S590" s="1975"/>
      <c r="T590" s="1975"/>
      <c r="U590" s="1975"/>
      <c r="V590" s="1975"/>
      <c r="W590" s="1948"/>
      <c r="X590" s="1975"/>
      <c r="Y590" s="1975"/>
      <c r="Z590" s="1975"/>
      <c r="AA590" s="1948"/>
      <c r="AB590" s="1975"/>
      <c r="AC590" s="1975"/>
      <c r="AD590" s="1975"/>
      <c r="AE590" s="1975"/>
      <c r="AF590" s="1975"/>
      <c r="AG590" s="1975"/>
      <c r="AH590" s="1975"/>
      <c r="AI590" s="1975"/>
      <c r="AJ590" s="1975"/>
      <c r="AK590" s="1975"/>
      <c r="AL590" s="1975"/>
      <c r="AM590" s="1975"/>
      <c r="AN590" s="1975"/>
      <c r="AO590" s="1975"/>
      <c r="AP590" s="1975"/>
      <c r="AQ590" s="1976">
        <v>155</v>
      </c>
      <c r="AR590" s="1974">
        <v>130</v>
      </c>
      <c r="AS590" s="1948">
        <v>315</v>
      </c>
      <c r="AT590" s="1948">
        <v>2173</v>
      </c>
      <c r="AU590" s="1949">
        <v>3278</v>
      </c>
      <c r="AV590" s="1948">
        <v>9008</v>
      </c>
      <c r="AW590" s="1979">
        <v>13231</v>
      </c>
      <c r="AX590" s="1949">
        <v>22118</v>
      </c>
      <c r="AY590" s="1948">
        <v>21904</v>
      </c>
      <c r="AZ590" s="1948">
        <f>AZ529*AZ666</f>
        <v>24135.012000000002</v>
      </c>
      <c r="BA590" s="1981">
        <f>BA529*BA666</f>
        <v>26548.513200000009</v>
      </c>
      <c r="BB590" s="1949">
        <f>BB529*BB666</f>
        <v>29203.364520000014</v>
      </c>
      <c r="BC590" s="1981">
        <f>BC529*BC666</f>
        <v>32123.700972000021</v>
      </c>
    </row>
    <row r="591" spans="1:55" s="1953" customFormat="1" ht="10.15" x14ac:dyDescent="0.3">
      <c r="A591" s="2017"/>
      <c r="B591" s="2476" t="s">
        <v>1240</v>
      </c>
      <c r="C591" s="1975"/>
      <c r="D591" s="1975"/>
      <c r="E591" s="2248"/>
      <c r="F591" s="1975"/>
      <c r="G591" s="1975"/>
      <c r="H591" s="1975"/>
      <c r="I591" s="1975"/>
      <c r="J591" s="1975"/>
      <c r="K591" s="1975"/>
      <c r="L591" s="1975"/>
      <c r="M591" s="1975"/>
      <c r="N591" s="1975"/>
      <c r="O591" s="1975"/>
      <c r="P591" s="1975"/>
      <c r="Q591" s="1975"/>
      <c r="R591" s="1975"/>
      <c r="S591" s="1975"/>
      <c r="T591" s="1975"/>
      <c r="U591" s="1975"/>
      <c r="V591" s="1975"/>
      <c r="W591" s="1948"/>
      <c r="X591" s="1975"/>
      <c r="Y591" s="1975"/>
      <c r="Z591" s="1975"/>
      <c r="AA591" s="1948"/>
      <c r="AB591" s="1975"/>
      <c r="AC591" s="1975"/>
      <c r="AD591" s="1975"/>
      <c r="AE591" s="1975"/>
      <c r="AF591" s="1975"/>
      <c r="AG591" s="1975"/>
      <c r="AH591" s="1975"/>
      <c r="AI591" s="1975"/>
      <c r="AJ591" s="1975"/>
      <c r="AK591" s="1975"/>
      <c r="AL591" s="1975"/>
      <c r="AM591" s="1975"/>
      <c r="AN591" s="1975"/>
      <c r="AO591" s="1975"/>
      <c r="AP591" s="1975"/>
      <c r="AQ591" s="1976"/>
      <c r="AR591" s="1974"/>
      <c r="AS591" s="1948"/>
      <c r="AT591" s="1948"/>
      <c r="AU591" s="1949">
        <v>-1120</v>
      </c>
      <c r="AV591" s="1948">
        <v>-1369</v>
      </c>
      <c r="AW591" s="1979">
        <v>0</v>
      </c>
      <c r="AX591" s="1949">
        <v>0</v>
      </c>
      <c r="AY591" s="1948">
        <v>0</v>
      </c>
      <c r="AZ591" s="1948">
        <f>AY591*1.1</f>
        <v>0</v>
      </c>
      <c r="BA591" s="1981">
        <f>AZ591*1.1</f>
        <v>0</v>
      </c>
      <c r="BB591" s="1949">
        <f>BA591*1.1</f>
        <v>0</v>
      </c>
      <c r="BC591" s="1981">
        <f>BB591*1.1</f>
        <v>0</v>
      </c>
    </row>
    <row r="592" spans="1:55" s="1953" customFormat="1" ht="10.15" x14ac:dyDescent="0.3">
      <c r="A592" s="2017"/>
      <c r="B592" s="2476" t="s">
        <v>1241</v>
      </c>
      <c r="C592" s="1975"/>
      <c r="D592" s="1975"/>
      <c r="E592" s="2248"/>
      <c r="F592" s="1975"/>
      <c r="G592" s="1975">
        <v>396</v>
      </c>
      <c r="H592" s="1975"/>
      <c r="I592" s="1975"/>
      <c r="J592" s="1975"/>
      <c r="K592" s="1975">
        <v>1073</v>
      </c>
      <c r="L592" s="1975"/>
      <c r="M592" s="1975"/>
      <c r="N592" s="1975"/>
      <c r="O592" s="1975"/>
      <c r="P592" s="1975"/>
      <c r="Q592" s="1975"/>
      <c r="R592" s="1975"/>
      <c r="S592" s="1975"/>
      <c r="T592" s="1975"/>
      <c r="U592" s="1975"/>
      <c r="V592" s="1975"/>
      <c r="W592" s="1948"/>
      <c r="X592" s="1975"/>
      <c r="Y592" s="1975"/>
      <c r="Z592" s="1975"/>
      <c r="AA592" s="1948"/>
      <c r="AB592" s="1975"/>
      <c r="AC592" s="1975"/>
      <c r="AD592" s="1975"/>
      <c r="AE592" s="1975"/>
      <c r="AF592" s="1975"/>
      <c r="AG592" s="1975"/>
      <c r="AH592" s="1975"/>
      <c r="AI592" s="1975"/>
      <c r="AJ592" s="1975"/>
      <c r="AK592" s="1975"/>
      <c r="AL592" s="1975"/>
      <c r="AM592" s="1975"/>
      <c r="AN592" s="1975"/>
      <c r="AO592" s="1975"/>
      <c r="AP592" s="1975"/>
      <c r="AQ592" s="1976">
        <v>1254</v>
      </c>
      <c r="AR592" s="1974">
        <v>1259</v>
      </c>
      <c r="AS592" s="1948">
        <v>2844</v>
      </c>
      <c r="AT592" s="1948">
        <v>13028</v>
      </c>
      <c r="AU592" s="1949">
        <f>AU381</f>
        <v>16082</v>
      </c>
      <c r="AV592" s="1948">
        <f>AV381</f>
        <v>15995</v>
      </c>
      <c r="AW592" s="1979">
        <v>20075</v>
      </c>
      <c r="AX592" s="1949">
        <v>37491</v>
      </c>
      <c r="AY592" s="1948">
        <v>31742</v>
      </c>
      <c r="AZ592" s="1948">
        <f>AZ381</f>
        <v>33915.874627999998</v>
      </c>
      <c r="BA592" s="1981">
        <f>BA381</f>
        <v>35095.438511003857</v>
      </c>
      <c r="BB592" s="1949">
        <f>BB381</f>
        <v>34359.234364019358</v>
      </c>
      <c r="BC592" s="1981">
        <f>BC381</f>
        <v>35853.146082220323</v>
      </c>
    </row>
    <row r="593" spans="1:55" s="1953" customFormat="1" ht="10.15" x14ac:dyDescent="0.3">
      <c r="A593" s="2017"/>
      <c r="B593" s="2476" t="s">
        <v>1242</v>
      </c>
      <c r="C593" s="1975"/>
      <c r="D593" s="1975"/>
      <c r="E593" s="2477"/>
      <c r="F593" s="1975"/>
      <c r="G593" s="1975"/>
      <c r="H593" s="1975"/>
      <c r="I593" s="1975"/>
      <c r="J593" s="1975"/>
      <c r="K593" s="1975"/>
      <c r="L593" s="1975"/>
      <c r="M593" s="1975"/>
      <c r="N593" s="1975"/>
      <c r="O593" s="1975"/>
      <c r="P593" s="1975"/>
      <c r="Q593" s="1975"/>
      <c r="R593" s="1975"/>
      <c r="S593" s="1975"/>
      <c r="T593" s="1975"/>
      <c r="U593" s="1975"/>
      <c r="V593" s="1975"/>
      <c r="W593" s="1948"/>
      <c r="X593" s="1975"/>
      <c r="Y593" s="1975"/>
      <c r="Z593" s="1975"/>
      <c r="AA593" s="1948"/>
      <c r="AB593" s="1975"/>
      <c r="AC593" s="1975"/>
      <c r="AD593" s="1975"/>
      <c r="AE593" s="1975"/>
      <c r="AF593" s="1975"/>
      <c r="AG593" s="1975"/>
      <c r="AH593" s="1975"/>
      <c r="AI593" s="1975"/>
      <c r="AJ593" s="1975"/>
      <c r="AK593" s="1975"/>
      <c r="AL593" s="1975"/>
      <c r="AM593" s="1975"/>
      <c r="AN593" s="1975"/>
      <c r="AO593" s="1975"/>
      <c r="AP593" s="1975"/>
      <c r="AQ593" s="1978">
        <v>0</v>
      </c>
      <c r="AR593" s="1979">
        <v>0</v>
      </c>
      <c r="AS593" s="1948">
        <v>1269</v>
      </c>
      <c r="AT593" s="1948">
        <v>0</v>
      </c>
      <c r="AU593" s="1949">
        <v>0</v>
      </c>
      <c r="AV593" s="1948">
        <v>0</v>
      </c>
      <c r="AW593" s="1979">
        <v>0</v>
      </c>
      <c r="AX593" s="1949">
        <v>0</v>
      </c>
      <c r="AY593" s="1948">
        <v>0</v>
      </c>
      <c r="AZ593" s="1948">
        <f>AZ388</f>
        <v>0</v>
      </c>
      <c r="BA593" s="1981">
        <f>BA388</f>
        <v>0</v>
      </c>
      <c r="BB593" s="1949">
        <f>BB388</f>
        <v>0</v>
      </c>
      <c r="BC593" s="1981">
        <f>BC388</f>
        <v>0</v>
      </c>
    </row>
    <row r="594" spans="1:55" s="1953" customFormat="1" ht="10.15" x14ac:dyDescent="0.3">
      <c r="A594" s="2017"/>
      <c r="B594" s="2476" t="s">
        <v>1243</v>
      </c>
      <c r="C594" s="1975"/>
      <c r="D594" s="1975"/>
      <c r="E594" s="2477"/>
      <c r="F594" s="1975"/>
      <c r="G594" s="1975"/>
      <c r="H594" s="1975"/>
      <c r="I594" s="1975"/>
      <c r="J594" s="1975"/>
      <c r="K594" s="1975"/>
      <c r="L594" s="1975"/>
      <c r="M594" s="1975"/>
      <c r="N594" s="1975"/>
      <c r="O594" s="1975"/>
      <c r="P594" s="1975"/>
      <c r="Q594" s="1975"/>
      <c r="R594" s="1975"/>
      <c r="S594" s="1975"/>
      <c r="T594" s="1975"/>
      <c r="U594" s="1975"/>
      <c r="V594" s="1975"/>
      <c r="W594" s="1948"/>
      <c r="X594" s="1975"/>
      <c r="Y594" s="1975"/>
      <c r="Z594" s="1975"/>
      <c r="AA594" s="1948"/>
      <c r="AB594" s="1975"/>
      <c r="AC594" s="1975"/>
      <c r="AD594" s="1975"/>
      <c r="AE594" s="1975"/>
      <c r="AF594" s="1975"/>
      <c r="AG594" s="1975"/>
      <c r="AH594" s="1975"/>
      <c r="AI594" s="1975"/>
      <c r="AJ594" s="1975"/>
      <c r="AK594" s="1975"/>
      <c r="AL594" s="1975"/>
      <c r="AM594" s="1975"/>
      <c r="AN594" s="1975"/>
      <c r="AO594" s="1975"/>
      <c r="AP594" s="1975"/>
      <c r="AQ594" s="1978"/>
      <c r="AR594" s="1979"/>
      <c r="AS594" s="1948"/>
      <c r="AT594" s="1948">
        <v>419</v>
      </c>
      <c r="AU594" s="1949">
        <v>1864</v>
      </c>
      <c r="AV594" s="1948">
        <v>2298</v>
      </c>
      <c r="AW594" s="1979">
        <v>1816</v>
      </c>
      <c r="AX594" s="1949">
        <v>10867</v>
      </c>
      <c r="AY594" s="1948">
        <v>13256</v>
      </c>
      <c r="AZ594" s="1948">
        <f>(AZ524+AZ525)*AZ671</f>
        <v>7721.1420000000007</v>
      </c>
      <c r="BA594" s="1981">
        <f>(BA524+BA525)*BA671</f>
        <v>8493.2562000000016</v>
      </c>
      <c r="BB594" s="1949">
        <f>(BB524+BB525)*BB671</f>
        <v>9342.5818200000031</v>
      </c>
      <c r="BC594" s="1981">
        <f>(BC524+BC525)*BC671</f>
        <v>10276.840002000004</v>
      </c>
    </row>
    <row r="595" spans="1:55" s="1953" customFormat="1" ht="10.15" x14ac:dyDescent="0.3">
      <c r="A595" s="2017"/>
      <c r="B595" s="2476" t="s">
        <v>1244</v>
      </c>
      <c r="C595" s="1975"/>
      <c r="D595" s="1975"/>
      <c r="E595" s="2248"/>
      <c r="F595" s="1975"/>
      <c r="G595" s="1975"/>
      <c r="H595" s="1975"/>
      <c r="I595" s="1975"/>
      <c r="J595" s="1975"/>
      <c r="K595" s="1975"/>
      <c r="L595" s="1975"/>
      <c r="M595" s="1975"/>
      <c r="N595" s="1975"/>
      <c r="O595" s="1975"/>
      <c r="P595" s="1975"/>
      <c r="Q595" s="1975"/>
      <c r="R595" s="1975"/>
      <c r="S595" s="1975"/>
      <c r="T595" s="1975"/>
      <c r="U595" s="1975"/>
      <c r="V595" s="1975"/>
      <c r="W595" s="1948"/>
      <c r="X595" s="1975"/>
      <c r="Y595" s="1975"/>
      <c r="Z595" s="1975"/>
      <c r="AA595" s="1948"/>
      <c r="AB595" s="1975"/>
      <c r="AC595" s="1975"/>
      <c r="AD595" s="1975"/>
      <c r="AE595" s="1975"/>
      <c r="AF595" s="1975"/>
      <c r="AG595" s="1975"/>
      <c r="AH595" s="1975"/>
      <c r="AI595" s="1975"/>
      <c r="AJ595" s="1975"/>
      <c r="AK595" s="1975"/>
      <c r="AL595" s="1975"/>
      <c r="AM595" s="1975"/>
      <c r="AN595" s="1975"/>
      <c r="AO595" s="1975"/>
      <c r="AP595" s="1975"/>
      <c r="AQ595" s="1976">
        <v>135</v>
      </c>
      <c r="AR595" s="1974">
        <v>175</v>
      </c>
      <c r="AS595" s="1948">
        <v>44</v>
      </c>
      <c r="AT595" s="1948">
        <v>175</v>
      </c>
      <c r="AU595" s="1949">
        <v>455</v>
      </c>
      <c r="AV595" s="1948">
        <v>857</v>
      </c>
      <c r="AW595" s="1979">
        <v>1295</v>
      </c>
      <c r="AX595" s="1949">
        <v>2843</v>
      </c>
      <c r="AY595" s="1948">
        <v>4104</v>
      </c>
      <c r="AZ595" s="1948">
        <f>(AZ529+AZ530)*AZ672</f>
        <v>3715.0190000000002</v>
      </c>
      <c r="BA595" s="1981">
        <f>(BA529+BA530)*BA672</f>
        <v>4086.5209000000009</v>
      </c>
      <c r="BB595" s="1949">
        <f>(BB529+BB530)*BB672</f>
        <v>4495.1729900000009</v>
      </c>
      <c r="BC595" s="1981">
        <f>(BC529+BC530)*BC672</f>
        <v>4944.6902890000019</v>
      </c>
    </row>
    <row r="596" spans="1:55" s="1953" customFormat="1" ht="10.15" x14ac:dyDescent="0.3">
      <c r="A596" s="2017"/>
      <c r="B596" s="2476" t="s">
        <v>1245</v>
      </c>
      <c r="C596" s="1975"/>
      <c r="D596" s="1975"/>
      <c r="E596" s="2248"/>
      <c r="F596" s="1975"/>
      <c r="G596" s="1975">
        <v>0</v>
      </c>
      <c r="H596" s="1975"/>
      <c r="I596" s="1975"/>
      <c r="J596" s="1975"/>
      <c r="K596" s="1975">
        <v>-5</v>
      </c>
      <c r="L596" s="1975"/>
      <c r="M596" s="1975"/>
      <c r="N596" s="1975"/>
      <c r="O596" s="1975"/>
      <c r="P596" s="1975"/>
      <c r="Q596" s="1975"/>
      <c r="R596" s="1975"/>
      <c r="S596" s="1975"/>
      <c r="T596" s="1975"/>
      <c r="U596" s="1975"/>
      <c r="V596" s="1975"/>
      <c r="W596" s="1948"/>
      <c r="X596" s="1975"/>
      <c r="Y596" s="1975"/>
      <c r="Z596" s="1975"/>
      <c r="AA596" s="1948"/>
      <c r="AB596" s="1975"/>
      <c r="AC596" s="1975"/>
      <c r="AD596" s="1975"/>
      <c r="AE596" s="1975"/>
      <c r="AF596" s="1975"/>
      <c r="AG596" s="1975"/>
      <c r="AH596" s="1975"/>
      <c r="AI596" s="1975"/>
      <c r="AJ596" s="1975"/>
      <c r="AK596" s="1975"/>
      <c r="AL596" s="1975"/>
      <c r="AM596" s="1975"/>
      <c r="AN596" s="1975"/>
      <c r="AO596" s="1975"/>
      <c r="AP596" s="1975"/>
      <c r="AQ596" s="1976">
        <v>3</v>
      </c>
      <c r="AR596" s="1974">
        <v>3</v>
      </c>
      <c r="AS596" s="1948">
        <v>0</v>
      </c>
      <c r="AT596" s="1948">
        <v>-13</v>
      </c>
      <c r="AU596" s="1949">
        <v>-11</v>
      </c>
      <c r="AV596" s="1979">
        <v>34</v>
      </c>
      <c r="AW596" s="1979">
        <v>-95</v>
      </c>
      <c r="AX596" s="1949">
        <v>55</v>
      </c>
      <c r="AY596" s="1979">
        <v>-24</v>
      </c>
      <c r="AZ596" s="1979">
        <f>AZ527*AZ667</f>
        <v>-31.578262962453351</v>
      </c>
      <c r="BA596" s="1977">
        <f>BA527*BA667</f>
        <v>-39.538317912017121</v>
      </c>
      <c r="BB596" s="1978">
        <f>BB527*BB667</f>
        <v>-49.561052209935063</v>
      </c>
      <c r="BC596" s="1977">
        <f>BC527*BC667</f>
        <v>-59.004439806592018</v>
      </c>
    </row>
    <row r="597" spans="1:55" s="1953" customFormat="1" ht="10.15" x14ac:dyDescent="0.3">
      <c r="A597" s="2017"/>
      <c r="B597" s="2476" t="s">
        <v>1246</v>
      </c>
      <c r="C597" s="1975"/>
      <c r="D597" s="1975"/>
      <c r="E597" s="2248"/>
      <c r="F597" s="1975"/>
      <c r="G597" s="1975"/>
      <c r="H597" s="1975"/>
      <c r="I597" s="1975"/>
      <c r="J597" s="1975"/>
      <c r="K597" s="1975"/>
      <c r="L597" s="1975"/>
      <c r="M597" s="1975"/>
      <c r="N597" s="1975"/>
      <c r="O597" s="1975"/>
      <c r="P597" s="1975"/>
      <c r="Q597" s="1975"/>
      <c r="R597" s="1975"/>
      <c r="S597" s="1975"/>
      <c r="T597" s="1975"/>
      <c r="U597" s="1975"/>
      <c r="V597" s="1975"/>
      <c r="W597" s="1948"/>
      <c r="X597" s="1975"/>
      <c r="Y597" s="1975"/>
      <c r="Z597" s="1975"/>
      <c r="AA597" s="1948"/>
      <c r="AB597" s="1975"/>
      <c r="AC597" s="1975"/>
      <c r="AD597" s="1975"/>
      <c r="AE597" s="1975"/>
      <c r="AF597" s="1975"/>
      <c r="AG597" s="1975"/>
      <c r="AH597" s="1975"/>
      <c r="AI597" s="1975"/>
      <c r="AJ597" s="1975"/>
      <c r="AK597" s="1975"/>
      <c r="AL597" s="1975"/>
      <c r="AM597" s="1975"/>
      <c r="AN597" s="1975"/>
      <c r="AO597" s="1975"/>
      <c r="AP597" s="1975"/>
      <c r="AQ597" s="1976"/>
      <c r="AR597" s="1974"/>
      <c r="AS597" s="1948"/>
      <c r="AT597" s="1948">
        <v>166</v>
      </c>
      <c r="AU597" s="1949">
        <v>264</v>
      </c>
      <c r="AV597" s="1979">
        <v>264</v>
      </c>
      <c r="AW597" s="1979">
        <v>264</v>
      </c>
      <c r="AX597" s="1949">
        <v>264</v>
      </c>
      <c r="AY597" s="1979">
        <v>97</v>
      </c>
      <c r="AZ597" s="1979">
        <f>AY597</f>
        <v>97</v>
      </c>
      <c r="BA597" s="1977">
        <f>AZ597</f>
        <v>97</v>
      </c>
      <c r="BB597" s="1978">
        <f>BA597</f>
        <v>97</v>
      </c>
      <c r="BC597" s="1977">
        <f>BB597</f>
        <v>97</v>
      </c>
    </row>
    <row r="598" spans="1:55" s="1953" customFormat="1" ht="10.15" x14ac:dyDescent="0.3">
      <c r="A598" s="2017"/>
      <c r="B598" s="2476" t="s">
        <v>1247</v>
      </c>
      <c r="C598" s="1975"/>
      <c r="D598" s="1975"/>
      <c r="E598" s="2248"/>
      <c r="F598" s="1975"/>
      <c r="G598" s="1975">
        <v>7</v>
      </c>
      <c r="H598" s="1975"/>
      <c r="I598" s="1975"/>
      <c r="J598" s="1975"/>
      <c r="K598" s="1975">
        <v>90</v>
      </c>
      <c r="L598" s="1975"/>
      <c r="M598" s="1975"/>
      <c r="N598" s="1975"/>
      <c r="O598" s="1975"/>
      <c r="P598" s="1975"/>
      <c r="Q598" s="1975"/>
      <c r="R598" s="1975"/>
      <c r="S598" s="1975"/>
      <c r="T598" s="1975"/>
      <c r="U598" s="1975"/>
      <c r="V598" s="1975"/>
      <c r="W598" s="1948"/>
      <c r="X598" s="1975"/>
      <c r="Y598" s="1975"/>
      <c r="Z598" s="1975"/>
      <c r="AA598" s="1948"/>
      <c r="AB598" s="1975"/>
      <c r="AC598" s="1975"/>
      <c r="AD598" s="1975"/>
      <c r="AE598" s="1975"/>
      <c r="AF598" s="1975"/>
      <c r="AG598" s="1975"/>
      <c r="AH598" s="1975"/>
      <c r="AI598" s="1975"/>
      <c r="AJ598" s="1975"/>
      <c r="AK598" s="1975"/>
      <c r="AL598" s="1975"/>
      <c r="AM598" s="1975"/>
      <c r="AN598" s="1975"/>
      <c r="AO598" s="1975"/>
      <c r="AP598" s="1975"/>
      <c r="AQ598" s="1976">
        <v>25</v>
      </c>
      <c r="AR598" s="1974">
        <v>6</v>
      </c>
      <c r="AS598" s="1948">
        <v>203</v>
      </c>
      <c r="AT598" s="1948">
        <v>1590</v>
      </c>
      <c r="AU598" s="1949">
        <f>-AU353</f>
        <v>1730</v>
      </c>
      <c r="AV598" s="1948">
        <f>-AV353</f>
        <v>5027</v>
      </c>
      <c r="AW598" s="1979">
        <v>20792</v>
      </c>
      <c r="AX598" s="1949">
        <v>-566</v>
      </c>
      <c r="AY598" s="1948">
        <v>5733</v>
      </c>
      <c r="AZ598" s="1948">
        <f>-AZ353</f>
        <v>-9529.7999999999993</v>
      </c>
      <c r="BA598" s="1981">
        <f>-BA353</f>
        <v>-16161.02</v>
      </c>
      <c r="BB598" s="1949">
        <f>-BB353</f>
        <v>-22111.718000000001</v>
      </c>
      <c r="BC598" s="1981">
        <f>-BC353</f>
        <v>-29738.106200000002</v>
      </c>
    </row>
    <row r="599" spans="1:55" s="1953" customFormat="1" ht="10.15" x14ac:dyDescent="0.3">
      <c r="A599" s="2017"/>
      <c r="B599" s="2476" t="s">
        <v>1248</v>
      </c>
      <c r="C599" s="1975"/>
      <c r="D599" s="1975"/>
      <c r="E599" s="2248"/>
      <c r="F599" s="1975"/>
      <c r="G599" s="1975">
        <v>285</v>
      </c>
      <c r="H599" s="1975"/>
      <c r="I599" s="1975"/>
      <c r="J599" s="1975"/>
      <c r="K599" s="1975">
        <v>473</v>
      </c>
      <c r="L599" s="1975"/>
      <c r="M599" s="1975"/>
      <c r="N599" s="1975"/>
      <c r="O599" s="1975"/>
      <c r="P599" s="1975"/>
      <c r="Q599" s="1975"/>
      <c r="R599" s="1975"/>
      <c r="S599" s="1975"/>
      <c r="T599" s="1975"/>
      <c r="U599" s="1975"/>
      <c r="V599" s="1975"/>
      <c r="W599" s="1948"/>
      <c r="X599" s="1975"/>
      <c r="Y599" s="1975"/>
      <c r="Z599" s="1975"/>
      <c r="AA599" s="1948"/>
      <c r="AB599" s="1975"/>
      <c r="AC599" s="1975"/>
      <c r="AD599" s="1975"/>
      <c r="AE599" s="1975"/>
      <c r="AF599" s="1975"/>
      <c r="AG599" s="1975"/>
      <c r="AH599" s="1975"/>
      <c r="AI599" s="1975"/>
      <c r="AJ599" s="1975"/>
      <c r="AK599" s="1975"/>
      <c r="AL599" s="1975"/>
      <c r="AM599" s="1975"/>
      <c r="AN599" s="1975"/>
      <c r="AO599" s="1975"/>
      <c r="AP599" s="1975"/>
      <c r="AQ599" s="1976">
        <v>150</v>
      </c>
      <c r="AR599" s="1974">
        <v>104</v>
      </c>
      <c r="AS599" s="1948">
        <v>1466</v>
      </c>
      <c r="AT599" s="1948">
        <v>1659</v>
      </c>
      <c r="AU599" s="1949">
        <v>1226</v>
      </c>
      <c r="AV599" s="1948">
        <v>281</v>
      </c>
      <c r="AW599" s="1979">
        <v>976</v>
      </c>
      <c r="AX599" s="1949">
        <v>-2197</v>
      </c>
      <c r="AY599" s="1948">
        <v>-3443</v>
      </c>
      <c r="AZ599" s="1948">
        <f t="shared" ref="AZ599:BC600" si="590">AY599*1.1</f>
        <v>-3787.3</v>
      </c>
      <c r="BA599" s="1981">
        <f t="shared" si="590"/>
        <v>-4166.0300000000007</v>
      </c>
      <c r="BB599" s="1949">
        <f t="shared" si="590"/>
        <v>-4582.6330000000007</v>
      </c>
      <c r="BC599" s="1981">
        <f t="shared" si="590"/>
        <v>-5040.8963000000012</v>
      </c>
    </row>
    <row r="600" spans="1:55" s="1953" customFormat="1" ht="10.15" x14ac:dyDescent="0.3">
      <c r="A600" s="2017"/>
      <c r="B600" s="2476" t="s">
        <v>1249</v>
      </c>
      <c r="C600" s="1975"/>
      <c r="D600" s="1975"/>
      <c r="E600" s="2248"/>
      <c r="F600" s="1975"/>
      <c r="G600" s="1975">
        <v>71</v>
      </c>
      <c r="H600" s="1975"/>
      <c r="I600" s="1975"/>
      <c r="J600" s="1975"/>
      <c r="K600" s="1975">
        <v>89</v>
      </c>
      <c r="L600" s="1975"/>
      <c r="M600" s="1975"/>
      <c r="N600" s="1975"/>
      <c r="O600" s="1975"/>
      <c r="P600" s="1975"/>
      <c r="Q600" s="1975"/>
      <c r="R600" s="1975"/>
      <c r="S600" s="1975"/>
      <c r="T600" s="1975"/>
      <c r="U600" s="1975"/>
      <c r="V600" s="1975"/>
      <c r="W600" s="1948"/>
      <c r="X600" s="1975"/>
      <c r="Y600" s="1975"/>
      <c r="Z600" s="1975"/>
      <c r="AA600" s="1948"/>
      <c r="AB600" s="1975"/>
      <c r="AC600" s="1975"/>
      <c r="AD600" s="1975"/>
      <c r="AE600" s="1975"/>
      <c r="AF600" s="1975"/>
      <c r="AG600" s="1975"/>
      <c r="AH600" s="1975"/>
      <c r="AI600" s="1975"/>
      <c r="AJ600" s="1975"/>
      <c r="AK600" s="1975"/>
      <c r="AL600" s="1975"/>
      <c r="AM600" s="1975"/>
      <c r="AN600" s="1975"/>
      <c r="AO600" s="1975"/>
      <c r="AP600" s="1975"/>
      <c r="AQ600" s="1976">
        <v>4</v>
      </c>
      <c r="AR600" s="1974">
        <v>120</v>
      </c>
      <c r="AS600" s="1948">
        <v>442</v>
      </c>
      <c r="AT600" s="1948">
        <v>861</v>
      </c>
      <c r="AU600" s="1949">
        <v>483</v>
      </c>
      <c r="AV600" s="1948">
        <v>1680</v>
      </c>
      <c r="AW600" s="1979">
        <v>601</v>
      </c>
      <c r="AX600" s="1949">
        <v>383</v>
      </c>
      <c r="AY600" s="1948">
        <v>1989</v>
      </c>
      <c r="AZ600" s="1948">
        <f t="shared" si="590"/>
        <v>2187.9</v>
      </c>
      <c r="BA600" s="1981">
        <f t="shared" si="590"/>
        <v>2406.6900000000005</v>
      </c>
      <c r="BB600" s="1949">
        <f t="shared" si="590"/>
        <v>2647.3590000000008</v>
      </c>
      <c r="BC600" s="1981">
        <f t="shared" si="590"/>
        <v>2912.094900000001</v>
      </c>
    </row>
    <row r="601" spans="1:55" s="1953" customFormat="1" ht="10.15" x14ac:dyDescent="0.3">
      <c r="A601" s="2017"/>
      <c r="B601" s="2487" t="s">
        <v>1250</v>
      </c>
      <c r="C601" s="1975"/>
      <c r="D601" s="1975"/>
      <c r="E601" s="2248"/>
      <c r="F601" s="1975"/>
      <c r="G601" s="1975"/>
      <c r="H601" s="1975"/>
      <c r="I601" s="1975"/>
      <c r="J601" s="1975"/>
      <c r="K601" s="1975"/>
      <c r="L601" s="1975"/>
      <c r="M601" s="1975"/>
      <c r="N601" s="1975"/>
      <c r="O601" s="1975"/>
      <c r="P601" s="1975"/>
      <c r="Q601" s="1975"/>
      <c r="R601" s="1975"/>
      <c r="S601" s="1975"/>
      <c r="T601" s="1975"/>
      <c r="U601" s="1975"/>
      <c r="V601" s="1975"/>
      <c r="W601" s="1948"/>
      <c r="X601" s="1975"/>
      <c r="Y601" s="1975"/>
      <c r="Z601" s="1975"/>
      <c r="AA601" s="1948"/>
      <c r="AB601" s="1975"/>
      <c r="AC601" s="1975"/>
      <c r="AD601" s="1975"/>
      <c r="AE601" s="1975"/>
      <c r="AF601" s="1975"/>
      <c r="AG601" s="1975"/>
      <c r="AH601" s="1975"/>
      <c r="AI601" s="1975"/>
      <c r="AJ601" s="1975"/>
      <c r="AK601" s="1975"/>
      <c r="AL601" s="1975"/>
      <c r="AM601" s="1975"/>
      <c r="AN601" s="1975"/>
      <c r="AO601" s="1975"/>
      <c r="AP601" s="1975"/>
      <c r="AQ601" s="1976"/>
      <c r="AR601" s="1974"/>
      <c r="AS601" s="1948"/>
      <c r="AT601" s="1948"/>
      <c r="AU601" s="1949"/>
      <c r="AV601" s="1948"/>
      <c r="AW601" s="1948"/>
      <c r="AX601" s="1949"/>
      <c r="AY601" s="1948"/>
      <c r="AZ601" s="1948"/>
      <c r="BA601" s="1981"/>
      <c r="BB601" s="1949"/>
      <c r="BC601" s="1981"/>
    </row>
    <row r="602" spans="1:55" s="1953" customFormat="1" ht="10.15" x14ac:dyDescent="0.3">
      <c r="A602" s="2017"/>
      <c r="B602" s="2476" t="s">
        <v>1176</v>
      </c>
      <c r="C602" s="1975"/>
      <c r="D602" s="1975"/>
      <c r="E602" s="2248"/>
      <c r="F602" s="1975"/>
      <c r="G602" s="1975"/>
      <c r="H602" s="1975"/>
      <c r="I602" s="1975"/>
      <c r="J602" s="1975"/>
      <c r="K602" s="1975">
        <v>-286</v>
      </c>
      <c r="L602" s="1975"/>
      <c r="M602" s="1975"/>
      <c r="N602" s="1975"/>
      <c r="O602" s="1975"/>
      <c r="P602" s="1975"/>
      <c r="Q602" s="1975"/>
      <c r="R602" s="1975"/>
      <c r="S602" s="1975"/>
      <c r="T602" s="1975"/>
      <c r="U602" s="1975"/>
      <c r="V602" s="1975"/>
      <c r="W602" s="1948"/>
      <c r="X602" s="1975"/>
      <c r="Y602" s="1975"/>
      <c r="Z602" s="1975"/>
      <c r="AA602" s="1948"/>
      <c r="AB602" s="1975"/>
      <c r="AC602" s="1975"/>
      <c r="AD602" s="1975"/>
      <c r="AE602" s="1975"/>
      <c r="AF602" s="1975"/>
      <c r="AG602" s="1975"/>
      <c r="AH602" s="1975"/>
      <c r="AI602" s="1975"/>
      <c r="AJ602" s="1975"/>
      <c r="AK602" s="1975"/>
      <c r="AL602" s="1975"/>
      <c r="AM602" s="1975"/>
      <c r="AN602" s="1975"/>
      <c r="AO602" s="1975"/>
      <c r="AP602" s="1975"/>
      <c r="AQ602" s="1976">
        <v>-113</v>
      </c>
      <c r="AR602" s="1974">
        <v>-974</v>
      </c>
      <c r="AS602" s="1948">
        <v>-1329</v>
      </c>
      <c r="AT602" s="1948">
        <v>-851</v>
      </c>
      <c r="AU602" s="1949">
        <v>0</v>
      </c>
      <c r="AV602" s="1948">
        <v>0</v>
      </c>
      <c r="AW602" s="1979">
        <v>0</v>
      </c>
      <c r="AX602" s="1949">
        <v>0</v>
      </c>
      <c r="AY602" s="1948">
        <v>0</v>
      </c>
      <c r="AZ602" s="1948">
        <v>0</v>
      </c>
      <c r="BA602" s="1981">
        <v>0</v>
      </c>
      <c r="BB602" s="1949">
        <v>0</v>
      </c>
      <c r="BC602" s="1981">
        <v>0</v>
      </c>
    </row>
    <row r="603" spans="1:55" s="1953" customFormat="1" ht="10.15" x14ac:dyDescent="0.3">
      <c r="A603" s="2640"/>
      <c r="B603" s="2476" t="s">
        <v>1251</v>
      </c>
      <c r="C603" s="1975"/>
      <c r="D603" s="1975"/>
      <c r="E603" s="2248"/>
      <c r="F603" s="1975"/>
      <c r="G603" s="1975">
        <v>1786</v>
      </c>
      <c r="H603" s="1975">
        <v>3153</v>
      </c>
      <c r="I603" s="1975">
        <v>3428</v>
      </c>
      <c r="J603" s="1975">
        <v>808</v>
      </c>
      <c r="K603" s="1975">
        <f>(-6338-L603)*-1</f>
        <v>11104</v>
      </c>
      <c r="L603" s="1975">
        <v>4766</v>
      </c>
      <c r="M603" s="1975">
        <v>4738</v>
      </c>
      <c r="N603" s="1975">
        <v>598</v>
      </c>
      <c r="O603" s="1975">
        <v>278</v>
      </c>
      <c r="P603" s="2643">
        <v>-240</v>
      </c>
      <c r="Q603" s="1975">
        <v>-146</v>
      </c>
      <c r="R603" s="1975"/>
      <c r="S603" s="1975">
        <v>581</v>
      </c>
      <c r="T603" s="1975">
        <v>85</v>
      </c>
      <c r="U603" s="1975">
        <v>-48</v>
      </c>
      <c r="V603" s="1975">
        <v>66</v>
      </c>
      <c r="W603" s="1948">
        <v>0</v>
      </c>
      <c r="X603" s="1975">
        <v>0</v>
      </c>
      <c r="Y603" s="1975"/>
      <c r="Z603" s="1975"/>
      <c r="AA603" s="1948"/>
      <c r="AB603" s="1975"/>
      <c r="AC603" s="1975"/>
      <c r="AD603" s="1975"/>
      <c r="AE603" s="1975"/>
      <c r="AF603" s="1975"/>
      <c r="AG603" s="1975"/>
      <c r="AH603" s="1975"/>
      <c r="AI603" s="1975"/>
      <c r="AJ603" s="1975"/>
      <c r="AK603" s="1975"/>
      <c r="AL603" s="1975"/>
      <c r="AM603" s="1975"/>
      <c r="AN603" s="1975"/>
      <c r="AO603" s="1975"/>
      <c r="AP603" s="1975"/>
      <c r="AQ603" s="1976">
        <v>-226</v>
      </c>
      <c r="AR603" s="1974">
        <v>-2828</v>
      </c>
      <c r="AS603" s="1948">
        <v>-9175</v>
      </c>
      <c r="AT603" s="1948">
        <v>0</v>
      </c>
      <c r="AU603" s="1949">
        <v>0</v>
      </c>
      <c r="AV603" s="1948">
        <f>AU522-AV522</f>
        <v>0</v>
      </c>
      <c r="AW603" s="1979">
        <v>0</v>
      </c>
      <c r="AX603" s="1949">
        <v>0</v>
      </c>
      <c r="AY603" s="1948">
        <v>0</v>
      </c>
      <c r="AZ603" s="1948">
        <f>AY522-AZ522</f>
        <v>0</v>
      </c>
      <c r="BA603" s="1981">
        <f>AZ522-BA522</f>
        <v>0</v>
      </c>
      <c r="BB603" s="1949">
        <f>BA522-BB522</f>
        <v>0</v>
      </c>
      <c r="BC603" s="1981">
        <f>BB522-BC522</f>
        <v>0</v>
      </c>
    </row>
    <row r="604" spans="1:55" s="1953" customFormat="1" ht="10.15" x14ac:dyDescent="0.3">
      <c r="A604" s="2017"/>
      <c r="B604" s="2476" t="s">
        <v>1179</v>
      </c>
      <c r="C604" s="1975"/>
      <c r="D604" s="1975"/>
      <c r="E604" s="2248"/>
      <c r="F604" s="1975"/>
      <c r="G604" s="1975">
        <v>-382</v>
      </c>
      <c r="H604" s="1975"/>
      <c r="I604" s="1975"/>
      <c r="J604" s="1975"/>
      <c r="K604" s="1975">
        <v>228</v>
      </c>
      <c r="L604" s="1975"/>
      <c r="M604" s="1975"/>
      <c r="N604" s="1975"/>
      <c r="O604" s="1975"/>
      <c r="P604" s="2643"/>
      <c r="Q604" s="1975"/>
      <c r="R604" s="1975"/>
      <c r="S604" s="1975"/>
      <c r="T604" s="1975"/>
      <c r="U604" s="1975"/>
      <c r="V604" s="1975"/>
      <c r="W604" s="1948"/>
      <c r="X604" s="1975"/>
      <c r="Y604" s="1975"/>
      <c r="Z604" s="1975"/>
      <c r="AA604" s="1948"/>
      <c r="AB604" s="1975"/>
      <c r="AC604" s="1975"/>
      <c r="AD604" s="1975"/>
      <c r="AE604" s="1975"/>
      <c r="AF604" s="1975"/>
      <c r="AG604" s="1975"/>
      <c r="AH604" s="1975"/>
      <c r="AI604" s="1975"/>
      <c r="AJ604" s="1975"/>
      <c r="AK604" s="1975"/>
      <c r="AL604" s="1975"/>
      <c r="AM604" s="1975"/>
      <c r="AN604" s="1975"/>
      <c r="AO604" s="1975"/>
      <c r="AP604" s="1975"/>
      <c r="AQ604" s="1976">
        <v>-240</v>
      </c>
      <c r="AR604" s="1974">
        <v>-354</v>
      </c>
      <c r="AS604" s="1948">
        <v>-3567</v>
      </c>
      <c r="AT604" s="1948">
        <v>-14138</v>
      </c>
      <c r="AU604" s="1949">
        <v>-4504</v>
      </c>
      <c r="AV604" s="1948">
        <v>-8237</v>
      </c>
      <c r="AW604" s="1979">
        <v>-14765</v>
      </c>
      <c r="AX604" s="1949">
        <v>-10185</v>
      </c>
      <c r="AY604" s="1948">
        <v>-43386</v>
      </c>
      <c r="AZ604" s="1948">
        <f>AY520+AY526-AZ520-AZ526</f>
        <v>-50295.625188379607</v>
      </c>
      <c r="BA604" s="1981">
        <f>AZ520+AZ526-BA520-BA526</f>
        <v>-50706.319453737538</v>
      </c>
      <c r="BB604" s="1949">
        <f>BA520+BA526-BB520-BB526</f>
        <v>-55083.992925209517</v>
      </c>
      <c r="BC604" s="1981">
        <f>BB520+BB526-BC520-BC526</f>
        <v>-61401.782559540821</v>
      </c>
    </row>
    <row r="605" spans="1:55" s="1953" customFormat="1" ht="10.15" x14ac:dyDescent="0.3">
      <c r="A605" s="2017"/>
      <c r="B605" s="2476" t="s">
        <v>1193</v>
      </c>
      <c r="C605" s="1975"/>
      <c r="D605" s="1975"/>
      <c r="E605" s="2248"/>
      <c r="F605" s="1975"/>
      <c r="G605" s="1975">
        <v>187</v>
      </c>
      <c r="H605" s="1975"/>
      <c r="I605" s="1975"/>
      <c r="J605" s="1975"/>
      <c r="K605" s="1975">
        <v>-15</v>
      </c>
      <c r="L605" s="1975"/>
      <c r="M605" s="1975"/>
      <c r="N605" s="1975"/>
      <c r="O605" s="1975"/>
      <c r="P605" s="2643"/>
      <c r="Q605" s="1975"/>
      <c r="R605" s="1975"/>
      <c r="S605" s="1975"/>
      <c r="T605" s="1975"/>
      <c r="U605" s="1975"/>
      <c r="V605" s="1975"/>
      <c r="W605" s="1948"/>
      <c r="X605" s="1975"/>
      <c r="Y605" s="1975"/>
      <c r="Z605" s="1975"/>
      <c r="AA605" s="1948"/>
      <c r="AB605" s="1975"/>
      <c r="AC605" s="1975"/>
      <c r="AD605" s="1975"/>
      <c r="AE605" s="1975"/>
      <c r="AF605" s="1975"/>
      <c r="AG605" s="1975"/>
      <c r="AH605" s="1975"/>
      <c r="AI605" s="1975"/>
      <c r="AJ605" s="1975"/>
      <c r="AK605" s="1975"/>
      <c r="AL605" s="1975"/>
      <c r="AM605" s="1975"/>
      <c r="AN605" s="1975"/>
      <c r="AO605" s="1975"/>
      <c r="AP605" s="1975"/>
      <c r="AQ605" s="1976">
        <v>230</v>
      </c>
      <c r="AR605" s="1974">
        <v>-116</v>
      </c>
      <c r="AS605" s="1948">
        <v>1008</v>
      </c>
      <c r="AT605" s="1948">
        <v>1410</v>
      </c>
      <c r="AU605" s="1949">
        <v>1237</v>
      </c>
      <c r="AV605" s="1948">
        <v>4698</v>
      </c>
      <c r="AW605" s="1979">
        <v>6610</v>
      </c>
      <c r="AX605" s="1949">
        <v>3060</v>
      </c>
      <c r="AY605" s="1948">
        <v>2538</v>
      </c>
      <c r="AZ605" s="1948">
        <f t="shared" ref="AZ605:BC609" si="591">AZ537-AY537</f>
        <v>-1009.5</v>
      </c>
      <c r="BA605" s="1981">
        <f t="shared" si="591"/>
        <v>-959.02500000000146</v>
      </c>
      <c r="BB605" s="1949">
        <f t="shared" si="591"/>
        <v>-911.07374999999956</v>
      </c>
      <c r="BC605" s="1981">
        <f t="shared" si="591"/>
        <v>-865.52006249999977</v>
      </c>
    </row>
    <row r="606" spans="1:55" s="1953" customFormat="1" ht="10.15" x14ac:dyDescent="0.3">
      <c r="A606" s="2017"/>
      <c r="B606" s="2476" t="s">
        <v>1252</v>
      </c>
      <c r="C606" s="1975"/>
      <c r="D606" s="1975"/>
      <c r="E606" s="2248"/>
      <c r="F606" s="1975"/>
      <c r="G606" s="1975">
        <v>241</v>
      </c>
      <c r="H606" s="1975"/>
      <c r="I606" s="1975"/>
      <c r="J606" s="1975"/>
      <c r="K606" s="1975">
        <v>271</v>
      </c>
      <c r="L606" s="1975"/>
      <c r="M606" s="1975"/>
      <c r="N606" s="1975"/>
      <c r="O606" s="1975"/>
      <c r="P606" s="2643"/>
      <c r="Q606" s="1975"/>
      <c r="R606" s="1975"/>
      <c r="S606" s="1975"/>
      <c r="T606" s="1975"/>
      <c r="U606" s="1975"/>
      <c r="V606" s="1975"/>
      <c r="W606" s="1948"/>
      <c r="X606" s="1975"/>
      <c r="Y606" s="1975"/>
      <c r="Z606" s="1975"/>
      <c r="AA606" s="1948"/>
      <c r="AB606" s="1975"/>
      <c r="AC606" s="1975"/>
      <c r="AD606" s="1975"/>
      <c r="AE606" s="1975"/>
      <c r="AF606" s="1975"/>
      <c r="AG606" s="1975"/>
      <c r="AH606" s="1975"/>
      <c r="AI606" s="1975"/>
      <c r="AJ606" s="1975"/>
      <c r="AK606" s="1975"/>
      <c r="AL606" s="1975"/>
      <c r="AM606" s="1975"/>
      <c r="AN606" s="1975"/>
      <c r="AO606" s="1975"/>
      <c r="AP606" s="1975"/>
      <c r="AQ606" s="1976">
        <v>94</v>
      </c>
      <c r="AR606" s="1974">
        <v>976</v>
      </c>
      <c r="AS606" s="1948">
        <v>1344</v>
      </c>
      <c r="AT606" s="1948">
        <v>837</v>
      </c>
      <c r="AU606" s="1949">
        <f>-AT538+AU538</f>
        <v>0</v>
      </c>
      <c r="AV606" s="1948">
        <v>2528</v>
      </c>
      <c r="AW606" s="1979">
        <v>643</v>
      </c>
      <c r="AX606" s="1949">
        <v>5197</v>
      </c>
      <c r="AY606" s="1948">
        <v>-5216</v>
      </c>
      <c r="AZ606" s="1948">
        <f t="shared" si="591"/>
        <v>753.5</v>
      </c>
      <c r="BA606" s="1981">
        <f t="shared" si="591"/>
        <v>941.875</v>
      </c>
      <c r="BB606" s="1949">
        <f t="shared" si="591"/>
        <v>1177.34375</v>
      </c>
      <c r="BC606" s="1981">
        <f t="shared" si="591"/>
        <v>1471.6796875</v>
      </c>
    </row>
    <row r="607" spans="1:55" s="1953" customFormat="1" ht="10.15" x14ac:dyDescent="0.3">
      <c r="A607" s="2017"/>
      <c r="B607" s="2476" t="s">
        <v>1253</v>
      </c>
      <c r="C607" s="1975"/>
      <c r="D607" s="1975"/>
      <c r="E607" s="2248"/>
      <c r="F607" s="1975"/>
      <c r="G607" s="1975">
        <v>1026</v>
      </c>
      <c r="H607" s="1975"/>
      <c r="I607" s="1975"/>
      <c r="J607" s="1975"/>
      <c r="K607" s="1975">
        <v>1906</v>
      </c>
      <c r="L607" s="1975"/>
      <c r="M607" s="1975"/>
      <c r="N607" s="1975"/>
      <c r="O607" s="1975"/>
      <c r="P607" s="2643"/>
      <c r="Q607" s="1975"/>
      <c r="R607" s="1975"/>
      <c r="S607" s="1975"/>
      <c r="T607" s="1975"/>
      <c r="U607" s="1975"/>
      <c r="V607" s="1975"/>
      <c r="W607" s="1948"/>
      <c r="X607" s="1975"/>
      <c r="Y607" s="1975"/>
      <c r="Z607" s="1975"/>
      <c r="AA607" s="1948"/>
      <c r="AB607" s="1975"/>
      <c r="AC607" s="1975"/>
      <c r="AD607" s="1975"/>
      <c r="AE607" s="1975"/>
      <c r="AF607" s="1975"/>
      <c r="AG607" s="1975"/>
      <c r="AH607" s="1975"/>
      <c r="AI607" s="1975"/>
      <c r="AJ607" s="1975"/>
      <c r="AK607" s="1975"/>
      <c r="AL607" s="1975"/>
      <c r="AM607" s="1975"/>
      <c r="AN607" s="1975"/>
      <c r="AO607" s="1975"/>
      <c r="AP607" s="1975"/>
      <c r="AQ607" s="1976">
        <v>1332</v>
      </c>
      <c r="AR607" s="1974">
        <v>3657</v>
      </c>
      <c r="AS607" s="1948">
        <v>3992</v>
      </c>
      <c r="AT607" s="1948">
        <v>10494</v>
      </c>
      <c r="AU607" s="1949">
        <v>7757</v>
      </c>
      <c r="AV607" s="1948">
        <v>5312</v>
      </c>
      <c r="AW607" s="1979">
        <v>23158</v>
      </c>
      <c r="AX607" s="1949">
        <v>24355</v>
      </c>
      <c r="AY607" s="1948">
        <v>56690</v>
      </c>
      <c r="AZ607" s="1948">
        <f t="shared" si="591"/>
        <v>47652.797206544172</v>
      </c>
      <c r="BA607" s="1981">
        <f t="shared" si="591"/>
        <v>31182.87462052895</v>
      </c>
      <c r="BB607" s="1949">
        <f t="shared" si="591"/>
        <v>-6062.7696572797722</v>
      </c>
      <c r="BC607" s="1981">
        <f t="shared" si="591"/>
        <v>-19947.130154879735</v>
      </c>
    </row>
    <row r="608" spans="1:55" s="1953" customFormat="1" ht="10.15" x14ac:dyDescent="0.3">
      <c r="A608" s="2017"/>
      <c r="B608" s="2476" t="s">
        <v>1196</v>
      </c>
      <c r="C608" s="1975"/>
      <c r="D608" s="1975"/>
      <c r="E608" s="2248"/>
      <c r="F608" s="1975"/>
      <c r="G608" s="1975">
        <v>622</v>
      </c>
      <c r="H608" s="1975"/>
      <c r="I608" s="1975"/>
      <c r="J608" s="1975"/>
      <c r="K608" s="1975">
        <v>1121</v>
      </c>
      <c r="L608" s="1975"/>
      <c r="M608" s="1975"/>
      <c r="N608" s="1975"/>
      <c r="O608" s="1975"/>
      <c r="P608" s="2643"/>
      <c r="Q608" s="1975">
        <f>Q610/Q609</f>
        <v>7.0891891891891889</v>
      </c>
      <c r="R608" s="1975"/>
      <c r="S608" s="1975"/>
      <c r="T608" s="1975"/>
      <c r="U608" s="1975"/>
      <c r="V608" s="1975"/>
      <c r="W608" s="1948"/>
      <c r="X608" s="1975"/>
      <c r="Y608" s="1975"/>
      <c r="Z608" s="1975"/>
      <c r="AA608" s="1948"/>
      <c r="AB608" s="1975"/>
      <c r="AC608" s="1975"/>
      <c r="AD608" s="1975"/>
      <c r="AE608" s="1975"/>
      <c r="AF608" s="1975"/>
      <c r="AG608" s="1975"/>
      <c r="AH608" s="1975"/>
      <c r="AI608" s="1975"/>
      <c r="AJ608" s="1975"/>
      <c r="AK608" s="1975"/>
      <c r="AL608" s="1975"/>
      <c r="AM608" s="1975"/>
      <c r="AN608" s="1975"/>
      <c r="AO608" s="1975"/>
      <c r="AP608" s="1975"/>
      <c r="AQ608" s="1976">
        <v>583</v>
      </c>
      <c r="AR608" s="1974">
        <v>2338</v>
      </c>
      <c r="AS608" s="1948">
        <v>1628</v>
      </c>
      <c r="AT608" s="1948">
        <v>2490</v>
      </c>
      <c r="AU608" s="1949">
        <v>113</v>
      </c>
      <c r="AV608" s="1948">
        <v>875</v>
      </c>
      <c r="AW608" s="1979">
        <v>1389</v>
      </c>
      <c r="AX608" s="1949">
        <v>1184</v>
      </c>
      <c r="AY608" s="1948">
        <v>2878</v>
      </c>
      <c r="AZ608" s="1948">
        <f t="shared" si="591"/>
        <v>2728</v>
      </c>
      <c r="BA608" s="1981">
        <f t="shared" si="591"/>
        <v>3273.5999999999985</v>
      </c>
      <c r="BB608" s="1949">
        <f t="shared" si="591"/>
        <v>3928.3199999999997</v>
      </c>
      <c r="BC608" s="1981">
        <f t="shared" si="591"/>
        <v>4713.9840000000004</v>
      </c>
    </row>
    <row r="609" spans="1:71" s="1953" customFormat="1" ht="10.15" x14ac:dyDescent="0.3">
      <c r="A609" s="2017"/>
      <c r="B609" s="2476" t="s">
        <v>1254</v>
      </c>
      <c r="C609" s="1975"/>
      <c r="D609" s="1975"/>
      <c r="E609" s="2248"/>
      <c r="F609" s="1975"/>
      <c r="G609" s="1975">
        <v>361</v>
      </c>
      <c r="H609" s="1975"/>
      <c r="I609" s="1975"/>
      <c r="J609" s="1975"/>
      <c r="K609" s="1975">
        <v>124</v>
      </c>
      <c r="L609" s="1975"/>
      <c r="M609" s="1975"/>
      <c r="N609" s="1975"/>
      <c r="O609" s="1975"/>
      <c r="P609" s="2643"/>
      <c r="Q609" s="1975">
        <v>3700</v>
      </c>
      <c r="R609" s="1975"/>
      <c r="S609" s="1975"/>
      <c r="T609" s="1975"/>
      <c r="U609" s="1975"/>
      <c r="V609" s="1975"/>
      <c r="W609" s="1948"/>
      <c r="X609" s="1975"/>
      <c r="Y609" s="1975"/>
      <c r="Z609" s="1975"/>
      <c r="AA609" s="1948"/>
      <c r="AB609" s="1975"/>
      <c r="AC609" s="1975"/>
      <c r="AD609" s="1975"/>
      <c r="AE609" s="1975"/>
      <c r="AF609" s="1975"/>
      <c r="AG609" s="1975"/>
      <c r="AH609" s="1975"/>
      <c r="AI609" s="1975"/>
      <c r="AJ609" s="1975"/>
      <c r="AK609" s="1975"/>
      <c r="AL609" s="1975"/>
      <c r="AM609" s="1975"/>
      <c r="AN609" s="1975"/>
      <c r="AO609" s="1975"/>
      <c r="AP609" s="1975"/>
      <c r="AQ609" s="1976">
        <v>128</v>
      </c>
      <c r="AR609" s="1974">
        <v>437</v>
      </c>
      <c r="AS609" s="1948">
        <v>1606</v>
      </c>
      <c r="AT609" s="1948">
        <v>1317</v>
      </c>
      <c r="AU609" s="1949">
        <v>2350</v>
      </c>
      <c r="AV609" s="1948">
        <v>4611</v>
      </c>
      <c r="AW609" s="1979">
        <v>5690</v>
      </c>
      <c r="AX609" s="1949">
        <v>8639</v>
      </c>
      <c r="AY609" s="1948">
        <v>7914</v>
      </c>
      <c r="AZ609" s="1948">
        <f t="shared" si="591"/>
        <v>15935.824917370308</v>
      </c>
      <c r="BA609" s="1981">
        <f t="shared" si="591"/>
        <v>14295.523673392498</v>
      </c>
      <c r="BB609" s="1949">
        <f t="shared" si="591"/>
        <v>15529.711747384092</v>
      </c>
      <c r="BC609" s="1981">
        <f t="shared" si="591"/>
        <v>17310.872601772222</v>
      </c>
    </row>
    <row r="610" spans="1:71" s="2652" customFormat="1" ht="12.75" x14ac:dyDescent="0.35">
      <c r="A610" s="2017"/>
      <c r="B610" s="2644" t="s">
        <v>1255</v>
      </c>
      <c r="C610" s="2645"/>
      <c r="D610" s="2645"/>
      <c r="E610" s="2646"/>
      <c r="F610" s="2645"/>
      <c r="G610" s="2645">
        <v>5131</v>
      </c>
      <c r="H610" s="2645">
        <v>4526</v>
      </c>
      <c r="I610" s="2645">
        <v>14922</v>
      </c>
      <c r="J610" s="2645">
        <v>1800</v>
      </c>
      <c r="K610" s="2645">
        <f>SUM(K581:K609)</f>
        <v>22853</v>
      </c>
      <c r="L610" s="2645">
        <v>5865</v>
      </c>
      <c r="M610" s="2645">
        <v>19408</v>
      </c>
      <c r="N610" s="2645">
        <v>5767</v>
      </c>
      <c r="O610" s="2645">
        <v>10400</v>
      </c>
      <c r="P610" s="2647">
        <v>15124</v>
      </c>
      <c r="Q610" s="2647">
        <v>26230</v>
      </c>
      <c r="R610" s="2645">
        <v>5082</v>
      </c>
      <c r="S610" s="2645">
        <v>14958</v>
      </c>
      <c r="T610" s="2645">
        <v>17206</v>
      </c>
      <c r="U610" s="2645">
        <v>37416</v>
      </c>
      <c r="V610" s="2645">
        <v>10746</v>
      </c>
      <c r="W610" s="2645">
        <v>25873</v>
      </c>
      <c r="X610" s="2645">
        <v>30121</v>
      </c>
      <c r="Y610" s="2645">
        <v>55428</v>
      </c>
      <c r="Z610" s="2645">
        <v>14383</v>
      </c>
      <c r="AA610" s="2645">
        <v>36117</v>
      </c>
      <c r="AB610" s="2645">
        <v>31407</v>
      </c>
      <c r="AC610" s="2645">
        <v>64898</v>
      </c>
      <c r="AD610" s="2645">
        <v>18553</v>
      </c>
      <c r="AE610" s="2645">
        <v>34612</v>
      </c>
      <c r="AF610" s="2645">
        <v>47326</v>
      </c>
      <c r="AG610" s="2645">
        <v>96505</v>
      </c>
      <c r="AH610" s="2645">
        <v>2164</v>
      </c>
      <c r="AI610" s="2645">
        <v>50099</v>
      </c>
      <c r="AJ610" s="2645"/>
      <c r="AK610" s="2645"/>
      <c r="AL610" s="2645"/>
      <c r="AM610" s="2645"/>
      <c r="AN610" s="2645"/>
      <c r="AO610" s="2645"/>
      <c r="AP610" s="2645"/>
      <c r="AQ610" s="2648">
        <v>9275</v>
      </c>
      <c r="AR610" s="2646">
        <v>14476</v>
      </c>
      <c r="AS610" s="2645">
        <v>26379</v>
      </c>
      <c r="AT610" s="2645">
        <f>SUM(AT581:AT609)</f>
        <v>41217</v>
      </c>
      <c r="AU610" s="2649">
        <f>SUM(AU581:AU609)</f>
        <v>56836</v>
      </c>
      <c r="AV610" s="2645">
        <f>SUM(AV581:AV609)</f>
        <v>82854</v>
      </c>
      <c r="AW610" s="2645">
        <f>SUM(AW581:AW609)</f>
        <v>125805</v>
      </c>
      <c r="AX610" s="2649">
        <f>SUM(AX581:AX609)</f>
        <v>150975</v>
      </c>
      <c r="AY610" s="2645">
        <f>SUM(AE610:AH610)</f>
        <v>180607</v>
      </c>
      <c r="AZ610" s="2645">
        <f>SUM(AZ581:AZ609)</f>
        <v>217705.13952726874</v>
      </c>
      <c r="BA610" s="2650">
        <f>SUM(BA581:BA609)</f>
        <v>254218.33767309494</v>
      </c>
      <c r="BB610" s="2649">
        <f>SUM(BB581:BB609)</f>
        <v>278173.59082452522</v>
      </c>
      <c r="BC610" s="2650">
        <f>SUM(BC581:BC609)</f>
        <v>334701.8719145722</v>
      </c>
      <c r="BD610" s="2651"/>
      <c r="BE610" s="2651"/>
      <c r="BF610" s="2651"/>
      <c r="BG610" s="2651"/>
      <c r="BH610" s="2651"/>
      <c r="BI610" s="2651"/>
      <c r="BJ610" s="2651"/>
      <c r="BK610" s="2651"/>
      <c r="BL610" s="2651"/>
      <c r="BM610" s="2651"/>
      <c r="BN610" s="2651"/>
      <c r="BO610" s="2651"/>
      <c r="BP610" s="2651"/>
      <c r="BQ610" s="2651"/>
      <c r="BR610" s="2651"/>
      <c r="BS610" s="2651"/>
    </row>
    <row r="611" spans="1:71" s="1953" customFormat="1" ht="10.15" x14ac:dyDescent="0.3">
      <c r="A611" s="2017"/>
      <c r="B611" s="2487" t="s">
        <v>1256</v>
      </c>
      <c r="C611" s="1975"/>
      <c r="D611" s="1975"/>
      <c r="E611" s="2248"/>
      <c r="F611" s="1975"/>
      <c r="G611" s="1975"/>
      <c r="H611" s="1975"/>
      <c r="I611" s="1975"/>
      <c r="J611" s="1975"/>
      <c r="K611" s="1975"/>
      <c r="L611" s="1975"/>
      <c r="M611" s="1975"/>
      <c r="N611" s="1975"/>
      <c r="O611" s="1975"/>
      <c r="P611" s="2643"/>
      <c r="Q611" s="1975"/>
      <c r="R611" s="1975"/>
      <c r="S611" s="1975"/>
      <c r="T611" s="1975"/>
      <c r="U611" s="1975"/>
      <c r="V611" s="1975"/>
      <c r="W611" s="1948"/>
      <c r="X611" s="1975"/>
      <c r="Y611" s="1975"/>
      <c r="Z611" s="1975"/>
      <c r="AA611" s="1948"/>
      <c r="AB611" s="1975"/>
      <c r="AC611" s="1975"/>
      <c r="AD611" s="1975"/>
      <c r="AE611" s="1975"/>
      <c r="AF611" s="1975"/>
      <c r="AG611" s="1975"/>
      <c r="AH611" s="1975"/>
      <c r="AI611" s="1975"/>
      <c r="AJ611" s="1975"/>
      <c r="AK611" s="1975"/>
      <c r="AL611" s="1975"/>
      <c r="AM611" s="1975"/>
      <c r="AN611" s="1975"/>
      <c r="AO611" s="1975"/>
      <c r="AP611" s="1975"/>
      <c r="AQ611" s="2067"/>
      <c r="AR611" s="1972"/>
      <c r="AS611" s="1950"/>
      <c r="AT611" s="1950"/>
      <c r="AU611" s="1952"/>
      <c r="AV611" s="1950"/>
      <c r="AW611" s="1950"/>
      <c r="AX611" s="1952"/>
      <c r="AY611" s="1950"/>
      <c r="AZ611" s="1950"/>
      <c r="BA611" s="1951"/>
      <c r="BB611" s="1952"/>
      <c r="BC611" s="1951"/>
    </row>
    <row r="612" spans="1:71" s="1953" customFormat="1" ht="10.15" x14ac:dyDescent="0.3">
      <c r="A612" s="2017"/>
      <c r="B612" s="2476" t="s">
        <v>1257</v>
      </c>
      <c r="C612" s="1975"/>
      <c r="D612" s="1975"/>
      <c r="E612" s="2248"/>
      <c r="F612" s="1975"/>
      <c r="G612" s="1975">
        <v>-139</v>
      </c>
      <c r="H612" s="1975"/>
      <c r="I612" s="1975"/>
      <c r="J612" s="1975"/>
      <c r="K612" s="1975">
        <v>5033</v>
      </c>
      <c r="L612" s="1975">
        <v>13807</v>
      </c>
      <c r="M612" s="1975"/>
      <c r="N612" s="1975"/>
      <c r="O612" s="1975"/>
      <c r="P612" s="2643"/>
      <c r="Q612" s="1975"/>
      <c r="R612" s="1975"/>
      <c r="S612" s="1975"/>
      <c r="T612" s="1975"/>
      <c r="U612" s="1975"/>
      <c r="V612" s="1975"/>
      <c r="W612" s="1948"/>
      <c r="X612" s="1975"/>
      <c r="Y612" s="1975"/>
      <c r="Z612" s="1975"/>
      <c r="AA612" s="1948"/>
      <c r="AB612" s="1975"/>
      <c r="AC612" s="1975"/>
      <c r="AD612" s="1975"/>
      <c r="AE612" s="1975"/>
      <c r="AF612" s="1975"/>
      <c r="AG612" s="1975"/>
      <c r="AH612" s="1975"/>
      <c r="AI612" s="1975"/>
      <c r="AJ612" s="1975"/>
      <c r="AK612" s="1975"/>
      <c r="AL612" s="1975"/>
      <c r="AM612" s="1975"/>
      <c r="AN612" s="1975"/>
      <c r="AO612" s="1975"/>
      <c r="AP612" s="1975"/>
      <c r="AQ612" s="1976">
        <v>3728</v>
      </c>
      <c r="AR612" s="1974">
        <v>2589</v>
      </c>
      <c r="AS612" s="1948">
        <v>-8304</v>
      </c>
      <c r="AT612" s="1948">
        <v>-1113</v>
      </c>
      <c r="AU612" s="1949">
        <v>4619</v>
      </c>
      <c r="AV612" s="1948">
        <v>5761</v>
      </c>
      <c r="AW612" s="1979">
        <v>-730</v>
      </c>
      <c r="AX612" s="1949">
        <v>8028</v>
      </c>
      <c r="AY612" s="1948">
        <v>-24907</v>
      </c>
      <c r="AZ612" s="1948">
        <f>AY517-AZ517</f>
        <v>-43833</v>
      </c>
      <c r="BA612" s="1981">
        <f>AZ517-BA517</f>
        <v>0</v>
      </c>
      <c r="BB612" s="1949">
        <f>BA517-BB517</f>
        <v>0</v>
      </c>
      <c r="BC612" s="1981">
        <f>BB517-BC517</f>
        <v>0</v>
      </c>
    </row>
    <row r="613" spans="1:71" s="1953" customFormat="1" ht="10.15" x14ac:dyDescent="0.3">
      <c r="A613" s="2017"/>
      <c r="B613" s="2476" t="s">
        <v>1258</v>
      </c>
      <c r="C613" s="1975"/>
      <c r="D613" s="1975"/>
      <c r="E613" s="2248"/>
      <c r="F613" s="1975"/>
      <c r="G613" s="1975">
        <v>343</v>
      </c>
      <c r="H613" s="1975">
        <f>-J612+J618+J630</f>
        <v>-440</v>
      </c>
      <c r="I613" s="1975">
        <f>-K612+K618+K630</f>
        <v>-17823</v>
      </c>
      <c r="J613" s="1975">
        <f>-L612+L618+L630</f>
        <v>-33115</v>
      </c>
      <c r="K613" s="1975">
        <v>-180</v>
      </c>
      <c r="L613" s="1975"/>
      <c r="M613" s="1975"/>
      <c r="N613" s="1975"/>
      <c r="O613" s="1975"/>
      <c r="P613" s="2643"/>
      <c r="Q613" s="1975"/>
      <c r="R613" s="1975"/>
      <c r="S613" s="1975"/>
      <c r="T613" s="1975"/>
      <c r="U613" s="1975"/>
      <c r="V613" s="1975"/>
      <c r="W613" s="1948"/>
      <c r="X613" s="1975"/>
      <c r="Y613" s="1975"/>
      <c r="Z613" s="1975"/>
      <c r="AA613" s="1948"/>
      <c r="AB613" s="1975"/>
      <c r="AC613" s="1975"/>
      <c r="AD613" s="1975"/>
      <c r="AE613" s="1975"/>
      <c r="AF613" s="1975"/>
      <c r="AG613" s="1975"/>
      <c r="AH613" s="1975"/>
      <c r="AI613" s="1975"/>
      <c r="AJ613" s="1975"/>
      <c r="AK613" s="1975"/>
      <c r="AL613" s="1975"/>
      <c r="AM613" s="1975"/>
      <c r="AN613" s="1975"/>
      <c r="AO613" s="1975"/>
      <c r="AP613" s="1975"/>
      <c r="AQ613" s="1976">
        <v>-2108</v>
      </c>
      <c r="AR613" s="1974">
        <v>334</v>
      </c>
      <c r="AS613" s="1948">
        <v>199</v>
      </c>
      <c r="AT613" s="1948">
        <v>1139</v>
      </c>
      <c r="AU613" s="1949">
        <v>746</v>
      </c>
      <c r="AV613" s="1979">
        <v>0</v>
      </c>
      <c r="AW613" s="1979">
        <v>0</v>
      </c>
      <c r="AX613" s="1949">
        <v>0</v>
      </c>
      <c r="AY613" s="1948">
        <v>0</v>
      </c>
      <c r="AZ613" s="1948">
        <v>0</v>
      </c>
      <c r="BA613" s="1981">
        <v>0</v>
      </c>
      <c r="BB613" s="1949">
        <v>0</v>
      </c>
      <c r="BC613" s="1981">
        <v>0</v>
      </c>
    </row>
    <row r="614" spans="1:71" s="1953" customFormat="1" ht="10.15" x14ac:dyDescent="0.3">
      <c r="A614" s="2017"/>
      <c r="B614" s="2476" t="s">
        <v>1259</v>
      </c>
      <c r="C614" s="1975"/>
      <c r="D614" s="1975"/>
      <c r="E614" s="2248"/>
      <c r="F614" s="1975"/>
      <c r="G614" s="1975">
        <v>-88</v>
      </c>
      <c r="H614" s="1975"/>
      <c r="I614" s="1975"/>
      <c r="J614" s="1975"/>
      <c r="K614" s="1975">
        <v>11</v>
      </c>
      <c r="L614" s="1975"/>
      <c r="M614" s="1975"/>
      <c r="N614" s="1975"/>
      <c r="O614" s="1975"/>
      <c r="P614" s="2643"/>
      <c r="Q614" s="1975"/>
      <c r="R614" s="1975"/>
      <c r="S614" s="1975"/>
      <c r="T614" s="1975"/>
      <c r="U614" s="1975"/>
      <c r="V614" s="1975"/>
      <c r="W614" s="1948"/>
      <c r="X614" s="1975"/>
      <c r="Y614" s="1975"/>
      <c r="Z614" s="1975"/>
      <c r="AA614" s="1948"/>
      <c r="AB614" s="1975"/>
      <c r="AC614" s="1975"/>
      <c r="AD614" s="1975"/>
      <c r="AE614" s="1975"/>
      <c r="AF614" s="1975"/>
      <c r="AG614" s="1975"/>
      <c r="AH614" s="1975"/>
      <c r="AI614" s="1975"/>
      <c r="AJ614" s="1975"/>
      <c r="AK614" s="1975"/>
      <c r="AL614" s="1975"/>
      <c r="AM614" s="1975"/>
      <c r="AN614" s="1975"/>
      <c r="AO614" s="1975"/>
      <c r="AP614" s="1975"/>
      <c r="AQ614" s="1976">
        <v>167</v>
      </c>
      <c r="AR614" s="1974">
        <v>-12</v>
      </c>
      <c r="AS614" s="1948">
        <v>-147</v>
      </c>
      <c r="AT614" s="1948">
        <v>-16</v>
      </c>
      <c r="AU614" s="1949">
        <v>9</v>
      </c>
      <c r="AV614" s="1948">
        <v>468</v>
      </c>
      <c r="AW614" s="1979">
        <v>0</v>
      </c>
      <c r="AX614" s="1949">
        <v>0</v>
      </c>
      <c r="AY614" s="1948"/>
      <c r="AZ614" s="1948">
        <f>(AY519+AY525)-(AZ519+AZ525)</f>
        <v>-16132.900000000023</v>
      </c>
      <c r="BA614" s="1981">
        <f>(AZ519+AZ525)-(BA519+BA525)</f>
        <v>-17746.190000000031</v>
      </c>
      <c r="BB614" s="1949">
        <f>(BA519+BA525)-(BB519+BB525)</f>
        <v>-19520.809000000008</v>
      </c>
      <c r="BC614" s="1981">
        <f>(BB519+BB525)-(BC519+BC525)</f>
        <v>-21472.889900000038</v>
      </c>
    </row>
    <row r="615" spans="1:71" s="1953" customFormat="1" ht="10.15" x14ac:dyDescent="0.3">
      <c r="A615" s="2096"/>
      <c r="B615" s="2476" t="s">
        <v>1260</v>
      </c>
      <c r="C615" s="1975"/>
      <c r="D615" s="1975"/>
      <c r="E615" s="2248"/>
      <c r="F615" s="1975"/>
      <c r="G615" s="1975"/>
      <c r="H615" s="1975"/>
      <c r="I615" s="1975"/>
      <c r="J615" s="1975"/>
      <c r="K615" s="1975"/>
      <c r="L615" s="1975"/>
      <c r="M615" s="1975"/>
      <c r="N615" s="1975"/>
      <c r="O615" s="1975"/>
      <c r="P615" s="2643"/>
      <c r="Q615" s="1975"/>
      <c r="R615" s="1975"/>
      <c r="S615" s="1975"/>
      <c r="T615" s="1975"/>
      <c r="U615" s="1975"/>
      <c r="V615" s="1975"/>
      <c r="W615" s="1948"/>
      <c r="X615" s="1975"/>
      <c r="Y615" s="1975"/>
      <c r="Z615" s="1975"/>
      <c r="AA615" s="1948"/>
      <c r="AB615" s="1975"/>
      <c r="AC615" s="1975"/>
      <c r="AD615" s="1975"/>
      <c r="AE615" s="1975"/>
      <c r="AF615" s="1975"/>
      <c r="AG615" s="1975"/>
      <c r="AH615" s="1975"/>
      <c r="AI615" s="1975"/>
      <c r="AJ615" s="1975"/>
      <c r="AK615" s="1975"/>
      <c r="AL615" s="1975"/>
      <c r="AM615" s="1975"/>
      <c r="AN615" s="1975"/>
      <c r="AO615" s="1975"/>
      <c r="AP615" s="1975"/>
      <c r="AQ615" s="1976"/>
      <c r="AR615" s="1974"/>
      <c r="AS615" s="1948"/>
      <c r="AT615" s="1948"/>
      <c r="AU615" s="1949"/>
      <c r="AV615" s="1948">
        <v>-256</v>
      </c>
      <c r="AW615" s="1979">
        <v>-582</v>
      </c>
      <c r="AX615" s="1949">
        <v>-15</v>
      </c>
      <c r="AY615" s="1948">
        <v>-193</v>
      </c>
      <c r="AZ615" s="1948"/>
      <c r="BA615" s="1981"/>
      <c r="BB615" s="1949"/>
      <c r="BC615" s="1981"/>
    </row>
    <row r="616" spans="1:71" s="1953" customFormat="1" ht="10.15" x14ac:dyDescent="0.3">
      <c r="A616" s="2017"/>
      <c r="B616" s="2476" t="s">
        <v>1261</v>
      </c>
      <c r="C616" s="1975"/>
      <c r="D616" s="1975"/>
      <c r="E616" s="2248"/>
      <c r="F616" s="1975"/>
      <c r="G616" s="1975">
        <v>0</v>
      </c>
      <c r="H616" s="1975"/>
      <c r="I616" s="1975"/>
      <c r="J616" s="1975"/>
      <c r="K616" s="1975">
        <v>-14</v>
      </c>
      <c r="L616" s="1975"/>
      <c r="M616" s="1975"/>
      <c r="N616" s="1975"/>
      <c r="O616" s="1975"/>
      <c r="P616" s="2643"/>
      <c r="Q616" s="1975"/>
      <c r="R616" s="1975"/>
      <c r="S616" s="1975"/>
      <c r="T616" s="1975"/>
      <c r="U616" s="1975"/>
      <c r="V616" s="1975"/>
      <c r="W616" s="1948"/>
      <c r="X616" s="1975"/>
      <c r="Y616" s="1975"/>
      <c r="Z616" s="1975"/>
      <c r="AA616" s="1948"/>
      <c r="AB616" s="1975"/>
      <c r="AC616" s="1975"/>
      <c r="AD616" s="1975"/>
      <c r="AE616" s="1975"/>
      <c r="AF616" s="1975"/>
      <c r="AG616" s="1975"/>
      <c r="AH616" s="1975"/>
      <c r="AI616" s="1975"/>
      <c r="AJ616" s="1975"/>
      <c r="AK616" s="1975"/>
      <c r="AL616" s="1975"/>
      <c r="AM616" s="1975"/>
      <c r="AN616" s="1975"/>
      <c r="AO616" s="1975"/>
      <c r="AP616" s="1975"/>
      <c r="AQ616" s="1976">
        <v>-508</v>
      </c>
      <c r="AR616" s="1974">
        <v>-60</v>
      </c>
      <c r="AS616" s="1948">
        <v>-2972</v>
      </c>
      <c r="AT616" s="1948">
        <v>-11801</v>
      </c>
      <c r="AU616" s="1949">
        <v>-15363</v>
      </c>
      <c r="AV616" s="1948">
        <v>-4677</v>
      </c>
      <c r="AW616" s="1979">
        <v>-11872</v>
      </c>
      <c r="AX616" s="1949">
        <v>-72472</v>
      </c>
      <c r="AY616" s="1948">
        <v>-29944</v>
      </c>
      <c r="AZ616" s="1948">
        <f>AY616*1.2</f>
        <v>-35932.799999999996</v>
      </c>
      <c r="BA616" s="1981">
        <f>AZ616*1.2</f>
        <v>-43119.359999999993</v>
      </c>
      <c r="BB616" s="1949">
        <f>BA616*1.2</f>
        <v>-51743.231999999989</v>
      </c>
      <c r="BC616" s="1981">
        <f>BB616*1.2</f>
        <v>-62091.878399999987</v>
      </c>
    </row>
    <row r="617" spans="1:71" s="1953" customFormat="1" ht="10.15" x14ac:dyDescent="0.3">
      <c r="A617" s="2640"/>
      <c r="B617" s="2476" t="s">
        <v>1262</v>
      </c>
      <c r="C617" s="1975"/>
      <c r="D617" s="1975"/>
      <c r="E617" s="2248"/>
      <c r="F617" s="1975"/>
      <c r="G617" s="1975"/>
      <c r="H617" s="1975"/>
      <c r="I617" s="1975"/>
      <c r="J617" s="1975"/>
      <c r="K617" s="1975"/>
      <c r="L617" s="1975"/>
      <c r="M617" s="1975"/>
      <c r="N617" s="1975"/>
      <c r="O617" s="1975"/>
      <c r="P617" s="2643"/>
      <c r="Q617" s="1975"/>
      <c r="R617" s="1975"/>
      <c r="S617" s="1975"/>
      <c r="T617" s="1975"/>
      <c r="U617" s="1975"/>
      <c r="V617" s="1948"/>
      <c r="W617" s="1948"/>
      <c r="X617" s="1948"/>
      <c r="Y617" s="1948"/>
      <c r="Z617" s="1948"/>
      <c r="AA617" s="1948"/>
      <c r="AB617" s="1948"/>
      <c r="AC617" s="1948"/>
      <c r="AD617" s="1948"/>
      <c r="AE617" s="1948"/>
      <c r="AF617" s="1948"/>
      <c r="AG617" s="1948"/>
      <c r="AH617" s="1948"/>
      <c r="AI617" s="1948"/>
      <c r="AJ617" s="1948"/>
      <c r="AK617" s="1948"/>
      <c r="AL617" s="1948"/>
      <c r="AM617" s="1948"/>
      <c r="AN617" s="1948"/>
      <c r="AO617" s="1948"/>
      <c r="AP617" s="1948"/>
      <c r="AQ617" s="1976">
        <v>1966</v>
      </c>
      <c r="AR617" s="1974">
        <v>26</v>
      </c>
      <c r="AS617" s="1948">
        <v>372</v>
      </c>
      <c r="AT617" s="1948">
        <v>939</v>
      </c>
      <c r="AU617" s="1949">
        <v>2177</v>
      </c>
      <c r="AV617" s="1948">
        <v>4354</v>
      </c>
      <c r="AW617" s="1979">
        <v>7223</v>
      </c>
      <c r="AX617" s="1949">
        <v>10057</v>
      </c>
      <c r="AY617" s="1948">
        <v>18798</v>
      </c>
      <c r="AZ617" s="1948"/>
      <c r="BA617" s="1981"/>
      <c r="BB617" s="1949"/>
      <c r="BC617" s="1981"/>
    </row>
    <row r="618" spans="1:71" s="2662" customFormat="1" ht="12.75" x14ac:dyDescent="0.35">
      <c r="A618" s="2640"/>
      <c r="B618" s="2653" t="s">
        <v>1263</v>
      </c>
      <c r="C618" s="2654"/>
      <c r="D618" s="2654"/>
      <c r="E618" s="2655"/>
      <c r="F618" s="2654"/>
      <c r="G618" s="2654">
        <f>G622+G623</f>
        <v>-1595</v>
      </c>
      <c r="H618" s="2654">
        <v>-1140</v>
      </c>
      <c r="I618" s="2654">
        <v>-1601</v>
      </c>
      <c r="J618" s="2654">
        <v>-440</v>
      </c>
      <c r="K618" s="2654">
        <f>K622+K623</f>
        <v>-1307</v>
      </c>
      <c r="L618" s="2654">
        <v>-3396</v>
      </c>
      <c r="M618" s="2654">
        <v>-1513</v>
      </c>
      <c r="N618" s="2654">
        <v>-1489</v>
      </c>
      <c r="O618" s="2654">
        <v>-1800</v>
      </c>
      <c r="P618" s="2656">
        <v>-3177</v>
      </c>
      <c r="Q618" s="2656">
        <v>-4896</v>
      </c>
      <c r="R618" s="2654">
        <v>-985</v>
      </c>
      <c r="S618" s="2654">
        <v>-3259</v>
      </c>
      <c r="T618" s="2654">
        <v>-3579</v>
      </c>
      <c r="U618" s="2654">
        <v>-7301</v>
      </c>
      <c r="V618" s="2657">
        <v>-3407</v>
      </c>
      <c r="W618" s="2657">
        <v>-3589</v>
      </c>
      <c r="X618" s="2657">
        <v>-8673</v>
      </c>
      <c r="Y618" s="2657">
        <v>-10422</v>
      </c>
      <c r="Z618" s="2657">
        <v>-5616</v>
      </c>
      <c r="AA618" s="2657">
        <v>-11205</v>
      </c>
      <c r="AB618" s="2657">
        <v>-16136</v>
      </c>
      <c r="AC618" s="2657">
        <v>-10100</v>
      </c>
      <c r="AD618" s="2657">
        <v>-6537</v>
      </c>
      <c r="AE618" s="2657">
        <v>-6382</v>
      </c>
      <c r="AF618" s="2657">
        <v>-9826</v>
      </c>
      <c r="AG618" s="2657">
        <v>-6659</v>
      </c>
      <c r="AH618" s="2657">
        <v>-9683</v>
      </c>
      <c r="AI618" s="2657">
        <v>-13638</v>
      </c>
      <c r="AJ618" s="2657">
        <f t="shared" ref="AJ618:AP618" si="592">AJ323*AJ668</f>
        <v>-15678.524292773565</v>
      </c>
      <c r="AK618" s="2657">
        <f t="shared" si="592"/>
        <v>-10447.04007502539</v>
      </c>
      <c r="AL618" s="2657">
        <f t="shared" si="592"/>
        <v>-19073.492044666244</v>
      </c>
      <c r="AM618" s="2657">
        <f t="shared" si="592"/>
        <v>-17950.061928320232</v>
      </c>
      <c r="AN618" s="2657">
        <f t="shared" si="592"/>
        <v>-17711.732528457334</v>
      </c>
      <c r="AO618" s="2657">
        <f t="shared" si="592"/>
        <v>-10519.789420102008</v>
      </c>
      <c r="AP618" s="2657">
        <f t="shared" si="592"/>
        <v>-19787.996125112313</v>
      </c>
      <c r="AQ618" s="2658">
        <f>AQ622+AQ623</f>
        <v>-2168</v>
      </c>
      <c r="AR618" s="2659">
        <f>AR622+AR623</f>
        <v>-2503</v>
      </c>
      <c r="AS618" s="2657">
        <f>AS622+AS623</f>
        <v>-4776</v>
      </c>
      <c r="AT618" s="2657">
        <f>AT622+AT623</f>
        <v>-7705</v>
      </c>
      <c r="AU618" s="2660">
        <f>SUM(O618:R618)</f>
        <v>-10858</v>
      </c>
      <c r="AV618" s="2657">
        <f>AV622+AV623</f>
        <v>-17546</v>
      </c>
      <c r="AW618" s="2657">
        <f>AW622+AW623</f>
        <v>-29836</v>
      </c>
      <c r="AX618" s="2660">
        <f>AX622+AX623</f>
        <v>-35482</v>
      </c>
      <c r="AY618" s="2657">
        <f>SUM(AE618:AH618)</f>
        <v>-32550</v>
      </c>
      <c r="AZ618" s="2657">
        <f>SUM(AI618:AL618)</f>
        <v>-58837.056412465201</v>
      </c>
      <c r="BA618" s="2661">
        <f>SUM(AM618:AP618)</f>
        <v>-65969.580001991897</v>
      </c>
      <c r="BB618" s="2660">
        <f>BB668*BB323</f>
        <v>-76740.392558559033</v>
      </c>
      <c r="BC618" s="2661">
        <f>BC668*BC323</f>
        <v>-76057.449704939339</v>
      </c>
    </row>
    <row r="619" spans="1:71" s="1953" customFormat="1" ht="10.15" x14ac:dyDescent="0.3">
      <c r="A619" s="2640"/>
      <c r="B619" s="2476" t="s">
        <v>754</v>
      </c>
      <c r="C619" s="1975"/>
      <c r="D619" s="1975"/>
      <c r="E619" s="2248"/>
      <c r="F619" s="1975"/>
      <c r="G619" s="1975"/>
      <c r="H619" s="1975"/>
      <c r="I619" s="1975"/>
      <c r="J619" s="1975"/>
      <c r="K619" s="1975"/>
      <c r="L619" s="1975"/>
      <c r="M619" s="1975"/>
      <c r="N619" s="1975"/>
      <c r="O619" s="1975"/>
      <c r="P619" s="2643"/>
      <c r="Q619" s="2643"/>
      <c r="R619" s="1975"/>
      <c r="S619" s="2555">
        <f t="shared" ref="S619:AP619" si="593">S618/O618-1</f>
        <v>0.81055555555555547</v>
      </c>
      <c r="T619" s="2555">
        <f t="shared" si="593"/>
        <v>0.12653446647780919</v>
      </c>
      <c r="U619" s="2555">
        <f t="shared" si="593"/>
        <v>0.49121732026143783</v>
      </c>
      <c r="V619" s="2044">
        <f t="shared" si="593"/>
        <v>2.4588832487309644</v>
      </c>
      <c r="W619" s="2044">
        <f t="shared" si="593"/>
        <v>0.10125805461798087</v>
      </c>
      <c r="X619" s="2044">
        <f t="shared" si="593"/>
        <v>1.4233025984911984</v>
      </c>
      <c r="Y619" s="2044">
        <f t="shared" si="593"/>
        <v>0.42747568826188198</v>
      </c>
      <c r="Z619" s="2044">
        <f t="shared" si="593"/>
        <v>0.64837100088054012</v>
      </c>
      <c r="AA619" s="2044">
        <f t="shared" si="593"/>
        <v>2.1220395653385342</v>
      </c>
      <c r="AB619" s="2044">
        <f t="shared" si="593"/>
        <v>0.86048656750835928</v>
      </c>
      <c r="AC619" s="2044">
        <f t="shared" si="593"/>
        <v>-3.0896181155248503E-2</v>
      </c>
      <c r="AD619" s="2044">
        <f t="shared" si="593"/>
        <v>0.16399572649572658</v>
      </c>
      <c r="AE619" s="2044">
        <f t="shared" si="593"/>
        <v>-0.4304328424810353</v>
      </c>
      <c r="AF619" s="2044">
        <f t="shared" si="593"/>
        <v>-0.39105106593951411</v>
      </c>
      <c r="AG619" s="2044">
        <f t="shared" si="593"/>
        <v>-0.34069306930693066</v>
      </c>
      <c r="AH619" s="2044">
        <f t="shared" si="593"/>
        <v>0.48126051705675388</v>
      </c>
      <c r="AI619" s="2044">
        <f t="shared" si="593"/>
        <v>1.1369476653086807</v>
      </c>
      <c r="AJ619" s="2044">
        <f t="shared" si="593"/>
        <v>0.59561615029244508</v>
      </c>
      <c r="AK619" s="2044">
        <f t="shared" si="593"/>
        <v>0.56886020048436547</v>
      </c>
      <c r="AL619" s="2044">
        <f t="shared" si="593"/>
        <v>0.96979159812725846</v>
      </c>
      <c r="AM619" s="2044">
        <f t="shared" si="593"/>
        <v>0.31617993315150561</v>
      </c>
      <c r="AN619" s="2044">
        <f t="shared" si="593"/>
        <v>0.12968109738624456</v>
      </c>
      <c r="AO619" s="2044">
        <f t="shared" si="593"/>
        <v>6.9636322397701456E-3</v>
      </c>
      <c r="AP619" s="2044">
        <f t="shared" si="593"/>
        <v>3.7460580305528124E-2</v>
      </c>
      <c r="AQ619" s="1976"/>
      <c r="AR619" s="1974"/>
      <c r="AS619" s="1948"/>
      <c r="AT619" s="1948"/>
      <c r="AU619" s="1949"/>
      <c r="AV619" s="1948"/>
      <c r="AW619" s="1948"/>
      <c r="AX619" s="1949"/>
      <c r="AY619" s="1948"/>
      <c r="AZ619" s="1948"/>
      <c r="BA619" s="1981"/>
      <c r="BB619" s="1949"/>
      <c r="BC619" s="1981"/>
    </row>
    <row r="620" spans="1:71" s="1953" customFormat="1" ht="10.15" x14ac:dyDescent="0.3">
      <c r="A620" s="2640"/>
      <c r="B620" s="2476" t="s">
        <v>1264</v>
      </c>
      <c r="C620" s="1975"/>
      <c r="D620" s="1975"/>
      <c r="E620" s="2248"/>
      <c r="F620" s="1975"/>
      <c r="G620" s="1975"/>
      <c r="H620" s="1975"/>
      <c r="I620" s="1975"/>
      <c r="J620" s="1975"/>
      <c r="K620" s="1975"/>
      <c r="L620" s="1975"/>
      <c r="M620" s="1975"/>
      <c r="N620" s="1975"/>
      <c r="O620" s="1975"/>
      <c r="P620" s="2643"/>
      <c r="Q620" s="2643"/>
      <c r="R620" s="1975"/>
      <c r="S620" s="2555">
        <f t="shared" ref="S620:AP620" si="594">S618/R618-1</f>
        <v>2.3086294416243653</v>
      </c>
      <c r="T620" s="2555">
        <f t="shared" si="594"/>
        <v>9.8189628720466438E-2</v>
      </c>
      <c r="U620" s="2555">
        <f t="shared" si="594"/>
        <v>1.0399552947750768</v>
      </c>
      <c r="V620" s="2044">
        <f t="shared" si="594"/>
        <v>-0.53335159567182577</v>
      </c>
      <c r="W620" s="2044">
        <f t="shared" si="594"/>
        <v>5.3419430584091598E-2</v>
      </c>
      <c r="X620" s="2044">
        <f t="shared" si="594"/>
        <v>1.4165505711897466</v>
      </c>
      <c r="Y620" s="2044">
        <f t="shared" si="594"/>
        <v>0.20166032514700793</v>
      </c>
      <c r="Z620" s="2044">
        <f t="shared" si="594"/>
        <v>-0.46113989637305697</v>
      </c>
      <c r="AA620" s="2044">
        <f t="shared" si="594"/>
        <v>0.99519230769230771</v>
      </c>
      <c r="AB620" s="2044">
        <f t="shared" si="594"/>
        <v>0.44007139669790263</v>
      </c>
      <c r="AC620" s="2044">
        <f t="shared" si="594"/>
        <v>-0.37407040158651461</v>
      </c>
      <c r="AD620" s="2044">
        <f t="shared" si="594"/>
        <v>-0.35277227722772275</v>
      </c>
      <c r="AE620" s="2044">
        <f t="shared" si="594"/>
        <v>-2.3711182499617567E-2</v>
      </c>
      <c r="AF620" s="2044">
        <f t="shared" si="594"/>
        <v>0.53964274522093381</v>
      </c>
      <c r="AG620" s="2044">
        <f t="shared" si="594"/>
        <v>-0.32230816201913293</v>
      </c>
      <c r="AH620" s="2044">
        <f t="shared" si="594"/>
        <v>0.45412224057666317</v>
      </c>
      <c r="AI620" s="2044">
        <f t="shared" si="594"/>
        <v>0.40844779510482287</v>
      </c>
      <c r="AJ620" s="2044">
        <f t="shared" si="594"/>
        <v>0.14962049367748675</v>
      </c>
      <c r="AK620" s="2044">
        <f t="shared" si="594"/>
        <v>-0.33367197830981032</v>
      </c>
      <c r="AL620" s="2044">
        <f t="shared" si="594"/>
        <v>0.82573168167155586</v>
      </c>
      <c r="AM620" s="2044">
        <f t="shared" si="594"/>
        <v>-5.890007523085794E-2</v>
      </c>
      <c r="AN620" s="2044">
        <f t="shared" si="594"/>
        <v>-1.3277358084591295E-2</v>
      </c>
      <c r="AO620" s="2044">
        <f t="shared" si="594"/>
        <v>-0.40605531371931425</v>
      </c>
      <c r="AP620" s="2044">
        <f t="shared" si="594"/>
        <v>0.88102587750472616</v>
      </c>
      <c r="AQ620" s="1976"/>
      <c r="AR620" s="1974"/>
      <c r="AS620" s="1948"/>
      <c r="AT620" s="1948"/>
      <c r="AU620" s="1949"/>
      <c r="AV620" s="1948"/>
      <c r="AW620" s="1948"/>
      <c r="AX620" s="1949"/>
      <c r="AY620" s="1948"/>
      <c r="AZ620" s="1948"/>
      <c r="BA620" s="1981"/>
      <c r="BB620" s="1949"/>
      <c r="BC620" s="1981"/>
    </row>
    <row r="621" spans="1:71" s="1953" customFormat="1" ht="10.15" x14ac:dyDescent="0.3">
      <c r="A621" s="2640"/>
      <c r="B621" s="2476" t="s">
        <v>1265</v>
      </c>
      <c r="C621" s="1975"/>
      <c r="D621" s="1975"/>
      <c r="E621" s="2248"/>
      <c r="F621" s="1975"/>
      <c r="G621" s="1975"/>
      <c r="H621" s="1975"/>
      <c r="I621" s="1975"/>
      <c r="J621" s="1975"/>
      <c r="K621" s="1975"/>
      <c r="L621" s="1975"/>
      <c r="M621" s="1975"/>
      <c r="N621" s="1975"/>
      <c r="O621" s="1975"/>
      <c r="P621" s="2643"/>
      <c r="Q621" s="2663"/>
      <c r="R621" s="1975"/>
      <c r="S621" s="1975"/>
      <c r="T621" s="1975"/>
      <c r="U621" s="1975"/>
      <c r="V621" s="1948"/>
      <c r="W621" s="1948"/>
      <c r="X621" s="1948"/>
      <c r="Y621" s="1948"/>
      <c r="Z621" s="1948"/>
      <c r="AA621" s="1948"/>
      <c r="AB621" s="1948"/>
      <c r="AC621" s="1948"/>
      <c r="AD621" s="1948"/>
      <c r="AE621" s="1948"/>
      <c r="AF621" s="1948"/>
      <c r="AG621" s="1948"/>
      <c r="AH621" s="1948"/>
      <c r="AI621" s="1948"/>
      <c r="AJ621" s="1948"/>
      <c r="AK621" s="1948"/>
      <c r="AL621" s="1948"/>
      <c r="AM621" s="1948"/>
      <c r="AN621" s="1948"/>
      <c r="AO621" s="1948"/>
      <c r="AP621" s="1948"/>
      <c r="AQ621" s="1976"/>
      <c r="AR621" s="1948"/>
      <c r="AS621" s="1948"/>
      <c r="AT621" s="1950"/>
      <c r="AU621" s="1949"/>
      <c r="AV621" s="1948"/>
      <c r="AW621" s="1948"/>
      <c r="AX621" s="1949"/>
      <c r="AY621" s="1948"/>
      <c r="AZ621" s="1948"/>
      <c r="BA621" s="1981"/>
      <c r="BB621" s="1949"/>
      <c r="BC621" s="1981"/>
    </row>
    <row r="622" spans="1:71" s="1953" customFormat="1" ht="10.15" x14ac:dyDescent="0.3">
      <c r="A622" s="2640"/>
      <c r="B622" s="2476" t="s">
        <v>1266</v>
      </c>
      <c r="C622" s="1975"/>
      <c r="D622" s="1975"/>
      <c r="E622" s="2248"/>
      <c r="F622" s="1975"/>
      <c r="G622" s="1975">
        <v>-768</v>
      </c>
      <c r="H622" s="1975">
        <f>H618-H623</f>
        <v>-144</v>
      </c>
      <c r="I622" s="1975">
        <f>I618-I623</f>
        <v>-379</v>
      </c>
      <c r="J622" s="1975">
        <f>J618-J623</f>
        <v>-165</v>
      </c>
      <c r="K622" s="1975">
        <v>-152</v>
      </c>
      <c r="L622" s="1975">
        <v>-1703</v>
      </c>
      <c r="M622" s="1975">
        <v>-291</v>
      </c>
      <c r="N622" s="1975">
        <v>-789</v>
      </c>
      <c r="O622" s="1975">
        <v>-700</v>
      </c>
      <c r="P622" s="2643">
        <v>-1917</v>
      </c>
      <c r="Q622" s="1975">
        <v>-2531</v>
      </c>
      <c r="R622" s="1975">
        <v>-302</v>
      </c>
      <c r="S622" s="1975">
        <v>-465</v>
      </c>
      <c r="T622" s="1975">
        <v>-231</v>
      </c>
      <c r="U622" s="1975">
        <v>-4055</v>
      </c>
      <c r="V622" s="1948">
        <v>-575</v>
      </c>
      <c r="W622" s="1948">
        <v>-427</v>
      </c>
      <c r="X622" s="1948">
        <v>-671</v>
      </c>
      <c r="Y622" s="1948">
        <v>-1393</v>
      </c>
      <c r="Z622" s="1948">
        <v>-1536</v>
      </c>
      <c r="AA622" s="1975">
        <v>-1446</v>
      </c>
      <c r="AB622" s="1975">
        <v>-762</v>
      </c>
      <c r="AC622" s="1948">
        <v>-89</v>
      </c>
      <c r="AD622" s="1948">
        <v>-849</v>
      </c>
      <c r="AE622" s="1948">
        <v>-526</v>
      </c>
      <c r="AF622" s="1948">
        <v>-650</v>
      </c>
      <c r="AG622" s="1948">
        <v>-910</v>
      </c>
      <c r="AH622" s="1948">
        <v>-5802</v>
      </c>
      <c r="AI622" s="1948">
        <v>-266</v>
      </c>
      <c r="AJ622" s="1948">
        <v>-500</v>
      </c>
      <c r="AK622" s="1948">
        <v>-500</v>
      </c>
      <c r="AL622" s="1948">
        <v>-500</v>
      </c>
      <c r="AM622" s="1948">
        <v>-499</v>
      </c>
      <c r="AN622" s="1948">
        <v>-498</v>
      </c>
      <c r="AO622" s="1948">
        <v>-497</v>
      </c>
      <c r="AP622" s="1948">
        <v>-496</v>
      </c>
      <c r="AQ622" s="1976">
        <v>-1419</v>
      </c>
      <c r="AR622" s="1974">
        <v>-1457</v>
      </c>
      <c r="AS622" s="1948">
        <v>-1491</v>
      </c>
      <c r="AT622" s="1948">
        <v>-2935</v>
      </c>
      <c r="AU622" s="1949">
        <v>-5407</v>
      </c>
      <c r="AV622" s="1948">
        <f>SUM(S622:V622)</f>
        <v>-5326</v>
      </c>
      <c r="AW622" s="1979">
        <v>-4027</v>
      </c>
      <c r="AX622" s="1949">
        <v>-3146</v>
      </c>
      <c r="AY622" s="1948">
        <f>SUM(AE622:AH622)</f>
        <v>-7888</v>
      </c>
      <c r="AZ622" s="1948">
        <f>SUM(AI622:AL622)</f>
        <v>-1766</v>
      </c>
      <c r="BA622" s="1981">
        <f>AZ622*1.3</f>
        <v>-2295.8000000000002</v>
      </c>
      <c r="BB622" s="1949">
        <f>BA622*1.3</f>
        <v>-2984.5400000000004</v>
      </c>
      <c r="BC622" s="1981">
        <f>BB622*1.3</f>
        <v>-3879.9020000000005</v>
      </c>
    </row>
    <row r="623" spans="1:71" s="1953" customFormat="1" ht="10.15" x14ac:dyDescent="0.3">
      <c r="A623" s="2640"/>
      <c r="B623" s="2664" t="s">
        <v>1267</v>
      </c>
      <c r="C623" s="1975"/>
      <c r="D623" s="1975"/>
      <c r="E623" s="2248"/>
      <c r="F623" s="1975"/>
      <c r="G623" s="1975">
        <v>-827</v>
      </c>
      <c r="H623" s="1975">
        <v>-996</v>
      </c>
      <c r="I623" s="1975">
        <v>-1222</v>
      </c>
      <c r="J623" s="1975">
        <v>-275</v>
      </c>
      <c r="K623" s="1975">
        <v>-1155</v>
      </c>
      <c r="L623" s="1975">
        <f>L618-L622</f>
        <v>-1693</v>
      </c>
      <c r="M623" s="1975">
        <f>M618-M622</f>
        <v>-1222</v>
      </c>
      <c r="N623" s="1975">
        <v>-700</v>
      </c>
      <c r="O623" s="1975">
        <v>-1130</v>
      </c>
      <c r="P623" s="2643">
        <v>-1260</v>
      </c>
      <c r="Q623" s="1975">
        <v>-2365</v>
      </c>
      <c r="R623" s="1975">
        <f>-683</f>
        <v>-683</v>
      </c>
      <c r="S623" s="1975">
        <f t="shared" ref="S623:Z623" si="595">S618-S622</f>
        <v>-2794</v>
      </c>
      <c r="T623" s="1975">
        <f t="shared" si="595"/>
        <v>-3348</v>
      </c>
      <c r="U623" s="1975">
        <f t="shared" si="595"/>
        <v>-3246</v>
      </c>
      <c r="V623" s="1975">
        <f t="shared" si="595"/>
        <v>-2832</v>
      </c>
      <c r="W623" s="1975">
        <f t="shared" si="595"/>
        <v>-3162</v>
      </c>
      <c r="X623" s="1975">
        <f t="shared" si="595"/>
        <v>-8002</v>
      </c>
      <c r="Y623" s="1975">
        <f t="shared" si="595"/>
        <v>-9029</v>
      </c>
      <c r="Z623" s="1975">
        <f t="shared" si="595"/>
        <v>-4080</v>
      </c>
      <c r="AA623" s="1975">
        <f>-9759-AA624</f>
        <v>-5005</v>
      </c>
      <c r="AB623" s="1975">
        <f>-11632</f>
        <v>-11632</v>
      </c>
      <c r="AC623" s="1975">
        <f t="shared" ref="AC623:AP623" si="596">AC618-AC622</f>
        <v>-10011</v>
      </c>
      <c r="AD623" s="1975">
        <f t="shared" si="596"/>
        <v>-5688</v>
      </c>
      <c r="AE623" s="1975">
        <f t="shared" si="596"/>
        <v>-5856</v>
      </c>
      <c r="AF623" s="1975">
        <f t="shared" si="596"/>
        <v>-9176</v>
      </c>
      <c r="AG623" s="1975">
        <f t="shared" si="596"/>
        <v>-5749</v>
      </c>
      <c r="AH623" s="1975">
        <f t="shared" si="596"/>
        <v>-3881</v>
      </c>
      <c r="AI623" s="1975">
        <f t="shared" si="596"/>
        <v>-13372</v>
      </c>
      <c r="AJ623" s="1975">
        <f t="shared" si="596"/>
        <v>-15178.524292773565</v>
      </c>
      <c r="AK623" s="1975">
        <f t="shared" si="596"/>
        <v>-9947.0400750253903</v>
      </c>
      <c r="AL623" s="1975">
        <f t="shared" si="596"/>
        <v>-18573.492044666244</v>
      </c>
      <c r="AM623" s="1975">
        <f t="shared" si="596"/>
        <v>-17451.061928320232</v>
      </c>
      <c r="AN623" s="1975">
        <f t="shared" si="596"/>
        <v>-17213.732528457334</v>
      </c>
      <c r="AO623" s="1975">
        <f t="shared" si="596"/>
        <v>-10022.789420102008</v>
      </c>
      <c r="AP623" s="1975">
        <f t="shared" si="596"/>
        <v>-19291.996125112313</v>
      </c>
      <c r="AQ623" s="1976">
        <v>-749</v>
      </c>
      <c r="AR623" s="1974">
        <v>-1046</v>
      </c>
      <c r="AS623" s="1948">
        <v>-3285</v>
      </c>
      <c r="AT623" s="1948">
        <v>-4770</v>
      </c>
      <c r="AU623" s="1949">
        <f>SUM(O623:R623)</f>
        <v>-5438</v>
      </c>
      <c r="AV623" s="1948">
        <f>SUM(S623:V623)</f>
        <v>-12220</v>
      </c>
      <c r="AW623" s="1979">
        <v>-25809</v>
      </c>
      <c r="AX623" s="1949">
        <f>SUM(AA623:AD623)</f>
        <v>-32336</v>
      </c>
      <c r="AY623" s="1948">
        <f>SUM(AE623:AH623)</f>
        <v>-24662</v>
      </c>
      <c r="AZ623" s="1948">
        <f>SUM(AI623:AL623)</f>
        <v>-57071.056412465201</v>
      </c>
      <c r="BA623" s="1981">
        <f>SUM(AM623:AP623)</f>
        <v>-63979.580001991897</v>
      </c>
      <c r="BB623" s="1949">
        <f>BB618-BB622</f>
        <v>-73755.85255855904</v>
      </c>
      <c r="BC623" s="1981">
        <f>BC618-BC622</f>
        <v>-72177.547704939338</v>
      </c>
    </row>
    <row r="624" spans="1:71" s="2055" customFormat="1" ht="10.15" x14ac:dyDescent="0.3">
      <c r="A624" s="2640"/>
      <c r="B624" s="2665" t="s">
        <v>1268</v>
      </c>
      <c r="C624" s="2052"/>
      <c r="D624" s="2052"/>
      <c r="E624" s="2057"/>
      <c r="F624" s="2052"/>
      <c r="G624" s="2052"/>
      <c r="H624" s="2052"/>
      <c r="I624" s="2052"/>
      <c r="J624" s="2052"/>
      <c r="K624" s="2052"/>
      <c r="L624" s="2052"/>
      <c r="M624" s="2052"/>
      <c r="N624" s="2052"/>
      <c r="O624" s="2052"/>
      <c r="P624" s="2666"/>
      <c r="Q624" s="2052"/>
      <c r="R624" s="2052"/>
      <c r="S624" s="2052"/>
      <c r="T624" s="2052"/>
      <c r="U624" s="2052"/>
      <c r="V624" s="2052"/>
      <c r="W624" s="2052">
        <f>-4629-X624</f>
        <v>-1949</v>
      </c>
      <c r="X624" s="2052">
        <v>-2680</v>
      </c>
      <c r="Y624" s="2052"/>
      <c r="Z624" s="2052"/>
      <c r="AA624" s="2052">
        <f>-8496-AB624</f>
        <v>-4754</v>
      </c>
      <c r="AB624" s="2052">
        <v>-3742</v>
      </c>
      <c r="AC624" s="2052">
        <v>-3514</v>
      </c>
      <c r="AD624" s="2052">
        <v>-2151</v>
      </c>
      <c r="AE624" s="2052">
        <v>-2395</v>
      </c>
      <c r="AF624" s="2052">
        <v>-2451</v>
      </c>
      <c r="AG624" s="2052">
        <v>-5274</v>
      </c>
      <c r="AH624" s="2052">
        <v>-2716</v>
      </c>
      <c r="AI624" s="2052">
        <v>-56</v>
      </c>
      <c r="AJ624" s="2052">
        <f t="shared" ref="AJ624:AP624" si="597">AF624*0.8</f>
        <v>-1960.8000000000002</v>
      </c>
      <c r="AK624" s="2052">
        <f t="shared" si="597"/>
        <v>-4219.2</v>
      </c>
      <c r="AL624" s="2052">
        <f t="shared" si="597"/>
        <v>-2172.8000000000002</v>
      </c>
      <c r="AM624" s="2052">
        <f t="shared" si="597"/>
        <v>-44.800000000000004</v>
      </c>
      <c r="AN624" s="2052">
        <f t="shared" si="597"/>
        <v>-1568.6400000000003</v>
      </c>
      <c r="AO624" s="2052">
        <f t="shared" si="597"/>
        <v>-3375.36</v>
      </c>
      <c r="AP624" s="2052">
        <f t="shared" si="597"/>
        <v>-1738.2400000000002</v>
      </c>
      <c r="AQ624" s="2194"/>
      <c r="AR624" s="2004"/>
      <c r="AS624" s="2435"/>
      <c r="AT624" s="2435"/>
      <c r="AU624" s="2437"/>
      <c r="AV624" s="2435">
        <v>-6540</v>
      </c>
      <c r="AW624" s="2036">
        <v>-10208</v>
      </c>
      <c r="AX624" s="2437">
        <v>-14161</v>
      </c>
      <c r="AY624" s="2435">
        <f>SUM(AE624:AH624)</f>
        <v>-12836</v>
      </c>
      <c r="AZ624" s="1948">
        <f>SUM(AI624:AL624)</f>
        <v>-8408.7999999999993</v>
      </c>
      <c r="BA624" s="1981">
        <f>SUM(AM624:AP624)</f>
        <v>-6727.0400000000009</v>
      </c>
      <c r="BB624" s="2437">
        <f>BA624</f>
        <v>-6727.0400000000009</v>
      </c>
      <c r="BC624" s="2438">
        <f>BB624</f>
        <v>-6727.0400000000009</v>
      </c>
    </row>
    <row r="625" spans="1:55" s="1953" customFormat="1" ht="10.15" x14ac:dyDescent="0.3">
      <c r="A625" s="2640"/>
      <c r="B625" s="2476" t="s">
        <v>1269</v>
      </c>
      <c r="C625" s="1975"/>
      <c r="D625" s="1975"/>
      <c r="E625" s="2248"/>
      <c r="F625" s="1975"/>
      <c r="G625" s="1975"/>
      <c r="H625" s="1975"/>
      <c r="I625" s="1975"/>
      <c r="J625" s="1975"/>
      <c r="K625" s="1975"/>
      <c r="L625" s="1975"/>
      <c r="M625" s="1975"/>
      <c r="N625" s="1975"/>
      <c r="O625" s="1975"/>
      <c r="P625" s="2643"/>
      <c r="Q625" s="1975"/>
      <c r="R625" s="1975"/>
      <c r="S625" s="1975"/>
      <c r="T625" s="1975"/>
      <c r="U625" s="1975"/>
      <c r="V625" s="1975"/>
      <c r="W625" s="1948"/>
      <c r="X625" s="1975"/>
      <c r="Y625" s="1975"/>
      <c r="Z625" s="1975"/>
      <c r="AA625" s="1948"/>
      <c r="AB625" s="1975"/>
      <c r="AC625" s="1975"/>
      <c r="AD625" s="1975">
        <v>2637</v>
      </c>
      <c r="AE625" s="1975"/>
      <c r="AF625" s="1975"/>
      <c r="AG625" s="1975"/>
      <c r="AH625" s="1975"/>
      <c r="AI625" s="1975"/>
      <c r="AJ625" s="1975"/>
      <c r="AK625" s="1975"/>
      <c r="AL625" s="1975"/>
      <c r="AM625" s="1975"/>
      <c r="AN625" s="1975"/>
      <c r="AO625" s="1975"/>
      <c r="AP625" s="1975"/>
      <c r="AQ625" s="1976">
        <v>1</v>
      </c>
      <c r="AR625" s="1974">
        <v>301</v>
      </c>
      <c r="AS625" s="1948">
        <v>0</v>
      </c>
      <c r="AT625" s="1948"/>
      <c r="AU625" s="1949"/>
      <c r="AV625" s="1948"/>
      <c r="AW625" s="1979"/>
      <c r="AX625" s="1949"/>
      <c r="AY625" s="1948">
        <v>0</v>
      </c>
      <c r="AZ625" s="1948">
        <v>0</v>
      </c>
      <c r="BA625" s="1981">
        <v>0</v>
      </c>
      <c r="BB625" s="1949">
        <v>0</v>
      </c>
      <c r="BC625" s="1981">
        <v>0</v>
      </c>
    </row>
    <row r="626" spans="1:55" s="1953" customFormat="1" ht="10.15" x14ac:dyDescent="0.3">
      <c r="A626" s="2640"/>
      <c r="B626" s="2476" t="s">
        <v>1270</v>
      </c>
      <c r="C626" s="1975"/>
      <c r="D626" s="1975"/>
      <c r="E626" s="2248"/>
      <c r="F626" s="1975"/>
      <c r="G626" s="1975"/>
      <c r="H626" s="1975"/>
      <c r="I626" s="1975"/>
      <c r="J626" s="1975"/>
      <c r="K626" s="1975"/>
      <c r="L626" s="1975"/>
      <c r="M626" s="1975"/>
      <c r="N626" s="1975"/>
      <c r="O626" s="1975"/>
      <c r="P626" s="2643"/>
      <c r="Q626" s="1975"/>
      <c r="R626" s="1975"/>
      <c r="S626" s="1975"/>
      <c r="T626" s="1975"/>
      <c r="U626" s="1975"/>
      <c r="V626" s="1975"/>
      <c r="W626" s="1948"/>
      <c r="X626" s="1975"/>
      <c r="Y626" s="1975"/>
      <c r="Z626" s="1975"/>
      <c r="AA626" s="1948"/>
      <c r="AB626" s="1975"/>
      <c r="AC626" s="1975"/>
      <c r="AD626" s="1975"/>
      <c r="AE626" s="1975"/>
      <c r="AF626" s="1975">
        <v>-5211</v>
      </c>
      <c r="AG626" s="1975">
        <v>-7203</v>
      </c>
      <c r="AH626" s="1975">
        <v>219</v>
      </c>
      <c r="AI626" s="1975">
        <v>-101</v>
      </c>
      <c r="AJ626" s="1975"/>
      <c r="AK626" s="1975"/>
      <c r="AL626" s="1975"/>
      <c r="AM626" s="1975"/>
      <c r="AN626" s="1975"/>
      <c r="AO626" s="1975"/>
      <c r="AP626" s="1975"/>
      <c r="AQ626" s="1976"/>
      <c r="AR626" s="1974"/>
      <c r="AS626" s="1948"/>
      <c r="AT626" s="1948"/>
      <c r="AU626" s="1949"/>
      <c r="AV626" s="1948"/>
      <c r="AW626" s="1979"/>
      <c r="AX626" s="1949"/>
      <c r="AY626" s="2435"/>
      <c r="AZ626" s="1948"/>
      <c r="BA626" s="1981"/>
      <c r="BB626" s="1949"/>
      <c r="BC626" s="1981"/>
    </row>
    <row r="627" spans="1:55" s="1953" customFormat="1" ht="10.15" x14ac:dyDescent="0.3">
      <c r="A627" s="2640"/>
      <c r="B627" s="2476" t="s">
        <v>1271</v>
      </c>
      <c r="C627" s="1975"/>
      <c r="D627" s="1975"/>
      <c r="E627" s="2248"/>
      <c r="F627" s="1975"/>
      <c r="G627" s="1975">
        <v>-32</v>
      </c>
      <c r="H627" s="1975"/>
      <c r="I627" s="1975"/>
      <c r="J627" s="1975"/>
      <c r="K627" s="1975">
        <v>-2471</v>
      </c>
      <c r="L627" s="1975"/>
      <c r="M627" s="1975"/>
      <c r="N627" s="1975"/>
      <c r="O627" s="1975"/>
      <c r="P627" s="2643"/>
      <c r="Q627" s="1975"/>
      <c r="R627" s="1975"/>
      <c r="S627" s="1975"/>
      <c r="T627" s="1975"/>
      <c r="U627" s="1975"/>
      <c r="V627" s="1975"/>
      <c r="W627" s="1948"/>
      <c r="X627" s="1975"/>
      <c r="Y627" s="1975"/>
      <c r="Z627" s="1975"/>
      <c r="AA627" s="1948"/>
      <c r="AB627" s="1975"/>
      <c r="AC627" s="1975"/>
      <c r="AD627" s="1975"/>
      <c r="AE627" s="1975"/>
      <c r="AF627" s="1975"/>
      <c r="AG627" s="1975"/>
      <c r="AH627" s="1975"/>
      <c r="AI627" s="1975"/>
      <c r="AJ627" s="1975"/>
      <c r="AK627" s="1975"/>
      <c r="AL627" s="1975"/>
      <c r="AM627" s="1975"/>
      <c r="AN627" s="1975"/>
      <c r="AO627" s="1975"/>
      <c r="AP627" s="1975"/>
      <c r="AQ627" s="1976">
        <v>-191</v>
      </c>
      <c r="AR627" s="1974">
        <v>-52</v>
      </c>
      <c r="AS627" s="1948">
        <v>-732</v>
      </c>
      <c r="AT627" s="1948">
        <v>-10255</v>
      </c>
      <c r="AU627" s="1949">
        <v>-1495</v>
      </c>
      <c r="AV627" s="1948">
        <v>-33448</v>
      </c>
      <c r="AW627" s="1979">
        <v>-515</v>
      </c>
      <c r="AX627" s="1949">
        <v>-35434</v>
      </c>
      <c r="AY627" s="1948">
        <v>-14536</v>
      </c>
      <c r="AZ627" s="1948">
        <f>AY627</f>
        <v>-14536</v>
      </c>
      <c r="BA627" s="1981">
        <f>AZ627</f>
        <v>-14536</v>
      </c>
      <c r="BB627" s="1949">
        <f>BA627</f>
        <v>-14536</v>
      </c>
      <c r="BC627" s="1981">
        <f>BB627</f>
        <v>-14536</v>
      </c>
    </row>
    <row r="628" spans="1:55" s="1953" customFormat="1" ht="10.15" x14ac:dyDescent="0.3">
      <c r="A628" s="2640"/>
      <c r="B628" s="2476" t="s">
        <v>1272</v>
      </c>
      <c r="C628" s="1975"/>
      <c r="D628" s="1975"/>
      <c r="E628" s="2477"/>
      <c r="F628" s="1975"/>
      <c r="G628" s="1975">
        <v>134</v>
      </c>
      <c r="H628" s="1975"/>
      <c r="I628" s="1975"/>
      <c r="J628" s="1975"/>
      <c r="K628" s="1975">
        <v>0</v>
      </c>
      <c r="L628" s="1975"/>
      <c r="M628" s="1975"/>
      <c r="N628" s="1975"/>
      <c r="O628" s="1975"/>
      <c r="P628" s="2643"/>
      <c r="Q628" s="1975"/>
      <c r="R628" s="1975"/>
      <c r="S628" s="1975"/>
      <c r="T628" s="1975"/>
      <c r="U628" s="1975"/>
      <c r="V628" s="1975"/>
      <c r="W628" s="1948"/>
      <c r="X628" s="1975"/>
      <c r="Y628" s="1975"/>
      <c r="Z628" s="1975"/>
      <c r="AA628" s="1948"/>
      <c r="AB628" s="1975"/>
      <c r="AC628" s="1975"/>
      <c r="AD628" s="1975"/>
      <c r="AE628" s="1975"/>
      <c r="AF628" s="1975"/>
      <c r="AG628" s="1975"/>
      <c r="AH628" s="1975"/>
      <c r="AI628" s="1975"/>
      <c r="AJ628" s="1975"/>
      <c r="AK628" s="1975"/>
      <c r="AL628" s="1975"/>
      <c r="AM628" s="1975"/>
      <c r="AN628" s="1975"/>
      <c r="AO628" s="1975"/>
      <c r="AP628" s="1975"/>
      <c r="AQ628" s="1976">
        <v>-20</v>
      </c>
      <c r="AR628" s="1974">
        <v>551</v>
      </c>
      <c r="AS628" s="1948">
        <v>-46</v>
      </c>
      <c r="AT628" s="1948">
        <v>-1271</v>
      </c>
      <c r="AU628" s="1949">
        <v>4890</v>
      </c>
      <c r="AV628" s="1948">
        <v>250</v>
      </c>
      <c r="AW628" s="1979">
        <v>-27</v>
      </c>
      <c r="AX628" s="1949">
        <v>-10</v>
      </c>
      <c r="AY628" s="1948">
        <v>-107</v>
      </c>
      <c r="AZ628" s="1948"/>
      <c r="BA628" s="1981"/>
      <c r="BB628" s="1949"/>
      <c r="BC628" s="1981"/>
    </row>
    <row r="629" spans="1:55" s="1953" customFormat="1" ht="10.15" x14ac:dyDescent="0.3">
      <c r="A629" s="2640"/>
      <c r="B629" s="2476" t="s">
        <v>1273</v>
      </c>
      <c r="C629" s="1975"/>
      <c r="D629" s="1975"/>
      <c r="E629" s="2248"/>
      <c r="F629" s="1975"/>
      <c r="G629" s="1975">
        <v>-94</v>
      </c>
      <c r="H629" s="1975"/>
      <c r="I629" s="1975"/>
      <c r="J629" s="1975"/>
      <c r="K629" s="1975">
        <v>1</v>
      </c>
      <c r="L629" s="1975"/>
      <c r="M629" s="1975"/>
      <c r="N629" s="1975"/>
      <c r="O629" s="1975"/>
      <c r="P629" s="2643"/>
      <c r="Q629" s="1975"/>
      <c r="R629" s="1975"/>
      <c r="S629" s="1975"/>
      <c r="T629" s="1975"/>
      <c r="U629" s="1975"/>
      <c r="V629" s="1975"/>
      <c r="W629" s="1948"/>
      <c r="X629" s="1975"/>
      <c r="Y629" s="1975"/>
      <c r="Z629" s="1975"/>
      <c r="AA629" s="1948"/>
      <c r="AB629" s="1975"/>
      <c r="AC629" s="1975"/>
      <c r="AD629" s="1975"/>
      <c r="AE629" s="1975"/>
      <c r="AF629" s="1975"/>
      <c r="AG629" s="1975"/>
      <c r="AH629" s="1975"/>
      <c r="AI629" s="1975"/>
      <c r="AJ629" s="1975"/>
      <c r="AK629" s="1975"/>
      <c r="AL629" s="1975"/>
      <c r="AM629" s="1975"/>
      <c r="AN629" s="1975"/>
      <c r="AO629" s="1975"/>
      <c r="AP629" s="1975"/>
      <c r="AQ629" s="1976">
        <v>-305</v>
      </c>
      <c r="AR629" s="1974">
        <v>-344</v>
      </c>
      <c r="AS629" s="1948">
        <v>-212</v>
      </c>
      <c r="AT629" s="1948">
        <v>-40</v>
      </c>
      <c r="AU629" s="1949">
        <v>35</v>
      </c>
      <c r="AV629" s="1948">
        <v>3</v>
      </c>
      <c r="AW629" s="1979">
        <v>132</v>
      </c>
      <c r="AX629" s="1949">
        <v>7</v>
      </c>
      <c r="AY629" s="1948">
        <v>-35</v>
      </c>
      <c r="AZ629" s="1948"/>
      <c r="BA629" s="1981"/>
      <c r="BB629" s="1949"/>
      <c r="BC629" s="1981"/>
    </row>
    <row r="630" spans="1:55" s="1999" customFormat="1" ht="10.15" x14ac:dyDescent="0.3">
      <c r="A630" s="2096"/>
      <c r="B630" s="2487" t="s">
        <v>1274</v>
      </c>
      <c r="C630" s="2488"/>
      <c r="D630" s="2488"/>
      <c r="E630" s="2474"/>
      <c r="F630" s="2488"/>
      <c r="G630" s="2488">
        <v>-9546</v>
      </c>
      <c r="H630" s="2488"/>
      <c r="I630" s="2488"/>
      <c r="J630" s="2488"/>
      <c r="K630" s="2488">
        <v>-11483</v>
      </c>
      <c r="L630" s="2488">
        <v>-15912</v>
      </c>
      <c r="M630" s="2488"/>
      <c r="N630" s="2488"/>
      <c r="O630" s="2488"/>
      <c r="P630" s="2667"/>
      <c r="Q630" s="2488"/>
      <c r="R630" s="2488"/>
      <c r="S630" s="2488"/>
      <c r="T630" s="2488"/>
      <c r="U630" s="2488"/>
      <c r="V630" s="2488"/>
      <c r="W630" s="1995"/>
      <c r="X630" s="2488"/>
      <c r="Y630" s="2488"/>
      <c r="Z630" s="2488"/>
      <c r="AA630" s="1995"/>
      <c r="AB630" s="2488"/>
      <c r="AC630" s="2488"/>
      <c r="AD630" s="2488"/>
      <c r="AE630" s="2488"/>
      <c r="AF630" s="2488"/>
      <c r="AG630" s="2488"/>
      <c r="AH630" s="2488"/>
      <c r="AI630" s="2488"/>
      <c r="AJ630" s="2488"/>
      <c r="AK630" s="2488"/>
      <c r="AL630" s="2488"/>
      <c r="AM630" s="2488"/>
      <c r="AN630" s="2488"/>
      <c r="AO630" s="2488"/>
      <c r="AP630" s="2488"/>
      <c r="AQ630" s="1993">
        <v>-761</v>
      </c>
      <c r="AR630" s="1994">
        <v>-452</v>
      </c>
      <c r="AS630" s="1995">
        <v>-16468</v>
      </c>
      <c r="AT630" s="1995">
        <v>-23430</v>
      </c>
      <c r="AU630" s="1997">
        <v>-37625</v>
      </c>
      <c r="AV630" s="1995">
        <v>-39429</v>
      </c>
      <c r="AW630" s="2025">
        <v>-53742</v>
      </c>
      <c r="AX630" s="1997">
        <v>-11860</v>
      </c>
      <c r="AY630" s="1995">
        <v>-24488</v>
      </c>
      <c r="AZ630" s="1995">
        <f>AY630*1.15</f>
        <v>-28161.199999999997</v>
      </c>
      <c r="BA630" s="1996">
        <f>AZ630*1.15</f>
        <v>-32385.379999999994</v>
      </c>
      <c r="BB630" s="1997">
        <f>BA630*1.15</f>
        <v>-37243.186999999991</v>
      </c>
      <c r="BC630" s="1996">
        <f>BB630*1.15</f>
        <v>-42829.665049999989</v>
      </c>
    </row>
    <row r="631" spans="1:55" s="1953" customFormat="1" ht="10.15" x14ac:dyDescent="0.3">
      <c r="A631" s="2096"/>
      <c r="B631" s="2476" t="s">
        <v>1275</v>
      </c>
      <c r="C631" s="1975"/>
      <c r="D631" s="1975"/>
      <c r="E631" s="2248"/>
      <c r="F631" s="1975"/>
      <c r="G631" s="1975">
        <v>89</v>
      </c>
      <c r="H631" s="1975"/>
      <c r="I631" s="1975"/>
      <c r="J631" s="1975"/>
      <c r="K631" s="1975">
        <v>0</v>
      </c>
      <c r="L631" s="1975"/>
      <c r="M631" s="1975"/>
      <c r="N631" s="1975"/>
      <c r="O631" s="1975"/>
      <c r="P631" s="2643"/>
      <c r="Q631" s="1975"/>
      <c r="R631" s="1975"/>
      <c r="S631" s="1975"/>
      <c r="T631" s="1975"/>
      <c r="U631" s="1975"/>
      <c r="V631" s="1975"/>
      <c r="W631" s="1948"/>
      <c r="X631" s="1975"/>
      <c r="Y631" s="1975"/>
      <c r="Z631" s="1975"/>
      <c r="AA631" s="1948"/>
      <c r="AB631" s="1975"/>
      <c r="AC631" s="1975"/>
      <c r="AD631" s="1975"/>
      <c r="AE631" s="1975"/>
      <c r="AF631" s="1975"/>
      <c r="AG631" s="1975"/>
      <c r="AH631" s="1975"/>
      <c r="AI631" s="1975"/>
      <c r="AJ631" s="1975"/>
      <c r="AK631" s="1975"/>
      <c r="AL631" s="1975"/>
      <c r="AM631" s="1975"/>
      <c r="AN631" s="1975"/>
      <c r="AO631" s="1975"/>
      <c r="AP631" s="1975"/>
      <c r="AQ631" s="1976">
        <v>74</v>
      </c>
      <c r="AR631" s="1974">
        <v>167</v>
      </c>
      <c r="AS631" s="1948">
        <v>89</v>
      </c>
      <c r="AT631" s="1948">
        <v>99</v>
      </c>
      <c r="AU631" s="1949">
        <v>10021</v>
      </c>
      <c r="AV631" s="1948">
        <v>4941</v>
      </c>
      <c r="AW631" s="1979">
        <v>6185</v>
      </c>
      <c r="AX631" s="1949">
        <v>282</v>
      </c>
      <c r="AY631" s="1948">
        <v>78</v>
      </c>
      <c r="AZ631" s="1948"/>
      <c r="BA631" s="1981"/>
      <c r="BB631" s="1949"/>
      <c r="BC631" s="1981"/>
    </row>
    <row r="632" spans="1:55" s="1953" customFormat="1" ht="10.15" x14ac:dyDescent="0.3">
      <c r="A632" s="2096"/>
      <c r="B632" s="2476" t="s">
        <v>1276</v>
      </c>
      <c r="C632" s="1975"/>
      <c r="D632" s="1975"/>
      <c r="E632" s="2248"/>
      <c r="F632" s="1975"/>
      <c r="G632" s="1975"/>
      <c r="H632" s="1975"/>
      <c r="I632" s="1975"/>
      <c r="J632" s="1975"/>
      <c r="K632" s="1975"/>
      <c r="L632" s="1975"/>
      <c r="M632" s="1975"/>
      <c r="N632" s="1975"/>
      <c r="O632" s="1975"/>
      <c r="P632" s="2643"/>
      <c r="Q632" s="1975"/>
      <c r="R632" s="1975"/>
      <c r="S632" s="1975"/>
      <c r="T632" s="1975"/>
      <c r="U632" s="1975"/>
      <c r="V632" s="1975"/>
      <c r="W632" s="1948"/>
      <c r="X632" s="1975"/>
      <c r="Y632" s="1975"/>
      <c r="Z632" s="1975"/>
      <c r="AA632" s="1948"/>
      <c r="AB632" s="1975"/>
      <c r="AC632" s="1975"/>
      <c r="AD632" s="1975"/>
      <c r="AE632" s="1975"/>
      <c r="AF632" s="1975"/>
      <c r="AG632" s="1975"/>
      <c r="AH632" s="1975"/>
      <c r="AI632" s="1975"/>
      <c r="AJ632" s="1975"/>
      <c r="AK632" s="1975"/>
      <c r="AL632" s="1975"/>
      <c r="AM632" s="1975"/>
      <c r="AN632" s="1975"/>
      <c r="AO632" s="1975"/>
      <c r="AP632" s="1975"/>
      <c r="AQ632" s="1976"/>
      <c r="AR632" s="1974"/>
      <c r="AS632" s="1948"/>
      <c r="AT632" s="1948"/>
      <c r="AU632" s="1949"/>
      <c r="AV632" s="1948"/>
      <c r="AW632" s="1979"/>
      <c r="AX632" s="1949"/>
      <c r="AY632" s="1948">
        <v>12648</v>
      </c>
      <c r="AZ632" s="1948"/>
      <c r="BA632" s="1981"/>
      <c r="BB632" s="1949"/>
      <c r="BC632" s="1981"/>
    </row>
    <row r="633" spans="1:55" s="1999" customFormat="1" ht="10.15" x14ac:dyDescent="0.3">
      <c r="A633" s="2640"/>
      <c r="B633" s="2668" t="s">
        <v>1277</v>
      </c>
      <c r="C633" s="2481"/>
      <c r="D633" s="2481"/>
      <c r="E633" s="2479"/>
      <c r="F633" s="2481"/>
      <c r="G633" s="2481">
        <f>SUM(G612:G631)</f>
        <v>-12523</v>
      </c>
      <c r="H633" s="2481">
        <v>-5724</v>
      </c>
      <c r="I633" s="2481">
        <v>-4817</v>
      </c>
      <c r="J633" s="2481">
        <v>-10805</v>
      </c>
      <c r="K633" s="2481">
        <f>SUM(K612:K631)</f>
        <v>-11717</v>
      </c>
      <c r="L633" s="2481">
        <v>-32555</v>
      </c>
      <c r="M633" s="2481">
        <v>-4817</v>
      </c>
      <c r="N633" s="2481">
        <v>-5672</v>
      </c>
      <c r="O633" s="2481">
        <v>-15592</v>
      </c>
      <c r="P633" s="2669">
        <v>-5575</v>
      </c>
      <c r="Q633" s="2481">
        <v>-14271</v>
      </c>
      <c r="R633" s="2481">
        <v>-7393</v>
      </c>
      <c r="S633" s="2481">
        <v>-61468</v>
      </c>
      <c r="T633" s="2481">
        <v>-5715</v>
      </c>
      <c r="U633" s="2481">
        <v>-8146</v>
      </c>
      <c r="V633" s="2481">
        <v>-3035</v>
      </c>
      <c r="W633" s="2481">
        <v>-13923</v>
      </c>
      <c r="X633" s="2481">
        <v>-25561</v>
      </c>
      <c r="Y633" s="2481">
        <v>-24304</v>
      </c>
      <c r="Z633" s="2481">
        <v>-19976</v>
      </c>
      <c r="AA633" s="2481">
        <v>-71670</v>
      </c>
      <c r="AB633" s="2481">
        <v>-31584</v>
      </c>
      <c r="AC633" s="2481">
        <v>-31055</v>
      </c>
      <c r="AD633" s="2481">
        <v>-16751</v>
      </c>
      <c r="AE633" s="2481">
        <v>-21136</v>
      </c>
      <c r="AF633" s="2481">
        <v>-21353</v>
      </c>
      <c r="AG633" s="2481">
        <v>-32588</v>
      </c>
      <c r="AH633" s="2481">
        <v>-32995</v>
      </c>
      <c r="AI633" s="2481">
        <v>-67728</v>
      </c>
      <c r="AJ633" s="2481"/>
      <c r="AK633" s="2481"/>
      <c r="AL633" s="2481"/>
      <c r="AM633" s="2481"/>
      <c r="AN633" s="2481"/>
      <c r="AO633" s="2481"/>
      <c r="AP633" s="2481"/>
      <c r="AQ633" s="2480">
        <v>-125</v>
      </c>
      <c r="AR633" s="2479">
        <v>545</v>
      </c>
      <c r="AS633" s="2481">
        <v>-32997</v>
      </c>
      <c r="AT633" s="2481">
        <f>SUM(AT612:AT618)+SUM(AT627:AT631)</f>
        <v>-53454</v>
      </c>
      <c r="AU633" s="2484">
        <f>SUM(O633:R633)</f>
        <v>-42831</v>
      </c>
      <c r="AV633" s="2481">
        <f>SUM(AV612:AV618)+SUM(AV625:AV631)</f>
        <v>-79579</v>
      </c>
      <c r="AW633" s="2481">
        <f>SUM(AW612:AW618)+SUM(AW625:AW631)</f>
        <v>-83764</v>
      </c>
      <c r="AX633" s="2484">
        <f>SUM(AX612:AX618)+SUM(AX625:AX631)</f>
        <v>-136899</v>
      </c>
      <c r="AY633" s="2481">
        <f>SUM(AE633:AH633)</f>
        <v>-108072</v>
      </c>
      <c r="AZ633" s="2481">
        <f>SUM(AZ612:AZ618)+SUM(AZ627:AZ631)</f>
        <v>-197432.9564124652</v>
      </c>
      <c r="BA633" s="2485">
        <f>SUM(BA612:BA618)+SUM(BA627:BA631)</f>
        <v>-173756.51000199193</v>
      </c>
      <c r="BB633" s="2484">
        <f>SUM(BB612:BB618)+SUM(BB627:BB631)</f>
        <v>-199783.62055855902</v>
      </c>
      <c r="BC633" s="2485">
        <f>SUM(BC612:BC618)+SUM(BC627:BC631)</f>
        <v>-216987.88305493936</v>
      </c>
    </row>
    <row r="634" spans="1:55" s="1953" customFormat="1" ht="10.15" x14ac:dyDescent="0.3">
      <c r="A634" s="2640"/>
      <c r="B634" s="2487" t="s">
        <v>1278</v>
      </c>
      <c r="C634" s="1975"/>
      <c r="D634" s="1975"/>
      <c r="E634" s="2248"/>
      <c r="F634" s="1975"/>
      <c r="G634" s="1975"/>
      <c r="H634" s="1975"/>
      <c r="I634" s="1975"/>
      <c r="J634" s="1975"/>
      <c r="K634" s="1975"/>
      <c r="L634" s="1975"/>
      <c r="M634" s="1975"/>
      <c r="N634" s="1975"/>
      <c r="O634" s="1975"/>
      <c r="P634" s="2643"/>
      <c r="Q634" s="1975"/>
      <c r="R634" s="1975"/>
      <c r="S634" s="1975"/>
      <c r="T634" s="1975"/>
      <c r="U634" s="1975"/>
      <c r="V634" s="1975"/>
      <c r="W634" s="1948"/>
      <c r="X634" s="1975"/>
      <c r="Y634" s="1975"/>
      <c r="Z634" s="1975"/>
      <c r="AA634" s="1948"/>
      <c r="AB634" s="1975"/>
      <c r="AC634" s="1975"/>
      <c r="AD634" s="1975"/>
      <c r="AE634" s="1975"/>
      <c r="AF634" s="1975"/>
      <c r="AG634" s="1975"/>
      <c r="AH634" s="1975"/>
      <c r="AI634" s="1975"/>
      <c r="AJ634" s="1975"/>
      <c r="AK634" s="1975"/>
      <c r="AL634" s="1975"/>
      <c r="AM634" s="1975"/>
      <c r="AN634" s="1975"/>
      <c r="AO634" s="1975"/>
      <c r="AP634" s="1975"/>
      <c r="AQ634" s="2067"/>
      <c r="AR634" s="1972"/>
      <c r="AS634" s="1950"/>
      <c r="AT634" s="1950"/>
      <c r="AU634" s="1952"/>
      <c r="AV634" s="1950"/>
      <c r="AW634" s="1950"/>
      <c r="AX634" s="1952"/>
      <c r="AY634" s="1950"/>
      <c r="AZ634" s="1950"/>
      <c r="BA634" s="1951"/>
      <c r="BB634" s="1952"/>
      <c r="BC634" s="1951"/>
    </row>
    <row r="635" spans="1:55" s="1953" customFormat="1" ht="10.15" x14ac:dyDescent="0.3">
      <c r="A635" s="2640"/>
      <c r="B635" s="2476" t="s">
        <v>1279</v>
      </c>
      <c r="C635" s="1975"/>
      <c r="D635" s="1975"/>
      <c r="E635" s="2248"/>
      <c r="F635" s="1975"/>
      <c r="G635" s="1975">
        <v>1377</v>
      </c>
      <c r="H635" s="1975"/>
      <c r="I635" s="1975"/>
      <c r="J635" s="1975"/>
      <c r="K635" s="1975">
        <v>267</v>
      </c>
      <c r="L635" s="1975"/>
      <c r="M635" s="1975"/>
      <c r="N635" s="1975"/>
      <c r="O635" s="1975"/>
      <c r="P635" s="2643"/>
      <c r="Q635" s="1975"/>
      <c r="R635" s="1975"/>
      <c r="S635" s="1975"/>
      <c r="T635" s="1975"/>
      <c r="U635" s="1975"/>
      <c r="V635" s="1975"/>
      <c r="W635" s="1948"/>
      <c r="X635" s="1975"/>
      <c r="Y635" s="1975"/>
      <c r="Z635" s="1975"/>
      <c r="AA635" s="1948"/>
      <c r="AB635" s="1975"/>
      <c r="AC635" s="1975"/>
      <c r="AD635" s="1975"/>
      <c r="AE635" s="1975"/>
      <c r="AF635" s="1975"/>
      <c r="AG635" s="1975"/>
      <c r="AH635" s="1975"/>
      <c r="AI635" s="1975"/>
      <c r="AJ635" s="1975"/>
      <c r="AK635" s="1975"/>
      <c r="AL635" s="1975"/>
      <c r="AM635" s="1975"/>
      <c r="AN635" s="1975"/>
      <c r="AO635" s="1975"/>
      <c r="AP635" s="1975"/>
      <c r="AQ635" s="1976">
        <v>618</v>
      </c>
      <c r="AR635" s="1974">
        <v>16792</v>
      </c>
      <c r="AS635" s="1948">
        <v>1638</v>
      </c>
      <c r="AT635" s="1948">
        <v>61831</v>
      </c>
      <c r="AU635" s="1949">
        <v>693</v>
      </c>
      <c r="AV635" s="1948">
        <v>14607</v>
      </c>
      <c r="AW635" s="1979">
        <v>399</v>
      </c>
      <c r="AX635" s="1949">
        <v>354</v>
      </c>
      <c r="AY635" s="1948">
        <v>91506</v>
      </c>
      <c r="AZ635" s="1948"/>
      <c r="BA635" s="1981"/>
      <c r="BB635" s="1949"/>
      <c r="BC635" s="1981"/>
    </row>
    <row r="636" spans="1:55" s="1953" customFormat="1" ht="10.15" x14ac:dyDescent="0.3">
      <c r="A636" s="2640"/>
      <c r="B636" s="2476" t="s">
        <v>1280</v>
      </c>
      <c r="C636" s="1975"/>
      <c r="D636" s="1975"/>
      <c r="E636" s="2248"/>
      <c r="F636" s="1975"/>
      <c r="G636" s="1975">
        <v>-30</v>
      </c>
      <c r="H636" s="1975"/>
      <c r="I636" s="1975"/>
      <c r="J636" s="1975"/>
      <c r="K636" s="1975">
        <v>-64</v>
      </c>
      <c r="L636" s="1975"/>
      <c r="M636" s="1975"/>
      <c r="N636" s="1975"/>
      <c r="O636" s="1975"/>
      <c r="P636" s="2643"/>
      <c r="Q636" s="1975"/>
      <c r="R636" s="1975"/>
      <c r="S636" s="1975"/>
      <c r="T636" s="1975"/>
      <c r="U636" s="1975"/>
      <c r="V636" s="1975"/>
      <c r="W636" s="1948"/>
      <c r="X636" s="1975"/>
      <c r="Y636" s="1975"/>
      <c r="Z636" s="1975"/>
      <c r="AA636" s="1948"/>
      <c r="AB636" s="1975"/>
      <c r="AC636" s="1975"/>
      <c r="AD636" s="1975"/>
      <c r="AE636" s="1975"/>
      <c r="AF636" s="1975"/>
      <c r="AG636" s="1975"/>
      <c r="AH636" s="1975"/>
      <c r="AI636" s="1975"/>
      <c r="AJ636" s="1975"/>
      <c r="AK636" s="1975"/>
      <c r="AL636" s="1975"/>
      <c r="AM636" s="1975"/>
      <c r="AN636" s="1975"/>
      <c r="AO636" s="1975"/>
      <c r="AP636" s="1975"/>
      <c r="AQ636" s="1976">
        <v>-2</v>
      </c>
      <c r="AR636" s="1974">
        <v>-40111</v>
      </c>
      <c r="AS636" s="1948">
        <v>-157</v>
      </c>
      <c r="AT636" s="1948">
        <v>-270</v>
      </c>
      <c r="AU636" s="1949">
        <v>-19795</v>
      </c>
      <c r="AV636" s="1948">
        <v>-13182</v>
      </c>
      <c r="AW636" s="1979">
        <v>0</v>
      </c>
      <c r="AX636" s="1949">
        <v>-10872</v>
      </c>
      <c r="AY636" s="1948"/>
      <c r="AZ636" s="1948"/>
      <c r="BA636" s="1981"/>
      <c r="BB636" s="1949"/>
      <c r="BC636" s="1981"/>
    </row>
    <row r="637" spans="1:55" s="1953" customFormat="1" ht="10.15" x14ac:dyDescent="0.3">
      <c r="A637" s="2640"/>
      <c r="B637" s="2476" t="s">
        <v>1281</v>
      </c>
      <c r="C637" s="1975"/>
      <c r="D637" s="1975"/>
      <c r="E637" s="2477"/>
      <c r="F637" s="1975"/>
      <c r="G637" s="1975"/>
      <c r="H637" s="1975"/>
      <c r="I637" s="1975"/>
      <c r="J637" s="1975"/>
      <c r="K637" s="1975"/>
      <c r="L637" s="1975"/>
      <c r="M637" s="1975"/>
      <c r="N637" s="1975"/>
      <c r="O637" s="1975"/>
      <c r="P637" s="2643"/>
      <c r="Q637" s="1975"/>
      <c r="R637" s="1975"/>
      <c r="S637" s="1975"/>
      <c r="T637" s="1975"/>
      <c r="U637" s="1975"/>
      <c r="V637" s="1975"/>
      <c r="W637" s="1948"/>
      <c r="X637" s="1975"/>
      <c r="Y637" s="1975"/>
      <c r="Z637" s="1975"/>
      <c r="AA637" s="1948"/>
      <c r="AB637" s="1975"/>
      <c r="AC637" s="1975"/>
      <c r="AD637" s="1975"/>
      <c r="AE637" s="1975"/>
      <c r="AF637" s="1975"/>
      <c r="AG637" s="1975"/>
      <c r="AH637" s="1975"/>
      <c r="AI637" s="1975"/>
      <c r="AJ637" s="1975"/>
      <c r="AK637" s="1975"/>
      <c r="AL637" s="1975"/>
      <c r="AM637" s="1975"/>
      <c r="AN637" s="1975"/>
      <c r="AO637" s="1975"/>
      <c r="AP637" s="1975"/>
      <c r="AQ637" s="1978">
        <v>0</v>
      </c>
      <c r="AR637" s="1979">
        <v>0</v>
      </c>
      <c r="AS637" s="1948">
        <v>442</v>
      </c>
      <c r="AT637" s="1948">
        <v>-123</v>
      </c>
      <c r="AU637" s="1949">
        <v>0</v>
      </c>
      <c r="AV637" s="1948">
        <v>87</v>
      </c>
      <c r="AW637" s="1979">
        <v>0</v>
      </c>
      <c r="AX637" s="1949"/>
      <c r="AY637" s="1948"/>
      <c r="AZ637" s="1948"/>
      <c r="BA637" s="1981"/>
      <c r="BB637" s="1949"/>
      <c r="BC637" s="1981"/>
    </row>
    <row r="638" spans="1:55" s="1953" customFormat="1" ht="10.15" x14ac:dyDescent="0.3">
      <c r="A638" s="2640"/>
      <c r="B638" s="2476" t="s">
        <v>1282</v>
      </c>
      <c r="C638" s="1975"/>
      <c r="D638" s="1975"/>
      <c r="E638" s="2248"/>
      <c r="F638" s="1975"/>
      <c r="G638" s="1975"/>
      <c r="H638" s="1975"/>
      <c r="I638" s="1975"/>
      <c r="J638" s="1975"/>
      <c r="K638" s="1975"/>
      <c r="L638" s="1975"/>
      <c r="M638" s="1975"/>
      <c r="N638" s="1975"/>
      <c r="O638" s="1975"/>
      <c r="P638" s="2643"/>
      <c r="Q638" s="1975"/>
      <c r="R638" s="1975"/>
      <c r="S638" s="1975"/>
      <c r="T638" s="1975"/>
      <c r="U638" s="1975"/>
      <c r="V638" s="1975"/>
      <c r="W638" s="1948"/>
      <c r="X638" s="1975"/>
      <c r="Y638" s="1975"/>
      <c r="Z638" s="1975"/>
      <c r="AA638" s="1948"/>
      <c r="AB638" s="1975"/>
      <c r="AC638" s="1975"/>
      <c r="AD638" s="1975"/>
      <c r="AE638" s="1975"/>
      <c r="AF638" s="1975"/>
      <c r="AG638" s="1975"/>
      <c r="AH638" s="1975"/>
      <c r="AI638" s="1975"/>
      <c r="AJ638" s="1975"/>
      <c r="AK638" s="1975"/>
      <c r="AL638" s="1975"/>
      <c r="AM638" s="1975"/>
      <c r="AN638" s="1975"/>
      <c r="AO638" s="1975"/>
      <c r="AP638" s="1975"/>
      <c r="AQ638" s="1978">
        <v>0</v>
      </c>
      <c r="AR638" s="1974">
        <v>10542</v>
      </c>
      <c r="AS638" s="1948">
        <v>0</v>
      </c>
      <c r="AT638" s="1948">
        <v>0</v>
      </c>
      <c r="AU638" s="1949">
        <v>0</v>
      </c>
      <c r="AV638" s="1948">
        <v>0</v>
      </c>
      <c r="AW638" s="1948">
        <v>0</v>
      </c>
      <c r="AX638" s="1949"/>
      <c r="AY638" s="1948"/>
      <c r="AZ638" s="1948"/>
      <c r="BA638" s="1981"/>
      <c r="BB638" s="1949"/>
      <c r="BC638" s="1981"/>
    </row>
    <row r="639" spans="1:55" s="1953" customFormat="1" ht="10.15" x14ac:dyDescent="0.3">
      <c r="A639" s="2640"/>
      <c r="B639" s="2476" t="s">
        <v>1283</v>
      </c>
      <c r="C639" s="1975"/>
      <c r="D639" s="1975"/>
      <c r="E639" s="2477"/>
      <c r="F639" s="1975"/>
      <c r="G639" s="1975"/>
      <c r="H639" s="1975"/>
      <c r="I639" s="1975"/>
      <c r="J639" s="1975"/>
      <c r="K639" s="1975"/>
      <c r="L639" s="1975"/>
      <c r="M639" s="1975"/>
      <c r="N639" s="1975"/>
      <c r="O639" s="1975"/>
      <c r="P639" s="2643"/>
      <c r="Q639" s="1975"/>
      <c r="R639" s="1975"/>
      <c r="S639" s="1975"/>
      <c r="T639" s="1975"/>
      <c r="U639" s="1975"/>
      <c r="V639" s="1975"/>
      <c r="W639" s="1948"/>
      <c r="X639" s="1975"/>
      <c r="Y639" s="1975"/>
      <c r="Z639" s="1975"/>
      <c r="AA639" s="1948"/>
      <c r="AB639" s="1975"/>
      <c r="AC639" s="1975"/>
      <c r="AD639" s="1975"/>
      <c r="AE639" s="1975"/>
      <c r="AF639" s="1975"/>
      <c r="AG639" s="1975"/>
      <c r="AH639" s="1975"/>
      <c r="AI639" s="1975"/>
      <c r="AJ639" s="1975"/>
      <c r="AK639" s="1975"/>
      <c r="AL639" s="1975"/>
      <c r="AM639" s="1975"/>
      <c r="AN639" s="1975"/>
      <c r="AO639" s="1975"/>
      <c r="AP639" s="1975"/>
      <c r="AQ639" s="1978">
        <v>0</v>
      </c>
      <c r="AR639" s="1974">
        <v>-103</v>
      </c>
      <c r="AS639" s="1948">
        <v>-208</v>
      </c>
      <c r="AT639" s="1948">
        <v>-104</v>
      </c>
      <c r="AU639" s="1949">
        <v>0</v>
      </c>
      <c r="AV639" s="1948">
        <v>0</v>
      </c>
      <c r="AW639" s="1948">
        <v>0</v>
      </c>
      <c r="AX639" s="1949"/>
      <c r="AY639" s="1948"/>
      <c r="AZ639" s="1948"/>
      <c r="BA639" s="1981"/>
      <c r="BB639" s="1949"/>
      <c r="BC639" s="1981"/>
    </row>
    <row r="640" spans="1:55" s="1953" customFormat="1" ht="10.15" x14ac:dyDescent="0.3">
      <c r="A640" s="2640"/>
      <c r="B640" s="2476" t="s">
        <v>1284</v>
      </c>
      <c r="C640" s="1975"/>
      <c r="D640" s="1975"/>
      <c r="E640" s="2477"/>
      <c r="F640" s="1975"/>
      <c r="G640" s="1975">
        <v>-5131</v>
      </c>
      <c r="H640" s="1975"/>
      <c r="I640" s="1975"/>
      <c r="J640" s="1975"/>
      <c r="K640" s="1975">
        <v>0</v>
      </c>
      <c r="L640" s="1975"/>
      <c r="M640" s="1975"/>
      <c r="N640" s="1975"/>
      <c r="O640" s="1975"/>
      <c r="P640" s="2643"/>
      <c r="Q640" s="1975"/>
      <c r="R640" s="1975"/>
      <c r="S640" s="1975"/>
      <c r="T640" s="1975"/>
      <c r="U640" s="1975"/>
      <c r="V640" s="1975"/>
      <c r="W640" s="1948"/>
      <c r="X640" s="1975"/>
      <c r="Y640" s="1975"/>
      <c r="Z640" s="1975"/>
      <c r="AA640" s="1948"/>
      <c r="AB640" s="1975"/>
      <c r="AC640" s="1975"/>
      <c r="AD640" s="1975"/>
      <c r="AE640" s="1975"/>
      <c r="AF640" s="1975"/>
      <c r="AG640" s="1975"/>
      <c r="AH640" s="1975"/>
      <c r="AI640" s="1975"/>
      <c r="AJ640" s="1975"/>
      <c r="AK640" s="1975"/>
      <c r="AL640" s="1975"/>
      <c r="AM640" s="1975"/>
      <c r="AN640" s="1975"/>
      <c r="AO640" s="1975"/>
      <c r="AP640" s="1975"/>
      <c r="AQ640" s="1978">
        <v>0</v>
      </c>
      <c r="AR640" s="1979">
        <v>0</v>
      </c>
      <c r="AS640" s="1948">
        <v>-5131</v>
      </c>
      <c r="AT640" s="1948">
        <v>0</v>
      </c>
      <c r="AU640" s="1949">
        <v>0</v>
      </c>
      <c r="AV640" s="1948">
        <v>0</v>
      </c>
      <c r="AW640" s="1948">
        <v>0</v>
      </c>
      <c r="AX640" s="1949"/>
      <c r="AY640" s="1948"/>
      <c r="AZ640" s="1948"/>
      <c r="BA640" s="1981"/>
      <c r="BB640" s="1949"/>
      <c r="BC640" s="1981"/>
    </row>
    <row r="641" spans="1:55" s="1953" customFormat="1" ht="10.15" x14ac:dyDescent="0.3">
      <c r="A641" s="2640"/>
      <c r="B641" s="2476" t="s">
        <v>1285</v>
      </c>
      <c r="C641" s="1975"/>
      <c r="D641" s="1975"/>
      <c r="E641" s="2477"/>
      <c r="F641" s="1975"/>
      <c r="G641" s="1975">
        <v>-9</v>
      </c>
      <c r="H641" s="1975"/>
      <c r="I641" s="1975"/>
      <c r="J641" s="1975"/>
      <c r="K641" s="1975">
        <v>0</v>
      </c>
      <c r="L641" s="1975"/>
      <c r="M641" s="1975"/>
      <c r="N641" s="1975"/>
      <c r="O641" s="1975"/>
      <c r="P641" s="2643"/>
      <c r="Q641" s="1975"/>
      <c r="R641" s="1975"/>
      <c r="S641" s="1975"/>
      <c r="T641" s="1975"/>
      <c r="U641" s="1975"/>
      <c r="V641" s="1975"/>
      <c r="W641" s="1948"/>
      <c r="X641" s="1975"/>
      <c r="Y641" s="1975"/>
      <c r="Z641" s="1975"/>
      <c r="AA641" s="1948"/>
      <c r="AB641" s="1975"/>
      <c r="AC641" s="1975"/>
      <c r="AD641" s="1975"/>
      <c r="AE641" s="1975"/>
      <c r="AF641" s="1975"/>
      <c r="AG641" s="1975"/>
      <c r="AH641" s="1975"/>
      <c r="AI641" s="1975"/>
      <c r="AJ641" s="1975"/>
      <c r="AK641" s="1975"/>
      <c r="AL641" s="1975"/>
      <c r="AM641" s="1975"/>
      <c r="AN641" s="1975"/>
      <c r="AO641" s="1975"/>
      <c r="AP641" s="1975"/>
      <c r="AQ641" s="1976">
        <v>-419</v>
      </c>
      <c r="AR641" s="1979">
        <v>0</v>
      </c>
      <c r="AS641" s="1948">
        <v>0</v>
      </c>
      <c r="AT641" s="1948">
        <v>0</v>
      </c>
      <c r="AU641" s="1949">
        <v>0</v>
      </c>
      <c r="AV641" s="1948">
        <v>0</v>
      </c>
      <c r="AW641" s="1948">
        <v>0</v>
      </c>
      <c r="AX641" s="1949"/>
      <c r="AY641" s="1948"/>
      <c r="AZ641" s="1948"/>
      <c r="BA641" s="1981"/>
      <c r="BB641" s="1949"/>
      <c r="BC641" s="1981"/>
    </row>
    <row r="642" spans="1:55" s="1953" customFormat="1" ht="10.15" x14ac:dyDescent="0.3">
      <c r="A642" s="2640"/>
      <c r="B642" s="2476" t="s">
        <v>1286</v>
      </c>
      <c r="C642" s="1975"/>
      <c r="D642" s="1975"/>
      <c r="E642" s="2248"/>
      <c r="F642" s="1975"/>
      <c r="G642" s="1975"/>
      <c r="H642" s="1975"/>
      <c r="I642" s="1975"/>
      <c r="J642" s="1975"/>
      <c r="K642" s="1975"/>
      <c r="L642" s="1975"/>
      <c r="M642" s="1975"/>
      <c r="N642" s="1975"/>
      <c r="O642" s="1975"/>
      <c r="P642" s="2643"/>
      <c r="Q642" s="1975"/>
      <c r="R642" s="1975"/>
      <c r="S642" s="1975"/>
      <c r="T642" s="1975"/>
      <c r="U642" s="1975"/>
      <c r="V642" s="1975"/>
      <c r="W642" s="1948"/>
      <c r="X642" s="1975"/>
      <c r="Y642" s="1975"/>
      <c r="Z642" s="1975"/>
      <c r="AA642" s="1948"/>
      <c r="AB642" s="1975"/>
      <c r="AC642" s="1975"/>
      <c r="AD642" s="1975"/>
      <c r="AE642" s="1975"/>
      <c r="AF642" s="1975"/>
      <c r="AG642" s="1975"/>
      <c r="AH642" s="1975"/>
      <c r="AI642" s="1975"/>
      <c r="AJ642" s="1975"/>
      <c r="AK642" s="1975"/>
      <c r="AL642" s="1975"/>
      <c r="AM642" s="1975"/>
      <c r="AN642" s="1975"/>
      <c r="AO642" s="1975"/>
      <c r="AP642" s="1975"/>
      <c r="AQ642" s="1978">
        <v>0</v>
      </c>
      <c r="AR642" s="1974">
        <v>-15134</v>
      </c>
      <c r="AS642" s="1948">
        <v>0</v>
      </c>
      <c r="AT642" s="1948">
        <v>0</v>
      </c>
      <c r="AU642" s="1949">
        <v>0</v>
      </c>
      <c r="AV642" s="1948">
        <v>0</v>
      </c>
      <c r="AW642" s="1948">
        <v>0</v>
      </c>
      <c r="AX642" s="1949"/>
      <c r="AY642" s="1948"/>
      <c r="AZ642" s="1948"/>
      <c r="BA642" s="1981"/>
      <c r="BB642" s="1949"/>
      <c r="BC642" s="1981"/>
    </row>
    <row r="643" spans="1:55" s="1953" customFormat="1" ht="10.15" x14ac:dyDescent="0.3">
      <c r="A643" s="2640"/>
      <c r="B643" s="2476" t="s">
        <v>1287</v>
      </c>
      <c r="C643" s="1975"/>
      <c r="D643" s="1975"/>
      <c r="E643" s="2477"/>
      <c r="F643" s="1975"/>
      <c r="G643" s="1975"/>
      <c r="H643" s="1975"/>
      <c r="I643" s="1975"/>
      <c r="J643" s="1975"/>
      <c r="K643" s="1975"/>
      <c r="L643" s="1975"/>
      <c r="M643" s="1975"/>
      <c r="N643" s="1975"/>
      <c r="O643" s="1975"/>
      <c r="P643" s="2643"/>
      <c r="Q643" s="1975"/>
      <c r="R643" s="1975"/>
      <c r="S643" s="1975"/>
      <c r="T643" s="1975"/>
      <c r="U643" s="1975"/>
      <c r="V643" s="1975"/>
      <c r="W643" s="1948"/>
      <c r="X643" s="1975"/>
      <c r="Y643" s="1975"/>
      <c r="Z643" s="1975"/>
      <c r="AA643" s="1948"/>
      <c r="AB643" s="1975"/>
      <c r="AC643" s="1975"/>
      <c r="AD643" s="1975"/>
      <c r="AE643" s="1975"/>
      <c r="AF643" s="1975"/>
      <c r="AG643" s="1975"/>
      <c r="AH643" s="1975"/>
      <c r="AI643" s="1975"/>
      <c r="AJ643" s="1975"/>
      <c r="AK643" s="1975"/>
      <c r="AL643" s="1975"/>
      <c r="AM643" s="1975"/>
      <c r="AN643" s="1975"/>
      <c r="AO643" s="1975"/>
      <c r="AP643" s="1975"/>
      <c r="AQ643" s="1978">
        <v>0</v>
      </c>
      <c r="AR643" s="1974">
        <v>-335</v>
      </c>
      <c r="AS643" s="1948">
        <v>-9</v>
      </c>
      <c r="AT643" s="1948">
        <v>0</v>
      </c>
      <c r="AU643" s="1949">
        <v>0</v>
      </c>
      <c r="AV643" s="1948">
        <v>0</v>
      </c>
      <c r="AW643" s="1948">
        <v>-13627</v>
      </c>
      <c r="AX643" s="1949">
        <v>-1123</v>
      </c>
      <c r="AY643" s="1948">
        <v>-15402</v>
      </c>
      <c r="AZ643" s="1948"/>
      <c r="BA643" s="1981"/>
      <c r="BB643" s="1949"/>
      <c r="BC643" s="1981"/>
    </row>
    <row r="644" spans="1:55" s="1953" customFormat="1" ht="10.15" x14ac:dyDescent="0.3">
      <c r="A644" s="2640"/>
      <c r="B644" s="2476" t="s">
        <v>1288</v>
      </c>
      <c r="C644" s="1975"/>
      <c r="D644" s="1975"/>
      <c r="E644" s="2477"/>
      <c r="F644" s="1975"/>
      <c r="G644" s="1975"/>
      <c r="H644" s="1975"/>
      <c r="I644" s="1975"/>
      <c r="J644" s="1975"/>
      <c r="K644" s="1975"/>
      <c r="L644" s="1975"/>
      <c r="M644" s="1975"/>
      <c r="N644" s="1975"/>
      <c r="O644" s="1975"/>
      <c r="P644" s="2643"/>
      <c r="Q644" s="1975"/>
      <c r="R644" s="1975"/>
      <c r="S644" s="1975"/>
      <c r="T644" s="1975"/>
      <c r="U644" s="1975"/>
      <c r="V644" s="1975"/>
      <c r="W644" s="1948"/>
      <c r="X644" s="1975"/>
      <c r="Y644" s="1975"/>
      <c r="Z644" s="1975"/>
      <c r="AA644" s="1948"/>
      <c r="AB644" s="1975"/>
      <c r="AC644" s="1975"/>
      <c r="AD644" s="1975"/>
      <c r="AE644" s="1975"/>
      <c r="AF644" s="1975"/>
      <c r="AG644" s="1975"/>
      <c r="AH644" s="1975"/>
      <c r="AI644" s="1975"/>
      <c r="AJ644" s="1975"/>
      <c r="AK644" s="1975"/>
      <c r="AL644" s="1975"/>
      <c r="AM644" s="1975"/>
      <c r="AN644" s="1975"/>
      <c r="AO644" s="1975"/>
      <c r="AP644" s="1975"/>
      <c r="AQ644" s="1978"/>
      <c r="AR644" s="1974"/>
      <c r="AS644" s="1948"/>
      <c r="AT644" s="1948"/>
      <c r="AU644" s="1949">
        <v>0</v>
      </c>
      <c r="AV644" s="1948">
        <v>0</v>
      </c>
      <c r="AW644" s="1948">
        <v>-770</v>
      </c>
      <c r="AX644" s="1949">
        <v>0</v>
      </c>
      <c r="AY644" s="1948"/>
      <c r="AZ644" s="1948"/>
      <c r="BA644" s="1981"/>
      <c r="BB644" s="1949"/>
      <c r="BC644" s="1981"/>
    </row>
    <row r="645" spans="1:55" s="1953" customFormat="1" ht="10.15" x14ac:dyDescent="0.3">
      <c r="A645" s="2640"/>
      <c r="B645" s="2476" t="s">
        <v>1289</v>
      </c>
      <c r="C645" s="1975"/>
      <c r="D645" s="1975"/>
      <c r="E645" s="2477"/>
      <c r="F645" s="1975"/>
      <c r="G645" s="1975"/>
      <c r="H645" s="1975"/>
      <c r="I645" s="1975"/>
      <c r="J645" s="1975"/>
      <c r="K645" s="1975"/>
      <c r="L645" s="1975"/>
      <c r="M645" s="1975"/>
      <c r="N645" s="1975"/>
      <c r="O645" s="1975"/>
      <c r="P645" s="2643"/>
      <c r="Q645" s="1975"/>
      <c r="R645" s="1975"/>
      <c r="S645" s="1975"/>
      <c r="T645" s="1975"/>
      <c r="U645" s="1975"/>
      <c r="V645" s="1975"/>
      <c r="W645" s="1948"/>
      <c r="X645" s="1975"/>
      <c r="Y645" s="1975"/>
      <c r="Z645" s="1975"/>
      <c r="AA645" s="1948"/>
      <c r="AB645" s="1975"/>
      <c r="AC645" s="1975"/>
      <c r="AD645" s="1975"/>
      <c r="AE645" s="1975"/>
      <c r="AF645" s="1975"/>
      <c r="AG645" s="1975"/>
      <c r="AH645" s="1975"/>
      <c r="AI645" s="1975"/>
      <c r="AJ645" s="1975"/>
      <c r="AK645" s="1975"/>
      <c r="AL645" s="1975"/>
      <c r="AM645" s="1975"/>
      <c r="AN645" s="1975"/>
      <c r="AO645" s="1975"/>
      <c r="AP645" s="1975"/>
      <c r="AQ645" s="1976">
        <v>-9</v>
      </c>
      <c r="AR645" s="1979">
        <v>0</v>
      </c>
      <c r="AS645" s="1948">
        <v>0</v>
      </c>
      <c r="AT645" s="1948">
        <v>-61</v>
      </c>
      <c r="AU645" s="1949">
        <v>-3</v>
      </c>
      <c r="AV645" s="1948">
        <v>-163</v>
      </c>
      <c r="AW645" s="1979">
        <v>-112</v>
      </c>
      <c r="AX645" s="1949">
        <v>-226</v>
      </c>
      <c r="AY645" s="1948">
        <v>-278</v>
      </c>
      <c r="AZ645" s="1948"/>
      <c r="BA645" s="1981"/>
      <c r="BB645" s="1949"/>
      <c r="BC645" s="1981"/>
    </row>
    <row r="646" spans="1:55" s="1953" customFormat="1" ht="10.15" x14ac:dyDescent="0.3">
      <c r="A646" s="2640"/>
      <c r="B646" s="2476" t="s">
        <v>1290</v>
      </c>
      <c r="C646" s="1975"/>
      <c r="D646" s="1975"/>
      <c r="E646" s="2248"/>
      <c r="F646" s="1975"/>
      <c r="G646" s="1975"/>
      <c r="H646" s="1975"/>
      <c r="I646" s="1975"/>
      <c r="J646" s="1975"/>
      <c r="K646" s="1975"/>
      <c r="L646" s="1975"/>
      <c r="M646" s="1975"/>
      <c r="N646" s="1975"/>
      <c r="O646" s="1975"/>
      <c r="P646" s="2643"/>
      <c r="Q646" s="1975"/>
      <c r="R646" s="1975"/>
      <c r="S646" s="1975"/>
      <c r="T646" s="1975"/>
      <c r="U646" s="1975"/>
      <c r="V646" s="1975"/>
      <c r="W646" s="1948"/>
      <c r="X646" s="1975"/>
      <c r="Y646" s="1975"/>
      <c r="Z646" s="1975"/>
      <c r="AA646" s="1948"/>
      <c r="AB646" s="1975"/>
      <c r="AC646" s="1975"/>
      <c r="AD646" s="1975"/>
      <c r="AE646" s="1975"/>
      <c r="AF646" s="1975"/>
      <c r="AG646" s="1975"/>
      <c r="AH646" s="1975"/>
      <c r="AI646" s="1975"/>
      <c r="AJ646" s="1975"/>
      <c r="AK646" s="1975"/>
      <c r="AL646" s="1975"/>
      <c r="AM646" s="1975"/>
      <c r="AN646" s="1975"/>
      <c r="AO646" s="1975"/>
      <c r="AP646" s="1975"/>
      <c r="AQ646" s="1976">
        <v>166</v>
      </c>
      <c r="AR646" s="1974">
        <v>11</v>
      </c>
      <c r="AS646" s="1948">
        <v>0</v>
      </c>
      <c r="AT646" s="1948">
        <v>6</v>
      </c>
      <c r="AU646" s="1949">
        <v>0</v>
      </c>
      <c r="AV646" s="1948">
        <v>0</v>
      </c>
      <c r="AW646" s="1979">
        <v>0</v>
      </c>
      <c r="AX646" s="1949"/>
      <c r="AY646" s="1948"/>
      <c r="AZ646" s="1948"/>
      <c r="BA646" s="1981"/>
      <c r="BB646" s="1949"/>
      <c r="BC646" s="1981"/>
    </row>
    <row r="647" spans="1:55" s="1953" customFormat="1" ht="10.15" x14ac:dyDescent="0.3">
      <c r="A647" s="2096"/>
      <c r="B647" s="2476" t="s">
        <v>1291</v>
      </c>
      <c r="C647" s="1975"/>
      <c r="D647" s="1975"/>
      <c r="E647" s="2248"/>
      <c r="F647" s="1975"/>
      <c r="G647" s="1975">
        <v>0</v>
      </c>
      <c r="H647" s="1975"/>
      <c r="I647" s="1975"/>
      <c r="J647" s="1975"/>
      <c r="K647" s="1975">
        <v>154</v>
      </c>
      <c r="L647" s="1975"/>
      <c r="M647" s="1975"/>
      <c r="N647" s="1975"/>
      <c r="O647" s="1975"/>
      <c r="P647" s="2643"/>
      <c r="Q647" s="1975"/>
      <c r="R647" s="1975"/>
      <c r="S647" s="1975"/>
      <c r="T647" s="1975"/>
      <c r="U647" s="1975"/>
      <c r="V647" s="1975"/>
      <c r="W647" s="1948"/>
      <c r="X647" s="1975"/>
      <c r="Y647" s="1975"/>
      <c r="Z647" s="1975"/>
      <c r="AA647" s="1948"/>
      <c r="AB647" s="1975"/>
      <c r="AC647" s="1975"/>
      <c r="AD647" s="1975"/>
      <c r="AE647" s="1975"/>
      <c r="AF647" s="1975"/>
      <c r="AG647" s="1975"/>
      <c r="AH647" s="1975"/>
      <c r="AI647" s="1975"/>
      <c r="AJ647" s="1975"/>
      <c r="AK647" s="1975"/>
      <c r="AL647" s="1975"/>
      <c r="AM647" s="1975"/>
      <c r="AN647" s="1975"/>
      <c r="AO647" s="1975"/>
      <c r="AP647" s="1975"/>
      <c r="AQ647" s="1976"/>
      <c r="AR647" s="1974"/>
      <c r="AS647" s="1948"/>
      <c r="AT647" s="1948">
        <v>174</v>
      </c>
      <c r="AU647" s="1949">
        <v>56</v>
      </c>
      <c r="AV647" s="1948">
        <v>1543</v>
      </c>
      <c r="AW647" s="1979">
        <v>1124</v>
      </c>
      <c r="AX647" s="1949">
        <v>8706</v>
      </c>
      <c r="AY647" s="1948">
        <v>11049</v>
      </c>
      <c r="AZ647" s="1948"/>
      <c r="BA647" s="1981"/>
      <c r="BB647" s="1949"/>
      <c r="BC647" s="1981"/>
    </row>
    <row r="648" spans="1:55" s="1953" customFormat="1" ht="10.15" x14ac:dyDescent="0.3">
      <c r="A648" s="2096"/>
      <c r="B648" s="2476" t="s">
        <v>1240</v>
      </c>
      <c r="C648" s="1975"/>
      <c r="D648" s="1975"/>
      <c r="E648" s="2248"/>
      <c r="F648" s="1975"/>
      <c r="G648" s="1975"/>
      <c r="H648" s="1975"/>
      <c r="I648" s="1975"/>
      <c r="J648" s="1975"/>
      <c r="K648" s="1975"/>
      <c r="L648" s="1975"/>
      <c r="M648" s="1975"/>
      <c r="N648" s="1975"/>
      <c r="O648" s="1975"/>
      <c r="P648" s="2643"/>
      <c r="Q648" s="1975"/>
      <c r="R648" s="1975"/>
      <c r="S648" s="1975"/>
      <c r="T648" s="1975"/>
      <c r="U648" s="1975"/>
      <c r="V648" s="1975"/>
      <c r="W648" s="1948"/>
      <c r="X648" s="1975"/>
      <c r="Y648" s="1975"/>
      <c r="Z648" s="1975"/>
      <c r="AA648" s="1948"/>
      <c r="AB648" s="1975"/>
      <c r="AC648" s="1975"/>
      <c r="AD648" s="1975"/>
      <c r="AE648" s="1975"/>
      <c r="AF648" s="1975"/>
      <c r="AG648" s="1975"/>
      <c r="AH648" s="1975"/>
      <c r="AI648" s="1975"/>
      <c r="AJ648" s="1975"/>
      <c r="AK648" s="1975"/>
      <c r="AL648" s="1975"/>
      <c r="AM648" s="1975"/>
      <c r="AN648" s="1975"/>
      <c r="AO648" s="1975"/>
      <c r="AP648" s="1975"/>
      <c r="AQ648" s="1976"/>
      <c r="AR648" s="1974"/>
      <c r="AS648" s="1948"/>
      <c r="AT648" s="1948"/>
      <c r="AU648" s="1949">
        <v>725</v>
      </c>
      <c r="AV648" s="1948">
        <v>689</v>
      </c>
      <c r="AW648" s="1979">
        <v>0</v>
      </c>
      <c r="AX648" s="1949"/>
      <c r="AY648" s="1948"/>
      <c r="AZ648" s="1948"/>
      <c r="BA648" s="1981"/>
      <c r="BB648" s="1949"/>
      <c r="BC648" s="1981"/>
    </row>
    <row r="649" spans="1:55" s="1953" customFormat="1" ht="10.15" x14ac:dyDescent="0.3">
      <c r="A649" s="2096"/>
      <c r="B649" s="2476" t="s">
        <v>1292</v>
      </c>
      <c r="C649" s="1975"/>
      <c r="D649" s="1975"/>
      <c r="E649" s="2248"/>
      <c r="F649" s="1975"/>
      <c r="G649" s="1975">
        <v>6500</v>
      </c>
      <c r="H649" s="1975"/>
      <c r="I649" s="1975"/>
      <c r="J649" s="1975"/>
      <c r="K649" s="1975">
        <v>25346</v>
      </c>
      <c r="L649" s="1975"/>
      <c r="M649" s="1975"/>
      <c r="N649" s="1975"/>
      <c r="O649" s="1975"/>
      <c r="P649" s="2643"/>
      <c r="Q649" s="1975"/>
      <c r="R649" s="1975"/>
      <c r="S649" s="1975"/>
      <c r="T649" s="1975"/>
      <c r="U649" s="1975"/>
      <c r="V649" s="1975"/>
      <c r="W649" s="1948"/>
      <c r="X649" s="1975"/>
      <c r="Y649" s="1975"/>
      <c r="Z649" s="1975"/>
      <c r="AA649" s="1948"/>
      <c r="AB649" s="1975"/>
      <c r="AC649" s="1975"/>
      <c r="AD649" s="1975"/>
      <c r="AE649" s="1975"/>
      <c r="AF649" s="1975"/>
      <c r="AG649" s="1975"/>
      <c r="AH649" s="1975"/>
      <c r="AI649" s="1975"/>
      <c r="AJ649" s="1975"/>
      <c r="AK649" s="1975"/>
      <c r="AL649" s="1975"/>
      <c r="AM649" s="1975"/>
      <c r="AN649" s="1975"/>
      <c r="AO649" s="1975"/>
      <c r="AP649" s="1975"/>
      <c r="AQ649" s="1978">
        <v>0</v>
      </c>
      <c r="AR649" s="1974">
        <f>8705-6607</f>
        <v>2098</v>
      </c>
      <c r="AS649" s="1948">
        <v>7166</v>
      </c>
      <c r="AT649" s="1948">
        <v>88422</v>
      </c>
      <c r="AU649" s="1949">
        <f>AU536-AT536</f>
        <v>0</v>
      </c>
      <c r="AV649" s="1948">
        <f>AV536-AU536</f>
        <v>0</v>
      </c>
      <c r="AW649" s="1948">
        <v>0</v>
      </c>
      <c r="AX649" s="1949"/>
      <c r="AY649" s="1948"/>
      <c r="AZ649" s="1948"/>
      <c r="BA649" s="1981"/>
      <c r="BB649" s="1949"/>
      <c r="BC649" s="1981"/>
    </row>
    <row r="650" spans="1:55" s="1953" customFormat="1" ht="10.15" x14ac:dyDescent="0.3">
      <c r="A650" s="2096"/>
      <c r="B650" s="2476" t="s">
        <v>1293</v>
      </c>
      <c r="C650" s="1975"/>
      <c r="D650" s="1975"/>
      <c r="E650" s="2248"/>
      <c r="F650" s="1975"/>
      <c r="G650" s="1975">
        <v>-5650</v>
      </c>
      <c r="H650" s="1975"/>
      <c r="I650" s="1975"/>
      <c r="J650" s="1975"/>
      <c r="K650" s="1975">
        <v>-25779</v>
      </c>
      <c r="L650" s="1975"/>
      <c r="M650" s="1975"/>
      <c r="N650" s="1975"/>
      <c r="O650" s="1975"/>
      <c r="P650" s="2643"/>
      <c r="Q650" s="1975"/>
      <c r="R650" s="1975"/>
      <c r="S650" s="1975"/>
      <c r="T650" s="1975"/>
      <c r="U650" s="1975"/>
      <c r="V650" s="1975"/>
      <c r="W650" s="1948"/>
      <c r="X650" s="1975"/>
      <c r="Y650" s="1975"/>
      <c r="Z650" s="1975"/>
      <c r="AA650" s="1948"/>
      <c r="AB650" s="1975"/>
      <c r="AC650" s="1975"/>
      <c r="AD650" s="1975"/>
      <c r="AE650" s="1975"/>
      <c r="AF650" s="1975"/>
      <c r="AG650" s="1975"/>
      <c r="AH650" s="1975"/>
      <c r="AI650" s="1975"/>
      <c r="AJ650" s="1975"/>
      <c r="AK650" s="1975"/>
      <c r="AL650" s="1975"/>
      <c r="AM650" s="1975"/>
      <c r="AN650" s="1975"/>
      <c r="AO650" s="1975"/>
      <c r="AP650" s="1975"/>
      <c r="AQ650" s="1978"/>
      <c r="AR650" s="1974"/>
      <c r="AS650" s="1948"/>
      <c r="AT650" s="1948">
        <v>-82269</v>
      </c>
      <c r="AU650" s="1949"/>
      <c r="AV650" s="1948"/>
      <c r="AW650" s="1979"/>
      <c r="AX650" s="1949"/>
      <c r="AY650" s="1948"/>
      <c r="AZ650" s="1948"/>
      <c r="BA650" s="1981"/>
      <c r="BB650" s="1949"/>
      <c r="BC650" s="1981"/>
    </row>
    <row r="651" spans="1:55" s="1953" customFormat="1" ht="10.15" x14ac:dyDescent="0.3">
      <c r="A651" s="2096"/>
      <c r="B651" s="2476" t="s">
        <v>1294</v>
      </c>
      <c r="C651" s="1975"/>
      <c r="D651" s="1975"/>
      <c r="E651" s="2248"/>
      <c r="F651" s="1975"/>
      <c r="G651" s="1975">
        <v>306</v>
      </c>
      <c r="H651" s="1975"/>
      <c r="I651" s="1975"/>
      <c r="J651" s="1975"/>
      <c r="K651" s="1975">
        <v>4287</v>
      </c>
      <c r="L651" s="1975"/>
      <c r="M651" s="1975"/>
      <c r="N651" s="1975"/>
      <c r="O651" s="1975"/>
      <c r="P651" s="2643"/>
      <c r="Q651" s="1975"/>
      <c r="R651" s="1975"/>
      <c r="S651" s="1975"/>
      <c r="T651" s="1975"/>
      <c r="U651" s="1975"/>
      <c r="V651" s="1975"/>
      <c r="W651" s="1948"/>
      <c r="X651" s="1975"/>
      <c r="Y651" s="1975"/>
      <c r="Z651" s="1975"/>
      <c r="AA651" s="1948"/>
      <c r="AB651" s="1975"/>
      <c r="AC651" s="1975"/>
      <c r="AD651" s="1975"/>
      <c r="AE651" s="1975"/>
      <c r="AF651" s="1975"/>
      <c r="AG651" s="1975"/>
      <c r="AH651" s="1975"/>
      <c r="AI651" s="1975"/>
      <c r="AJ651" s="1975"/>
      <c r="AK651" s="1975"/>
      <c r="AL651" s="1975"/>
      <c r="AM651" s="1975"/>
      <c r="AN651" s="1975"/>
      <c r="AO651" s="1975"/>
      <c r="AP651" s="1975"/>
      <c r="AQ651" s="1976">
        <v>827</v>
      </c>
      <c r="AR651" s="1974">
        <v>2439</v>
      </c>
      <c r="AS651" s="1948">
        <v>681</v>
      </c>
      <c r="AT651" s="1948">
        <v>25804</v>
      </c>
      <c r="AU651" s="1949">
        <v>28208</v>
      </c>
      <c r="AV651" s="1948">
        <v>68296</v>
      </c>
      <c r="AW651" s="1979">
        <v>25645</v>
      </c>
      <c r="AX651" s="1949">
        <v>12116</v>
      </c>
      <c r="AY651" s="1948">
        <v>15788</v>
      </c>
      <c r="AZ651" s="1948">
        <f>AZ534-AY534</f>
        <v>1030.8000000000002</v>
      </c>
      <c r="BA651" s="1981">
        <f>BA534-AZ534</f>
        <v>1236.96</v>
      </c>
      <c r="BB651" s="1949">
        <f>BB534-BA534</f>
        <v>1484.351999999999</v>
      </c>
      <c r="BC651" s="1981">
        <f>BC534-BB534</f>
        <v>1781.2223999999987</v>
      </c>
    </row>
    <row r="652" spans="1:55" s="1953" customFormat="1" ht="10.15" x14ac:dyDescent="0.3">
      <c r="A652" s="2096"/>
      <c r="B652" s="2476" t="s">
        <v>1295</v>
      </c>
      <c r="C652" s="1975"/>
      <c r="D652" s="1975"/>
      <c r="E652" s="2248"/>
      <c r="F652" s="1975"/>
      <c r="G652" s="1975">
        <v>0</v>
      </c>
      <c r="H652" s="1975"/>
      <c r="I652" s="1975"/>
      <c r="J652" s="1975"/>
      <c r="K652" s="1975">
        <v>-3361</v>
      </c>
      <c r="L652" s="1975"/>
      <c r="M652" s="1975"/>
      <c r="N652" s="1975"/>
      <c r="O652" s="1975"/>
      <c r="P652" s="2643"/>
      <c r="Q652" s="1975"/>
      <c r="R652" s="1975"/>
      <c r="S652" s="1975"/>
      <c r="T652" s="1975"/>
      <c r="U652" s="1975"/>
      <c r="V652" s="1975"/>
      <c r="W652" s="1948"/>
      <c r="X652" s="1975"/>
      <c r="Y652" s="1975"/>
      <c r="Z652" s="1975"/>
      <c r="AA652" s="1948"/>
      <c r="AB652" s="1975"/>
      <c r="AC652" s="1975"/>
      <c r="AD652" s="1975"/>
      <c r="AE652" s="1975"/>
      <c r="AF652" s="1975"/>
      <c r="AG652" s="1975"/>
      <c r="AH652" s="1975"/>
      <c r="AI652" s="1975"/>
      <c r="AJ652" s="1975"/>
      <c r="AK652" s="1975"/>
      <c r="AL652" s="1975"/>
      <c r="AM652" s="1975"/>
      <c r="AN652" s="1975"/>
      <c r="AO652" s="1975"/>
      <c r="AP652" s="1975"/>
      <c r="AQ652" s="1976">
        <v>-706</v>
      </c>
      <c r="AR652" s="1974">
        <v>-2584</v>
      </c>
      <c r="AS652" s="1948">
        <v>-423</v>
      </c>
      <c r="AT652" s="1948">
        <v>-24734</v>
      </c>
      <c r="AU652" s="1949">
        <v>-26349</v>
      </c>
      <c r="AV652" s="1948">
        <v>-67169</v>
      </c>
      <c r="AW652" s="1979">
        <v>-29844</v>
      </c>
      <c r="AX652" s="1949">
        <v>-16347</v>
      </c>
      <c r="AY652" s="1948">
        <v>-15943</v>
      </c>
      <c r="AZ652" s="1948"/>
      <c r="BA652" s="1981"/>
      <c r="BB652" s="1949"/>
      <c r="BC652" s="1981"/>
    </row>
    <row r="653" spans="1:55" s="1953" customFormat="1" ht="10.15" x14ac:dyDescent="0.3">
      <c r="A653" s="2096"/>
      <c r="B653" s="2476" t="s">
        <v>1296</v>
      </c>
      <c r="C653" s="1975"/>
      <c r="D653" s="1975"/>
      <c r="E653" s="2248"/>
      <c r="F653" s="1975"/>
      <c r="G653" s="1975">
        <v>29947</v>
      </c>
      <c r="H653" s="1975"/>
      <c r="I653" s="1975"/>
      <c r="J653" s="1975"/>
      <c r="K653" s="1975">
        <v>18240</v>
      </c>
      <c r="L653" s="1975"/>
      <c r="M653" s="1975"/>
      <c r="N653" s="1975"/>
      <c r="O653" s="1975"/>
      <c r="P653" s="2643"/>
      <c r="Q653" s="1975"/>
      <c r="R653" s="1975"/>
      <c r="S653" s="1975"/>
      <c r="T653" s="1975"/>
      <c r="U653" s="1975"/>
      <c r="V653" s="1975"/>
      <c r="W653" s="1948"/>
      <c r="X653" s="1975"/>
      <c r="Y653" s="1975"/>
      <c r="Z653" s="1975"/>
      <c r="AA653" s="1948"/>
      <c r="AB653" s="1975"/>
      <c r="AC653" s="1975"/>
      <c r="AD653" s="1975"/>
      <c r="AE653" s="1975"/>
      <c r="AF653" s="1975"/>
      <c r="AG653" s="1975"/>
      <c r="AH653" s="1975"/>
      <c r="AI653" s="1975"/>
      <c r="AJ653" s="1975"/>
      <c r="AK653" s="1975"/>
      <c r="AL653" s="1975"/>
      <c r="AM653" s="1975"/>
      <c r="AN653" s="1975"/>
      <c r="AO653" s="1975"/>
      <c r="AP653" s="1975"/>
      <c r="AQ653" s="1978">
        <v>0</v>
      </c>
      <c r="AR653" s="1974">
        <v>24979</v>
      </c>
      <c r="AS653" s="1948">
        <v>30153</v>
      </c>
      <c r="AT653" s="1948">
        <v>19602</v>
      </c>
      <c r="AU653" s="1949">
        <v>765</v>
      </c>
      <c r="AV653" s="1948">
        <v>28381</v>
      </c>
      <c r="AW653" s="1979">
        <v>1179</v>
      </c>
      <c r="AX653" s="1949">
        <v>0</v>
      </c>
      <c r="AY653" s="1950"/>
      <c r="AZ653" s="1950"/>
      <c r="BA653" s="1951"/>
      <c r="BB653" s="1952"/>
      <c r="BC653" s="1951"/>
    </row>
    <row r="654" spans="1:55" s="1953" customFormat="1" ht="10.15" x14ac:dyDescent="0.3">
      <c r="A654" s="2096"/>
      <c r="B654" s="2476" t="s">
        <v>1297</v>
      </c>
      <c r="C654" s="1975"/>
      <c r="D654" s="1975"/>
      <c r="E654" s="2477"/>
      <c r="F654" s="1975"/>
      <c r="G654" s="1975">
        <v>-24788</v>
      </c>
      <c r="H654" s="1975"/>
      <c r="I654" s="1975"/>
      <c r="J654" s="1975"/>
      <c r="K654" s="1975">
        <v>0</v>
      </c>
      <c r="L654" s="1975"/>
      <c r="M654" s="1975"/>
      <c r="N654" s="1975"/>
      <c r="O654" s="1975"/>
      <c r="P654" s="2643"/>
      <c r="Q654" s="1975"/>
      <c r="R654" s="1975"/>
      <c r="S654" s="1975"/>
      <c r="T654" s="1975"/>
      <c r="U654" s="1975"/>
      <c r="V654" s="1975"/>
      <c r="W654" s="1948"/>
      <c r="X654" s="1975"/>
      <c r="Y654" s="1975"/>
      <c r="Z654" s="1975"/>
      <c r="AA654" s="1948"/>
      <c r="AB654" s="1975"/>
      <c r="AC654" s="1975"/>
      <c r="AD654" s="1975"/>
      <c r="AE654" s="1975"/>
      <c r="AF654" s="1975"/>
      <c r="AG654" s="1975"/>
      <c r="AH654" s="1975"/>
      <c r="AI654" s="1975"/>
      <c r="AJ654" s="1975"/>
      <c r="AK654" s="1975"/>
      <c r="AL654" s="1975"/>
      <c r="AM654" s="1975"/>
      <c r="AN654" s="1975"/>
      <c r="AO654" s="1975"/>
      <c r="AP654" s="1975"/>
      <c r="AQ654" s="1978">
        <v>0</v>
      </c>
      <c r="AR654" s="1979">
        <v>0</v>
      </c>
      <c r="AS654" s="1948">
        <v>-24788</v>
      </c>
      <c r="AT654" s="1948">
        <v>-49538</v>
      </c>
      <c r="AU654" s="1949">
        <v>-146</v>
      </c>
      <c r="AV654" s="1948">
        <v>-175</v>
      </c>
      <c r="AW654" s="1979">
        <v>-570</v>
      </c>
      <c r="AX654" s="1949">
        <v>0</v>
      </c>
      <c r="AY654" s="1948"/>
      <c r="AZ654" s="1948"/>
      <c r="BA654" s="1981"/>
      <c r="BB654" s="1949"/>
      <c r="BC654" s="1981"/>
    </row>
    <row r="655" spans="1:55" s="1953" customFormat="1" ht="10.15" x14ac:dyDescent="0.3">
      <c r="A655" s="2096"/>
      <c r="B655" s="2476" t="s">
        <v>1298</v>
      </c>
      <c r="C655" s="1975"/>
      <c r="D655" s="1975"/>
      <c r="E655" s="2477"/>
      <c r="F655" s="1975"/>
      <c r="G655" s="1975"/>
      <c r="H655" s="1975"/>
      <c r="I655" s="1975"/>
      <c r="J655" s="1975"/>
      <c r="K655" s="1975"/>
      <c r="L655" s="1975"/>
      <c r="M655" s="1975"/>
      <c r="N655" s="1975"/>
      <c r="O655" s="1975"/>
      <c r="P655" s="2643"/>
      <c r="Q655" s="1975"/>
      <c r="R655" s="1975"/>
      <c r="S655" s="1975"/>
      <c r="T655" s="1975"/>
      <c r="U655" s="1975"/>
      <c r="V655" s="1975"/>
      <c r="W655" s="1948"/>
      <c r="X655" s="1975"/>
      <c r="Y655" s="1975"/>
      <c r="Z655" s="1975"/>
      <c r="AA655" s="1948"/>
      <c r="AB655" s="1975"/>
      <c r="AC655" s="1975"/>
      <c r="AD655" s="1975"/>
      <c r="AE655" s="1975"/>
      <c r="AF655" s="1975"/>
      <c r="AG655" s="1975"/>
      <c r="AH655" s="1975"/>
      <c r="AI655" s="1975"/>
      <c r="AJ655" s="1975"/>
      <c r="AK655" s="1975"/>
      <c r="AL655" s="1975"/>
      <c r="AM655" s="1975"/>
      <c r="AN655" s="1975"/>
      <c r="AO655" s="1975"/>
      <c r="AP655" s="1975"/>
      <c r="AQ655" s="1978"/>
      <c r="AR655" s="1979"/>
      <c r="AS655" s="1948"/>
      <c r="AT655" s="1948">
        <v>48757</v>
      </c>
      <c r="AU655" s="1949"/>
      <c r="AV655" s="1948"/>
      <c r="AW655" s="1979">
        <v>45817</v>
      </c>
      <c r="AX655" s="1949">
        <v>0</v>
      </c>
      <c r="AY655" s="1948"/>
      <c r="AZ655" s="1948"/>
      <c r="BA655" s="1981"/>
      <c r="BB655" s="1949"/>
      <c r="BC655" s="1981"/>
    </row>
    <row r="656" spans="1:55" s="1953" customFormat="1" ht="10.15" x14ac:dyDescent="0.3">
      <c r="A656" s="2096"/>
      <c r="B656" s="2476" t="s">
        <v>1299</v>
      </c>
      <c r="C656" s="1975"/>
      <c r="D656" s="1975"/>
      <c r="E656" s="2477"/>
      <c r="F656" s="1975"/>
      <c r="G656" s="1975"/>
      <c r="H656" s="1975"/>
      <c r="I656" s="1975"/>
      <c r="J656" s="1975"/>
      <c r="K656" s="1975"/>
      <c r="L656" s="1975"/>
      <c r="M656" s="1975"/>
      <c r="N656" s="1975"/>
      <c r="O656" s="1975"/>
      <c r="P656" s="2643"/>
      <c r="Q656" s="1975"/>
      <c r="R656" s="1975"/>
      <c r="S656" s="1975"/>
      <c r="T656" s="1975"/>
      <c r="U656" s="1975"/>
      <c r="V656" s="1975"/>
      <c r="W656" s="1948"/>
      <c r="X656" s="1975"/>
      <c r="Y656" s="1975"/>
      <c r="Z656" s="1975"/>
      <c r="AA656" s="1948"/>
      <c r="AB656" s="1975"/>
      <c r="AC656" s="1975"/>
      <c r="AD656" s="1975"/>
      <c r="AE656" s="1975"/>
      <c r="AF656" s="1975"/>
      <c r="AG656" s="1975"/>
      <c r="AH656" s="1975"/>
      <c r="AI656" s="1975"/>
      <c r="AJ656" s="1975"/>
      <c r="AK656" s="1975"/>
      <c r="AL656" s="1975"/>
      <c r="AM656" s="1975"/>
      <c r="AN656" s="1975"/>
      <c r="AO656" s="1975"/>
      <c r="AP656" s="1975"/>
      <c r="AQ656" s="1978"/>
      <c r="AR656" s="1979"/>
      <c r="AS656" s="1948"/>
      <c r="AT656" s="1948"/>
      <c r="AU656" s="1949"/>
      <c r="AV656" s="1948"/>
      <c r="AW656" s="1979">
        <v>-8602</v>
      </c>
      <c r="AX656" s="1949">
        <v>0</v>
      </c>
      <c r="AY656" s="1948">
        <v>-15798</v>
      </c>
      <c r="AZ656" s="1948">
        <f>-AY535</f>
        <v>0</v>
      </c>
      <c r="BA656" s="1981"/>
      <c r="BB656" s="1949"/>
      <c r="BC656" s="1981"/>
    </row>
    <row r="657" spans="1:55" s="1953" customFormat="1" ht="10.15" x14ac:dyDescent="0.3">
      <c r="A657" s="2096"/>
      <c r="B657" s="2476" t="s">
        <v>1300</v>
      </c>
      <c r="C657" s="1975"/>
      <c r="D657" s="1975"/>
      <c r="E657" s="2477"/>
      <c r="F657" s="1975"/>
      <c r="G657" s="1975"/>
      <c r="H657" s="1975"/>
      <c r="I657" s="1975"/>
      <c r="J657" s="1975"/>
      <c r="K657" s="1975"/>
      <c r="L657" s="1975"/>
      <c r="M657" s="1975"/>
      <c r="N657" s="1975"/>
      <c r="O657" s="1975"/>
      <c r="P657" s="2643"/>
      <c r="Q657" s="1975"/>
      <c r="R657" s="1975"/>
      <c r="S657" s="1975"/>
      <c r="T657" s="1975"/>
      <c r="U657" s="1975"/>
      <c r="V657" s="1975"/>
      <c r="W657" s="1948"/>
      <c r="X657" s="1975"/>
      <c r="Y657" s="1975"/>
      <c r="Z657" s="1975"/>
      <c r="AA657" s="1948"/>
      <c r="AB657" s="1975"/>
      <c r="AC657" s="1975"/>
      <c r="AD657" s="1975"/>
      <c r="AE657" s="1975"/>
      <c r="AF657" s="1975"/>
      <c r="AG657" s="1975"/>
      <c r="AH657" s="1975"/>
      <c r="AI657" s="1975"/>
      <c r="AJ657" s="1975"/>
      <c r="AK657" s="1975"/>
      <c r="AL657" s="1975"/>
      <c r="AM657" s="1975"/>
      <c r="AN657" s="1975"/>
      <c r="AO657" s="1975"/>
      <c r="AP657" s="1975"/>
      <c r="AQ657" s="1978"/>
      <c r="AR657" s="1979"/>
      <c r="AS657" s="1948"/>
      <c r="AT657" s="1948"/>
      <c r="AU657" s="1949"/>
      <c r="AV657" s="1948"/>
      <c r="AW657" s="1979">
        <v>-280</v>
      </c>
      <c r="AX657" s="1949">
        <v>0</v>
      </c>
      <c r="AY657" s="1948">
        <v>-69</v>
      </c>
      <c r="AZ657" s="1948"/>
      <c r="BA657" s="1981"/>
      <c r="BB657" s="1949"/>
      <c r="BC657" s="1981"/>
    </row>
    <row r="658" spans="1:55" s="1999" customFormat="1" ht="10.15" x14ac:dyDescent="0.3">
      <c r="A658" s="2096"/>
      <c r="B658" s="2668" t="s">
        <v>1301</v>
      </c>
      <c r="C658" s="2481"/>
      <c r="D658" s="2481"/>
      <c r="E658" s="2479"/>
      <c r="F658" s="2481"/>
      <c r="G658" s="2481">
        <f>SUM(G635:G654)</f>
        <v>2522</v>
      </c>
      <c r="H658" s="2481">
        <v>2297</v>
      </c>
      <c r="I658" s="2481">
        <v>4508</v>
      </c>
      <c r="J658" s="2481">
        <v>318</v>
      </c>
      <c r="K658" s="2481">
        <f>SUM(K635:K654)</f>
        <v>19090</v>
      </c>
      <c r="L658" s="2481">
        <v>62864</v>
      </c>
      <c r="M658" s="2481">
        <v>4508</v>
      </c>
      <c r="N658" s="2481">
        <v>1035</v>
      </c>
      <c r="O658" s="2481">
        <v>1111</v>
      </c>
      <c r="P658" s="2669">
        <v>-17235</v>
      </c>
      <c r="Q658" s="2481">
        <v>1268</v>
      </c>
      <c r="R658" s="2481">
        <v>-990</v>
      </c>
      <c r="S658" s="2481">
        <v>21312</v>
      </c>
      <c r="T658" s="2481">
        <v>9830</v>
      </c>
      <c r="U658" s="2481">
        <v>-710</v>
      </c>
      <c r="V658" s="2481">
        <v>2482</v>
      </c>
      <c r="W658" s="2481">
        <v>-8894</v>
      </c>
      <c r="X658" s="2481">
        <v>-416</v>
      </c>
      <c r="Y658" s="2481">
        <v>34274</v>
      </c>
      <c r="Z658" s="2481">
        <v>-4605</v>
      </c>
      <c r="AA658" s="2481">
        <v>4281</v>
      </c>
      <c r="AB658" s="2481">
        <v>-3477</v>
      </c>
      <c r="AC658" s="2481">
        <v>-8915</v>
      </c>
      <c r="AD658" s="2481">
        <v>719</v>
      </c>
      <c r="AE658" s="2481">
        <v>4493</v>
      </c>
      <c r="AF658" s="2481">
        <v>2106</v>
      </c>
      <c r="AG658" s="2481">
        <v>61287</v>
      </c>
      <c r="AH658" s="2481">
        <v>2967</v>
      </c>
      <c r="AI658" s="2481">
        <v>-4609</v>
      </c>
      <c r="AJ658" s="2481"/>
      <c r="AK658" s="2481"/>
      <c r="AL658" s="2481"/>
      <c r="AM658" s="2481"/>
      <c r="AN658" s="2481"/>
      <c r="AO658" s="2481"/>
      <c r="AP658" s="2481"/>
      <c r="AQ658" s="2480">
        <v>475</v>
      </c>
      <c r="AR658" s="2479">
        <v>-1406</v>
      </c>
      <c r="AS658" s="2481">
        <v>9364</v>
      </c>
      <c r="AT658" s="2481">
        <f>SUM(AT635:AT655)</f>
        <v>87497</v>
      </c>
      <c r="AU658" s="2484">
        <f>SUM(AU635:AU655)</f>
        <v>-15846</v>
      </c>
      <c r="AV658" s="2481">
        <f>SUM(AV635:AV657)</f>
        <v>32914</v>
      </c>
      <c r="AW658" s="2481">
        <f>SUM(AW635:AW657)</f>
        <v>20359</v>
      </c>
      <c r="AX658" s="2484">
        <f>SUM(AX635:AX657)</f>
        <v>-7392</v>
      </c>
      <c r="AY658" s="2481">
        <f>SUM(AE658:AH658)</f>
        <v>70853</v>
      </c>
      <c r="AZ658" s="2481">
        <f>SUM(AZ635:AZ657)</f>
        <v>1030.8000000000002</v>
      </c>
      <c r="BA658" s="2485">
        <f>SUM(BA635:BA657)</f>
        <v>1236.96</v>
      </c>
      <c r="BB658" s="2484">
        <f>SUM(BB635:BB657)</f>
        <v>1484.351999999999</v>
      </c>
      <c r="BC658" s="2485">
        <f>SUM(BC635:BC657)</f>
        <v>1781.2223999999987</v>
      </c>
    </row>
    <row r="659" spans="1:55" s="1953" customFormat="1" ht="10.15" x14ac:dyDescent="0.3">
      <c r="A659" s="2096"/>
      <c r="B659" s="2476" t="s">
        <v>1302</v>
      </c>
      <c r="C659" s="1975"/>
      <c r="D659" s="1975"/>
      <c r="E659" s="2248"/>
      <c r="F659" s="1975"/>
      <c r="G659" s="1975">
        <v>-84</v>
      </c>
      <c r="H659" s="1975">
        <v>-17</v>
      </c>
      <c r="I659" s="1975">
        <v>-138</v>
      </c>
      <c r="J659" s="1975">
        <v>18</v>
      </c>
      <c r="K659" s="1975">
        <v>10</v>
      </c>
      <c r="L659" s="1975">
        <v>3</v>
      </c>
      <c r="M659" s="1975">
        <v>-138</v>
      </c>
      <c r="N659" s="1975">
        <v>13</v>
      </c>
      <c r="O659" s="1975">
        <v>-48</v>
      </c>
      <c r="P659" s="2643">
        <v>369</v>
      </c>
      <c r="Q659" s="1975">
        <v>327</v>
      </c>
      <c r="R659" s="1975">
        <v>-182</v>
      </c>
      <c r="S659" s="1975">
        <v>626</v>
      </c>
      <c r="T659" s="1975">
        <v>117</v>
      </c>
      <c r="U659" s="1975">
        <v>1745</v>
      </c>
      <c r="V659" s="1975">
        <v>-446</v>
      </c>
      <c r="W659" s="1948">
        <v>-1092</v>
      </c>
      <c r="X659" s="1975">
        <v>-812</v>
      </c>
      <c r="Y659" s="1975">
        <v>-1518</v>
      </c>
      <c r="Z659" s="1975">
        <v>-2653</v>
      </c>
      <c r="AA659" s="1948">
        <v>2783</v>
      </c>
      <c r="AB659" s="1975">
        <v>1670</v>
      </c>
      <c r="AC659" s="1975">
        <v>-66</v>
      </c>
      <c r="AD659" s="1975">
        <v>-1142</v>
      </c>
      <c r="AE659" s="1975">
        <v>1377</v>
      </c>
      <c r="AF659" s="1975">
        <v>2353</v>
      </c>
      <c r="AG659" s="1975">
        <v>-1952</v>
      </c>
      <c r="AH659" s="1975">
        <v>2322</v>
      </c>
      <c r="AI659" s="1975">
        <v>-351</v>
      </c>
      <c r="AJ659" s="1975"/>
      <c r="AK659" s="1975"/>
      <c r="AL659" s="1975"/>
      <c r="AM659" s="1975"/>
      <c r="AN659" s="1975"/>
      <c r="AO659" s="1975"/>
      <c r="AP659" s="1975"/>
      <c r="AQ659" s="1976">
        <v>-54</v>
      </c>
      <c r="AR659" s="1974">
        <v>-76</v>
      </c>
      <c r="AS659" s="1948">
        <v>-97</v>
      </c>
      <c r="AT659" s="1948">
        <v>-112</v>
      </c>
      <c r="AU659" s="1949">
        <v>466</v>
      </c>
      <c r="AV659" s="2399">
        <v>2038</v>
      </c>
      <c r="AW659" s="1979">
        <v>-6065</v>
      </c>
      <c r="AX659" s="1949">
        <v>3245</v>
      </c>
      <c r="AY659" s="1948">
        <f>SUM(AE659:AH659)</f>
        <v>4100</v>
      </c>
      <c r="AZ659" s="1948">
        <v>0</v>
      </c>
      <c r="BA659" s="1981">
        <v>0</v>
      </c>
      <c r="BB659" s="1949">
        <v>0</v>
      </c>
      <c r="BC659" s="1981">
        <v>0</v>
      </c>
    </row>
    <row r="660" spans="1:55" s="1953" customFormat="1" ht="10.15" x14ac:dyDescent="0.3">
      <c r="A660" s="2096"/>
      <c r="B660" s="2476" t="s">
        <v>1303</v>
      </c>
      <c r="C660" s="1975"/>
      <c r="D660" s="1975"/>
      <c r="E660" s="2248"/>
      <c r="F660" s="1975"/>
      <c r="G660" s="1975">
        <f t="shared" ref="G660:N660" si="598">G610+G633+G658+G659</f>
        <v>-4954</v>
      </c>
      <c r="H660" s="1975">
        <f t="shared" si="598"/>
        <v>1082</v>
      </c>
      <c r="I660" s="1975">
        <f t="shared" si="598"/>
        <v>14475</v>
      </c>
      <c r="J660" s="1975">
        <f t="shared" si="598"/>
        <v>-8669</v>
      </c>
      <c r="K660" s="1975">
        <f t="shared" si="598"/>
        <v>30236</v>
      </c>
      <c r="L660" s="1975">
        <f t="shared" si="598"/>
        <v>36177</v>
      </c>
      <c r="M660" s="1975">
        <f t="shared" si="598"/>
        <v>18961</v>
      </c>
      <c r="N660" s="1975">
        <f t="shared" si="598"/>
        <v>1143</v>
      </c>
      <c r="O660" s="1975">
        <v>-4129</v>
      </c>
      <c r="P660" s="2643">
        <v>-7317</v>
      </c>
      <c r="Q660" s="1975">
        <f t="shared" ref="Q660:AI660" si="599">Q610+Q633+Q658+Q659</f>
        <v>13554</v>
      </c>
      <c r="R660" s="1975">
        <f t="shared" si="599"/>
        <v>-3483</v>
      </c>
      <c r="S660" s="1975">
        <f t="shared" si="599"/>
        <v>-24572</v>
      </c>
      <c r="T660" s="1975">
        <f t="shared" si="599"/>
        <v>21438</v>
      </c>
      <c r="U660" s="1975">
        <f t="shared" si="599"/>
        <v>30305</v>
      </c>
      <c r="V660" s="1975">
        <f t="shared" si="599"/>
        <v>9747</v>
      </c>
      <c r="W660" s="1975">
        <f t="shared" si="599"/>
        <v>1964</v>
      </c>
      <c r="X660" s="1975">
        <f t="shared" si="599"/>
        <v>3332</v>
      </c>
      <c r="Y660" s="1975">
        <f t="shared" si="599"/>
        <v>63880</v>
      </c>
      <c r="Z660" s="1975">
        <f t="shared" si="599"/>
        <v>-12851</v>
      </c>
      <c r="AA660" s="1975">
        <f t="shared" si="599"/>
        <v>-28489</v>
      </c>
      <c r="AB660" s="1975">
        <f t="shared" si="599"/>
        <v>-1984</v>
      </c>
      <c r="AC660" s="1975">
        <f t="shared" si="599"/>
        <v>24862</v>
      </c>
      <c r="AD660" s="1975">
        <f t="shared" si="599"/>
        <v>1379</v>
      </c>
      <c r="AE660" s="1975">
        <f t="shared" si="599"/>
        <v>19346</v>
      </c>
      <c r="AF660" s="1975">
        <f t="shared" si="599"/>
        <v>30432</v>
      </c>
      <c r="AG660" s="1975">
        <f t="shared" si="599"/>
        <v>123252</v>
      </c>
      <c r="AH660" s="1975">
        <f t="shared" si="599"/>
        <v>-25542</v>
      </c>
      <c r="AI660" s="1975">
        <f t="shared" si="599"/>
        <v>-22589</v>
      </c>
      <c r="AJ660" s="1975"/>
      <c r="AK660" s="1975"/>
      <c r="AL660" s="1975"/>
      <c r="AM660" s="1975"/>
      <c r="AN660" s="1975"/>
      <c r="AO660" s="1975"/>
      <c r="AP660" s="1975"/>
      <c r="AQ660" s="1976">
        <v>9571</v>
      </c>
      <c r="AR660" s="1974">
        <v>13539</v>
      </c>
      <c r="AS660" s="1948">
        <f t="shared" ref="AS660:BC660" si="600">AS610+AS633+AS658+AS659</f>
        <v>2649</v>
      </c>
      <c r="AT660" s="1948">
        <f t="shared" si="600"/>
        <v>75148</v>
      </c>
      <c r="AU660" s="1949">
        <f t="shared" si="600"/>
        <v>-1375</v>
      </c>
      <c r="AV660" s="1948">
        <f t="shared" si="600"/>
        <v>38227</v>
      </c>
      <c r="AW660" s="1948">
        <f t="shared" si="600"/>
        <v>56335</v>
      </c>
      <c r="AX660" s="1949">
        <f t="shared" si="600"/>
        <v>9929</v>
      </c>
      <c r="AY660" s="1948">
        <f t="shared" si="600"/>
        <v>147488</v>
      </c>
      <c r="AZ660" s="1948">
        <f t="shared" si="600"/>
        <v>21302.983114803541</v>
      </c>
      <c r="BA660" s="1981">
        <f t="shared" si="600"/>
        <v>81698.787671103011</v>
      </c>
      <c r="BB660" s="1949">
        <f t="shared" si="600"/>
        <v>79874.322265966199</v>
      </c>
      <c r="BC660" s="1981">
        <f t="shared" si="600"/>
        <v>119495.21125963284</v>
      </c>
    </row>
    <row r="661" spans="1:55" s="1953" customFormat="1" ht="10.15" x14ac:dyDescent="0.3">
      <c r="A661" s="2096"/>
      <c r="B661" s="2476" t="s">
        <v>1304</v>
      </c>
      <c r="C661" s="1975"/>
      <c r="D661" s="1975"/>
      <c r="E661" s="2248"/>
      <c r="F661" s="1975"/>
      <c r="G661" s="1975">
        <v>30396</v>
      </c>
      <c r="H661" s="1975">
        <v>27037</v>
      </c>
      <c r="I661" s="1975">
        <v>88089</v>
      </c>
      <c r="J661" s="1975">
        <v>41714</v>
      </c>
      <c r="K661" s="1975">
        <v>33045</v>
      </c>
      <c r="L661" s="1975">
        <v>51912</v>
      </c>
      <c r="M661" s="1975">
        <f t="shared" ref="M661:V661" si="601">L662</f>
        <v>88089</v>
      </c>
      <c r="N661" s="1975">
        <f t="shared" si="601"/>
        <v>107050</v>
      </c>
      <c r="O661" s="1975">
        <f t="shared" si="601"/>
        <v>108193</v>
      </c>
      <c r="P661" s="1975">
        <f t="shared" si="601"/>
        <v>104064</v>
      </c>
      <c r="Q661" s="1975">
        <f t="shared" si="601"/>
        <v>96747</v>
      </c>
      <c r="R661" s="1975">
        <f t="shared" si="601"/>
        <v>110301</v>
      </c>
      <c r="S661" s="1975">
        <f t="shared" si="601"/>
        <v>106818</v>
      </c>
      <c r="T661" s="1975">
        <f t="shared" si="601"/>
        <v>82246</v>
      </c>
      <c r="U661" s="1975">
        <f t="shared" si="601"/>
        <v>103684</v>
      </c>
      <c r="V661" s="1975">
        <f t="shared" si="601"/>
        <v>133989</v>
      </c>
      <c r="W661" s="1975">
        <v>146391</v>
      </c>
      <c r="X661" s="1975">
        <f>W662</f>
        <v>148355</v>
      </c>
      <c r="Y661" s="1975">
        <f>X662</f>
        <v>151687</v>
      </c>
      <c r="Z661" s="1975">
        <v>215577</v>
      </c>
      <c r="AA661" s="1948">
        <f t="shared" ref="AA661:AI661" si="602">Z662</f>
        <v>202726</v>
      </c>
      <c r="AB661" s="1975">
        <f t="shared" si="602"/>
        <v>174237</v>
      </c>
      <c r="AC661" s="1975">
        <f t="shared" si="602"/>
        <v>172253</v>
      </c>
      <c r="AD661" s="1975">
        <f t="shared" si="602"/>
        <v>197115</v>
      </c>
      <c r="AE661" s="1975">
        <f t="shared" si="602"/>
        <v>198494</v>
      </c>
      <c r="AF661" s="1975">
        <f t="shared" si="602"/>
        <v>217840</v>
      </c>
      <c r="AG661" s="1975">
        <f t="shared" si="602"/>
        <v>248272</v>
      </c>
      <c r="AH661" s="1975">
        <f t="shared" si="602"/>
        <v>371524</v>
      </c>
      <c r="AI661" s="1975">
        <f t="shared" si="602"/>
        <v>345982</v>
      </c>
      <c r="AJ661" s="1975"/>
      <c r="AK661" s="1975"/>
      <c r="AL661" s="1975"/>
      <c r="AM661" s="1975"/>
      <c r="AN661" s="1975"/>
      <c r="AO661" s="1975"/>
      <c r="AP661" s="1975"/>
      <c r="AQ661" s="2593">
        <v>7286</v>
      </c>
      <c r="AR661" s="1973">
        <v>16857</v>
      </c>
      <c r="AS661" s="2068">
        <f>AR662</f>
        <v>30396</v>
      </c>
      <c r="AT661" s="2068">
        <f>AS662</f>
        <v>33045</v>
      </c>
      <c r="AU661" s="2596">
        <f>AT662</f>
        <v>108193</v>
      </c>
      <c r="AV661" s="2068">
        <v>108164</v>
      </c>
      <c r="AW661" s="2068">
        <f t="shared" ref="AW661:BC661" si="603">AV662</f>
        <v>146391</v>
      </c>
      <c r="AX661" s="2596">
        <f t="shared" si="603"/>
        <v>202726</v>
      </c>
      <c r="AY661" s="2068">
        <f t="shared" si="603"/>
        <v>212655</v>
      </c>
      <c r="AZ661" s="2068">
        <f t="shared" si="603"/>
        <v>360143</v>
      </c>
      <c r="BA661" s="2670">
        <f t="shared" si="603"/>
        <v>381445.98311480356</v>
      </c>
      <c r="BB661" s="2596">
        <f t="shared" si="603"/>
        <v>463144.77078590658</v>
      </c>
      <c r="BC661" s="2670">
        <f t="shared" si="603"/>
        <v>543019.0930518728</v>
      </c>
    </row>
    <row r="662" spans="1:55" s="1953" customFormat="1" ht="10.5" thickBot="1" x14ac:dyDescent="0.35">
      <c r="A662" s="2671"/>
      <c r="B662" s="2476" t="s">
        <v>1305</v>
      </c>
      <c r="C662" s="1975"/>
      <c r="D662" s="1975"/>
      <c r="E662" s="2248"/>
      <c r="F662" s="1975"/>
      <c r="G662" s="1975">
        <f>G660+G661</f>
        <v>25442</v>
      </c>
      <c r="H662" s="1975">
        <f>H660+H661</f>
        <v>28119</v>
      </c>
      <c r="I662" s="1975">
        <v>107050</v>
      </c>
      <c r="J662" s="1975">
        <f>J661+J660</f>
        <v>33045</v>
      </c>
      <c r="K662" s="1975">
        <f>K660+K661</f>
        <v>63281</v>
      </c>
      <c r="L662" s="1975">
        <f>L660+L661</f>
        <v>88089</v>
      </c>
      <c r="M662" s="1975">
        <f>M660+M661</f>
        <v>107050</v>
      </c>
      <c r="N662" s="1975">
        <f t="shared" ref="N662:AI662" si="604">N661+N660</f>
        <v>108193</v>
      </c>
      <c r="O662" s="1975">
        <f t="shared" si="604"/>
        <v>104064</v>
      </c>
      <c r="P662" s="1975">
        <f t="shared" si="604"/>
        <v>96747</v>
      </c>
      <c r="Q662" s="1975">
        <f t="shared" si="604"/>
        <v>110301</v>
      </c>
      <c r="R662" s="1975">
        <f t="shared" si="604"/>
        <v>106818</v>
      </c>
      <c r="S662" s="1975">
        <f t="shared" si="604"/>
        <v>82246</v>
      </c>
      <c r="T662" s="1975">
        <f t="shared" si="604"/>
        <v>103684</v>
      </c>
      <c r="U662" s="1975">
        <f t="shared" si="604"/>
        <v>133989</v>
      </c>
      <c r="V662" s="1975">
        <f t="shared" si="604"/>
        <v>143736</v>
      </c>
      <c r="W662" s="1975">
        <f t="shared" si="604"/>
        <v>148355</v>
      </c>
      <c r="X662" s="1975">
        <f t="shared" si="604"/>
        <v>151687</v>
      </c>
      <c r="Y662" s="1975">
        <f t="shared" si="604"/>
        <v>215567</v>
      </c>
      <c r="Z662" s="1975">
        <f t="shared" si="604"/>
        <v>202726</v>
      </c>
      <c r="AA662" s="1975">
        <f t="shared" si="604"/>
        <v>174237</v>
      </c>
      <c r="AB662" s="1975">
        <f t="shared" si="604"/>
        <v>172253</v>
      </c>
      <c r="AC662" s="1975">
        <f t="shared" si="604"/>
        <v>197115</v>
      </c>
      <c r="AD662" s="1975">
        <f t="shared" si="604"/>
        <v>198494</v>
      </c>
      <c r="AE662" s="1975">
        <f t="shared" si="604"/>
        <v>217840</v>
      </c>
      <c r="AF662" s="1975">
        <f t="shared" si="604"/>
        <v>248272</v>
      </c>
      <c r="AG662" s="1975">
        <f t="shared" si="604"/>
        <v>371524</v>
      </c>
      <c r="AH662" s="1975">
        <f t="shared" si="604"/>
        <v>345982</v>
      </c>
      <c r="AI662" s="1975">
        <f t="shared" si="604"/>
        <v>323393</v>
      </c>
      <c r="AJ662" s="1975"/>
      <c r="AK662" s="1975"/>
      <c r="AL662" s="1975"/>
      <c r="AM662" s="1975"/>
      <c r="AN662" s="1975"/>
      <c r="AO662" s="1975"/>
      <c r="AP662" s="1975"/>
      <c r="AQ662" s="2672">
        <v>16857</v>
      </c>
      <c r="AR662" s="2673">
        <v>30396</v>
      </c>
      <c r="AS662" s="2674">
        <f t="shared" ref="AS662:BC662" si="605">AS660+AS661</f>
        <v>33045</v>
      </c>
      <c r="AT662" s="2674">
        <f t="shared" si="605"/>
        <v>108193</v>
      </c>
      <c r="AU662" s="2675">
        <f t="shared" si="605"/>
        <v>106818</v>
      </c>
      <c r="AV662" s="2674">
        <f t="shared" si="605"/>
        <v>146391</v>
      </c>
      <c r="AW662" s="2674">
        <f t="shared" si="605"/>
        <v>202726</v>
      </c>
      <c r="AX662" s="2675">
        <f t="shared" si="605"/>
        <v>212655</v>
      </c>
      <c r="AY662" s="2674">
        <f t="shared" si="605"/>
        <v>360143</v>
      </c>
      <c r="AZ662" s="2674">
        <f t="shared" si="605"/>
        <v>381445.98311480356</v>
      </c>
      <c r="BA662" s="2676">
        <f t="shared" si="605"/>
        <v>463144.77078590658</v>
      </c>
      <c r="BB662" s="2675">
        <f t="shared" si="605"/>
        <v>543019.0930518728</v>
      </c>
      <c r="BC662" s="2676">
        <f t="shared" si="605"/>
        <v>662514.30431150564</v>
      </c>
    </row>
    <row r="663" spans="1:55" s="1953" customFormat="1" ht="10.15" x14ac:dyDescent="0.3">
      <c r="A663" s="2630"/>
      <c r="B663" s="2476"/>
      <c r="C663" s="1975"/>
      <c r="D663" s="1975"/>
      <c r="E663" s="2248"/>
      <c r="F663" s="1975"/>
      <c r="G663" s="1975"/>
      <c r="H663" s="1975"/>
      <c r="I663" s="1975"/>
      <c r="J663" s="1975"/>
      <c r="K663" s="1975"/>
      <c r="L663" s="1975"/>
      <c r="M663" s="1975"/>
      <c r="N663" s="1975"/>
      <c r="O663" s="1975"/>
      <c r="P663" s="1975"/>
      <c r="Q663" s="1975"/>
      <c r="R663" s="1975"/>
      <c r="S663" s="1975"/>
      <c r="T663" s="1975"/>
      <c r="U663" s="1975"/>
      <c r="V663" s="1975"/>
      <c r="W663" s="1975"/>
      <c r="X663" s="1975"/>
      <c r="Y663" s="1975"/>
      <c r="Z663" s="1975"/>
      <c r="AA663" s="1975"/>
      <c r="AB663" s="1975"/>
      <c r="AC663" s="1975"/>
      <c r="AD663" s="1975"/>
      <c r="AE663" s="1975"/>
      <c r="AF663" s="1975"/>
      <c r="AG663" s="1975"/>
      <c r="AH663" s="1975"/>
      <c r="AI663" s="1975"/>
      <c r="AJ663" s="1975"/>
      <c r="AK663" s="1975"/>
      <c r="AL663" s="1975"/>
      <c r="AM663" s="1975"/>
      <c r="AN663" s="1975"/>
      <c r="AO663" s="1975"/>
      <c r="AP663" s="1975"/>
      <c r="AQ663" s="1973"/>
      <c r="AR663" s="1973"/>
      <c r="AS663" s="1948"/>
      <c r="AT663" s="1948"/>
      <c r="AU663" s="1948"/>
      <c r="AV663" s="1948"/>
      <c r="AW663" s="1948"/>
      <c r="AX663" s="1948"/>
      <c r="AY663" s="1948"/>
      <c r="AZ663" s="1948"/>
      <c r="BA663" s="1948"/>
      <c r="BB663" s="1948"/>
      <c r="BC663" s="1948"/>
    </row>
    <row r="664" spans="1:55" s="1953" customFormat="1" ht="10.15" x14ac:dyDescent="0.3">
      <c r="A664" s="2630"/>
      <c r="B664" s="1945" t="s">
        <v>1306</v>
      </c>
      <c r="C664" s="1950"/>
      <c r="D664" s="1950"/>
      <c r="E664" s="1950"/>
      <c r="F664" s="1950"/>
      <c r="G664" s="1950"/>
      <c r="H664" s="1950"/>
      <c r="I664" s="1950"/>
      <c r="J664" s="1950"/>
      <c r="K664" s="1950"/>
      <c r="L664" s="1950"/>
      <c r="M664" s="1950"/>
      <c r="N664" s="1950"/>
      <c r="O664" s="1950"/>
      <c r="P664" s="1950"/>
      <c r="Q664" s="1950"/>
      <c r="R664" s="1950"/>
      <c r="S664" s="1950"/>
      <c r="T664" s="1950"/>
      <c r="U664" s="1950"/>
      <c r="V664" s="1950"/>
      <c r="W664" s="1950"/>
      <c r="X664" s="1950"/>
      <c r="Y664" s="1950"/>
      <c r="Z664" s="1950"/>
      <c r="AA664" s="1950"/>
      <c r="AB664" s="1950"/>
      <c r="AC664" s="1950"/>
      <c r="AD664" s="1950"/>
      <c r="AE664" s="1950"/>
      <c r="AF664" s="1950"/>
      <c r="AG664" s="1950"/>
      <c r="AH664" s="1950"/>
      <c r="AI664" s="1950"/>
      <c r="AJ664" s="1950"/>
      <c r="AK664" s="1950"/>
      <c r="AL664" s="1950"/>
      <c r="AM664" s="1950"/>
      <c r="AN664" s="1950"/>
      <c r="AO664" s="1950"/>
      <c r="AP664" s="1950"/>
      <c r="AQ664" s="1950"/>
      <c r="AR664" s="1950"/>
      <c r="AS664" s="1950"/>
      <c r="AT664" s="1950"/>
      <c r="AU664" s="1950"/>
      <c r="AV664" s="1950"/>
      <c r="AW664" s="1950"/>
      <c r="AX664" s="1950"/>
      <c r="AY664" s="1950"/>
      <c r="AZ664" s="1950"/>
      <c r="BA664" s="1950"/>
      <c r="BB664" s="1950"/>
      <c r="BC664" s="1950"/>
    </row>
    <row r="665" spans="1:55" s="1953" customFormat="1" ht="10.15" x14ac:dyDescent="0.3">
      <c r="A665" s="2677"/>
      <c r="B665" s="2678" t="s">
        <v>1307</v>
      </c>
      <c r="C665" s="1950"/>
      <c r="D665" s="1950"/>
      <c r="E665" s="1950"/>
      <c r="F665" s="1950"/>
      <c r="G665" s="1950"/>
      <c r="H665" s="1950"/>
      <c r="I665" s="1950"/>
      <c r="J665" s="1950"/>
      <c r="K665" s="1950"/>
      <c r="L665" s="1950"/>
      <c r="M665" s="1950"/>
      <c r="N665" s="1950"/>
      <c r="O665" s="1950"/>
      <c r="P665" s="1950"/>
      <c r="Q665" s="1950"/>
      <c r="R665" s="1950"/>
      <c r="S665" s="2263"/>
      <c r="T665" s="2263"/>
      <c r="U665" s="2263"/>
      <c r="V665" s="2263"/>
      <c r="W665" s="2263"/>
      <c r="X665" s="2263"/>
      <c r="Y665" s="2263"/>
      <c r="Z665" s="2263"/>
      <c r="AA665" s="2263"/>
      <c r="AB665" s="2263"/>
      <c r="AC665" s="2263"/>
      <c r="AD665" s="2263"/>
      <c r="AE665" s="2263"/>
      <c r="AF665" s="2263"/>
      <c r="AG665" s="2263"/>
      <c r="AH665" s="2263"/>
      <c r="AI665" s="2263"/>
      <c r="AJ665" s="2263"/>
      <c r="AK665" s="2263"/>
      <c r="AL665" s="2263"/>
      <c r="AM665" s="2263"/>
      <c r="AN665" s="2263"/>
      <c r="AO665" s="2263"/>
      <c r="AP665" s="2263"/>
      <c r="AQ665" s="2263">
        <f t="shared" ref="AQ665:AY665" si="606">AQ589/AQ323</f>
        <v>3.5705368289637954E-2</v>
      </c>
      <c r="AR665" s="2263">
        <f t="shared" si="606"/>
        <v>2.3321841411478403E-2</v>
      </c>
      <c r="AS665" s="2263">
        <f t="shared" si="606"/>
        <v>2.550281883285083E-2</v>
      </c>
      <c r="AT665" s="2263">
        <f t="shared" si="606"/>
        <v>3.0523332108550731E-2</v>
      </c>
      <c r="AU665" s="2263">
        <f t="shared" si="606"/>
        <v>3.7273958652600775E-2</v>
      </c>
      <c r="AV665" s="2263">
        <f t="shared" si="606"/>
        <v>3.3385353155623514E-2</v>
      </c>
      <c r="AW665" s="2263">
        <f t="shared" si="606"/>
        <v>3.5118633773664823E-2</v>
      </c>
      <c r="AX665" s="2263">
        <f t="shared" si="606"/>
        <v>3.9703431658723504E-2</v>
      </c>
      <c r="AY665" s="2263">
        <f t="shared" si="606"/>
        <v>4.0263992733137015E-2</v>
      </c>
      <c r="AZ665" s="2540">
        <v>0.04</v>
      </c>
      <c r="BA665" s="2540">
        <v>4.4999999999999998E-2</v>
      </c>
      <c r="BB665" s="2540">
        <v>4.4999999999999998E-2</v>
      </c>
      <c r="BC665" s="2540">
        <v>4.4999999999999998E-2</v>
      </c>
    </row>
    <row r="666" spans="1:55" s="1953" customFormat="1" ht="10.15" x14ac:dyDescent="0.3">
      <c r="A666" s="2630"/>
      <c r="B666" s="2678" t="s">
        <v>1308</v>
      </c>
      <c r="C666" s="1950"/>
      <c r="D666" s="1950"/>
      <c r="E666" s="1950"/>
      <c r="F666" s="1950"/>
      <c r="G666" s="1950"/>
      <c r="H666" s="1950"/>
      <c r="I666" s="1950"/>
      <c r="J666" s="1950"/>
      <c r="K666" s="1950"/>
      <c r="L666" s="2502"/>
      <c r="M666" s="1950"/>
      <c r="N666" s="1950"/>
      <c r="O666" s="1950"/>
      <c r="P666" s="1950"/>
      <c r="Q666" s="1950"/>
      <c r="R666" s="1950"/>
      <c r="S666" s="1950"/>
      <c r="T666" s="1950"/>
      <c r="U666" s="1950"/>
      <c r="V666" s="1950"/>
      <c r="W666" s="1950"/>
      <c r="X666" s="1950"/>
      <c r="Y666" s="1950"/>
      <c r="Z666" s="1950"/>
      <c r="AA666" s="1950"/>
      <c r="AB666" s="1950"/>
      <c r="AC666" s="1950"/>
      <c r="AD666" s="1950"/>
      <c r="AE666" s="1950"/>
      <c r="AF666" s="1950"/>
      <c r="AG666" s="1950"/>
      <c r="AH666" s="1950"/>
      <c r="AI666" s="1950"/>
      <c r="AJ666" s="1950"/>
      <c r="AK666" s="1950"/>
      <c r="AL666" s="1950"/>
      <c r="AM666" s="1950"/>
      <c r="AN666" s="1950"/>
      <c r="AO666" s="1950"/>
      <c r="AP666" s="1950"/>
      <c r="AQ666" s="2263">
        <f t="shared" ref="AQ666:AY666" si="607">AQ590/AQ529</f>
        <v>0.43661971830985913</v>
      </c>
      <c r="AR666" s="2263">
        <f t="shared" si="607"/>
        <v>0.38922155688622756</v>
      </c>
      <c r="AS666" s="2263">
        <f t="shared" si="607"/>
        <v>0.1652675760755509</v>
      </c>
      <c r="AT666" s="2263">
        <f t="shared" si="607"/>
        <v>0.33049429657794677</v>
      </c>
      <c r="AU666" s="2263">
        <f t="shared" si="607"/>
        <v>0.61042830540037241</v>
      </c>
      <c r="AV666" s="2263">
        <f t="shared" si="607"/>
        <v>0.63850297703430681</v>
      </c>
      <c r="AW666" s="2263">
        <f t="shared" si="607"/>
        <v>0.48174039686874204</v>
      </c>
      <c r="AX666" s="2263">
        <f t="shared" si="607"/>
        <v>0.32394985060636239</v>
      </c>
      <c r="AY666" s="2263">
        <f t="shared" si="607"/>
        <v>0.35939422777167046</v>
      </c>
      <c r="AZ666" s="2540">
        <v>0.36</v>
      </c>
      <c r="BA666" s="2540">
        <v>0.36</v>
      </c>
      <c r="BB666" s="2540">
        <v>0.36</v>
      </c>
      <c r="BC666" s="2540">
        <v>0.36</v>
      </c>
    </row>
    <row r="667" spans="1:55" s="1953" customFormat="1" ht="10.15" x14ac:dyDescent="0.3">
      <c r="A667" s="2630"/>
      <c r="B667" s="2678" t="s">
        <v>1309</v>
      </c>
      <c r="C667" s="1950"/>
      <c r="D667" s="1950"/>
      <c r="E667" s="1950"/>
      <c r="F667" s="1950"/>
      <c r="G667" s="1950"/>
      <c r="H667" s="1950"/>
      <c r="I667" s="1950"/>
      <c r="J667" s="1950"/>
      <c r="K667" s="1950"/>
      <c r="L667" s="1950"/>
      <c r="M667" s="1950"/>
      <c r="N667" s="1950"/>
      <c r="O667" s="1950"/>
      <c r="P667" s="1950"/>
      <c r="Q667" s="1950"/>
      <c r="R667" s="1950"/>
      <c r="S667" s="1950"/>
      <c r="T667" s="1950"/>
      <c r="U667" s="1950"/>
      <c r="V667" s="1950"/>
      <c r="W667" s="1950"/>
      <c r="X667" s="1950"/>
      <c r="Y667" s="1950"/>
      <c r="Z667" s="1950"/>
      <c r="AA667" s="1950"/>
      <c r="AB667" s="1950"/>
      <c r="AC667" s="1950"/>
      <c r="AD667" s="1950"/>
      <c r="AE667" s="1950"/>
      <c r="AF667" s="1950"/>
      <c r="AG667" s="1950"/>
      <c r="AH667" s="1950"/>
      <c r="AI667" s="1950"/>
      <c r="AJ667" s="1950"/>
      <c r="AK667" s="1950"/>
      <c r="AL667" s="1950"/>
      <c r="AM667" s="1950"/>
      <c r="AN667" s="1950"/>
      <c r="AO667" s="1950"/>
      <c r="AP667" s="1950"/>
      <c r="AQ667" s="2679">
        <f t="shared" ref="AQ667:AY667" si="608">AQ596/AQ527</f>
        <v>1.2180267965895249E-3</v>
      </c>
      <c r="AR667" s="2679">
        <f t="shared" si="608"/>
        <v>7.8781512605042019E-4</v>
      </c>
      <c r="AS667" s="2679">
        <f t="shared" si="608"/>
        <v>0</v>
      </c>
      <c r="AT667" s="2679">
        <f t="shared" si="608"/>
        <v>-1.4224751066856331E-3</v>
      </c>
      <c r="AU667" s="2679">
        <f t="shared" si="608"/>
        <v>-8.0710250201775622E-4</v>
      </c>
      <c r="AV667" s="2679">
        <f t="shared" si="608"/>
        <v>1.6826685143026823E-3</v>
      </c>
      <c r="AW667" s="2679">
        <f t="shared" si="608"/>
        <v>-1.4288077727142837E-3</v>
      </c>
      <c r="AX667" s="2679">
        <f t="shared" si="608"/>
        <v>5.9763120721503858E-4</v>
      </c>
      <c r="AY667" s="2679">
        <f t="shared" si="608"/>
        <v>-2.3213750278081383E-4</v>
      </c>
      <c r="AZ667" s="2680">
        <f>AY667</f>
        <v>-2.3213750278081383E-4</v>
      </c>
      <c r="BA667" s="2680">
        <f>AZ667</f>
        <v>-2.3213750278081383E-4</v>
      </c>
      <c r="BB667" s="2680">
        <f>BA667</f>
        <v>-2.3213750278081383E-4</v>
      </c>
      <c r="BC667" s="2680">
        <f>BB667</f>
        <v>-2.3213750278081383E-4</v>
      </c>
    </row>
    <row r="668" spans="1:55" s="1953" customFormat="1" ht="10.15" x14ac:dyDescent="0.3">
      <c r="A668" s="1944"/>
      <c r="B668" s="2678" t="s">
        <v>1310</v>
      </c>
      <c r="C668" s="1950"/>
      <c r="D668" s="1950"/>
      <c r="E668" s="1950"/>
      <c r="F668" s="1950"/>
      <c r="G668" s="1950"/>
      <c r="H668" s="1950"/>
      <c r="I668" s="1950"/>
      <c r="J668" s="1950"/>
      <c r="K668" s="1950"/>
      <c r="L668" s="2502">
        <f>L622+L623</f>
        <v>-3396</v>
      </c>
      <c r="M668" s="1950"/>
      <c r="N668" s="1950"/>
      <c r="O668" s="1950"/>
      <c r="P668" s="1950"/>
      <c r="Q668" s="1950"/>
      <c r="R668" s="1950"/>
      <c r="S668" s="1950"/>
      <c r="T668" s="1950"/>
      <c r="U668" s="1950"/>
      <c r="V668" s="1950"/>
      <c r="W668" s="2263">
        <f t="shared" ref="W668:AI668" si="609">W618/W323</f>
        <v>-7.1516818109357561E-2</v>
      </c>
      <c r="X668" s="2263">
        <f t="shared" si="609"/>
        <v>-0.15734189615761401</v>
      </c>
      <c r="Y668" s="2263">
        <f t="shared" si="609"/>
        <v>-0.1255239196415667</v>
      </c>
      <c r="Z668" s="2263">
        <f t="shared" si="609"/>
        <v>-9.06801007556675E-2</v>
      </c>
      <c r="AA668" s="2263">
        <f t="shared" si="609"/>
        <v>-0.13847009391992091</v>
      </c>
      <c r="AB668" s="2263">
        <f t="shared" si="609"/>
        <v>-0.18950533189270446</v>
      </c>
      <c r="AC668" s="2263">
        <f t="shared" si="609"/>
        <v>-8.612015893859036E-2</v>
      </c>
      <c r="AD668" s="2263">
        <f t="shared" si="609"/>
        <v>-6.9915934030674448E-2</v>
      </c>
      <c r="AE668" s="2263">
        <f t="shared" si="609"/>
        <v>-5.5532351815112596E-2</v>
      </c>
      <c r="AF668" s="2263">
        <f t="shared" si="609"/>
        <v>-8.2559634337951715E-2</v>
      </c>
      <c r="AG668" s="2263">
        <f t="shared" si="609"/>
        <v>-4.1243434743831138E-2</v>
      </c>
      <c r="AH668" s="2263">
        <f t="shared" si="609"/>
        <v>-8.4705285441853143E-2</v>
      </c>
      <c r="AI668" s="2263">
        <f t="shared" si="609"/>
        <v>-8.8701862101709911E-2</v>
      </c>
      <c r="AJ668" s="2263">
        <v>-0.1</v>
      </c>
      <c r="AK668" s="2263">
        <v>-0.05</v>
      </c>
      <c r="AL668" s="2263">
        <v>-0.12</v>
      </c>
      <c r="AM668" s="2263">
        <v>-0.09</v>
      </c>
      <c r="AN668" s="2263">
        <v>-0.09</v>
      </c>
      <c r="AO668" s="2263">
        <v>-0.04</v>
      </c>
      <c r="AP668" s="2263">
        <v>-0.1</v>
      </c>
      <c r="AQ668" s="2263">
        <f t="shared" ref="AQ668:BA668" si="610">SUM(AQ622:AQ625)/AQ323</f>
        <v>-0.1082147315855181</v>
      </c>
      <c r="AR668" s="2263">
        <f t="shared" si="610"/>
        <v>-6.3794651910652728E-2</v>
      </c>
      <c r="AS668" s="2263">
        <f t="shared" si="610"/>
        <v>-9.0964497943013867E-2</v>
      </c>
      <c r="AT668" s="2263">
        <f t="shared" si="610"/>
        <v>-0.10111017794341505</v>
      </c>
      <c r="AU668" s="2263">
        <f t="shared" si="610"/>
        <v>-0.10722442482425873</v>
      </c>
      <c r="AV668" s="2263">
        <f t="shared" si="610"/>
        <v>-0.152180093888408</v>
      </c>
      <c r="AW668" s="2263">
        <f t="shared" si="610"/>
        <v>-0.16000575387787394</v>
      </c>
      <c r="AX668" s="2263">
        <f t="shared" si="610"/>
        <v>-0.13173355552960908</v>
      </c>
      <c r="AY668" s="2263">
        <f t="shared" si="610"/>
        <v>-8.9042614344206822E-2</v>
      </c>
      <c r="AZ668" s="2263">
        <f t="shared" si="610"/>
        <v>-9.9120865743063863E-2</v>
      </c>
      <c r="BA668" s="2263">
        <f t="shared" si="610"/>
        <v>-8.5172073531206094E-2</v>
      </c>
      <c r="BB668" s="2263">
        <v>-7.2999999999999995E-2</v>
      </c>
      <c r="BC668" s="2263">
        <v>-0.06</v>
      </c>
    </row>
    <row r="669" spans="1:55" s="1953" customFormat="1" ht="10.15" x14ac:dyDescent="0.3">
      <c r="A669" s="2630"/>
      <c r="B669" s="2476" t="s">
        <v>1266</v>
      </c>
      <c r="C669" s="1950"/>
      <c r="D669" s="1950"/>
      <c r="E669" s="1950"/>
      <c r="F669" s="1950"/>
      <c r="G669" s="1950"/>
      <c r="H669" s="1950"/>
      <c r="I669" s="1950"/>
      <c r="J669" s="1950"/>
      <c r="K669" s="1950"/>
      <c r="L669" s="2502"/>
      <c r="M669" s="1950"/>
      <c r="N669" s="1950"/>
      <c r="O669" s="1950"/>
      <c r="P669" s="1950"/>
      <c r="Q669" s="1950"/>
      <c r="R669" s="1950"/>
      <c r="S669" s="1950"/>
      <c r="T669" s="1950"/>
      <c r="U669" s="1950"/>
      <c r="V669" s="1950"/>
      <c r="W669" s="1950"/>
      <c r="X669" s="1950"/>
      <c r="Y669" s="1950"/>
      <c r="Z669" s="1950"/>
      <c r="AA669" s="1950"/>
      <c r="AB669" s="1950"/>
      <c r="AC669" s="1950"/>
      <c r="AD669" s="1950"/>
      <c r="AE669" s="1950"/>
      <c r="AF669" s="1950"/>
      <c r="AG669" s="1950"/>
      <c r="AH669" s="1950"/>
      <c r="AI669" s="1950"/>
      <c r="AJ669" s="1950"/>
      <c r="AK669" s="1950"/>
      <c r="AL669" s="1950"/>
      <c r="AM669" s="1950"/>
      <c r="AN669" s="1950"/>
      <c r="AO669" s="1950"/>
      <c r="AP669" s="1950"/>
      <c r="AQ669" s="2263">
        <f t="shared" ref="AQ669:BC669" si="611">AQ622/AQ323</f>
        <v>-7.0861423220973788E-2</v>
      </c>
      <c r="AR669" s="2263">
        <f t="shared" si="611"/>
        <v>-4.2211084393197554E-2</v>
      </c>
      <c r="AS669" s="2263">
        <f t="shared" si="611"/>
        <v>-2.839783635532531E-2</v>
      </c>
      <c r="AT669" s="2263">
        <f t="shared" si="611"/>
        <v>-3.8515038580651938E-2</v>
      </c>
      <c r="AU669" s="2263">
        <f t="shared" si="611"/>
        <v>-5.3458964041011241E-2</v>
      </c>
      <c r="AV669" s="2263">
        <f t="shared" si="611"/>
        <v>-3.3650717431273812E-2</v>
      </c>
      <c r="AW669" s="2540">
        <f t="shared" si="611"/>
        <v>-1.6090879304420096E-2</v>
      </c>
      <c r="AX669" s="2540">
        <f t="shared" si="611"/>
        <v>-8.3482820477438942E-3</v>
      </c>
      <c r="AY669" s="2540">
        <f t="shared" si="611"/>
        <v>-1.5475436080445586E-2</v>
      </c>
      <c r="AZ669" s="2540">
        <f t="shared" si="611"/>
        <v>-2.6030964321216181E-3</v>
      </c>
      <c r="BA669" s="2540">
        <f t="shared" si="611"/>
        <v>-2.6785145808537253E-3</v>
      </c>
      <c r="BB669" s="2540">
        <f t="shared" si="611"/>
        <v>-2.8390709603648011E-3</v>
      </c>
      <c r="BC669" s="2540">
        <f t="shared" si="611"/>
        <v>-3.0607668401072072E-3</v>
      </c>
    </row>
    <row r="670" spans="1:55" s="1953" customFormat="1" ht="10.15" x14ac:dyDescent="0.3">
      <c r="A670" s="2630"/>
      <c r="B670" s="2664" t="s">
        <v>1311</v>
      </c>
      <c r="C670" s="1950"/>
      <c r="D670" s="1950"/>
      <c r="E670" s="1950"/>
      <c r="F670" s="1950"/>
      <c r="G670" s="1950"/>
      <c r="H670" s="1950"/>
      <c r="I670" s="1950"/>
      <c r="J670" s="1950"/>
      <c r="K670" s="1950"/>
      <c r="L670" s="2502"/>
      <c r="M670" s="1950"/>
      <c r="N670" s="1950"/>
      <c r="O670" s="1950"/>
      <c r="P670" s="1950"/>
      <c r="Q670" s="1950"/>
      <c r="R670" s="1950"/>
      <c r="S670" s="1950"/>
      <c r="T670" s="1950"/>
      <c r="U670" s="1950"/>
      <c r="V670" s="1950"/>
      <c r="W670" s="1950"/>
      <c r="X670" s="1950"/>
      <c r="Y670" s="1950"/>
      <c r="Z670" s="1950"/>
      <c r="AA670" s="1950"/>
      <c r="AB670" s="1950"/>
      <c r="AC670" s="1950"/>
      <c r="AD670" s="1950"/>
      <c r="AE670" s="1950"/>
      <c r="AF670" s="1950"/>
      <c r="AG670" s="1950"/>
      <c r="AH670" s="1950"/>
      <c r="AI670" s="1950"/>
      <c r="AJ670" s="1950"/>
      <c r="AK670" s="1950"/>
      <c r="AL670" s="1950"/>
      <c r="AM670" s="1950"/>
      <c r="AN670" s="1950"/>
      <c r="AO670" s="1950"/>
      <c r="AP670" s="1950"/>
      <c r="AQ670" s="2263">
        <f t="shared" ref="AQ670:BC670" si="612">AQ623/AQ323</f>
        <v>-3.7403245942571786E-2</v>
      </c>
      <c r="AR670" s="2263">
        <f t="shared" si="612"/>
        <v>-3.0303908219138396E-2</v>
      </c>
      <c r="AS670" s="2263">
        <f t="shared" si="612"/>
        <v>-6.256666158768856E-2</v>
      </c>
      <c r="AT670" s="2263">
        <f t="shared" si="612"/>
        <v>-6.2595139362763105E-2</v>
      </c>
      <c r="AU670" s="2263">
        <f t="shared" si="612"/>
        <v>-5.3765460783247482E-2</v>
      </c>
      <c r="AV670" s="2263">
        <f t="shared" si="612"/>
        <v>-7.7208367820158844E-2</v>
      </c>
      <c r="AW670" s="2263">
        <f t="shared" si="612"/>
        <v>-0.10312627364484189</v>
      </c>
      <c r="AX670" s="2263">
        <f t="shared" si="612"/>
        <v>-8.5807389795246838E-2</v>
      </c>
      <c r="AY670" s="2263">
        <f t="shared" si="612"/>
        <v>-4.8384280504050331E-2</v>
      </c>
      <c r="AZ670" s="2263">
        <f t="shared" si="612"/>
        <v>-8.4123138915458515E-2</v>
      </c>
      <c r="BA670" s="2263">
        <f t="shared" si="612"/>
        <v>-7.4645107549539458E-2</v>
      </c>
      <c r="BB670" s="2263">
        <f t="shared" si="612"/>
        <v>-7.0160929039635195E-2</v>
      </c>
      <c r="BC670" s="2263">
        <f t="shared" si="612"/>
        <v>-5.6939233159892792E-2</v>
      </c>
    </row>
    <row r="671" spans="1:55" s="1953" customFormat="1" ht="10.15" x14ac:dyDescent="0.3">
      <c r="A671" s="2630"/>
      <c r="B671" s="2664" t="s">
        <v>1312</v>
      </c>
      <c r="C671" s="1950"/>
      <c r="D671" s="1950"/>
      <c r="E671" s="1950"/>
      <c r="F671" s="1950"/>
      <c r="G671" s="1950"/>
      <c r="H671" s="1950"/>
      <c r="I671" s="1950"/>
      <c r="J671" s="1950"/>
      <c r="K671" s="1950"/>
      <c r="L671" s="2502"/>
      <c r="M671" s="1950"/>
      <c r="N671" s="1950"/>
      <c r="O671" s="1950"/>
      <c r="P671" s="1950"/>
      <c r="Q671" s="1950"/>
      <c r="R671" s="1950"/>
      <c r="S671" s="1950"/>
      <c r="T671" s="1950"/>
      <c r="U671" s="1950"/>
      <c r="V671" s="1950"/>
      <c r="W671" s="1950"/>
      <c r="X671" s="1950"/>
      <c r="Y671" s="1950"/>
      <c r="Z671" s="1950"/>
      <c r="AA671" s="1950"/>
      <c r="AB671" s="1950"/>
      <c r="AC671" s="1950"/>
      <c r="AD671" s="1950"/>
      <c r="AE671" s="1950"/>
      <c r="AF671" s="1950"/>
      <c r="AG671" s="1950"/>
      <c r="AH671" s="1950"/>
      <c r="AI671" s="1950"/>
      <c r="AJ671" s="1950"/>
      <c r="AK671" s="1950"/>
      <c r="AL671" s="1950"/>
      <c r="AM671" s="1950"/>
      <c r="AN671" s="1950"/>
      <c r="AO671" s="1950"/>
      <c r="AP671" s="1950"/>
      <c r="AQ671" s="2263"/>
      <c r="AR671" s="2263"/>
      <c r="AS671" s="2263"/>
      <c r="AT671" s="2263">
        <f t="shared" ref="AT671:AY671" si="613">AT594/(AT524+AT525)</f>
        <v>8.6413133146345487E-3</v>
      </c>
      <c r="AU671" s="2263">
        <f t="shared" si="613"/>
        <v>1.5423696556974176E-2</v>
      </c>
      <c r="AV671" s="2263">
        <f t="shared" si="613"/>
        <v>1.5136345672506915E-2</v>
      </c>
      <c r="AW671" s="2263">
        <f t="shared" si="613"/>
        <v>1.0208441076608279E-2</v>
      </c>
      <c r="AX671" s="2263">
        <f t="shared" si="613"/>
        <v>4.4989732719504523E-2</v>
      </c>
      <c r="AY671" s="2263">
        <f t="shared" si="613"/>
        <v>3.7770578497325916E-2</v>
      </c>
      <c r="AZ671" s="2540">
        <v>0.02</v>
      </c>
      <c r="BA671" s="2540">
        <v>0.02</v>
      </c>
      <c r="BB671" s="2540">
        <v>0.02</v>
      </c>
      <c r="BC671" s="2540">
        <v>0.02</v>
      </c>
    </row>
    <row r="672" spans="1:55" s="1953" customFormat="1" ht="10.15" x14ac:dyDescent="0.3">
      <c r="A672" s="2630"/>
      <c r="B672" s="2664" t="s">
        <v>1313</v>
      </c>
      <c r="C672" s="1950"/>
      <c r="D672" s="1950"/>
      <c r="E672" s="1950"/>
      <c r="F672" s="1950"/>
      <c r="G672" s="1950"/>
      <c r="H672" s="1950"/>
      <c r="I672" s="1950"/>
      <c r="J672" s="1950"/>
      <c r="K672" s="1950"/>
      <c r="L672" s="2502"/>
      <c r="M672" s="1950"/>
      <c r="N672" s="1950"/>
      <c r="O672" s="1950"/>
      <c r="P672" s="1950"/>
      <c r="Q672" s="1950"/>
      <c r="R672" s="1950"/>
      <c r="S672" s="1950"/>
      <c r="T672" s="1950"/>
      <c r="U672" s="1950"/>
      <c r="V672" s="1950"/>
      <c r="W672" s="1950"/>
      <c r="X672" s="1950"/>
      <c r="Y672" s="1950"/>
      <c r="Z672" s="1950"/>
      <c r="AA672" s="1950"/>
      <c r="AB672" s="1950"/>
      <c r="AC672" s="1950"/>
      <c r="AD672" s="1950"/>
      <c r="AE672" s="1950"/>
      <c r="AF672" s="1950"/>
      <c r="AG672" s="1950"/>
      <c r="AH672" s="1950"/>
      <c r="AI672" s="1950"/>
      <c r="AJ672" s="1950"/>
      <c r="AK672" s="1950"/>
      <c r="AL672" s="1950"/>
      <c r="AM672" s="1950"/>
      <c r="AN672" s="1950"/>
      <c r="AO672" s="1950"/>
      <c r="AP672" s="1950"/>
      <c r="AQ672" s="2263"/>
      <c r="AR672" s="2263"/>
      <c r="AS672" s="2263"/>
      <c r="AT672" s="2263">
        <f t="shared" ref="AT672:AY672" si="614">AT595/(AT529+AT530)</f>
        <v>3.6076523460047828E-3</v>
      </c>
      <c r="AU672" s="2263">
        <f t="shared" si="614"/>
        <v>5.2289835085904731E-3</v>
      </c>
      <c r="AV672" s="2263">
        <f t="shared" si="614"/>
        <v>6.1421363453930391E-3</v>
      </c>
      <c r="AW672" s="2263">
        <f t="shared" si="614"/>
        <v>6.8296644762517534E-3</v>
      </c>
      <c r="AX672" s="2263">
        <f t="shared" si="614"/>
        <v>8.5321312921842318E-3</v>
      </c>
      <c r="AY672" s="2263">
        <f t="shared" si="614"/>
        <v>1.2151754809329373E-2</v>
      </c>
      <c r="AZ672" s="2540">
        <v>0.01</v>
      </c>
      <c r="BA672" s="2540">
        <f>AZ672</f>
        <v>0.01</v>
      </c>
      <c r="BB672" s="2540">
        <f>BA672</f>
        <v>0.01</v>
      </c>
      <c r="BC672" s="2540">
        <f>BB672</f>
        <v>0.01</v>
      </c>
    </row>
    <row r="673" spans="1:71" s="1953" customFormat="1" ht="10.15" x14ac:dyDescent="0.3">
      <c r="A673" s="2630"/>
      <c r="B673" s="2664" t="s">
        <v>1314</v>
      </c>
      <c r="C673" s="1950"/>
      <c r="D673" s="1950"/>
      <c r="E673" s="1950"/>
      <c r="F673" s="1950"/>
      <c r="G673" s="1950"/>
      <c r="H673" s="1950"/>
      <c r="I673" s="1950"/>
      <c r="J673" s="1950"/>
      <c r="K673" s="1950"/>
      <c r="L673" s="2502"/>
      <c r="M673" s="1950"/>
      <c r="N673" s="1950"/>
      <c r="O673" s="1950"/>
      <c r="P673" s="1950"/>
      <c r="Q673" s="1950"/>
      <c r="R673" s="1950"/>
      <c r="S673" s="1950"/>
      <c r="T673" s="1950"/>
      <c r="U673" s="1950"/>
      <c r="V673" s="1950"/>
      <c r="W673" s="1950"/>
      <c r="X673" s="1950"/>
      <c r="Y673" s="1950"/>
      <c r="Z673" s="1950"/>
      <c r="AA673" s="1950"/>
      <c r="AB673" s="1950"/>
      <c r="AC673" s="1950"/>
      <c r="AD673" s="1950"/>
      <c r="AE673" s="1950"/>
      <c r="AF673" s="1950"/>
      <c r="AG673" s="1950"/>
      <c r="AH673" s="1950"/>
      <c r="AI673" s="1950"/>
      <c r="AJ673" s="1950"/>
      <c r="AK673" s="1950"/>
      <c r="AL673" s="1950"/>
      <c r="AM673" s="1950"/>
      <c r="AN673" s="1950"/>
      <c r="AO673" s="1950"/>
      <c r="AP673" s="1950"/>
      <c r="AQ673" s="2263"/>
      <c r="AR673" s="2263"/>
      <c r="AS673" s="2681"/>
      <c r="AT673" s="2681">
        <v>11674</v>
      </c>
      <c r="AU673" s="2681">
        <v>-119</v>
      </c>
      <c r="AV673" s="2681">
        <v>684</v>
      </c>
      <c r="AW673" s="2681">
        <v>0</v>
      </c>
      <c r="AX673" s="2681"/>
      <c r="AY673" s="2068"/>
      <c r="AZ673" s="2068"/>
      <c r="BA673" s="2068"/>
      <c r="BB673" s="2068"/>
      <c r="BC673" s="2068"/>
    </row>
    <row r="674" spans="1:71" s="2687" customFormat="1" x14ac:dyDescent="0.3">
      <c r="A674" s="2630"/>
      <c r="B674" s="2682" t="s">
        <v>1315</v>
      </c>
      <c r="C674" s="2683"/>
      <c r="D674" s="2683"/>
      <c r="E674" s="2683"/>
      <c r="F674" s="2683"/>
      <c r="G674" s="2683">
        <f t="shared" ref="G674:Y674" si="615">G610+G623+G603-G343</f>
        <v>6090</v>
      </c>
      <c r="H674" s="2683">
        <f t="shared" si="615"/>
        <v>6683</v>
      </c>
      <c r="I674" s="2683">
        <f t="shared" si="615"/>
        <v>17128</v>
      </c>
      <c r="J674" s="2683">
        <f t="shared" si="615"/>
        <v>2333</v>
      </c>
      <c r="K674" s="2683">
        <f t="shared" si="615"/>
        <v>32802</v>
      </c>
      <c r="L674" s="2683">
        <f t="shared" si="615"/>
        <v>8938</v>
      </c>
      <c r="M674" s="2683">
        <f t="shared" si="615"/>
        <v>22924</v>
      </c>
      <c r="N674" s="2683">
        <f t="shared" si="615"/>
        <v>5665</v>
      </c>
      <c r="O674" s="2683">
        <f t="shared" si="615"/>
        <v>9548</v>
      </c>
      <c r="P674" s="2683">
        <f t="shared" si="615"/>
        <v>13624</v>
      </c>
      <c r="Q674" s="2683">
        <f t="shared" si="615"/>
        <v>23719</v>
      </c>
      <c r="R674" s="2683">
        <f t="shared" si="615"/>
        <v>4399</v>
      </c>
      <c r="S674" s="2683">
        <f t="shared" si="615"/>
        <v>12745</v>
      </c>
      <c r="T674" s="2683">
        <f t="shared" si="615"/>
        <v>13943</v>
      </c>
      <c r="U674" s="2683">
        <f t="shared" si="615"/>
        <v>34122</v>
      </c>
      <c r="V674" s="2683">
        <f t="shared" si="615"/>
        <v>7980</v>
      </c>
      <c r="W674" s="2683">
        <f t="shared" si="615"/>
        <v>22711</v>
      </c>
      <c r="X674" s="2683">
        <f t="shared" si="615"/>
        <v>22119</v>
      </c>
      <c r="Y674" s="2683">
        <f t="shared" si="615"/>
        <v>46399</v>
      </c>
      <c r="Z674" s="2683">
        <f>Z610+Z623-Z603-Z343</f>
        <v>10303</v>
      </c>
      <c r="AA674" s="2683">
        <f>AA610+AA623-AA603+AA624</f>
        <v>26358</v>
      </c>
      <c r="AB674" s="2683">
        <f>AB610+AB623-AB603+AB624</f>
        <v>16033</v>
      </c>
      <c r="AC674" s="2683">
        <f>AC610+AC623-AC603+AC624</f>
        <v>51373</v>
      </c>
      <c r="AD674" s="2683">
        <f>AD610+AD623-AD603+AD624</f>
        <v>10714</v>
      </c>
      <c r="AE674" s="2683">
        <f>AE610+AE623+AE603-AE343+AE624+AE626</f>
        <v>26361</v>
      </c>
      <c r="AF674" s="2683">
        <f>AF610+AF623+AF603-AF343+AF624+AF626</f>
        <v>30488</v>
      </c>
      <c r="AG674" s="2683">
        <f>AG610+AG623+AG603-AG343+AG624+AG626</f>
        <v>78279</v>
      </c>
      <c r="AH674" s="2683">
        <f>AH610+AH623+AH603-AH343+AH624+AH626</f>
        <v>-4214</v>
      </c>
      <c r="AI674" s="2683">
        <f>AI610+AI623+AI603-AI343+AI624+AI626</f>
        <v>36570</v>
      </c>
      <c r="AJ674" s="2683"/>
      <c r="AK674" s="2683"/>
      <c r="AL674" s="2683"/>
      <c r="AM674" s="2683"/>
      <c r="AN674" s="2683"/>
      <c r="AO674" s="2683"/>
      <c r="AP674" s="2683"/>
      <c r="AQ674" s="2683">
        <f>AQ610+AQ623-AQ603-AQ343</f>
        <v>8752</v>
      </c>
      <c r="AR674" s="2683">
        <f>AR610+AR623-AR603-AR343</f>
        <v>19745</v>
      </c>
      <c r="AS674" s="2683">
        <f>AS610+AS623-AS603-AS343</f>
        <v>32269</v>
      </c>
      <c r="AT674" s="2683">
        <f>AT610+AT623+AT603-AT343+AT673</f>
        <v>48121</v>
      </c>
      <c r="AU674" s="2683">
        <f>AU610+AU623+AU603-AU343+AU673</f>
        <v>51279</v>
      </c>
      <c r="AV674" s="2683">
        <f>AV610+AV623+AV603-AV343+AV673</f>
        <v>71318</v>
      </c>
      <c r="AW674" s="2683">
        <f>AW610+AW623+AW603-AW343+AW673</f>
        <v>99996</v>
      </c>
      <c r="AX674" s="2683">
        <f>AX610+AX623-AX603-AX343+AX624</f>
        <v>104478</v>
      </c>
      <c r="AY674" s="2683">
        <f>AY610+AY623+AY603-AY343+AY624+AY626</f>
        <v>143109</v>
      </c>
      <c r="AZ674" s="2683">
        <f>AZ610+AZ623+AZ603-AZ343</f>
        <v>160634.08311480354</v>
      </c>
      <c r="BA674" s="2683">
        <f>BA610+BA623+BA603-BA343</f>
        <v>190238.75767110306</v>
      </c>
      <c r="BB674" s="2684">
        <f>BB610+BB623+BB603-BB343</f>
        <v>204417.73826596618</v>
      </c>
      <c r="BC674" s="2685">
        <f>BC610+BC623+BC603-BC343</f>
        <v>262524.32420963288</v>
      </c>
      <c r="BD674" s="2686"/>
      <c r="BE674" s="2686"/>
      <c r="BF674" s="2686"/>
      <c r="BG674" s="2686"/>
      <c r="BH674" s="2686"/>
      <c r="BI674" s="2686"/>
      <c r="BJ674" s="2686"/>
      <c r="BK674" s="2686"/>
      <c r="BL674" s="2686"/>
      <c r="BM674" s="2686"/>
      <c r="BN674" s="2686"/>
      <c r="BO674" s="2686"/>
      <c r="BP674" s="2686"/>
      <c r="BQ674" s="2686"/>
      <c r="BR674" s="2686"/>
      <c r="BS674" s="2686"/>
    </row>
    <row r="675" spans="1:71" s="1953" customFormat="1" ht="10.15" x14ac:dyDescent="0.3">
      <c r="A675" s="2630"/>
      <c r="B675" s="2688" t="s">
        <v>1316</v>
      </c>
      <c r="C675" s="1950"/>
      <c r="D675" s="1950"/>
      <c r="E675" s="1950"/>
      <c r="F675" s="1950"/>
      <c r="G675" s="1950"/>
      <c r="H675" s="2689"/>
      <c r="I675" s="1950"/>
      <c r="J675" s="1950"/>
      <c r="K675" s="2689"/>
      <c r="L675" s="2689"/>
      <c r="M675" s="2689"/>
      <c r="N675" s="2689"/>
      <c r="O675" s="2044">
        <f t="shared" ref="O675:AI675" si="616">O674/K674-1</f>
        <v>-0.70892018779342725</v>
      </c>
      <c r="P675" s="2044">
        <f t="shared" si="616"/>
        <v>0.52427836204967559</v>
      </c>
      <c r="Q675" s="2044">
        <f t="shared" si="616"/>
        <v>3.4679811551212802E-2</v>
      </c>
      <c r="R675" s="2044">
        <f t="shared" si="616"/>
        <v>-0.22347749338040601</v>
      </c>
      <c r="S675" s="2044">
        <f t="shared" si="616"/>
        <v>0.33483452031839134</v>
      </c>
      <c r="T675" s="2044">
        <f t="shared" si="616"/>
        <v>2.3414562536699934E-2</v>
      </c>
      <c r="U675" s="2044">
        <f t="shared" si="616"/>
        <v>0.43859353261098688</v>
      </c>
      <c r="V675" s="2044">
        <f t="shared" si="616"/>
        <v>0.81404864741986804</v>
      </c>
      <c r="W675" s="2044">
        <f t="shared" si="616"/>
        <v>0.78195370733621017</v>
      </c>
      <c r="X675" s="2044">
        <f t="shared" si="616"/>
        <v>0.58638743455497377</v>
      </c>
      <c r="Y675" s="2044">
        <f t="shared" si="616"/>
        <v>0.35979719828849421</v>
      </c>
      <c r="Z675" s="2044">
        <f t="shared" si="616"/>
        <v>0.29110275689223064</v>
      </c>
      <c r="AA675" s="2044">
        <f t="shared" si="616"/>
        <v>0.16058297741182681</v>
      </c>
      <c r="AB675" s="2044">
        <f t="shared" si="616"/>
        <v>-0.27514806275148063</v>
      </c>
      <c r="AC675" s="2044">
        <f t="shared" si="616"/>
        <v>0.10720058621953066</v>
      </c>
      <c r="AD675" s="2044">
        <f t="shared" si="616"/>
        <v>3.9891293797923E-2</v>
      </c>
      <c r="AE675" s="2044">
        <f t="shared" si="616"/>
        <v>1.1381743683136492E-4</v>
      </c>
      <c r="AF675" s="2044">
        <f t="shared" si="616"/>
        <v>0.90157799538451933</v>
      </c>
      <c r="AG675" s="2044">
        <f t="shared" si="616"/>
        <v>0.52373815039028293</v>
      </c>
      <c r="AH675" s="2044">
        <f t="shared" si="616"/>
        <v>-1.3933171551241366</v>
      </c>
      <c r="AI675" s="2044">
        <f t="shared" si="616"/>
        <v>0.38727665870035288</v>
      </c>
      <c r="AJ675" s="2689"/>
      <c r="AK675" s="2689"/>
      <c r="AL675" s="2689"/>
      <c r="AM675" s="2689"/>
      <c r="AN675" s="2689"/>
      <c r="AO675" s="2689"/>
      <c r="AP675" s="2689"/>
      <c r="AQ675" s="2690"/>
      <c r="AR675" s="2690"/>
      <c r="AS675" s="2690"/>
      <c r="AT675" s="2690"/>
      <c r="AU675" s="2044"/>
      <c r="AV675" s="2044">
        <f t="shared" ref="AV675:BC675" si="617">AV674/AU674-1</f>
        <v>0.39078375163322221</v>
      </c>
      <c r="AW675" s="2044">
        <f t="shared" si="617"/>
        <v>0.40211447320452054</v>
      </c>
      <c r="AX675" s="2044">
        <f t="shared" si="617"/>
        <v>4.4821792871714949E-2</v>
      </c>
      <c r="AY675" s="2044">
        <f t="shared" si="617"/>
        <v>0.36975248377648873</v>
      </c>
      <c r="AZ675" s="2044">
        <f t="shared" si="617"/>
        <v>0.12245968537830287</v>
      </c>
      <c r="BA675" s="2044">
        <f t="shared" si="617"/>
        <v>0.18429883610155984</v>
      </c>
      <c r="BB675" s="2691">
        <f t="shared" si="617"/>
        <v>7.4532554608964796E-2</v>
      </c>
      <c r="BC675" s="2692">
        <f t="shared" si="617"/>
        <v>0.28425412802515559</v>
      </c>
    </row>
    <row r="676" spans="1:71" s="2687" customFormat="1" x14ac:dyDescent="0.3">
      <c r="A676" s="2630"/>
      <c r="B676" s="2693" t="s">
        <v>1317</v>
      </c>
      <c r="C676" s="2060"/>
      <c r="D676" s="2060"/>
      <c r="E676" s="2060"/>
      <c r="F676" s="2060"/>
      <c r="G676" s="2060"/>
      <c r="H676" s="2060"/>
      <c r="I676" s="2060"/>
      <c r="J676" s="2060"/>
      <c r="K676" s="2060"/>
      <c r="L676" s="2060"/>
      <c r="M676" s="2060"/>
      <c r="N676" s="2060"/>
      <c r="O676" s="2060"/>
      <c r="P676" s="2060"/>
      <c r="Q676" s="2694">
        <f t="shared" ref="Q676:AI676" si="618">Q674/Q6</f>
        <v>3661.5826360801507</v>
      </c>
      <c r="R676" s="2694">
        <f t="shared" si="618"/>
        <v>682.2270471464019</v>
      </c>
      <c r="S676" s="2694">
        <f t="shared" si="618"/>
        <v>1917.7237093546396</v>
      </c>
      <c r="T676" s="2694">
        <f t="shared" si="618"/>
        <v>2090.8750093724225</v>
      </c>
      <c r="U676" s="2694">
        <f t="shared" si="618"/>
        <v>4914.5902347688325</v>
      </c>
      <c r="V676" s="2694">
        <f t="shared" si="618"/>
        <v>1159.3444909344489</v>
      </c>
      <c r="W676" s="2694">
        <f t="shared" si="618"/>
        <v>3350.0508902099036</v>
      </c>
      <c r="X676" s="2694">
        <f t="shared" si="618"/>
        <v>3324.5156538860415</v>
      </c>
      <c r="Y676" s="2694">
        <f t="shared" si="618"/>
        <v>7131.3957241442904</v>
      </c>
      <c r="Z676" s="2694">
        <f t="shared" si="618"/>
        <v>1642.5405732869942</v>
      </c>
      <c r="AA676" s="2694">
        <f t="shared" si="618"/>
        <v>3983.3159541188738</v>
      </c>
      <c r="AB676" s="2694">
        <f t="shared" si="618"/>
        <v>2334.4496214327314</v>
      </c>
      <c r="AC676" s="2694">
        <f t="shared" si="618"/>
        <v>7471.8929532397651</v>
      </c>
      <c r="AD676" s="2694">
        <f t="shared" si="618"/>
        <v>1596.4358087972346</v>
      </c>
      <c r="AE676" s="2694">
        <f t="shared" si="618"/>
        <v>3839.9126001456661</v>
      </c>
      <c r="AF676" s="2694">
        <f t="shared" si="618"/>
        <v>4265.4280397890225</v>
      </c>
      <c r="AG676" s="2694">
        <f t="shared" si="618"/>
        <v>11244.074808239247</v>
      </c>
      <c r="AH676" s="2694">
        <f t="shared" si="618"/>
        <v>-595.13049372952207</v>
      </c>
      <c r="AI676" s="2694">
        <f t="shared" si="618"/>
        <v>5176.1475421437772</v>
      </c>
      <c r="AJ676" s="2060"/>
      <c r="AK676" s="2060"/>
      <c r="AL676" s="2060"/>
      <c r="AM676" s="2060"/>
      <c r="AN676" s="2060"/>
      <c r="AO676" s="2060"/>
      <c r="AP676" s="2060"/>
      <c r="AQ676" s="2060"/>
      <c r="AR676" s="2060"/>
      <c r="AS676" s="2060"/>
      <c r="AT676" s="2060"/>
      <c r="AU676" s="2060">
        <f t="shared" ref="AU676:BC676" si="619">AU674/AU6</f>
        <v>7952.6985111662525</v>
      </c>
      <c r="AV676" s="2060">
        <f t="shared" si="619"/>
        <v>10361.169223616922</v>
      </c>
      <c r="AW676" s="2060">
        <f t="shared" si="619"/>
        <v>15941.714759429902</v>
      </c>
      <c r="AX676" s="2060">
        <f t="shared" si="619"/>
        <v>15567.707712480629</v>
      </c>
      <c r="AY676" s="2060">
        <f t="shared" si="619"/>
        <v>20210.851881143375</v>
      </c>
      <c r="AZ676" s="2060">
        <f t="shared" si="619"/>
        <v>22310.289321500491</v>
      </c>
      <c r="BA676" s="2060">
        <f t="shared" si="619"/>
        <v>26422.04967654209</v>
      </c>
      <c r="BB676" s="2695">
        <f t="shared" si="619"/>
        <v>28391.352536939747</v>
      </c>
      <c r="BC676" s="2696">
        <f t="shared" si="619"/>
        <v>36461.711695782345</v>
      </c>
      <c r="BD676" s="2686"/>
      <c r="BE676" s="2686"/>
      <c r="BF676" s="2686"/>
      <c r="BG676" s="2686"/>
      <c r="BH676" s="2686"/>
      <c r="BI676" s="2686"/>
      <c r="BJ676" s="2686"/>
      <c r="BK676" s="2686"/>
      <c r="BL676" s="2686"/>
      <c r="BM676" s="2686"/>
      <c r="BN676" s="2686"/>
      <c r="BO676" s="2686"/>
      <c r="BP676" s="2686"/>
      <c r="BQ676" s="2686"/>
      <c r="BR676" s="2686"/>
      <c r="BS676" s="2686"/>
    </row>
    <row r="677" spans="1:71" s="1953" customFormat="1" ht="10.15" x14ac:dyDescent="0.3">
      <c r="A677" s="2630"/>
      <c r="B677" s="2688" t="s">
        <v>1316</v>
      </c>
      <c r="C677" s="1950"/>
      <c r="D677" s="1950"/>
      <c r="E677" s="1950"/>
      <c r="F677" s="1950"/>
      <c r="G677" s="1950"/>
      <c r="H677" s="2689"/>
      <c r="I677" s="1950"/>
      <c r="J677" s="1950"/>
      <c r="K677" s="2689"/>
      <c r="L677" s="2689"/>
      <c r="M677" s="2689"/>
      <c r="N677" s="2689"/>
      <c r="O677" s="2044"/>
      <c r="P677" s="2044"/>
      <c r="Q677" s="2044"/>
      <c r="R677" s="2044"/>
      <c r="S677" s="2044"/>
      <c r="T677" s="2044"/>
      <c r="U677" s="2044">
        <f t="shared" ref="U677:AI677" si="620">U676/Q676-1</f>
        <v>0.34220382911528913</v>
      </c>
      <c r="V677" s="2044">
        <f t="shared" si="620"/>
        <v>0.69935287054906281</v>
      </c>
      <c r="W677" s="2044">
        <f t="shared" si="620"/>
        <v>0.74688922803028635</v>
      </c>
      <c r="X677" s="2044">
        <f t="shared" si="620"/>
        <v>0.59001166448677256</v>
      </c>
      <c r="Y677" s="2044">
        <f t="shared" si="620"/>
        <v>0.45106618934217813</v>
      </c>
      <c r="Z677" s="2044">
        <f t="shared" si="620"/>
        <v>0.4167838689284511</v>
      </c>
      <c r="AA677" s="2044">
        <f t="shared" si="620"/>
        <v>0.18903147583805557</v>
      </c>
      <c r="AB677" s="2044">
        <f t="shared" si="620"/>
        <v>-0.29780760132562989</v>
      </c>
      <c r="AC677" s="2044">
        <f t="shared" si="620"/>
        <v>4.7746225601066561E-2</v>
      </c>
      <c r="AD677" s="2044">
        <f t="shared" si="620"/>
        <v>-2.8069178466317179E-2</v>
      </c>
      <c r="AE677" s="2044">
        <f t="shared" si="620"/>
        <v>-3.6000999073378614E-2</v>
      </c>
      <c r="AF677" s="2044">
        <f t="shared" si="620"/>
        <v>0.82716645526545296</v>
      </c>
      <c r="AG677" s="2044">
        <f t="shared" si="620"/>
        <v>0.50484955801780962</v>
      </c>
      <c r="AH677" s="2044">
        <f t="shared" si="620"/>
        <v>-1.37278698614127</v>
      </c>
      <c r="AI677" s="2044">
        <f t="shared" si="620"/>
        <v>0.34798576976658824</v>
      </c>
      <c r="AJ677" s="2689"/>
      <c r="AK677" s="2689"/>
      <c r="AL677" s="2689"/>
      <c r="AM677" s="2689"/>
      <c r="AN677" s="2689"/>
      <c r="AO677" s="2689"/>
      <c r="AP677" s="2689"/>
      <c r="AQ677" s="2690"/>
      <c r="AR677" s="2690"/>
      <c r="AS677" s="2690"/>
      <c r="AT677" s="2690"/>
      <c r="AU677" s="2044"/>
      <c r="AV677" s="2044">
        <f t="shared" ref="AV677:BC677" si="621">AV676/AU676-1</f>
        <v>0.30284949304553366</v>
      </c>
      <c r="AW677" s="2044">
        <f t="shared" si="621"/>
        <v>0.53860191020651027</v>
      </c>
      <c r="AX677" s="2044">
        <f t="shared" si="621"/>
        <v>-2.3460904463118659E-2</v>
      </c>
      <c r="AY677" s="2690">
        <f t="shared" si="621"/>
        <v>0.29825483972443401</v>
      </c>
      <c r="AZ677" s="2690">
        <f t="shared" si="621"/>
        <v>0.10387674169815075</v>
      </c>
      <c r="BA677" s="2690">
        <f t="shared" si="621"/>
        <v>0.18429883610155984</v>
      </c>
      <c r="BB677" s="2697">
        <f t="shared" si="621"/>
        <v>7.4532554608964796E-2</v>
      </c>
      <c r="BC677" s="2698">
        <f t="shared" si="621"/>
        <v>0.28425412802515559</v>
      </c>
    </row>
    <row r="678" spans="1:71" s="1953" customFormat="1" ht="10.15" x14ac:dyDescent="0.3">
      <c r="A678" s="2630"/>
      <c r="B678" s="1953" t="s">
        <v>1318</v>
      </c>
      <c r="C678" s="1950"/>
      <c r="D678" s="1950"/>
      <c r="E678" s="1950"/>
      <c r="F678" s="1950"/>
      <c r="G678" s="2690">
        <f t="shared" ref="G678:AI678" si="622">G674/G379/G6</f>
        <v>0.42550465690742034</v>
      </c>
      <c r="H678" s="2690">
        <f t="shared" si="622"/>
        <v>0.47129627278907532</v>
      </c>
      <c r="I678" s="2690">
        <f t="shared" si="622"/>
        <v>1.2075732127745482</v>
      </c>
      <c r="J678" s="2690">
        <f t="shared" si="622"/>
        <v>0.15882251371013395</v>
      </c>
      <c r="K678" s="2690">
        <f t="shared" si="622"/>
        <v>2.2673992094669315</v>
      </c>
      <c r="L678" s="2690">
        <f t="shared" si="622"/>
        <v>0.59728246502175419</v>
      </c>
      <c r="M678" s="2690">
        <f t="shared" si="622"/>
        <v>1.4276190656969319</v>
      </c>
      <c r="N678" s="2690">
        <f t="shared" si="622"/>
        <v>0.35352304592710559</v>
      </c>
      <c r="O678" s="2690">
        <f t="shared" si="622"/>
        <v>0.59505409582689328</v>
      </c>
      <c r="P678" s="2690">
        <f t="shared" si="622"/>
        <v>0.8360457774091693</v>
      </c>
      <c r="Q678" s="2690">
        <f t="shared" si="622"/>
        <v>1.4359147592471178</v>
      </c>
      <c r="R678" s="2690">
        <f t="shared" si="622"/>
        <v>0.26796034844713351</v>
      </c>
      <c r="S678" s="2690">
        <f t="shared" si="622"/>
        <v>0.74677714538732076</v>
      </c>
      <c r="T678" s="2690">
        <f t="shared" si="622"/>
        <v>0.81483827333297842</v>
      </c>
      <c r="U678" s="2690">
        <f t="shared" si="622"/>
        <v>1.9115481270979511</v>
      </c>
      <c r="V678" s="2690">
        <f t="shared" si="622"/>
        <v>0.44918422740583069</v>
      </c>
      <c r="W678" s="2690">
        <f t="shared" si="622"/>
        <v>1.2889768719545609</v>
      </c>
      <c r="X678" s="2690">
        <f t="shared" si="622"/>
        <v>1.2752265645899661</v>
      </c>
      <c r="Y678" s="2690">
        <f t="shared" si="622"/>
        <v>2.7271111755809905</v>
      </c>
      <c r="Z678" s="2690">
        <f t="shared" si="622"/>
        <v>0.62716325822336549</v>
      </c>
      <c r="AA678" s="2690">
        <f t="shared" si="622"/>
        <v>1.5162984218191375</v>
      </c>
      <c r="AB678" s="2690">
        <f t="shared" si="622"/>
        <v>0.88829894270651877</v>
      </c>
      <c r="AC678" s="2690">
        <f t="shared" si="622"/>
        <v>2.8584135245752735</v>
      </c>
      <c r="AD678" s="2690">
        <f t="shared" si="622"/>
        <v>0.60816602239894646</v>
      </c>
      <c r="AE678" s="2690">
        <f t="shared" si="622"/>
        <v>1.4578255885139204</v>
      </c>
      <c r="AF678" s="2690">
        <f t="shared" si="622"/>
        <v>1.6175305422028907</v>
      </c>
      <c r="AG678" s="2690">
        <f t="shared" si="622"/>
        <v>4.204964400987004</v>
      </c>
      <c r="AH678" s="2690">
        <f t="shared" si="622"/>
        <v>-0.21823633800129158</v>
      </c>
      <c r="AI678" s="2690">
        <f t="shared" si="622"/>
        <v>1.88858799312005</v>
      </c>
      <c r="AJ678" s="2689"/>
      <c r="AK678" s="2689"/>
      <c r="AL678" s="2689"/>
      <c r="AM678" s="2689"/>
      <c r="AN678" s="2689"/>
      <c r="AO678" s="2689"/>
      <c r="AP678" s="2689"/>
      <c r="AQ678" s="2690">
        <f t="shared" ref="AQ678:BC678" si="623">AQ674/AQ379/AQ6</f>
        <v>0.55171092163208602</v>
      </c>
      <c r="AR678" s="2690">
        <f t="shared" si="623"/>
        <v>1.3307407129934183</v>
      </c>
      <c r="AS678" s="2690">
        <f t="shared" si="623"/>
        <v>2.2259633484294241</v>
      </c>
      <c r="AT678" s="2690">
        <f t="shared" si="623"/>
        <v>3.1225678446826017</v>
      </c>
      <c r="AU678" s="2690">
        <f t="shared" si="623"/>
        <v>3.1040977795340563</v>
      </c>
      <c r="AV678" s="2690">
        <f t="shared" si="623"/>
        <v>4.026882714192352</v>
      </c>
      <c r="AW678" s="2689">
        <f t="shared" si="623"/>
        <v>6.1079366894367437</v>
      </c>
      <c r="AX678" s="2689">
        <f t="shared" si="623"/>
        <v>5.9350772826841895</v>
      </c>
      <c r="AY678" s="2690">
        <f t="shared" si="623"/>
        <v>7.5752818145215048</v>
      </c>
      <c r="AZ678" s="2690">
        <f t="shared" si="623"/>
        <v>8.1158332184451769</v>
      </c>
      <c r="BA678" s="2690">
        <f t="shared" si="623"/>
        <v>9.5350621903094055</v>
      </c>
      <c r="BB678" s="2697">
        <f t="shared" si="623"/>
        <v>10.144291815552988</v>
      </c>
      <c r="BC678" s="2698">
        <f t="shared" si="623"/>
        <v>12.898860039619528</v>
      </c>
    </row>
    <row r="679" spans="1:71" s="2522" customFormat="1" ht="10.15" x14ac:dyDescent="0.3">
      <c r="A679" s="2630"/>
      <c r="B679" s="2521" t="s">
        <v>1319</v>
      </c>
      <c r="C679" s="1995"/>
      <c r="D679" s="1995"/>
      <c r="E679" s="1995"/>
      <c r="F679" s="1995"/>
      <c r="G679" s="1995">
        <f>G613+G628+G606-G347</f>
        <v>1799</v>
      </c>
      <c r="H679" s="1995">
        <f>H613+H628+H606-H347</f>
        <v>-66</v>
      </c>
      <c r="I679" s="1995">
        <f>I613+I628+I606-I347</f>
        <v>-17436</v>
      </c>
      <c r="J679" s="1995">
        <f t="shared" ref="J679:AI679" si="624">SUM(G674:J674)</f>
        <v>32234</v>
      </c>
      <c r="K679" s="1995">
        <f t="shared" si="624"/>
        <v>58946</v>
      </c>
      <c r="L679" s="1995">
        <f t="shared" si="624"/>
        <v>61201</v>
      </c>
      <c r="M679" s="1995">
        <f t="shared" si="624"/>
        <v>66997</v>
      </c>
      <c r="N679" s="1995">
        <f t="shared" si="624"/>
        <v>70329</v>
      </c>
      <c r="O679" s="1995">
        <f t="shared" si="624"/>
        <v>47075</v>
      </c>
      <c r="P679" s="1995">
        <f t="shared" si="624"/>
        <v>51761</v>
      </c>
      <c r="Q679" s="1995">
        <f t="shared" si="624"/>
        <v>52556</v>
      </c>
      <c r="R679" s="1995">
        <f t="shared" si="624"/>
        <v>51290</v>
      </c>
      <c r="S679" s="1995">
        <f t="shared" si="624"/>
        <v>54487</v>
      </c>
      <c r="T679" s="1995">
        <f t="shared" si="624"/>
        <v>54806</v>
      </c>
      <c r="U679" s="1995">
        <f t="shared" si="624"/>
        <v>65209</v>
      </c>
      <c r="V679" s="1995">
        <f t="shared" si="624"/>
        <v>68790</v>
      </c>
      <c r="W679" s="1995">
        <f t="shared" si="624"/>
        <v>78756</v>
      </c>
      <c r="X679" s="1995">
        <f t="shared" si="624"/>
        <v>86932</v>
      </c>
      <c r="Y679" s="1995">
        <f t="shared" si="624"/>
        <v>99209</v>
      </c>
      <c r="Z679" s="1995">
        <f t="shared" si="624"/>
        <v>101532</v>
      </c>
      <c r="AA679" s="1995">
        <f t="shared" si="624"/>
        <v>105179</v>
      </c>
      <c r="AB679" s="1995">
        <f t="shared" si="624"/>
        <v>99093</v>
      </c>
      <c r="AC679" s="1995">
        <f t="shared" si="624"/>
        <v>104067</v>
      </c>
      <c r="AD679" s="1995">
        <f t="shared" si="624"/>
        <v>104478</v>
      </c>
      <c r="AE679" s="1995">
        <f t="shared" si="624"/>
        <v>104481</v>
      </c>
      <c r="AF679" s="1995">
        <f t="shared" si="624"/>
        <v>118936</v>
      </c>
      <c r="AG679" s="1995">
        <f t="shared" si="624"/>
        <v>145842</v>
      </c>
      <c r="AH679" s="1995">
        <f t="shared" si="624"/>
        <v>130914</v>
      </c>
      <c r="AI679" s="1995">
        <f t="shared" si="624"/>
        <v>141123</v>
      </c>
      <c r="AJ679" s="1995"/>
      <c r="AK679" s="1995"/>
      <c r="AL679" s="1995"/>
      <c r="AM679" s="1995"/>
      <c r="AN679" s="1995"/>
      <c r="AO679" s="1995"/>
      <c r="AP679" s="1995"/>
      <c r="AQ679" s="1995"/>
      <c r="AR679" s="1995"/>
      <c r="AS679" s="1995"/>
      <c r="AT679" s="1995"/>
      <c r="AU679" s="1995">
        <f t="shared" ref="AU679:BC679" si="625">AU674</f>
        <v>51279</v>
      </c>
      <c r="AV679" s="1995">
        <f t="shared" si="625"/>
        <v>71318</v>
      </c>
      <c r="AW679" s="1995">
        <f t="shared" si="625"/>
        <v>99996</v>
      </c>
      <c r="AX679" s="1995">
        <f t="shared" si="625"/>
        <v>104478</v>
      </c>
      <c r="AY679" s="1995">
        <f t="shared" si="625"/>
        <v>143109</v>
      </c>
      <c r="AZ679" s="1995">
        <f t="shared" si="625"/>
        <v>160634.08311480354</v>
      </c>
      <c r="BA679" s="1995">
        <f t="shared" si="625"/>
        <v>190238.75767110306</v>
      </c>
      <c r="BB679" s="2699">
        <f t="shared" si="625"/>
        <v>204417.73826596618</v>
      </c>
      <c r="BC679" s="2700">
        <f t="shared" si="625"/>
        <v>262524.32420963288</v>
      </c>
      <c r="BD679" s="2521"/>
      <c r="BE679" s="2521"/>
      <c r="BF679" s="2521"/>
      <c r="BG679" s="2521"/>
      <c r="BH679" s="2521"/>
      <c r="BI679" s="2521"/>
      <c r="BJ679" s="2521"/>
      <c r="BK679" s="2521"/>
      <c r="BL679" s="2521"/>
      <c r="BM679" s="2521"/>
      <c r="BN679" s="2521"/>
      <c r="BO679" s="2521"/>
      <c r="BP679" s="2521"/>
      <c r="BQ679" s="2521"/>
      <c r="BR679" s="2521"/>
      <c r="BS679" s="2521"/>
    </row>
    <row r="680" spans="1:71" s="1999" customFormat="1" ht="10.15" x14ac:dyDescent="0.3">
      <c r="A680" s="2630"/>
      <c r="B680" s="1999" t="s">
        <v>1318</v>
      </c>
      <c r="C680" s="2577"/>
      <c r="D680" s="2577"/>
      <c r="E680" s="2577"/>
      <c r="F680" s="2577"/>
      <c r="G680" s="2701">
        <f t="shared" ref="G680:AI680" si="626">G679/G379/G6</f>
        <v>0.12569505382207705</v>
      </c>
      <c r="H680" s="2701">
        <f t="shared" si="626"/>
        <v>-4.6544297477299082E-3</v>
      </c>
      <c r="I680" s="2701">
        <f t="shared" si="626"/>
        <v>-1.2292880977310265</v>
      </c>
      <c r="J680" s="2701">
        <f t="shared" si="626"/>
        <v>2.1943784427485888</v>
      </c>
      <c r="K680" s="2701">
        <f t="shared" si="626"/>
        <v>4.0745720932027849</v>
      </c>
      <c r="L680" s="2701">
        <f t="shared" si="626"/>
        <v>4.089761036226939</v>
      </c>
      <c r="M680" s="2701">
        <f t="shared" si="626"/>
        <v>4.1723169841431407</v>
      </c>
      <c r="N680" s="2701">
        <f t="shared" si="626"/>
        <v>4.388865365755942</v>
      </c>
      <c r="O680" s="2701">
        <f t="shared" si="626"/>
        <v>2.9338260956274618</v>
      </c>
      <c r="P680" s="2701">
        <f t="shared" si="626"/>
        <v>3.1763480244037003</v>
      </c>
      <c r="Q680" s="2701">
        <f t="shared" si="626"/>
        <v>3.1816660098229912</v>
      </c>
      <c r="R680" s="2701">
        <f t="shared" si="626"/>
        <v>3.1242751243131344</v>
      </c>
      <c r="S680" s="2701">
        <f t="shared" si="626"/>
        <v>3.1925968082164724</v>
      </c>
      <c r="T680" s="2701">
        <f t="shared" si="626"/>
        <v>3.2028994053135782</v>
      </c>
      <c r="U680" s="2701">
        <f t="shared" si="626"/>
        <v>3.6530725578785033</v>
      </c>
      <c r="V680" s="2701">
        <f t="shared" si="626"/>
        <v>3.8721031332389844</v>
      </c>
      <c r="W680" s="2701">
        <f t="shared" si="626"/>
        <v>4.4698455606381664</v>
      </c>
      <c r="X680" s="2701">
        <f t="shared" si="626"/>
        <v>5.011890036300688</v>
      </c>
      <c r="Y680" s="2701">
        <f t="shared" si="626"/>
        <v>5.8310302510445151</v>
      </c>
      <c r="Z680" s="2701">
        <f t="shared" si="626"/>
        <v>6.1804464654891529</v>
      </c>
      <c r="AA680" s="2701">
        <f t="shared" si="626"/>
        <v>6.050639339423137</v>
      </c>
      <c r="AB680" s="2701">
        <f t="shared" si="626"/>
        <v>5.4901894299018936</v>
      </c>
      <c r="AC680" s="2701">
        <f t="shared" si="626"/>
        <v>5.7903279984033444</v>
      </c>
      <c r="AD680" s="2701">
        <f t="shared" si="626"/>
        <v>5.9305553190402396</v>
      </c>
      <c r="AE680" s="2701">
        <f t="shared" si="626"/>
        <v>5.7780461785790722</v>
      </c>
      <c r="AF680" s="2701">
        <f t="shared" si="626"/>
        <v>6.3101093075125627</v>
      </c>
      <c r="AG680" s="2701">
        <f t="shared" si="626"/>
        <v>7.8342903993248072</v>
      </c>
      <c r="AH680" s="2701">
        <f t="shared" si="626"/>
        <v>6.7798272313956058</v>
      </c>
      <c r="AI680" s="2701">
        <f t="shared" si="626"/>
        <v>7.2880285303002683</v>
      </c>
      <c r="AJ680" s="2701"/>
      <c r="AK680" s="2701"/>
      <c r="AL680" s="2701"/>
      <c r="AM680" s="2701"/>
      <c r="AN680" s="2701"/>
      <c r="AO680" s="2701"/>
      <c r="AP680" s="2701"/>
      <c r="AQ680" s="2702">
        <f t="shared" ref="AQ680:BC680" si="627">AQ679/AQ379/AQ6</f>
        <v>0</v>
      </c>
      <c r="AR680" s="2702">
        <f t="shared" si="627"/>
        <v>0</v>
      </c>
      <c r="AS680" s="2702">
        <f t="shared" si="627"/>
        <v>0</v>
      </c>
      <c r="AT680" s="2702">
        <f t="shared" si="627"/>
        <v>0</v>
      </c>
      <c r="AU680" s="2701">
        <f t="shared" si="627"/>
        <v>3.1040977795340563</v>
      </c>
      <c r="AV680" s="2701">
        <f t="shared" si="627"/>
        <v>4.026882714192352</v>
      </c>
      <c r="AW680" s="2701">
        <f t="shared" si="627"/>
        <v>6.1079366894367437</v>
      </c>
      <c r="AX680" s="2701">
        <f t="shared" si="627"/>
        <v>5.9350772826841895</v>
      </c>
      <c r="AY680" s="2702">
        <f t="shared" si="627"/>
        <v>7.5752818145215048</v>
      </c>
      <c r="AZ680" s="2702">
        <f t="shared" si="627"/>
        <v>8.1158332184451769</v>
      </c>
      <c r="BA680" s="2702">
        <f t="shared" si="627"/>
        <v>9.5350621903094055</v>
      </c>
      <c r="BB680" s="2703">
        <f t="shared" si="627"/>
        <v>10.144291815552988</v>
      </c>
      <c r="BC680" s="2704">
        <f t="shared" si="627"/>
        <v>12.898860039619528</v>
      </c>
    </row>
    <row r="681" spans="1:71" s="1953" customFormat="1" ht="10.15" x14ac:dyDescent="0.3">
      <c r="A681" s="2630"/>
      <c r="B681" s="2705" t="s">
        <v>1316</v>
      </c>
      <c r="C681" s="2706"/>
      <c r="D681" s="2706"/>
      <c r="E681" s="2706"/>
      <c r="F681" s="2706"/>
      <c r="G681" s="2706"/>
      <c r="H681" s="2707"/>
      <c r="I681" s="2706"/>
      <c r="J681" s="2706"/>
      <c r="K681" s="2707"/>
      <c r="L681" s="2707"/>
      <c r="M681" s="2707"/>
      <c r="N681" s="2707"/>
      <c r="O681" s="2418">
        <f t="shared" ref="O681:AI681" si="628">O679/K679-1</f>
        <v>-0.20138771078614326</v>
      </c>
      <c r="P681" s="2418">
        <f t="shared" si="628"/>
        <v>-0.15424584565611676</v>
      </c>
      <c r="Q681" s="2418">
        <f t="shared" si="628"/>
        <v>-0.21554696478946822</v>
      </c>
      <c r="R681" s="2418">
        <f t="shared" si="628"/>
        <v>-0.27071336148672664</v>
      </c>
      <c r="S681" s="2418">
        <f t="shared" si="628"/>
        <v>0.15745087626128518</v>
      </c>
      <c r="T681" s="2418">
        <f t="shared" si="628"/>
        <v>5.8828075191746709E-2</v>
      </c>
      <c r="U681" s="2418">
        <f t="shared" si="628"/>
        <v>0.24075272090722266</v>
      </c>
      <c r="V681" s="2418">
        <f t="shared" si="628"/>
        <v>0.34119711444726075</v>
      </c>
      <c r="W681" s="2418">
        <f t="shared" si="628"/>
        <v>0.44540899664140077</v>
      </c>
      <c r="X681" s="2418">
        <f t="shared" si="628"/>
        <v>0.58617669598219169</v>
      </c>
      <c r="Y681" s="2418">
        <f t="shared" si="628"/>
        <v>0.52140042018739741</v>
      </c>
      <c r="Z681" s="2418">
        <f t="shared" si="628"/>
        <v>0.47597034452682085</v>
      </c>
      <c r="AA681" s="2418">
        <f t="shared" si="628"/>
        <v>0.33550459647518927</v>
      </c>
      <c r="AB681" s="2418">
        <f t="shared" si="628"/>
        <v>0.13989094924768786</v>
      </c>
      <c r="AC681" s="2418">
        <f t="shared" si="628"/>
        <v>4.8967331592899788E-2</v>
      </c>
      <c r="AD681" s="2418">
        <f t="shared" si="628"/>
        <v>2.9015482803451231E-2</v>
      </c>
      <c r="AE681" s="2418">
        <f t="shared" si="628"/>
        <v>-6.6363057264282599E-3</v>
      </c>
      <c r="AF681" s="2418">
        <f t="shared" si="628"/>
        <v>0.20024623333636082</v>
      </c>
      <c r="AG681" s="2418">
        <f t="shared" si="628"/>
        <v>0.40142408256219553</v>
      </c>
      <c r="AH681" s="2418">
        <f t="shared" si="628"/>
        <v>0.2530293458910009</v>
      </c>
      <c r="AI681" s="2418">
        <f t="shared" si="628"/>
        <v>0.35070491285496885</v>
      </c>
      <c r="AJ681" s="2707"/>
      <c r="AK681" s="2707"/>
      <c r="AL681" s="2707"/>
      <c r="AM681" s="2707"/>
      <c r="AN681" s="2707"/>
      <c r="AO681" s="2707"/>
      <c r="AP681" s="2707"/>
      <c r="AQ681" s="2708"/>
      <c r="AR681" s="2708"/>
      <c r="AS681" s="2708"/>
      <c r="AT681" s="2708"/>
      <c r="AU681" s="2418"/>
      <c r="AV681" s="2418">
        <f t="shared" ref="AV681:BC681" si="629">AV680/AU680-1</f>
        <v>0.29727959626220635</v>
      </c>
      <c r="AW681" s="2418">
        <f t="shared" si="629"/>
        <v>0.51679031224572847</v>
      </c>
      <c r="AX681" s="2418">
        <f t="shared" si="629"/>
        <v>-2.8300785607601742E-2</v>
      </c>
      <c r="AY681" s="2418">
        <f t="shared" si="629"/>
        <v>0.27635773785501883</v>
      </c>
      <c r="AZ681" s="2418">
        <f t="shared" si="629"/>
        <v>7.135726658874364E-2</v>
      </c>
      <c r="BA681" s="2418">
        <f t="shared" si="629"/>
        <v>0.17487162853946914</v>
      </c>
      <c r="BB681" s="2709">
        <f t="shared" si="629"/>
        <v>6.3893618424717635E-2</v>
      </c>
      <c r="BC681" s="2710">
        <f t="shared" si="629"/>
        <v>0.27153874061896577</v>
      </c>
    </row>
    <row r="682" spans="1:71" s="1953" customFormat="1" x14ac:dyDescent="0.3">
      <c r="A682" s="2630"/>
      <c r="C682" s="1950"/>
      <c r="D682" s="1950"/>
      <c r="E682" s="1950"/>
      <c r="F682" s="1950"/>
      <c r="G682" s="1950"/>
      <c r="H682" s="1950"/>
      <c r="I682" s="1950"/>
      <c r="J682" s="1950"/>
      <c r="K682" s="1950"/>
      <c r="L682" s="1950"/>
      <c r="M682" s="1950"/>
      <c r="N682" s="1950"/>
      <c r="O682" s="1950"/>
      <c r="P682" s="1950"/>
      <c r="Q682" s="1950"/>
      <c r="R682" s="1950"/>
      <c r="S682" s="1950"/>
      <c r="T682" s="1950"/>
      <c r="U682" s="1950"/>
      <c r="V682" s="1950"/>
      <c r="W682" s="1950"/>
      <c r="X682" s="1950"/>
      <c r="Y682" s="1950"/>
      <c r="Z682" s="1950"/>
      <c r="AA682" s="1950"/>
      <c r="AB682" s="1950"/>
      <c r="AC682" s="1950"/>
      <c r="AD682" s="1950"/>
      <c r="AE682" s="1950"/>
      <c r="AF682" s="1950"/>
      <c r="AG682" s="1950"/>
      <c r="AH682" s="1950"/>
      <c r="AI682" s="1950"/>
      <c r="AJ682" s="1950"/>
      <c r="AK682" s="1950"/>
      <c r="AL682" s="1950"/>
      <c r="AM682" s="1950"/>
      <c r="AN682" s="1950"/>
      <c r="AO682" s="1950"/>
      <c r="AP682" s="1950"/>
      <c r="AQ682" s="1950"/>
      <c r="AR682" s="1950"/>
      <c r="AS682" s="1950"/>
      <c r="AT682" s="1950"/>
      <c r="AU682" s="1950"/>
      <c r="AV682" s="1950"/>
      <c r="AW682" s="1950"/>
      <c r="AX682" s="1950"/>
      <c r="AY682" s="1950"/>
      <c r="AZ682" s="1950"/>
      <c r="BA682" s="1950"/>
      <c r="BC682" s="2711"/>
    </row>
    <row r="683" spans="1:71" s="2713" customFormat="1" x14ac:dyDescent="0.3">
      <c r="A683" s="2712"/>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c r="AA683" s="757"/>
      <c r="AB683" s="757"/>
      <c r="AC683" s="757"/>
      <c r="AD683" s="757"/>
      <c r="AE683" s="757"/>
      <c r="AF683" s="757"/>
      <c r="AG683" s="757"/>
      <c r="AH683" s="757"/>
      <c r="AI683" s="757"/>
      <c r="AJ683" s="757"/>
      <c r="AK683" s="757"/>
      <c r="AL683" s="757"/>
      <c r="AM683" s="757"/>
      <c r="AN683" s="757"/>
      <c r="AO683" s="757"/>
      <c r="AP683" s="757"/>
      <c r="AQ683" s="757"/>
      <c r="AR683" s="757"/>
      <c r="AS683" s="757"/>
      <c r="AT683" s="757"/>
      <c r="AU683" s="757"/>
      <c r="AV683" s="757"/>
      <c r="AW683" s="757"/>
      <c r="AX683" s="757"/>
      <c r="AY683" s="757"/>
      <c r="AZ683" s="757"/>
      <c r="BA683" s="757"/>
      <c r="BC683" s="2714"/>
    </row>
    <row r="684" spans="1:71" s="2713" customFormat="1" x14ac:dyDescent="0.3">
      <c r="A684" s="2712"/>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c r="AA684" s="757"/>
      <c r="AB684" s="757"/>
      <c r="AC684" s="757"/>
      <c r="AD684" s="757"/>
      <c r="AE684" s="757"/>
      <c r="AF684" s="757"/>
      <c r="AG684" s="757"/>
      <c r="AH684" s="757"/>
      <c r="AI684" s="757"/>
      <c r="AJ684" s="757"/>
      <c r="AK684" s="757"/>
      <c r="AL684" s="757"/>
      <c r="AM684" s="757"/>
      <c r="AN684" s="757"/>
      <c r="AO684" s="757"/>
      <c r="AP684" s="757"/>
      <c r="AQ684" s="757"/>
      <c r="AR684" s="757"/>
      <c r="AS684" s="757"/>
      <c r="AT684" s="757"/>
      <c r="AU684" s="757"/>
      <c r="AV684" s="757"/>
      <c r="AW684" s="757"/>
      <c r="AX684" s="757"/>
      <c r="AY684" s="757"/>
      <c r="AZ684" s="757"/>
      <c r="BA684" s="757"/>
      <c r="BC684" s="2714"/>
    </row>
    <row r="685" spans="1:71" s="2713" customFormat="1" x14ac:dyDescent="0.3">
      <c r="A685" s="2712"/>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c r="AA685" s="757"/>
      <c r="AB685" s="757"/>
      <c r="AC685" s="757"/>
      <c r="AD685" s="757"/>
      <c r="AE685" s="757"/>
      <c r="AF685" s="757"/>
      <c r="AG685" s="757"/>
      <c r="AH685" s="757"/>
      <c r="AI685" s="757"/>
      <c r="AJ685" s="757"/>
      <c r="AK685" s="757"/>
      <c r="AL685" s="757"/>
      <c r="AM685" s="757"/>
      <c r="AN685" s="757"/>
      <c r="AO685" s="757"/>
      <c r="AP685" s="757"/>
      <c r="AQ685" s="757"/>
      <c r="AR685" s="757"/>
      <c r="AS685" s="757"/>
      <c r="AT685" s="757"/>
      <c r="AU685" s="757"/>
      <c r="AV685" s="757"/>
      <c r="AW685" s="757"/>
      <c r="AX685" s="757"/>
      <c r="AY685" s="757"/>
      <c r="AZ685" s="757"/>
      <c r="BA685" s="757"/>
      <c r="BC685" s="2714"/>
    </row>
    <row r="686" spans="1:71" s="2713" customFormat="1" x14ac:dyDescent="0.3">
      <c r="A686" s="2712"/>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c r="AA686" s="757"/>
      <c r="AB686" s="757"/>
      <c r="AC686" s="757"/>
      <c r="AD686" s="757"/>
      <c r="AE686" s="757"/>
      <c r="AF686" s="757"/>
      <c r="AG686" s="757"/>
      <c r="AH686" s="757"/>
      <c r="AI686" s="757"/>
      <c r="AJ686" s="757"/>
      <c r="AK686" s="757"/>
      <c r="AL686" s="757"/>
      <c r="AM686" s="757"/>
      <c r="AN686" s="757"/>
      <c r="AO686" s="757"/>
      <c r="AP686" s="757"/>
      <c r="AQ686" s="757"/>
      <c r="AR686" s="757"/>
      <c r="AS686" s="757"/>
      <c r="AT686" s="757"/>
      <c r="AU686" s="757"/>
      <c r="AV686" s="757"/>
      <c r="AW686" s="757"/>
      <c r="AX686" s="757"/>
      <c r="AY686" s="757"/>
      <c r="AZ686" s="757"/>
      <c r="BA686" s="757"/>
      <c r="BC686" s="2714"/>
    </row>
    <row r="687" spans="1:71" s="2713" customFormat="1" x14ac:dyDescent="0.3">
      <c r="A687" s="2712"/>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c r="AA687" s="757"/>
      <c r="AB687" s="757"/>
      <c r="AC687" s="757"/>
      <c r="AD687" s="757"/>
      <c r="AE687" s="757"/>
      <c r="AF687" s="757"/>
      <c r="AG687" s="757"/>
      <c r="AH687" s="757"/>
      <c r="AI687" s="757"/>
      <c r="AJ687" s="757"/>
      <c r="AK687" s="757"/>
      <c r="AL687" s="757"/>
      <c r="AM687" s="757"/>
      <c r="AN687" s="757"/>
      <c r="AO687" s="757"/>
      <c r="AP687" s="757"/>
      <c r="AQ687" s="757"/>
      <c r="AR687" s="757"/>
      <c r="AS687" s="757"/>
      <c r="AT687" s="757"/>
      <c r="AU687" s="757"/>
      <c r="AV687" s="757"/>
      <c r="AW687" s="757"/>
      <c r="AX687" s="757"/>
      <c r="AY687" s="757"/>
      <c r="AZ687" s="757"/>
      <c r="BA687" s="757"/>
      <c r="BC687" s="2714"/>
    </row>
    <row r="688" spans="1:71" s="2713" customFormat="1" x14ac:dyDescent="0.3">
      <c r="A688" s="2712"/>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c r="AA688" s="757"/>
      <c r="AB688" s="757"/>
      <c r="AC688" s="757"/>
      <c r="AD688" s="757"/>
      <c r="AE688" s="757"/>
      <c r="AF688" s="757"/>
      <c r="AG688" s="757"/>
      <c r="AH688" s="757"/>
      <c r="AI688" s="757"/>
      <c r="AJ688" s="757"/>
      <c r="AK688" s="757"/>
      <c r="AL688" s="757"/>
      <c r="AM688" s="757"/>
      <c r="AN688" s="757"/>
      <c r="AO688" s="757"/>
      <c r="AP688" s="757"/>
      <c r="AQ688" s="757"/>
      <c r="AR688" s="757"/>
      <c r="AS688" s="757"/>
      <c r="AT688" s="757"/>
      <c r="AU688" s="757"/>
      <c r="AV688" s="757"/>
      <c r="AW688" s="757"/>
      <c r="AX688" s="757"/>
      <c r="AY688" s="757"/>
      <c r="AZ688" s="757"/>
      <c r="BA688" s="757"/>
      <c r="BC688" s="2714"/>
    </row>
    <row r="689" spans="1:55" s="2713" customFormat="1" x14ac:dyDescent="0.3">
      <c r="A689" s="2712"/>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c r="AA689" s="757"/>
      <c r="AB689" s="757"/>
      <c r="AC689" s="757"/>
      <c r="AD689" s="757"/>
      <c r="AE689" s="757"/>
      <c r="AF689" s="757"/>
      <c r="AG689" s="757"/>
      <c r="AH689" s="757"/>
      <c r="AI689" s="757"/>
      <c r="AJ689" s="757"/>
      <c r="AK689" s="757"/>
      <c r="AL689" s="757"/>
      <c r="AM689" s="757"/>
      <c r="AN689" s="757"/>
      <c r="AO689" s="757"/>
      <c r="AP689" s="757"/>
      <c r="AQ689" s="757"/>
      <c r="AR689" s="757"/>
      <c r="AS689" s="757"/>
      <c r="AT689" s="757"/>
      <c r="AU689" s="757"/>
      <c r="AV689" s="757"/>
      <c r="AW689" s="757"/>
      <c r="AX689" s="757"/>
      <c r="AY689" s="757"/>
      <c r="AZ689" s="757"/>
      <c r="BA689" s="757"/>
      <c r="BC689" s="2714"/>
    </row>
    <row r="690" spans="1:55" s="2713" customFormat="1" x14ac:dyDescent="0.3">
      <c r="A690" s="2712"/>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c r="AA690" s="757"/>
      <c r="AB690" s="757"/>
      <c r="AC690" s="757"/>
      <c r="AD690" s="757"/>
      <c r="AE690" s="757"/>
      <c r="AF690" s="757"/>
      <c r="AG690" s="757"/>
      <c r="AH690" s="757"/>
      <c r="AI690" s="757"/>
      <c r="AJ690" s="757"/>
      <c r="AK690" s="757"/>
      <c r="AL690" s="757"/>
      <c r="AM690" s="757"/>
      <c r="AN690" s="757"/>
      <c r="AO690" s="757"/>
      <c r="AP690" s="757"/>
      <c r="AQ690" s="757"/>
      <c r="AR690" s="757"/>
      <c r="AS690" s="757"/>
      <c r="AT690" s="757"/>
      <c r="AU690" s="757"/>
      <c r="AV690" s="757"/>
      <c r="AW690" s="757"/>
      <c r="AX690" s="757"/>
      <c r="AY690" s="757"/>
      <c r="AZ690" s="757"/>
      <c r="BA690" s="757"/>
      <c r="BC690" s="2714"/>
    </row>
    <row r="691" spans="1:55" s="2713" customFormat="1" x14ac:dyDescent="0.3">
      <c r="A691" s="2712"/>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c r="AA691" s="757"/>
      <c r="AB691" s="757"/>
      <c r="AC691" s="757"/>
      <c r="AD691" s="757"/>
      <c r="AE691" s="757"/>
      <c r="AF691" s="757"/>
      <c r="AG691" s="757"/>
      <c r="AH691" s="757"/>
      <c r="AI691" s="757"/>
      <c r="AJ691" s="757"/>
      <c r="AK691" s="757"/>
      <c r="AL691" s="757"/>
      <c r="AM691" s="757"/>
      <c r="AN691" s="757"/>
      <c r="AO691" s="757"/>
      <c r="AP691" s="757"/>
      <c r="AQ691" s="757"/>
      <c r="AR691" s="757"/>
      <c r="AS691" s="757"/>
      <c r="AT691" s="757"/>
      <c r="AU691" s="757"/>
      <c r="AV691" s="757"/>
      <c r="AW691" s="757"/>
      <c r="AX691" s="757"/>
      <c r="AY691" s="757"/>
      <c r="AZ691" s="757"/>
      <c r="BA691" s="757"/>
      <c r="BC691" s="2714"/>
    </row>
    <row r="692" spans="1:55" s="2713" customFormat="1" x14ac:dyDescent="0.3">
      <c r="A692" s="2712"/>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c r="AA692" s="757"/>
      <c r="AB692" s="757"/>
      <c r="AC692" s="757"/>
      <c r="AD692" s="757"/>
      <c r="AE692" s="757"/>
      <c r="AF692" s="757"/>
      <c r="AG692" s="757"/>
      <c r="AH692" s="757"/>
      <c r="AI692" s="757"/>
      <c r="AJ692" s="757"/>
      <c r="AK692" s="757"/>
      <c r="AL692" s="757"/>
      <c r="AM692" s="757"/>
      <c r="AN692" s="757"/>
      <c r="AO692" s="757"/>
      <c r="AP692" s="757"/>
      <c r="AQ692" s="757"/>
      <c r="AR692" s="757"/>
      <c r="AS692" s="757"/>
      <c r="AT692" s="757"/>
      <c r="AU692" s="757"/>
      <c r="AV692" s="757"/>
      <c r="AW692" s="757"/>
      <c r="AX692" s="757"/>
      <c r="AY692" s="757"/>
      <c r="AZ692" s="757"/>
      <c r="BA692" s="757"/>
      <c r="BC692" s="2714"/>
    </row>
    <row r="693" spans="1:55" s="2713" customFormat="1" x14ac:dyDescent="0.3">
      <c r="A693" s="2712"/>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c r="AA693" s="757"/>
      <c r="AB693" s="757"/>
      <c r="AC693" s="757"/>
      <c r="AD693" s="757"/>
      <c r="AE693" s="757"/>
      <c r="AF693" s="757"/>
      <c r="AG693" s="757"/>
      <c r="AH693" s="757"/>
      <c r="AI693" s="757"/>
      <c r="AJ693" s="757"/>
      <c r="AK693" s="757"/>
      <c r="AL693" s="757"/>
      <c r="AM693" s="757"/>
      <c r="AN693" s="757"/>
      <c r="AO693" s="757"/>
      <c r="AP693" s="757"/>
      <c r="AQ693" s="757"/>
      <c r="AR693" s="757"/>
      <c r="AS693" s="757"/>
      <c r="AT693" s="757"/>
      <c r="AU693" s="757"/>
      <c r="AV693" s="757"/>
      <c r="AW693" s="757"/>
      <c r="AX693" s="757"/>
      <c r="AY693" s="757"/>
      <c r="AZ693" s="757"/>
      <c r="BA693" s="757"/>
      <c r="BC693" s="2714"/>
    </row>
    <row r="694" spans="1:55" s="2713" customFormat="1" x14ac:dyDescent="0.3">
      <c r="A694" s="2712"/>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c r="AA694" s="757"/>
      <c r="AB694" s="757"/>
      <c r="AC694" s="757"/>
      <c r="AD694" s="757"/>
      <c r="AE694" s="757"/>
      <c r="AF694" s="757"/>
      <c r="AG694" s="757"/>
      <c r="AH694" s="757"/>
      <c r="AI694" s="757"/>
      <c r="AJ694" s="757"/>
      <c r="AK694" s="757"/>
      <c r="AL694" s="757"/>
      <c r="AM694" s="757"/>
      <c r="AN694" s="757"/>
      <c r="AO694" s="757"/>
      <c r="AP694" s="757"/>
      <c r="AQ694" s="757"/>
      <c r="AR694" s="757"/>
      <c r="AS694" s="757"/>
      <c r="AT694" s="757"/>
      <c r="AU694" s="757"/>
      <c r="AV694" s="757"/>
      <c r="AW694" s="757"/>
      <c r="AX694" s="757"/>
      <c r="AY694" s="757"/>
      <c r="AZ694" s="757"/>
      <c r="BA694" s="757"/>
      <c r="BC694" s="2714"/>
    </row>
  </sheetData>
  <phoneticPr fontId="4"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8</vt:i4>
      </vt:variant>
      <vt:variant>
        <vt:lpstr>图表</vt:lpstr>
      </vt:variant>
      <vt:variant>
        <vt:i4>1</vt:i4>
      </vt:variant>
    </vt:vector>
  </HeadingPairs>
  <TitlesOfParts>
    <vt:vector size="9" baseType="lpstr">
      <vt:lpstr>Summary</vt:lpstr>
      <vt:lpstr>PnL</vt:lpstr>
      <vt:lpstr>OperatingMetrics</vt:lpstr>
      <vt:lpstr>BS</vt:lpstr>
      <vt:lpstr>CF</vt:lpstr>
      <vt:lpstr>NOTES</vt:lpstr>
      <vt:lpstr>CHECK LIST</vt:lpstr>
      <vt:lpstr>GMV+Users</vt:lpstr>
      <vt:lpstr>BAND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2020-12-30T14:23:49Z</dcterms:modified>
</cp:coreProperties>
</file>