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lement Resistance" sheetId="7" r:id="rId1"/>
    <sheet name="DFT" sheetId="4" r:id="rId2"/>
    <sheet name="Wattage L1" sheetId="6" r:id="rId3"/>
    <sheet name="Wattage L2" sheetId="5" r:id="rId4"/>
  </sheets>
  <externalReferences>
    <externalReference r:id="rId5"/>
    <externalReference r:id="rId6"/>
    <externalReference r:id="rId7"/>
  </externalReferences>
  <definedNames>
    <definedName name="_Fill" localSheetId="1" hidden="1">DFT!$P$22:$P$31</definedName>
    <definedName name="_Fill" localSheetId="0" hidden="1">'Element Resistance'!$P$22:$P$31</definedName>
    <definedName name="_Fill" localSheetId="2" hidden="1">'Wattage L1'!$P$22:$P$31</definedName>
    <definedName name="_Fill" localSheetId="3" hidden="1">'Wattage L2'!$P$22:$P$31</definedName>
    <definedName name="_Fill" hidden="1">'[1]SHEET 1'!$P$21:$P$30</definedName>
    <definedName name="_xlnm.Print_Area" localSheetId="1">DFT!$A$1:$R$41</definedName>
    <definedName name="_xlnm.Print_Area" localSheetId="0">'Element Resistance'!$A$1:$R$41</definedName>
    <definedName name="_xlnm.Print_Area" localSheetId="2">'Wattage L1'!$A$1:$R$41</definedName>
    <definedName name="_xlnm.Print_Area" localSheetId="3">'Wattage L2'!$A$1:$R$41</definedName>
    <definedName name="readings">#REF!</definedName>
    <definedName name="Supp_Logo" localSheetId="1">'[2]PPAP Info'!#REF!</definedName>
    <definedName name="Supp_Logo" localSheetId="0">'[2]PPAP Info'!#REF!</definedName>
    <definedName name="Supp_Logo" localSheetId="2">'[2]PPAP Info'!#REF!</definedName>
    <definedName name="Supp_Logo" localSheetId="3">'[2]PPAP Info'!#REF!</definedName>
    <definedName name="Supp_Logo">'[3]PPAP Info'!#REF!</definedName>
    <definedName name="Wattage">'[3]PPAP Info'!#REF!</definedName>
    <definedName name="Z_38235CC0_A1D3_11D4_BDA6_0020352770F9_.wvu.PrintArea" localSheetId="1" hidden="1">DFT!$A$3:$R$40</definedName>
    <definedName name="Z_38235CC0_A1D3_11D4_BDA6_0020352770F9_.wvu.PrintArea" localSheetId="0" hidden="1">'Element Resistance'!$A$3:$R$40</definedName>
    <definedName name="Z_38235CC0_A1D3_11D4_BDA6_0020352770F9_.wvu.PrintArea" localSheetId="2" hidden="1">'Wattage L1'!$A$3:$R$40</definedName>
    <definedName name="Z_38235CC0_A1D3_11D4_BDA6_0020352770F9_.wvu.PrintArea" localSheetId="3" hidden="1">'Wattage L2'!$A$3:$R$40</definedName>
    <definedName name="Z_743D464C_9EBC_11D4_87C7_002035271A36_.wvu.PrintArea" localSheetId="1" hidden="1">DFT!$A$3:$R$40</definedName>
    <definedName name="Z_743D464C_9EBC_11D4_87C7_002035271A36_.wvu.PrintArea" localSheetId="0" hidden="1">'Element Resistance'!$A$3:$R$40</definedName>
    <definedName name="Z_743D464C_9EBC_11D4_87C7_002035271A36_.wvu.PrintArea" localSheetId="2" hidden="1">'Wattage L1'!$A$3:$R$40</definedName>
    <definedName name="Z_743D464C_9EBC_11D4_87C7_002035271A36_.wvu.PrintArea" localSheetId="3" hidden="1">'Wattage L2'!$A$3:$R$40</definedName>
    <definedName name="Z_BA715C6C_7BC9_11D2_80E9_0020352770F9_.wvu.PrintArea" localSheetId="1" hidden="1">DFT!$A$3:$R$40</definedName>
    <definedName name="Z_BA715C6C_7BC9_11D2_80E9_0020352770F9_.wvu.PrintArea" localSheetId="0" hidden="1">'Element Resistance'!$A$3:$R$40</definedName>
    <definedName name="Z_BA715C6C_7BC9_11D2_80E9_0020352770F9_.wvu.PrintArea" localSheetId="2" hidden="1">'Wattage L1'!$A$3:$R$40</definedName>
    <definedName name="Z_BA715C6C_7BC9_11D2_80E9_0020352770F9_.wvu.PrintArea" localSheetId="3" hidden="1">'Wattage L2'!$A$3:$R$40</definedName>
    <definedName name="Z_EA212840_1C84_11D5_B0CC_002035272DB3_.wvu.PrintArea" localSheetId="1" hidden="1">DFT!$A$3:$R$40</definedName>
    <definedName name="Z_EA212840_1C84_11D5_B0CC_002035272DB3_.wvu.PrintArea" localSheetId="0" hidden="1">'Element Resistance'!$A$3:$R$40</definedName>
    <definedName name="Z_EA212840_1C84_11D5_B0CC_002035272DB3_.wvu.PrintArea" localSheetId="2" hidden="1">'Wattage L1'!$A$3:$R$40</definedName>
    <definedName name="Z_EA212840_1C84_11D5_B0CC_002035272DB3_.wvu.PrintArea" localSheetId="3" hidden="1">'Wattage L2'!$A$3:$R$40</definedName>
  </definedNames>
  <calcPr calcId="144525"/>
</workbook>
</file>

<file path=xl/calcChain.xml><?xml version="1.0" encoding="utf-8"?>
<calcChain xmlns="http://schemas.openxmlformats.org/spreadsheetml/2006/main">
  <c r="Q37" i="7" l="1"/>
  <c r="K28" i="7"/>
  <c r="J28" i="7"/>
  <c r="I28" i="7"/>
  <c r="H28" i="7"/>
  <c r="G28" i="7"/>
  <c r="F28" i="7"/>
  <c r="E28" i="7"/>
  <c r="D28" i="7"/>
  <c r="C28" i="7"/>
  <c r="B28" i="7"/>
  <c r="I22" i="7"/>
  <c r="N21" i="7" s="1"/>
  <c r="D21" i="7"/>
  <c r="I20" i="7"/>
  <c r="Q19" i="7"/>
  <c r="M19" i="7"/>
  <c r="K19" i="7"/>
  <c r="J19" i="7"/>
  <c r="I19" i="7"/>
  <c r="H19" i="7"/>
  <c r="G19" i="7"/>
  <c r="F19" i="7"/>
  <c r="E19" i="7"/>
  <c r="D19" i="7"/>
  <c r="C19" i="7"/>
  <c r="B19" i="7"/>
  <c r="Q18" i="7"/>
  <c r="K18" i="7"/>
  <c r="J18" i="7"/>
  <c r="I18" i="7"/>
  <c r="H18" i="7"/>
  <c r="G18" i="7"/>
  <c r="F18" i="7"/>
  <c r="E18" i="7"/>
  <c r="D18" i="7"/>
  <c r="C18" i="7"/>
  <c r="B18" i="7"/>
  <c r="K17" i="7"/>
  <c r="J17" i="7"/>
  <c r="I17" i="7"/>
  <c r="H17" i="7"/>
  <c r="G17" i="7"/>
  <c r="F17" i="7"/>
  <c r="E17" i="7"/>
  <c r="D17" i="7"/>
  <c r="C17" i="7"/>
  <c r="B17" i="7"/>
  <c r="K16" i="7"/>
  <c r="J16" i="7"/>
  <c r="I16" i="7"/>
  <c r="H16" i="7"/>
  <c r="G16" i="7"/>
  <c r="F16" i="7"/>
  <c r="E16" i="7"/>
  <c r="D16" i="7"/>
  <c r="C16" i="7"/>
  <c r="B16" i="7"/>
  <c r="Q37" i="6"/>
  <c r="K28" i="6"/>
  <c r="J28" i="6"/>
  <c r="I28" i="6"/>
  <c r="H28" i="6"/>
  <c r="G28" i="6"/>
  <c r="F28" i="6"/>
  <c r="E28" i="6"/>
  <c r="D28" i="6"/>
  <c r="C28" i="6"/>
  <c r="B28" i="6"/>
  <c r="I22" i="6"/>
  <c r="N21" i="6" s="1"/>
  <c r="D21" i="6"/>
  <c r="I20" i="6"/>
  <c r="Q19" i="6"/>
  <c r="M19" i="6"/>
  <c r="K19" i="6"/>
  <c r="J19" i="6"/>
  <c r="I19" i="6"/>
  <c r="H19" i="6"/>
  <c r="G19" i="6"/>
  <c r="F19" i="6"/>
  <c r="E19" i="6"/>
  <c r="D19" i="6"/>
  <c r="C19" i="6"/>
  <c r="B19" i="6"/>
  <c r="Q18" i="6"/>
  <c r="K18" i="6"/>
  <c r="J18" i="6"/>
  <c r="I18" i="6"/>
  <c r="H18" i="6"/>
  <c r="G18" i="6"/>
  <c r="F18" i="6"/>
  <c r="E18" i="6"/>
  <c r="D18" i="6"/>
  <c r="C18" i="6"/>
  <c r="B18" i="6"/>
  <c r="K17" i="6"/>
  <c r="J17" i="6"/>
  <c r="I17" i="6"/>
  <c r="H17" i="6"/>
  <c r="G17" i="6"/>
  <c r="F17" i="6"/>
  <c r="E17" i="6"/>
  <c r="D17" i="6"/>
  <c r="C17" i="6"/>
  <c r="B17" i="6"/>
  <c r="K16" i="6"/>
  <c r="J16" i="6"/>
  <c r="I16" i="6"/>
  <c r="H16" i="6"/>
  <c r="G16" i="6"/>
  <c r="F16" i="6"/>
  <c r="E16" i="6"/>
  <c r="D16" i="6"/>
  <c r="C16" i="6"/>
  <c r="B16" i="6"/>
  <c r="Q37" i="5"/>
  <c r="K28" i="5"/>
  <c r="J28" i="5"/>
  <c r="I28" i="5"/>
  <c r="H28" i="5"/>
  <c r="G28" i="5"/>
  <c r="F28" i="5"/>
  <c r="E28" i="5"/>
  <c r="D28" i="5"/>
  <c r="C28" i="5"/>
  <c r="B28" i="5"/>
  <c r="I22" i="5"/>
  <c r="N21" i="5" s="1"/>
  <c r="D21" i="5"/>
  <c r="I20" i="5"/>
  <c r="Q19" i="5"/>
  <c r="M19" i="5"/>
  <c r="K19" i="5"/>
  <c r="J19" i="5"/>
  <c r="I19" i="5"/>
  <c r="H19" i="5"/>
  <c r="G19" i="5"/>
  <c r="F19" i="5"/>
  <c r="E19" i="5"/>
  <c r="D19" i="5"/>
  <c r="C19" i="5"/>
  <c r="B19" i="5"/>
  <c r="Q18" i="5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Q37" i="4"/>
  <c r="K28" i="4"/>
  <c r="J28" i="4"/>
  <c r="I28" i="4"/>
  <c r="H28" i="4"/>
  <c r="G28" i="4"/>
  <c r="F28" i="4"/>
  <c r="E28" i="4"/>
  <c r="D28" i="4"/>
  <c r="C28" i="4"/>
  <c r="B28" i="4"/>
  <c r="I22" i="4"/>
  <c r="N21" i="4" s="1"/>
  <c r="D21" i="4"/>
  <c r="I20" i="4"/>
  <c r="Q19" i="4"/>
  <c r="M19" i="4"/>
  <c r="K19" i="4"/>
  <c r="J19" i="4"/>
  <c r="I19" i="4"/>
  <c r="H19" i="4"/>
  <c r="G19" i="4"/>
  <c r="F19" i="4"/>
  <c r="E19" i="4"/>
  <c r="D19" i="4"/>
  <c r="C19" i="4"/>
  <c r="B19" i="4"/>
  <c r="Q18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B16" i="4"/>
  <c r="Q16" i="5" l="1"/>
  <c r="M16" i="7"/>
  <c r="K29" i="6"/>
  <c r="Q38" i="5"/>
  <c r="Q38" i="6"/>
  <c r="M16" i="6"/>
  <c r="J29" i="6"/>
  <c r="M17" i="6"/>
  <c r="D22" i="6" s="1"/>
  <c r="O25" i="6" s="1"/>
  <c r="M16" i="4"/>
  <c r="Q38" i="4"/>
  <c r="I29" i="4"/>
  <c r="F29" i="4"/>
  <c r="M17" i="4"/>
  <c r="D22" i="4" s="1"/>
  <c r="O25" i="4" s="1"/>
  <c r="J29" i="4"/>
  <c r="Q16" i="4"/>
  <c r="Q16" i="6"/>
  <c r="E29" i="5"/>
  <c r="M17" i="5"/>
  <c r="J29" i="5"/>
  <c r="M16" i="5"/>
  <c r="Q16" i="7"/>
  <c r="K29" i="7"/>
  <c r="Q38" i="7"/>
  <c r="M17" i="7"/>
  <c r="D22" i="7" s="1"/>
  <c r="P24" i="7" s="1"/>
  <c r="J29" i="7"/>
  <c r="G29" i="7"/>
  <c r="N22" i="7"/>
  <c r="N20" i="7" s="1"/>
  <c r="Q39" i="7" s="1"/>
  <c r="C39" i="7" s="1"/>
  <c r="D29" i="7"/>
  <c r="H29" i="7"/>
  <c r="I29" i="7"/>
  <c r="E29" i="7"/>
  <c r="M18" i="7"/>
  <c r="B29" i="7"/>
  <c r="F29" i="7"/>
  <c r="C29" i="7"/>
  <c r="C29" i="6"/>
  <c r="G29" i="6"/>
  <c r="N22" i="6"/>
  <c r="N20" i="6" s="1"/>
  <c r="D29" i="6"/>
  <c r="H29" i="6"/>
  <c r="I29" i="6"/>
  <c r="E29" i="6"/>
  <c r="M18" i="6"/>
  <c r="B29" i="6"/>
  <c r="F29" i="6"/>
  <c r="C29" i="5"/>
  <c r="G29" i="5"/>
  <c r="K29" i="5"/>
  <c r="N22" i="5"/>
  <c r="N20" i="5" s="1"/>
  <c r="D29" i="5"/>
  <c r="H29" i="5"/>
  <c r="I29" i="5"/>
  <c r="M18" i="5"/>
  <c r="B29" i="5"/>
  <c r="F29" i="5"/>
  <c r="C29" i="4"/>
  <c r="G29" i="4"/>
  <c r="K29" i="4"/>
  <c r="M18" i="4"/>
  <c r="Q33" i="4" s="1"/>
  <c r="B29" i="4"/>
  <c r="N22" i="4"/>
  <c r="N20" i="4" s="1"/>
  <c r="D29" i="4"/>
  <c r="H29" i="4"/>
  <c r="E29" i="4"/>
  <c r="Q39" i="4" l="1"/>
  <c r="C39" i="4" s="1"/>
  <c r="D20" i="7"/>
  <c r="I21" i="7" s="1"/>
  <c r="P25" i="7" s="1"/>
  <c r="R24" i="7" s="1"/>
  <c r="D22" i="5"/>
  <c r="P24" i="5" s="1"/>
  <c r="D20" i="5"/>
  <c r="I21" i="5" s="1"/>
  <c r="Q39" i="5"/>
  <c r="C39" i="5" s="1"/>
  <c r="Q39" i="6"/>
  <c r="C39" i="6" s="1"/>
  <c r="D20" i="6"/>
  <c r="I21" i="6" s="1"/>
  <c r="P24" i="6"/>
  <c r="P24" i="4"/>
  <c r="Q34" i="4"/>
  <c r="H25" i="4" s="1"/>
  <c r="D20" i="4"/>
  <c r="I21" i="4" s="1"/>
  <c r="O25" i="7"/>
  <c r="Q36" i="7"/>
  <c r="Q35" i="7"/>
  <c r="Q34" i="7"/>
  <c r="Q33" i="7"/>
  <c r="Q35" i="6"/>
  <c r="Q34" i="6"/>
  <c r="Q36" i="6"/>
  <c r="Q33" i="6"/>
  <c r="Q35" i="5"/>
  <c r="Q34" i="5"/>
  <c r="Q36" i="5"/>
  <c r="Q33" i="5"/>
  <c r="J24" i="4"/>
  <c r="F24" i="4"/>
  <c r="B24" i="4"/>
  <c r="I24" i="4"/>
  <c r="E24" i="4"/>
  <c r="K24" i="4"/>
  <c r="G24" i="4"/>
  <c r="C24" i="4"/>
  <c r="H24" i="4"/>
  <c r="D24" i="4"/>
  <c r="Q35" i="4"/>
  <c r="Q36" i="4"/>
  <c r="O26" i="4" l="1"/>
  <c r="O24" i="7"/>
  <c r="O26" i="7"/>
  <c r="P23" i="7"/>
  <c r="O23" i="7" s="1"/>
  <c r="P25" i="5"/>
  <c r="O27" i="5" s="1"/>
  <c r="O25" i="5"/>
  <c r="O26" i="5"/>
  <c r="O24" i="5"/>
  <c r="P23" i="5"/>
  <c r="O23" i="5" s="1"/>
  <c r="O24" i="6"/>
  <c r="P25" i="6"/>
  <c r="P26" i="6" s="1"/>
  <c r="P23" i="6"/>
  <c r="P22" i="6" s="1"/>
  <c r="O26" i="6"/>
  <c r="I25" i="4"/>
  <c r="K25" i="4"/>
  <c r="B25" i="4"/>
  <c r="D25" i="4"/>
  <c r="P25" i="4"/>
  <c r="R24" i="4" s="1"/>
  <c r="E25" i="4"/>
  <c r="P23" i="4"/>
  <c r="R23" i="4" s="1"/>
  <c r="J25" i="4"/>
  <c r="G25" i="4"/>
  <c r="O24" i="4"/>
  <c r="F25" i="4"/>
  <c r="C25" i="4"/>
  <c r="I27" i="7"/>
  <c r="E27" i="7"/>
  <c r="D27" i="7"/>
  <c r="H27" i="7"/>
  <c r="K27" i="7"/>
  <c r="G27" i="7"/>
  <c r="C27" i="7"/>
  <c r="J27" i="7"/>
  <c r="F27" i="7"/>
  <c r="B27" i="7"/>
  <c r="D24" i="7"/>
  <c r="K24" i="7"/>
  <c r="G24" i="7"/>
  <c r="C24" i="7"/>
  <c r="J24" i="7"/>
  <c r="B24" i="7"/>
  <c r="F24" i="7"/>
  <c r="I24" i="7"/>
  <c r="E24" i="7"/>
  <c r="H24" i="7"/>
  <c r="F25" i="7"/>
  <c r="I25" i="7"/>
  <c r="E25" i="7"/>
  <c r="H25" i="7"/>
  <c r="D25" i="7"/>
  <c r="K25" i="7"/>
  <c r="G25" i="7"/>
  <c r="C25" i="7"/>
  <c r="J25" i="7"/>
  <c r="B25" i="7"/>
  <c r="O27" i="7"/>
  <c r="P26" i="7"/>
  <c r="R25" i="7" s="1"/>
  <c r="Q25" i="7" s="1"/>
  <c r="D26" i="7"/>
  <c r="K26" i="7"/>
  <c r="G26" i="7"/>
  <c r="C26" i="7"/>
  <c r="J26" i="7"/>
  <c r="B26" i="7"/>
  <c r="F26" i="7"/>
  <c r="I26" i="7"/>
  <c r="E26" i="7"/>
  <c r="H26" i="7"/>
  <c r="K26" i="6"/>
  <c r="G26" i="6"/>
  <c r="C26" i="6"/>
  <c r="J26" i="6"/>
  <c r="B26" i="6"/>
  <c r="F26" i="6"/>
  <c r="I26" i="6"/>
  <c r="E26" i="6"/>
  <c r="H26" i="6"/>
  <c r="D26" i="6"/>
  <c r="D24" i="6"/>
  <c r="K24" i="6"/>
  <c r="G24" i="6"/>
  <c r="C24" i="6"/>
  <c r="F24" i="6"/>
  <c r="J24" i="6"/>
  <c r="B24" i="6"/>
  <c r="I24" i="6"/>
  <c r="E24" i="6"/>
  <c r="H24" i="6"/>
  <c r="I27" i="6"/>
  <c r="E27" i="6"/>
  <c r="D27" i="6"/>
  <c r="H27" i="6"/>
  <c r="K27" i="6"/>
  <c r="G27" i="6"/>
  <c r="C27" i="6"/>
  <c r="J27" i="6"/>
  <c r="F27" i="6"/>
  <c r="B27" i="6"/>
  <c r="B25" i="6"/>
  <c r="I25" i="6"/>
  <c r="E25" i="6"/>
  <c r="D25" i="6"/>
  <c r="H25" i="6"/>
  <c r="K25" i="6"/>
  <c r="G25" i="6"/>
  <c r="C25" i="6"/>
  <c r="J25" i="6"/>
  <c r="F25" i="6"/>
  <c r="J25" i="5"/>
  <c r="I25" i="5"/>
  <c r="E25" i="5"/>
  <c r="D25" i="5"/>
  <c r="H25" i="5"/>
  <c r="K25" i="5"/>
  <c r="G25" i="5"/>
  <c r="C25" i="5"/>
  <c r="F25" i="5"/>
  <c r="B25" i="5"/>
  <c r="D24" i="5"/>
  <c r="K24" i="5"/>
  <c r="G24" i="5"/>
  <c r="C24" i="5"/>
  <c r="J24" i="5"/>
  <c r="B24" i="5"/>
  <c r="F24" i="5"/>
  <c r="I24" i="5"/>
  <c r="E24" i="5"/>
  <c r="H24" i="5"/>
  <c r="I27" i="5"/>
  <c r="E27" i="5"/>
  <c r="H27" i="5"/>
  <c r="D27" i="5"/>
  <c r="K27" i="5"/>
  <c r="G27" i="5"/>
  <c r="C27" i="5"/>
  <c r="J27" i="5"/>
  <c r="F27" i="5"/>
  <c r="B27" i="5"/>
  <c r="K26" i="5"/>
  <c r="G26" i="5"/>
  <c r="C26" i="5"/>
  <c r="J26" i="5"/>
  <c r="F26" i="5"/>
  <c r="B26" i="5"/>
  <c r="I26" i="5"/>
  <c r="E26" i="5"/>
  <c r="H26" i="5"/>
  <c r="D26" i="5"/>
  <c r="J26" i="4"/>
  <c r="F26" i="4"/>
  <c r="B26" i="4"/>
  <c r="I26" i="4"/>
  <c r="E26" i="4"/>
  <c r="K26" i="4"/>
  <c r="G26" i="4"/>
  <c r="C26" i="4"/>
  <c r="H26" i="4"/>
  <c r="D26" i="4"/>
  <c r="H27" i="4"/>
  <c r="D27" i="4"/>
  <c r="K27" i="4"/>
  <c r="G27" i="4"/>
  <c r="C27" i="4"/>
  <c r="I27" i="4"/>
  <c r="E27" i="4"/>
  <c r="J27" i="4"/>
  <c r="F27" i="4"/>
  <c r="B27" i="4"/>
  <c r="R24" i="5" l="1"/>
  <c r="P26" i="5"/>
  <c r="R25" i="5" s="1"/>
  <c r="P22" i="7"/>
  <c r="R22" i="7" s="1"/>
  <c r="R23" i="7"/>
  <c r="Q24" i="7" s="1"/>
  <c r="P22" i="5"/>
  <c r="R22" i="5" s="1"/>
  <c r="R23" i="5"/>
  <c r="R25" i="6"/>
  <c r="O27" i="6"/>
  <c r="R23" i="6"/>
  <c r="R24" i="6"/>
  <c r="O23" i="6"/>
  <c r="O27" i="4"/>
  <c r="O23" i="4"/>
  <c r="P26" i="4"/>
  <c r="O28" i="4" s="1"/>
  <c r="P22" i="4"/>
  <c r="P21" i="4" s="1"/>
  <c r="Q24" i="4"/>
  <c r="O28" i="7"/>
  <c r="P27" i="7"/>
  <c r="R26" i="7" s="1"/>
  <c r="Q26" i="7" s="1"/>
  <c r="P21" i="6"/>
  <c r="O22" i="6"/>
  <c r="R22" i="6"/>
  <c r="O28" i="6"/>
  <c r="P27" i="6"/>
  <c r="R26" i="6" s="1"/>
  <c r="Q24" i="5" l="1"/>
  <c r="Q25" i="5"/>
  <c r="P27" i="5"/>
  <c r="R26" i="5" s="1"/>
  <c r="Q26" i="5" s="1"/>
  <c r="O28" i="5"/>
  <c r="O22" i="7"/>
  <c r="P21" i="7"/>
  <c r="O21" i="7" s="1"/>
  <c r="Q23" i="7"/>
  <c r="P21" i="5"/>
  <c r="O21" i="5" s="1"/>
  <c r="O22" i="5"/>
  <c r="Q23" i="5"/>
  <c r="Q23" i="6"/>
  <c r="Q24" i="6"/>
  <c r="Q26" i="6"/>
  <c r="Q25" i="6"/>
  <c r="O22" i="4"/>
  <c r="R22" i="4"/>
  <c r="Q23" i="4" s="1"/>
  <c r="R25" i="4"/>
  <c r="Q25" i="4" s="1"/>
  <c r="P27" i="4"/>
  <c r="R26" i="4" s="1"/>
  <c r="O29" i="7"/>
  <c r="P28" i="7"/>
  <c r="R27" i="7" s="1"/>
  <c r="O21" i="6"/>
  <c r="R21" i="6"/>
  <c r="Q21" i="6" s="1"/>
  <c r="P28" i="6"/>
  <c r="R27" i="6" s="1"/>
  <c r="O29" i="6"/>
  <c r="R21" i="4"/>
  <c r="Q21" i="4" s="1"/>
  <c r="O21" i="4"/>
  <c r="O29" i="5" l="1"/>
  <c r="P28" i="5"/>
  <c r="R27" i="5" s="1"/>
  <c r="R21" i="5"/>
  <c r="Q21" i="5" s="1"/>
  <c r="R21" i="7"/>
  <c r="Q21" i="7" s="1"/>
  <c r="Q22" i="6"/>
  <c r="O29" i="4"/>
  <c r="Q26" i="4"/>
  <c r="P28" i="4"/>
  <c r="R27" i="4" s="1"/>
  <c r="P29" i="7"/>
  <c r="R28" i="7" s="1"/>
  <c r="Q28" i="7" s="1"/>
  <c r="O30" i="7"/>
  <c r="P29" i="6"/>
  <c r="O30" i="6"/>
  <c r="Q22" i="4"/>
  <c r="O30" i="5" l="1"/>
  <c r="P29" i="5"/>
  <c r="R28" i="5" s="1"/>
  <c r="Q28" i="5" s="1"/>
  <c r="Q22" i="5"/>
  <c r="Q22" i="7"/>
  <c r="P29" i="4"/>
  <c r="R28" i="4" s="1"/>
  <c r="Q28" i="4" s="1"/>
  <c r="O30" i="4"/>
  <c r="P30" i="7"/>
  <c r="R29" i="7" s="1"/>
  <c r="Q29" i="7" s="1"/>
  <c r="O31" i="7"/>
  <c r="P30" i="6"/>
  <c r="O31" i="6"/>
  <c r="R28" i="6"/>
  <c r="Q28" i="6" s="1"/>
  <c r="O31" i="5" l="1"/>
  <c r="P30" i="5"/>
  <c r="R29" i="5" s="1"/>
  <c r="Q29" i="5" s="1"/>
  <c r="P30" i="4"/>
  <c r="R29" i="4" s="1"/>
  <c r="Q29" i="4" s="1"/>
  <c r="O31" i="4"/>
  <c r="P31" i="7"/>
  <c r="O32" i="7"/>
  <c r="P31" i="6"/>
  <c r="O32" i="6"/>
  <c r="R29" i="6"/>
  <c r="Q29" i="6" s="1"/>
  <c r="O32" i="5" l="1"/>
  <c r="P31" i="5"/>
  <c r="R30" i="5" s="1"/>
  <c r="Q30" i="5" s="1"/>
  <c r="O32" i="4"/>
  <c r="P31" i="4"/>
  <c r="R30" i="4" s="1"/>
  <c r="Q30" i="4" s="1"/>
  <c r="P32" i="7"/>
  <c r="R32" i="7" s="1"/>
  <c r="R30" i="7"/>
  <c r="Q30" i="7" s="1"/>
  <c r="P32" i="6"/>
  <c r="R32" i="6" s="1"/>
  <c r="R30" i="6"/>
  <c r="Q30" i="6" s="1"/>
  <c r="P32" i="5" l="1"/>
  <c r="R32" i="5" s="1"/>
  <c r="P32" i="4"/>
  <c r="R32" i="4" s="1"/>
  <c r="R31" i="7"/>
  <c r="Q31" i="7" s="1"/>
  <c r="R31" i="6"/>
  <c r="Q31" i="6" s="1"/>
  <c r="R31" i="5" l="1"/>
  <c r="Q31" i="5" s="1"/>
  <c r="R31" i="4"/>
  <c r="Q31" i="4" s="1"/>
  <c r="Q32" i="7"/>
  <c r="Q32" i="6"/>
  <c r="Q32" i="5" l="1"/>
  <c r="Q32" i="4"/>
</calcChain>
</file>

<file path=xl/sharedStrings.xml><?xml version="1.0" encoding="utf-8"?>
<sst xmlns="http://schemas.openxmlformats.org/spreadsheetml/2006/main" count="399" uniqueCount="113">
  <si>
    <t>STATISTICAL PROCESS CONTROL STUDY</t>
  </si>
  <si>
    <t>PART NAME:</t>
  </si>
  <si>
    <t>INSTRUMENT:</t>
  </si>
  <si>
    <t>Wattage</t>
  </si>
  <si>
    <t>L.COUNT:</t>
  </si>
  <si>
    <t>PART NO.:</t>
  </si>
  <si>
    <t>NA</t>
  </si>
  <si>
    <t>SPECIFIC:</t>
  </si>
  <si>
    <t>2000+5%/-10%</t>
  </si>
  <si>
    <t>MACHINE:</t>
  </si>
  <si>
    <t>Testing Panel</t>
  </si>
  <si>
    <t>SAMPLE SIZE:</t>
  </si>
  <si>
    <t>50NOS.</t>
  </si>
  <si>
    <t>OPERATION:</t>
  </si>
  <si>
    <t>TESTING</t>
  </si>
  <si>
    <t>NO.OF DECIMALS:</t>
  </si>
  <si>
    <t>Date</t>
  </si>
  <si>
    <t xml:space="preserve">DATA COLLECTION: - </t>
  </si>
  <si>
    <t>SNO.</t>
  </si>
  <si>
    <t>SAMPLE</t>
  </si>
  <si>
    <t>D2</t>
  </si>
  <si>
    <t>A2</t>
  </si>
  <si>
    <t>D4</t>
  </si>
  <si>
    <t>1</t>
  </si>
  <si>
    <t>2.560</t>
  </si>
  <si>
    <t>3.270</t>
  </si>
  <si>
    <t>2</t>
  </si>
  <si>
    <t>1.880</t>
  </si>
  <si>
    <t>3</t>
  </si>
  <si>
    <t>1.020</t>
  </si>
  <si>
    <t>2.570</t>
  </si>
  <si>
    <t xml:space="preserve"> </t>
  </si>
  <si>
    <t>4</t>
  </si>
  <si>
    <t>0.730</t>
  </si>
  <si>
    <t>2.230</t>
  </si>
  <si>
    <t>5</t>
  </si>
  <si>
    <t>0.590</t>
  </si>
  <si>
    <t>2.110</t>
  </si>
  <si>
    <t>FOR HISTOGRAM</t>
  </si>
  <si>
    <r>
      <t>X</t>
    </r>
    <r>
      <rPr>
        <sz val="6"/>
        <rFont val="Arial"/>
        <family val="2"/>
      </rPr>
      <t>LARGE</t>
    </r>
  </si>
  <si>
    <t>Xmax.=</t>
  </si>
  <si>
    <t>NO.OF NON CONFORMING PART =</t>
  </si>
  <si>
    <t>NOS.</t>
  </si>
  <si>
    <r>
      <t>X</t>
    </r>
    <r>
      <rPr>
        <sz val="6"/>
        <rFont val="Arial"/>
        <family val="2"/>
      </rPr>
      <t>SMALL</t>
    </r>
  </si>
  <si>
    <t>Xmin.=</t>
  </si>
  <si>
    <t>RANGE</t>
  </si>
  <si>
    <r>
      <t xml:space="preserve">2 </t>
    </r>
    <r>
      <rPr>
        <b/>
        <sz val="10"/>
        <color indexed="10"/>
        <rFont val="Arial"/>
        <family val="2"/>
      </rPr>
      <t>=</t>
    </r>
  </si>
  <si>
    <t xml:space="preserve">NO. OF PARTS ABOVE U.T.L. = </t>
  </si>
  <si>
    <t>AVG.</t>
  </si>
  <si>
    <r>
      <t xml:space="preserve">8 </t>
    </r>
    <r>
      <rPr>
        <b/>
        <sz val="10"/>
        <color indexed="10"/>
        <rFont val="Arial"/>
        <family val="2"/>
      </rPr>
      <t>=</t>
    </r>
  </si>
  <si>
    <t xml:space="preserve">NO. OF PARTS BELOW L.T.L. = </t>
  </si>
  <si>
    <t>Process Width ( P ) =</t>
  </si>
  <si>
    <t>Specification Width(S) =</t>
  </si>
  <si>
    <r>
      <t>Index (K)={2 x (D-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) / S}=</t>
    </r>
  </si>
  <si>
    <t>INTERVAL</t>
  </si>
  <si>
    <t>FREQ.</t>
  </si>
  <si>
    <t>CU. FREQ.</t>
  </si>
  <si>
    <t>Design Centre ( D ) =</t>
  </si>
  <si>
    <t>Interval =</t>
  </si>
  <si>
    <t>Selecting no. of classes =</t>
  </si>
  <si>
    <t>Starting Point =</t>
  </si>
  <si>
    <t>No. of readings=</t>
  </si>
  <si>
    <r>
      <t>Shift Of '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' from 'D' =</t>
    </r>
  </si>
  <si>
    <r>
      <t>U.C.L.</t>
    </r>
    <r>
      <rPr>
        <b/>
        <sz val="10"/>
        <color indexed="10"/>
        <rFont val="Arial"/>
        <family val="2"/>
      </rPr>
      <t xml:space="preserve"> </t>
    </r>
  </si>
  <si>
    <t>L.C.L.</t>
  </si>
  <si>
    <t>U.C.L.</t>
  </si>
  <si>
    <r>
      <t>X-BAR</t>
    </r>
    <r>
      <rPr>
        <b/>
        <sz val="10"/>
        <color indexed="10"/>
        <rFont val="Arial"/>
        <family val="2"/>
      </rPr>
      <t xml:space="preserve"> </t>
    </r>
  </si>
  <si>
    <t>R-BAR</t>
  </si>
  <si>
    <t>MINIMUM DECIMAL VALUE</t>
  </si>
  <si>
    <t>M4 VALUE</t>
  </si>
  <si>
    <r>
      <t>U.C.L.</t>
    </r>
    <r>
      <rPr>
        <sz val="6"/>
        <rFont val="Bookshelf Symbol 5"/>
        <charset val="2"/>
      </rPr>
      <t xml:space="preserve">8 </t>
    </r>
    <r>
      <rPr>
        <sz val="10"/>
        <rFont val="Arial"/>
        <family val="2"/>
      </rPr>
      <t>={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+A2x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>}</t>
    </r>
  </si>
  <si>
    <r>
      <t>L.C.L.</t>
    </r>
    <r>
      <rPr>
        <sz val="6"/>
        <rFont val="Bookshelf Symbol 5"/>
        <charset val="2"/>
      </rPr>
      <t>8</t>
    </r>
    <r>
      <rPr>
        <sz val="10"/>
        <rFont val="Arial"/>
        <family val="2"/>
      </rPr>
      <t xml:space="preserve"> ={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-A2x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>}</t>
    </r>
  </si>
  <si>
    <r>
      <t>U.C.L.</t>
    </r>
    <r>
      <rPr>
        <sz val="6"/>
        <rFont val="Bookshelf Symbol 5"/>
        <charset val="2"/>
      </rPr>
      <t>2</t>
    </r>
    <r>
      <rPr>
        <sz val="10"/>
        <rFont val="Arial"/>
        <family val="2"/>
      </rPr>
      <t xml:space="preserve"> ={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 xml:space="preserve"> x D4}</t>
    </r>
  </si>
  <si>
    <r>
      <t>L.C.L.</t>
    </r>
    <r>
      <rPr>
        <sz val="6"/>
        <rFont val="Bookshelf Symbol 5"/>
        <charset val="2"/>
      </rPr>
      <t>2</t>
    </r>
    <r>
      <rPr>
        <sz val="10"/>
        <rFont val="Arial"/>
        <family val="2"/>
      </rPr>
      <t xml:space="preserve"> ={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 xml:space="preserve"> x D3}</t>
    </r>
  </si>
  <si>
    <r>
      <t>Std.Dev."σ"=</t>
    </r>
    <r>
      <rPr>
        <b/>
        <sz val="10"/>
        <color indexed="10"/>
        <rFont val="Bookshelf Symbol 5"/>
        <charset val="2"/>
      </rPr>
      <t/>
    </r>
  </si>
  <si>
    <t>REMARKS: -</t>
  </si>
  <si>
    <t>PREPARED BY</t>
  </si>
  <si>
    <t>U.S.L.</t>
  </si>
  <si>
    <t>L.S.L</t>
  </si>
  <si>
    <t>Element</t>
  </si>
  <si>
    <t>Resistance</t>
  </si>
  <si>
    <t>0.1 mΩ</t>
  </si>
  <si>
    <r>
      <t>25.2~29.4 m</t>
    </r>
    <r>
      <rPr>
        <sz val="10"/>
        <rFont val="Calibri"/>
        <family val="2"/>
      </rPr>
      <t>Ω</t>
    </r>
  </si>
  <si>
    <t>DFT Meter</t>
  </si>
  <si>
    <t>APPROVED BY</t>
  </si>
  <si>
    <t>Cpk={1-K}xCp)=</t>
  </si>
  <si>
    <r>
      <t>Cp=(S/6</t>
    </r>
    <r>
      <rPr>
        <b/>
        <sz val="10"/>
        <color indexed="10"/>
        <rFont val="Bookman Old Style"/>
        <family val="1"/>
      </rPr>
      <t>σ</t>
    </r>
    <r>
      <rPr>
        <b/>
        <sz val="10"/>
        <color indexed="10"/>
        <rFont val="Arial"/>
        <family val="2"/>
      </rPr>
      <t>)=</t>
    </r>
  </si>
  <si>
    <t>1µ</t>
  </si>
  <si>
    <t>Micro Precession Pvt. Ltd.</t>
  </si>
  <si>
    <t>Vijay Kushwaha</t>
  </si>
  <si>
    <t>S.K Moharana</t>
  </si>
  <si>
    <t>Square Geyser</t>
  </si>
  <si>
    <t>Round Geyser</t>
  </si>
  <si>
    <t>ALL WATTAGE IN WATT</t>
  </si>
  <si>
    <t>WATTS</t>
  </si>
  <si>
    <t>1 w</t>
  </si>
  <si>
    <t>ALL DFT IN MICRONS</t>
  </si>
  <si>
    <t>MICRONS</t>
  </si>
  <si>
    <t>ALL RESISTANCE IN OHMS</t>
  </si>
  <si>
    <t>OHMS</t>
  </si>
  <si>
    <t>05.10.2022</t>
  </si>
  <si>
    <t>ROUND/SQUARE</t>
  </si>
  <si>
    <t>Resistance meter</t>
  </si>
  <si>
    <t>150~600 µ</t>
  </si>
  <si>
    <t>Formate No.</t>
  </si>
  <si>
    <t>MPPL/F/QA/24</t>
  </si>
  <si>
    <t>Rev. No</t>
  </si>
  <si>
    <t>00</t>
  </si>
  <si>
    <t>Issue Date</t>
  </si>
  <si>
    <t>16.08.2021</t>
  </si>
  <si>
    <t>13.10.2022</t>
  </si>
  <si>
    <t>17.10.2022</t>
  </si>
  <si>
    <t>29.10.2022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</si>
</sst>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0.0000"/>
    <numFmt numFmtId="171" formatCode="0.00000"/>
    <numFmt numFmtId="172" formatCode="0.000000"/>
    <numFmt numFmtId="173" formatCode="&quot;$&quot;#,##0.0000"/>
    <numFmt numFmtId="174" formatCode="\$#,##0.00;[Red]\-\$#,##0.00"/>
    <numFmt numFmtId="175" formatCode="0.00_)"/>
    <numFmt numFmtId="176" formatCode="0.0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name val="Arial"/>
      <family val="2"/>
    </font>
    <font>
      <sz val="18"/>
      <name val="Arial Black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Bookshelf Symbol 5"/>
      <charset val="2"/>
    </font>
    <font>
      <sz val="10"/>
      <name val="Bookshelf Symbol 5"/>
      <charset val="2"/>
    </font>
    <font>
      <b/>
      <sz val="8"/>
      <name val="Arial"/>
      <family val="2"/>
    </font>
    <font>
      <sz val="6"/>
      <name val="Bookshelf Symbol 5"/>
      <charset val="2"/>
    </font>
    <font>
      <b/>
      <i/>
      <sz val="6"/>
      <name val="Arial"/>
      <family val="2"/>
    </font>
    <font>
      <b/>
      <sz val="10"/>
      <color indexed="10"/>
      <name val="Bookman Old Style"/>
      <family val="1"/>
    </font>
    <font>
      <b/>
      <i/>
      <sz val="10"/>
      <color indexed="10"/>
      <name val="Arial"/>
      <family val="2"/>
    </font>
    <font>
      <b/>
      <sz val="12"/>
      <color indexed="10"/>
      <name val="Arial"/>
      <family val="2"/>
    </font>
    <font>
      <sz val="10"/>
      <name val="MS Sans Serif"/>
      <family val="2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2"/>
      <name val="Helv"/>
      <family val="2"/>
    </font>
    <font>
      <sz val="10"/>
      <name val="Calibri"/>
      <family val="2"/>
    </font>
    <font>
      <b/>
      <sz val="36"/>
      <name val="Bookman Old Style"/>
      <family val="1"/>
    </font>
    <font>
      <b/>
      <sz val="8"/>
      <name val="Times New Roman"/>
      <family val="1"/>
    </font>
    <font>
      <b/>
      <sz val="8"/>
      <color theme="1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1" fillId="0" borderId="0"/>
    <xf numFmtId="0" fontId="1" fillId="0" borderId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6" fillId="0" borderId="0"/>
    <xf numFmtId="0" fontId="17" fillId="0" borderId="0"/>
    <xf numFmtId="174" fontId="18" fillId="0" borderId="0">
      <alignment horizontal="center"/>
    </xf>
    <xf numFmtId="38" fontId="4" fillId="2" borderId="0" applyNumberFormat="0" applyBorder="0" applyAlignment="0" applyProtection="0"/>
    <xf numFmtId="0" fontId="19" fillId="0" borderId="0">
      <alignment horizontal="left"/>
    </xf>
    <xf numFmtId="10" fontId="4" fillId="2" borderId="4" applyNumberFormat="0" applyBorder="0" applyAlignment="0" applyProtection="0"/>
    <xf numFmtId="38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20" fillId="0" borderId="16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75" fontId="21" fillId="0" borderId="0"/>
    <xf numFmtId="10" fontId="5" fillId="0" borderId="0" applyFont="0" applyFill="0" applyBorder="0" applyAlignment="0" applyProtection="0"/>
    <xf numFmtId="0" fontId="20" fillId="0" borderId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2" fillId="0" borderId="0"/>
    <xf numFmtId="168" fontId="5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215">
    <xf numFmtId="0" fontId="0" fillId="0" borderId="0" xfId="0"/>
    <xf numFmtId="0" fontId="2" fillId="2" borderId="0" xfId="1" applyFont="1" applyFill="1" applyAlignment="1" applyProtection="1">
      <alignment horizontal="center" vertical="center"/>
      <protection hidden="1"/>
    </xf>
    <xf numFmtId="0" fontId="4" fillId="2" borderId="0" xfId="1" applyFont="1" applyFill="1" applyAlignment="1" applyProtection="1">
      <alignment horizontal="center" vertical="center"/>
      <protection hidden="1"/>
    </xf>
    <xf numFmtId="0" fontId="5" fillId="3" borderId="5" xfId="1" applyFont="1" applyFill="1" applyBorder="1" applyAlignment="1" applyProtection="1">
      <alignment horizontal="center" vertical="center"/>
      <protection locked="0"/>
    </xf>
    <xf numFmtId="0" fontId="5" fillId="2" borderId="0" xfId="1" applyFont="1" applyFill="1" applyAlignment="1" applyProtection="1">
      <alignment horizontal="center" vertical="center"/>
      <protection hidden="1"/>
    </xf>
    <xf numFmtId="0" fontId="5" fillId="3" borderId="1" xfId="1" applyFont="1" applyFill="1" applyBorder="1" applyAlignment="1" applyProtection="1">
      <alignment horizontal="center" vertical="center"/>
      <protection locked="0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1" fillId="3" borderId="4" xfId="1" applyFill="1" applyBorder="1" applyAlignment="1" applyProtection="1">
      <alignment vertical="center"/>
      <protection locked="0"/>
    </xf>
    <xf numFmtId="0" fontId="5" fillId="2" borderId="4" xfId="1" applyFont="1" applyFill="1" applyBorder="1" applyAlignment="1" applyProtection="1">
      <alignment horizontal="center" vertical="center" shrinkToFit="1"/>
      <protection hidden="1"/>
    </xf>
    <xf numFmtId="0" fontId="6" fillId="2" borderId="4" xfId="1" applyFont="1" applyFill="1" applyBorder="1" applyAlignment="1" applyProtection="1">
      <alignment horizontal="center" vertical="center" shrinkToFit="1"/>
      <protection hidden="1"/>
    </xf>
    <xf numFmtId="0" fontId="6" fillId="2" borderId="4" xfId="1" applyFont="1" applyFill="1" applyBorder="1" applyAlignment="1" applyProtection="1">
      <alignment horizontal="center" vertical="center"/>
      <protection hidden="1"/>
    </xf>
    <xf numFmtId="1" fontId="5" fillId="3" borderId="4" xfId="1" applyNumberFormat="1" applyFont="1" applyFill="1" applyBorder="1" applyAlignment="1" applyProtection="1">
      <alignment horizontal="center" vertical="center"/>
      <protection locked="0"/>
    </xf>
    <xf numFmtId="49" fontId="5" fillId="2" borderId="4" xfId="1" applyNumberFormat="1" applyFont="1" applyFill="1" applyBorder="1" applyAlignment="1" applyProtection="1">
      <alignment horizontal="center" vertical="center"/>
      <protection hidden="1"/>
    </xf>
    <xf numFmtId="49" fontId="5" fillId="2" borderId="0" xfId="1" applyNumberFormat="1" applyFont="1" applyFill="1" applyBorder="1" applyAlignment="1" applyProtection="1">
      <alignment horizontal="left" vertical="center"/>
      <protection hidden="1"/>
    </xf>
    <xf numFmtId="0" fontId="5" fillId="2" borderId="0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 shrinkToFit="1"/>
      <protection hidden="1"/>
    </xf>
    <xf numFmtId="49" fontId="5" fillId="2" borderId="12" xfId="1" applyNumberFormat="1" applyFont="1" applyFill="1" applyBorder="1" applyAlignment="1" applyProtection="1">
      <alignment horizontal="center" vertical="center"/>
      <protection hidden="1"/>
    </xf>
    <xf numFmtId="0" fontId="5" fillId="2" borderId="12" xfId="1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 shrinkToFit="1"/>
      <protection hidden="1"/>
    </xf>
    <xf numFmtId="170" fontId="5" fillId="2" borderId="0" xfId="1" applyNumberFormat="1" applyFont="1" applyFill="1" applyBorder="1" applyAlignment="1" applyProtection="1">
      <alignment horizontal="center" vertical="center"/>
      <protection hidden="1"/>
    </xf>
    <xf numFmtId="0" fontId="5" fillId="2" borderId="9" xfId="1" applyFont="1" applyFill="1" applyBorder="1" applyAlignment="1" applyProtection="1">
      <alignment horizontal="center" vertical="center" shrinkToFit="1"/>
      <protection hidden="1"/>
    </xf>
    <xf numFmtId="49" fontId="5" fillId="2" borderId="13" xfId="1" applyNumberFormat="1" applyFont="1" applyFill="1" applyBorder="1" applyAlignment="1" applyProtection="1">
      <alignment horizontal="center" vertical="center"/>
      <protection hidden="1"/>
    </xf>
    <xf numFmtId="0" fontId="5" fillId="2" borderId="13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5" xfId="1" applyNumberFormat="1" applyFont="1" applyFill="1" applyBorder="1" applyAlignment="1" applyProtection="1">
      <alignment horizontal="center" vertical="center"/>
      <protection hidden="1"/>
    </xf>
    <xf numFmtId="0" fontId="5" fillId="2" borderId="4" xfId="1" applyNumberFormat="1" applyFont="1" applyFill="1" applyBorder="1" applyAlignment="1" applyProtection="1">
      <alignment horizontal="center" vertical="center"/>
      <protection hidden="1"/>
    </xf>
    <xf numFmtId="170" fontId="5" fillId="2" borderId="4" xfId="1" applyNumberFormat="1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9" xfId="1" applyFont="1" applyFill="1" applyBorder="1" applyAlignment="1" applyProtection="1">
      <alignment horizontal="center" vertical="center"/>
      <protection hidden="1"/>
    </xf>
    <xf numFmtId="0" fontId="5" fillId="2" borderId="13" xfId="1" applyNumberFormat="1" applyFont="1" applyFill="1" applyBorder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/>
      <protection hidden="1"/>
    </xf>
    <xf numFmtId="171" fontId="7" fillId="2" borderId="4" xfId="1" applyNumberFormat="1" applyFont="1" applyFill="1" applyBorder="1" applyAlignment="1" applyProtection="1">
      <alignment horizontal="center" vertical="center"/>
      <protection hidden="1"/>
    </xf>
    <xf numFmtId="0" fontId="7" fillId="0" borderId="9" xfId="1" applyFont="1" applyBorder="1" applyAlignment="1" applyProtection="1">
      <alignment horizontal="right" vertical="center"/>
      <protection hidden="1"/>
    </xf>
    <xf numFmtId="0" fontId="7" fillId="0" borderId="11" xfId="1" applyFont="1" applyBorder="1" applyAlignment="1" applyProtection="1">
      <alignment horizontal="left" vertical="center"/>
      <protection hidden="1"/>
    </xf>
    <xf numFmtId="20" fontId="5" fillId="2" borderId="0" xfId="1" applyNumberFormat="1" applyFont="1" applyFill="1" applyAlignment="1" applyProtection="1">
      <alignment horizontal="center" vertical="center"/>
      <protection hidden="1"/>
    </xf>
    <xf numFmtId="170" fontId="7" fillId="2" borderId="4" xfId="1" applyNumberFormat="1" applyFont="1" applyFill="1" applyBorder="1" applyAlignment="1" applyProtection="1">
      <alignment horizontal="center" vertical="center"/>
      <protection hidden="1"/>
    </xf>
    <xf numFmtId="0" fontId="7" fillId="0" borderId="1" xfId="1" applyFont="1" applyBorder="1" applyAlignment="1" applyProtection="1">
      <alignment horizontal="right" vertical="center"/>
      <protection hidden="1"/>
    </xf>
    <xf numFmtId="0" fontId="7" fillId="0" borderId="3" xfId="1" applyFont="1" applyBorder="1" applyAlignment="1" applyProtection="1">
      <alignment horizontal="left" vertical="center"/>
      <protection hidden="1"/>
    </xf>
    <xf numFmtId="170" fontId="5" fillId="2" borderId="3" xfId="1" applyNumberFormat="1" applyFont="1" applyFill="1" applyBorder="1" applyAlignment="1" applyProtection="1">
      <alignment horizontal="center" vertical="center"/>
      <protection hidden="1"/>
    </xf>
    <xf numFmtId="170" fontId="10" fillId="2" borderId="12" xfId="1" applyNumberFormat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2" fontId="5" fillId="2" borderId="4" xfId="1" applyNumberFormat="1" applyFont="1" applyFill="1" applyBorder="1" applyAlignment="1" applyProtection="1">
      <alignment horizontal="center" vertical="center"/>
      <protection hidden="1"/>
    </xf>
    <xf numFmtId="172" fontId="5" fillId="2" borderId="3" xfId="1" applyNumberFormat="1" applyFont="1" applyFill="1" applyBorder="1" applyAlignment="1" applyProtection="1">
      <alignment horizontal="center" vertical="center"/>
      <protection hidden="1"/>
    </xf>
    <xf numFmtId="0" fontId="6" fillId="2" borderId="0" xfId="1" applyFont="1" applyFill="1" applyBorder="1" applyAlignment="1" applyProtection="1">
      <alignment horizontal="left" vertical="center"/>
      <protection hidden="1"/>
    </xf>
    <xf numFmtId="0" fontId="7" fillId="2" borderId="4" xfId="1" applyFont="1" applyFill="1" applyBorder="1" applyAlignment="1" applyProtection="1">
      <alignment horizontal="center" vertical="center"/>
      <protection hidden="1"/>
    </xf>
    <xf numFmtId="0" fontId="5" fillId="0" borderId="4" xfId="1" applyFont="1" applyBorder="1" applyAlignment="1" applyProtection="1">
      <alignment horizontal="center" vertical="center"/>
      <protection hidden="1"/>
    </xf>
    <xf numFmtId="0" fontId="10" fillId="2" borderId="0" xfId="1" applyFont="1" applyFill="1" applyBorder="1" applyAlignment="1" applyProtection="1">
      <alignment horizontal="center" vertical="center"/>
      <protection hidden="1"/>
    </xf>
    <xf numFmtId="0" fontId="7" fillId="0" borderId="4" xfId="1" applyFont="1" applyBorder="1" applyAlignment="1" applyProtection="1">
      <alignment horizontal="center" vertical="center"/>
      <protection hidden="1"/>
    </xf>
    <xf numFmtId="0" fontId="4" fillId="2" borderId="0" xfId="1" applyFont="1" applyFill="1" applyBorder="1" applyAlignment="1" applyProtection="1">
      <alignment horizontal="center" vertical="center"/>
      <protection hidden="1"/>
    </xf>
    <xf numFmtId="170" fontId="5" fillId="0" borderId="4" xfId="1" applyNumberFormat="1" applyFont="1" applyBorder="1" applyAlignment="1" applyProtection="1">
      <alignment horizontal="center" vertical="center"/>
      <protection hidden="1"/>
    </xf>
    <xf numFmtId="49" fontId="4" fillId="2" borderId="0" xfId="1" applyNumberFormat="1" applyFont="1" applyFill="1" applyAlignment="1" applyProtection="1">
      <alignment horizontal="center" vertical="center"/>
      <protection hidden="1"/>
    </xf>
    <xf numFmtId="0" fontId="5" fillId="0" borderId="0" xfId="1" applyFont="1" applyBorder="1" applyAlignment="1" applyProtection="1">
      <alignment horizontal="center" vertical="center"/>
      <protection hidden="1"/>
    </xf>
    <xf numFmtId="0" fontId="4" fillId="2" borderId="4" xfId="1" applyFont="1" applyFill="1" applyBorder="1" applyAlignment="1" applyProtection="1">
      <alignment horizontal="center" vertical="center"/>
      <protection hidden="1"/>
    </xf>
    <xf numFmtId="0" fontId="5" fillId="2" borderId="0" xfId="1" applyNumberFormat="1" applyFont="1" applyFill="1" applyBorder="1" applyAlignment="1" applyProtection="1">
      <alignment horizontal="center" vertical="center"/>
      <protection hidden="1"/>
    </xf>
    <xf numFmtId="49" fontId="2" fillId="2" borderId="0" xfId="1" applyNumberFormat="1" applyFont="1" applyFill="1" applyAlignment="1" applyProtection="1">
      <alignment horizontal="center" vertical="center"/>
      <protection hidden="1"/>
    </xf>
    <xf numFmtId="0" fontId="1" fillId="0" borderId="4" xfId="1" applyFont="1" applyBorder="1" applyAlignment="1" applyProtection="1">
      <alignment horizontal="center" vertical="center"/>
      <protection hidden="1"/>
    </xf>
    <xf numFmtId="0" fontId="12" fillId="2" borderId="0" xfId="1" applyFont="1" applyFill="1" applyBorder="1" applyAlignment="1" applyProtection="1">
      <alignment horizontal="center" vertical="center"/>
      <protection hidden="1"/>
    </xf>
    <xf numFmtId="0" fontId="1" fillId="0" borderId="0" xfId="1" applyFont="1" applyBorder="1" applyAlignment="1" applyProtection="1">
      <alignment vertical="center"/>
      <protection hidden="1"/>
    </xf>
    <xf numFmtId="0" fontId="1" fillId="0" borderId="0" xfId="1" applyFont="1" applyBorder="1" applyAlignment="1" applyProtection="1">
      <alignment horizontal="center" vertical="center"/>
      <protection hidden="1"/>
    </xf>
    <xf numFmtId="0" fontId="12" fillId="2" borderId="0" xfId="1" applyFont="1" applyFill="1" applyAlignment="1" applyProtection="1">
      <alignment horizontal="center" vertical="center"/>
      <protection hidden="1"/>
    </xf>
    <xf numFmtId="170" fontId="1" fillId="0" borderId="0" xfId="1" applyNumberFormat="1" applyFont="1" applyBorder="1" applyAlignment="1" applyProtection="1">
      <alignment horizontal="center" vertical="center"/>
      <protection hidden="1"/>
    </xf>
    <xf numFmtId="0" fontId="2" fillId="2" borderId="14" xfId="1" applyFont="1" applyFill="1" applyBorder="1" applyAlignment="1" applyProtection="1">
      <alignment horizontal="center" vertical="center"/>
      <protection hidden="1"/>
    </xf>
    <xf numFmtId="0" fontId="2" fillId="2" borderId="0" xfId="1" applyFont="1" applyFill="1" applyAlignment="1" applyProtection="1">
      <alignment horizontal="left" vertical="center"/>
      <protection hidden="1"/>
    </xf>
    <xf numFmtId="170" fontId="2" fillId="2" borderId="0" xfId="1" applyNumberFormat="1" applyFont="1" applyFill="1" applyAlignment="1" applyProtection="1">
      <alignment horizontal="center" vertical="center"/>
      <protection hidden="1"/>
    </xf>
    <xf numFmtId="176" fontId="5" fillId="3" borderId="4" xfId="0" applyNumberFormat="1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2" fontId="5" fillId="2" borderId="3" xfId="1" applyNumberFormat="1" applyFont="1" applyFill="1" applyBorder="1" applyAlignment="1" applyProtection="1">
      <alignment horizontal="center" vertical="center"/>
      <protection hidden="1"/>
    </xf>
    <xf numFmtId="0" fontId="1" fillId="3" borderId="4" xfId="1" applyFill="1" applyBorder="1" applyAlignment="1" applyProtection="1">
      <alignment horizontal="center" vertical="center"/>
      <protection locked="0"/>
    </xf>
    <xf numFmtId="0" fontId="25" fillId="0" borderId="19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 wrapText="1"/>
    </xf>
    <xf numFmtId="0" fontId="26" fillId="0" borderId="25" xfId="0" quotePrefix="1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 wrapText="1"/>
    </xf>
    <xf numFmtId="0" fontId="26" fillId="0" borderId="30" xfId="0" applyFont="1" applyBorder="1" applyAlignment="1">
      <alignment horizontal="center" vertical="center"/>
    </xf>
    <xf numFmtId="170" fontId="1" fillId="3" borderId="4" xfId="1" applyNumberFormat="1" applyFont="1" applyFill="1" applyBorder="1" applyAlignment="1" applyProtection="1">
      <alignment horizontal="left" vertical="center"/>
      <protection locked="0" hidden="1"/>
    </xf>
    <xf numFmtId="0" fontId="2" fillId="0" borderId="17" xfId="1" applyFont="1" applyFill="1" applyBorder="1" applyAlignment="1" applyProtection="1">
      <alignment horizontal="center" vertical="center"/>
      <protection hidden="1"/>
    </xf>
    <xf numFmtId="0" fontId="2" fillId="0" borderId="18" xfId="1" applyFont="1" applyFill="1" applyBorder="1" applyAlignment="1" applyProtection="1">
      <alignment horizontal="center" vertical="center"/>
      <protection hidden="1"/>
    </xf>
    <xf numFmtId="0" fontId="2" fillId="0" borderId="22" xfId="1" applyFont="1" applyFill="1" applyBorder="1" applyAlignment="1" applyProtection="1">
      <alignment horizontal="center" vertical="center"/>
      <protection hidden="1"/>
    </xf>
    <xf numFmtId="0" fontId="2" fillId="0" borderId="23" xfId="1" applyFont="1" applyFill="1" applyBorder="1" applyAlignment="1" applyProtection="1">
      <alignment horizontal="center" vertical="center"/>
      <protection hidden="1"/>
    </xf>
    <xf numFmtId="0" fontId="2" fillId="0" borderId="26" xfId="1" applyFont="1" applyFill="1" applyBorder="1" applyAlignment="1" applyProtection="1">
      <alignment horizontal="center" vertical="center"/>
      <protection hidden="1"/>
    </xf>
    <xf numFmtId="0" fontId="2" fillId="0" borderId="27" xfId="1" applyFont="1" applyFill="1" applyBorder="1" applyAlignment="1" applyProtection="1">
      <alignment horizontal="center" vertical="center"/>
      <protection hidden="1"/>
    </xf>
    <xf numFmtId="0" fontId="24" fillId="4" borderId="19" xfId="1" applyFont="1" applyFill="1" applyBorder="1" applyAlignment="1" applyProtection="1">
      <alignment horizontal="center" vertical="center"/>
      <protection hidden="1"/>
    </xf>
    <xf numFmtId="0" fontId="24" fillId="4" borderId="20" xfId="1" applyFont="1" applyFill="1" applyBorder="1" applyAlignment="1" applyProtection="1">
      <alignment horizontal="center" vertical="center"/>
      <protection hidden="1"/>
    </xf>
    <xf numFmtId="0" fontId="24" fillId="4" borderId="21" xfId="1" applyFont="1" applyFill="1" applyBorder="1" applyAlignment="1" applyProtection="1">
      <alignment horizontal="center" vertical="center"/>
      <protection hidden="1"/>
    </xf>
    <xf numFmtId="0" fontId="24" fillId="4" borderId="24" xfId="1" applyFont="1" applyFill="1" applyBorder="1" applyAlignment="1" applyProtection="1">
      <alignment horizontal="center" vertical="center"/>
      <protection hidden="1"/>
    </xf>
    <xf numFmtId="0" fontId="24" fillId="4" borderId="4" xfId="1" applyFont="1" applyFill="1" applyBorder="1" applyAlignment="1" applyProtection="1">
      <alignment horizontal="center" vertical="center"/>
      <protection hidden="1"/>
    </xf>
    <xf numFmtId="0" fontId="24" fillId="4" borderId="25" xfId="1" applyFont="1" applyFill="1" applyBorder="1" applyAlignment="1" applyProtection="1">
      <alignment horizontal="center" vertical="center"/>
      <protection hidden="1"/>
    </xf>
    <xf numFmtId="0" fontId="3" fillId="0" borderId="28" xfId="1" applyFont="1" applyFill="1" applyBorder="1" applyAlignment="1" applyProtection="1">
      <alignment horizontal="center" vertical="center"/>
      <protection hidden="1"/>
    </xf>
    <xf numFmtId="0" fontId="3" fillId="0" borderId="29" xfId="1" applyFont="1" applyFill="1" applyBorder="1" applyAlignment="1" applyProtection="1">
      <alignment horizontal="center" vertical="center"/>
      <protection hidden="1"/>
    </xf>
    <xf numFmtId="0" fontId="3" fillId="0" borderId="30" xfId="1" applyFon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5" fillId="2" borderId="5" xfId="1" applyFont="1" applyFill="1" applyBorder="1" applyAlignment="1" applyProtection="1">
      <alignment horizontal="left" vertical="center"/>
      <protection hidden="1"/>
    </xf>
    <xf numFmtId="0" fontId="5" fillId="0" borderId="6" xfId="1" applyFont="1" applyBorder="1" applyAlignment="1" applyProtection="1">
      <alignment vertical="center"/>
      <protection hidden="1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left" vertical="center"/>
      <protection hidden="1"/>
    </xf>
    <xf numFmtId="0" fontId="5" fillId="0" borderId="7" xfId="0" applyFont="1" applyBorder="1" applyAlignment="1" applyProtection="1">
      <alignment vertical="center"/>
      <protection hidden="1"/>
    </xf>
    <xf numFmtId="0" fontId="5" fillId="2" borderId="7" xfId="0" applyFont="1" applyFill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alignment vertical="center"/>
      <protection hidden="1"/>
    </xf>
    <xf numFmtId="0" fontId="5" fillId="2" borderId="8" xfId="1" applyFont="1" applyFill="1" applyBorder="1" applyAlignment="1" applyProtection="1">
      <alignment horizontal="center" vertical="center"/>
      <protection hidden="1"/>
    </xf>
    <xf numFmtId="0" fontId="5" fillId="2" borderId="12" xfId="1" applyFont="1" applyFill="1" applyBorder="1" applyAlignment="1" applyProtection="1">
      <alignment horizontal="center" vertical="center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locked="0"/>
    </xf>
    <xf numFmtId="0" fontId="6" fillId="2" borderId="10" xfId="1" applyFont="1" applyFill="1" applyBorder="1" applyAlignment="1" applyProtection="1">
      <alignment horizontal="center" vertical="center" wrapText="1"/>
      <protection locked="0"/>
    </xf>
    <xf numFmtId="0" fontId="6" fillId="2" borderId="11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6" fillId="2" borderId="7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left" vertical="center"/>
      <protection hidden="1"/>
    </xf>
    <xf numFmtId="0" fontId="5" fillId="0" borderId="3" xfId="1" applyFont="1" applyBorder="1" applyAlignment="1" applyProtection="1">
      <alignment vertical="center"/>
      <protection hidden="1"/>
    </xf>
    <xf numFmtId="0" fontId="5" fillId="0" borderId="2" xfId="0" applyFont="1" applyBorder="1" applyAlignment="1" applyProtection="1">
      <alignment vertical="center"/>
      <protection hidden="1"/>
    </xf>
    <xf numFmtId="0" fontId="5" fillId="2" borderId="2" xfId="0" applyFont="1" applyFill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vertical="center"/>
      <protection hidden="1"/>
    </xf>
    <xf numFmtId="0" fontId="7" fillId="0" borderId="1" xfId="1" applyFont="1" applyBorder="1" applyAlignment="1" applyProtection="1">
      <alignment horizontal="center" vertical="center" shrinkToFit="1"/>
      <protection hidden="1"/>
    </xf>
    <xf numFmtId="0" fontId="7" fillId="0" borderId="2" xfId="1" applyFont="1" applyBorder="1" applyAlignment="1" applyProtection="1">
      <alignment horizontal="center" vertical="center" shrinkToFit="1"/>
      <protection hidden="1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  <xf numFmtId="0" fontId="1" fillId="2" borderId="4" xfId="1" applyFill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left" vertical="center"/>
      <protection hidden="1"/>
    </xf>
    <xf numFmtId="0" fontId="6" fillId="2" borderId="2" xfId="1" applyFont="1" applyFill="1" applyBorder="1" applyAlignment="1" applyProtection="1">
      <alignment horizontal="left" vertical="center"/>
      <protection hidden="1"/>
    </xf>
    <xf numFmtId="0" fontId="6" fillId="2" borderId="3" xfId="1" applyFont="1" applyFill="1" applyBorder="1" applyAlignment="1" applyProtection="1">
      <alignment horizontal="left" vertical="center"/>
      <protection hidden="1"/>
    </xf>
    <xf numFmtId="0" fontId="5" fillId="0" borderId="1" xfId="1" applyFont="1" applyBorder="1" applyAlignment="1" applyProtection="1">
      <alignment horizontal="center" vertical="center"/>
      <protection hidden="1"/>
    </xf>
    <xf numFmtId="0" fontId="5" fillId="0" borderId="2" xfId="1" applyFont="1" applyBorder="1" applyAlignment="1" applyProtection="1">
      <alignment horizontal="center" vertical="center"/>
      <protection hidden="1"/>
    </xf>
    <xf numFmtId="0" fontId="5" fillId="0" borderId="3" xfId="1" applyFont="1" applyBorder="1" applyAlignment="1" applyProtection="1">
      <alignment horizontal="center" vertical="center"/>
      <protection hidden="1"/>
    </xf>
    <xf numFmtId="0" fontId="7" fillId="2" borderId="13" xfId="1" applyFont="1" applyFill="1" applyBorder="1" applyAlignment="1" applyProtection="1">
      <alignment horizontal="center" vertical="center"/>
      <protection hidden="1"/>
    </xf>
    <xf numFmtId="0" fontId="1" fillId="0" borderId="8" xfId="1" applyBorder="1" applyProtection="1">
      <protection hidden="1"/>
    </xf>
    <xf numFmtId="0" fontId="1" fillId="0" borderId="12" xfId="1" applyBorder="1" applyProtection="1">
      <protection hidden="1"/>
    </xf>
    <xf numFmtId="2" fontId="7" fillId="3" borderId="9" xfId="1" applyNumberFormat="1" applyFont="1" applyFill="1" applyBorder="1" applyAlignment="1" applyProtection="1">
      <alignment horizontal="center" vertical="center"/>
      <protection locked="0"/>
    </xf>
    <xf numFmtId="2" fontId="7" fillId="3" borderId="11" xfId="1" applyNumberFormat="1" applyFont="1" applyFill="1" applyBorder="1" applyAlignment="1" applyProtection="1">
      <alignment horizontal="center" vertical="center"/>
      <protection locked="0"/>
    </xf>
    <xf numFmtId="2" fontId="7" fillId="3" borderId="14" xfId="1" applyNumberFormat="1" applyFont="1" applyFill="1" applyBorder="1" applyAlignment="1" applyProtection="1">
      <alignment horizontal="center" vertical="center"/>
      <protection locked="0"/>
    </xf>
    <xf numFmtId="2" fontId="7" fillId="3" borderId="15" xfId="1" applyNumberFormat="1" applyFont="1" applyFill="1" applyBorder="1" applyAlignment="1" applyProtection="1">
      <alignment horizontal="center" vertical="center"/>
      <protection locked="0"/>
    </xf>
    <xf numFmtId="2" fontId="7" fillId="3" borderId="5" xfId="1" applyNumberFormat="1" applyFont="1" applyFill="1" applyBorder="1" applyAlignment="1" applyProtection="1">
      <alignment horizontal="center" vertical="center"/>
      <protection locked="0"/>
    </xf>
    <xf numFmtId="2" fontId="7" fillId="3" borderId="6" xfId="1" applyNumberFormat="1" applyFont="1" applyFill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hidden="1"/>
    </xf>
    <xf numFmtId="0" fontId="1" fillId="0" borderId="12" xfId="1" applyBorder="1" applyAlignment="1" applyProtection="1">
      <alignment horizontal="center" vertical="center"/>
      <protection hidden="1"/>
    </xf>
    <xf numFmtId="0" fontId="5" fillId="0" borderId="2" xfId="1" applyFont="1" applyBorder="1" applyAlignment="1" applyProtection="1">
      <alignment horizontal="left" vertical="center"/>
      <protection hidden="1"/>
    </xf>
    <xf numFmtId="0" fontId="1" fillId="0" borderId="3" xfId="1" applyBorder="1" applyAlignment="1" applyProtection="1">
      <alignment horizontal="left" vertical="center"/>
      <protection hidden="1"/>
    </xf>
    <xf numFmtId="0" fontId="6" fillId="2" borderId="4" xfId="1" applyFont="1" applyFill="1" applyBorder="1" applyAlignment="1" applyProtection="1">
      <alignment horizontal="left" vertical="center"/>
      <protection hidden="1"/>
    </xf>
    <xf numFmtId="0" fontId="5" fillId="0" borderId="4" xfId="1" applyFont="1" applyBorder="1" applyAlignment="1" applyProtection="1">
      <alignment vertical="center"/>
      <protection hidden="1"/>
    </xf>
    <xf numFmtId="0" fontId="1" fillId="0" borderId="4" xfId="1" applyBorder="1" applyAlignment="1" applyProtection="1">
      <alignment vertical="center"/>
      <protection hidden="1"/>
    </xf>
    <xf numFmtId="0" fontId="7" fillId="0" borderId="9" xfId="1" applyFont="1" applyBorder="1" applyAlignment="1" applyProtection="1">
      <alignment horizontal="center" vertical="center" shrinkToFit="1"/>
      <protection hidden="1"/>
    </xf>
    <xf numFmtId="0" fontId="7" fillId="0" borderId="10" xfId="1" applyFont="1" applyBorder="1" applyAlignment="1" applyProtection="1">
      <alignment horizontal="center" vertical="center" shrinkToFit="1"/>
      <protection hidden="1"/>
    </xf>
    <xf numFmtId="0" fontId="7" fillId="0" borderId="11" xfId="1" applyFont="1" applyBorder="1" applyAlignment="1" applyProtection="1">
      <alignment horizontal="center" vertical="center" shrinkToFit="1"/>
      <protection hidden="1"/>
    </xf>
    <xf numFmtId="0" fontId="7" fillId="0" borderId="5" xfId="1" applyFont="1" applyBorder="1" applyAlignment="1" applyProtection="1">
      <alignment horizontal="center" vertical="center" shrinkToFit="1"/>
      <protection hidden="1"/>
    </xf>
    <xf numFmtId="0" fontId="7" fillId="0" borderId="7" xfId="1" applyFont="1" applyBorder="1" applyAlignment="1" applyProtection="1">
      <alignment horizontal="center" vertical="center" shrinkToFit="1"/>
      <protection hidden="1"/>
    </xf>
    <xf numFmtId="0" fontId="7" fillId="0" borderId="6" xfId="1" applyFont="1" applyBorder="1" applyAlignment="1" applyProtection="1">
      <alignment horizontal="center" vertical="center" shrinkToFit="1"/>
      <protection hidden="1"/>
    </xf>
    <xf numFmtId="0" fontId="7" fillId="0" borderId="9" xfId="1" applyFont="1" applyBorder="1" applyAlignment="1" applyProtection="1">
      <alignment horizontal="right" vertical="center"/>
      <protection hidden="1"/>
    </xf>
    <xf numFmtId="0" fontId="7" fillId="0" borderId="14" xfId="1" applyFont="1" applyBorder="1" applyAlignment="1" applyProtection="1">
      <alignment horizontal="right" vertical="center"/>
      <protection hidden="1"/>
    </xf>
    <xf numFmtId="0" fontId="7" fillId="0" borderId="11" xfId="1" applyFont="1" applyBorder="1" applyAlignment="1" applyProtection="1">
      <alignment horizontal="left" vertical="center"/>
      <protection hidden="1"/>
    </xf>
    <xf numFmtId="0" fontId="7" fillId="0" borderId="15" xfId="1" applyFont="1" applyBorder="1" applyAlignment="1" applyProtection="1">
      <alignment horizontal="left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5" fillId="2" borderId="3" xfId="0" applyFont="1" applyFill="1" applyBorder="1" applyAlignment="1" applyProtection="1">
      <alignment horizontal="center" vertical="center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5" fillId="2" borderId="2" xfId="1" applyFont="1" applyFill="1" applyBorder="1" applyAlignment="1" applyProtection="1">
      <alignment horizontal="left" vertical="center"/>
      <protection hidden="1"/>
    </xf>
    <xf numFmtId="170" fontId="5" fillId="2" borderId="2" xfId="1" applyNumberFormat="1" applyFont="1" applyFill="1" applyBorder="1" applyAlignment="1" applyProtection="1">
      <alignment horizontal="center" vertical="center"/>
      <protection hidden="1"/>
    </xf>
    <xf numFmtId="170" fontId="5" fillId="2" borderId="3" xfId="1" applyNumberFormat="1" applyFont="1" applyFill="1" applyBorder="1" applyAlignment="1" applyProtection="1">
      <alignment horizontal="center" vertical="center"/>
      <protection hidden="1"/>
    </xf>
    <xf numFmtId="170" fontId="10" fillId="2" borderId="4" xfId="1" applyNumberFormat="1" applyFont="1" applyFill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72" fontId="5" fillId="2" borderId="2" xfId="1" applyNumberFormat="1" applyFont="1" applyFill="1" applyBorder="1" applyAlignment="1" applyProtection="1">
      <alignment horizontal="center" vertical="center"/>
      <protection hidden="1"/>
    </xf>
    <xf numFmtId="172" fontId="5" fillId="2" borderId="3" xfId="1" applyNumberFormat="1" applyFont="1" applyFill="1" applyBorder="1" applyAlignment="1" applyProtection="1">
      <alignment horizontal="center" vertical="center"/>
      <protection hidden="1"/>
    </xf>
    <xf numFmtId="170" fontId="5" fillId="2" borderId="1" xfId="1" applyNumberFormat="1" applyFont="1" applyFill="1" applyBorder="1" applyAlignment="1" applyProtection="1">
      <alignment horizontal="center" vertical="center"/>
      <protection hidden="1"/>
    </xf>
    <xf numFmtId="0" fontId="1" fillId="0" borderId="3" xfId="1" applyFont="1" applyBorder="1" applyAlignment="1" applyProtection="1">
      <alignment horizontal="left" vertical="center"/>
      <protection hidden="1"/>
    </xf>
    <xf numFmtId="0" fontId="5" fillId="2" borderId="1" xfId="1" applyNumberFormat="1" applyFont="1" applyFill="1" applyBorder="1" applyAlignment="1" applyProtection="1">
      <alignment horizontal="center" vertical="center"/>
      <protection hidden="1"/>
    </xf>
    <xf numFmtId="0" fontId="1" fillId="0" borderId="3" xfId="1" applyFont="1" applyBorder="1" applyAlignment="1" applyProtection="1">
      <alignment horizontal="center" vertical="center"/>
      <protection hidden="1"/>
    </xf>
    <xf numFmtId="0" fontId="5" fillId="0" borderId="1" xfId="1" applyFont="1" applyBorder="1" applyAlignment="1" applyProtection="1">
      <alignment horizontal="left" vertical="center"/>
      <protection hidden="1"/>
    </xf>
    <xf numFmtId="171" fontId="5" fillId="2" borderId="1" xfId="1" applyNumberFormat="1" applyFont="1" applyFill="1" applyBorder="1" applyAlignment="1" applyProtection="1">
      <alignment horizontal="center" vertical="center"/>
      <protection hidden="1"/>
    </xf>
    <xf numFmtId="49" fontId="5" fillId="2" borderId="1" xfId="1" applyNumberFormat="1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14" fillId="2" borderId="4" xfId="1" applyFont="1" applyFill="1" applyBorder="1" applyAlignment="1" applyProtection="1">
      <alignment horizontal="center" vertical="center"/>
      <protection hidden="1"/>
    </xf>
    <xf numFmtId="0" fontId="15" fillId="2" borderId="9" xfId="1" applyFont="1" applyFill="1" applyBorder="1" applyAlignment="1" applyProtection="1">
      <alignment horizontal="center" vertical="center"/>
      <protection hidden="1"/>
    </xf>
    <xf numFmtId="0" fontId="15" fillId="2" borderId="10" xfId="1" applyFont="1" applyFill="1" applyBorder="1" applyAlignment="1" applyProtection="1">
      <alignment horizontal="center" vertical="center"/>
      <protection hidden="1"/>
    </xf>
    <xf numFmtId="0" fontId="15" fillId="2" borderId="11" xfId="1" applyFont="1" applyFill="1" applyBorder="1" applyAlignment="1" applyProtection="1">
      <alignment horizontal="center" vertical="center"/>
      <protection hidden="1"/>
    </xf>
    <xf numFmtId="0" fontId="15" fillId="2" borderId="14" xfId="1" applyFont="1" applyFill="1" applyBorder="1" applyAlignment="1" applyProtection="1">
      <alignment horizontal="center" vertical="center"/>
      <protection hidden="1"/>
    </xf>
    <xf numFmtId="0" fontId="15" fillId="2" borderId="0" xfId="1" applyFont="1" applyFill="1" applyBorder="1" applyAlignment="1" applyProtection="1">
      <alignment horizontal="center" vertical="center"/>
      <protection hidden="1"/>
    </xf>
    <xf numFmtId="0" fontId="15" fillId="2" borderId="15" xfId="1" applyFont="1" applyFill="1" applyBorder="1" applyAlignment="1" applyProtection="1">
      <alignment horizontal="center" vertical="center"/>
      <protection hidden="1"/>
    </xf>
    <xf numFmtId="0" fontId="15" fillId="2" borderId="5" xfId="1" applyFont="1" applyFill="1" applyBorder="1" applyAlignment="1" applyProtection="1">
      <alignment horizontal="center" vertical="center"/>
      <protection hidden="1"/>
    </xf>
    <xf numFmtId="0" fontId="15" fillId="2" borderId="7" xfId="1" applyFont="1" applyFill="1" applyBorder="1" applyAlignment="1" applyProtection="1">
      <alignment horizontal="center" vertical="center"/>
      <protection hidden="1"/>
    </xf>
    <xf numFmtId="0" fontId="15" fillId="2" borderId="6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173" fontId="7" fillId="2" borderId="1" xfId="1" applyNumberFormat="1" applyFont="1" applyFill="1" applyBorder="1" applyAlignment="1" applyProtection="1">
      <alignment horizontal="center" vertical="center"/>
      <protection hidden="1"/>
    </xf>
    <xf numFmtId="173" fontId="7" fillId="2" borderId="3" xfId="1" applyNumberFormat="1" applyFont="1" applyFill="1" applyBorder="1" applyAlignment="1" applyProtection="1">
      <alignment horizontal="center" vertical="center"/>
      <protection hidden="1"/>
    </xf>
    <xf numFmtId="171" fontId="7" fillId="2" borderId="1" xfId="1" applyNumberFormat="1" applyFont="1" applyFill="1" applyBorder="1" applyAlignment="1" applyProtection="1">
      <alignment horizontal="center" vertical="center"/>
      <protection hidden="1"/>
    </xf>
    <xf numFmtId="0" fontId="7" fillId="2" borderId="1" xfId="1" applyFont="1" applyFill="1" applyBorder="1" applyAlignment="1" applyProtection="1">
      <alignment horizontal="center" vertical="center"/>
      <protection hidden="1"/>
    </xf>
    <xf numFmtId="0" fontId="7" fillId="2" borderId="3" xfId="1" applyFont="1" applyFill="1" applyBorder="1" applyAlignment="1" applyProtection="1">
      <alignment horizontal="center" vertical="center"/>
      <protection hidden="1"/>
    </xf>
    <xf numFmtId="0" fontId="27" fillId="3" borderId="1" xfId="1" applyFont="1" applyFill="1" applyBorder="1" applyAlignment="1" applyProtection="1">
      <alignment horizontal="left" vertical="center"/>
    </xf>
    <xf numFmtId="0" fontId="27" fillId="3" borderId="3" xfId="1" applyFont="1" applyFill="1" applyBorder="1" applyAlignment="1" applyProtection="1">
      <alignment horizontal="left" vertical="center"/>
    </xf>
    <xf numFmtId="15" fontId="18" fillId="3" borderId="1" xfId="1" applyNumberFormat="1" applyFont="1" applyFill="1" applyBorder="1" applyAlignment="1" applyProtection="1">
      <alignment horizontal="center" vertical="center"/>
    </xf>
    <xf numFmtId="15" fontId="18" fillId="3" borderId="3" xfId="1" applyNumberFormat="1" applyFont="1" applyFill="1" applyBorder="1" applyAlignment="1" applyProtection="1">
      <alignment horizontal="center" vertical="center"/>
    </xf>
    <xf numFmtId="0" fontId="5" fillId="3" borderId="1" xfId="1" applyFont="1" applyFill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3" xfId="1" applyFont="1" applyBorder="1" applyAlignment="1" applyProtection="1">
      <alignment horizontal="center" vertical="center"/>
      <protection locked="0"/>
    </xf>
    <xf numFmtId="0" fontId="5" fillId="0" borderId="3" xfId="1" applyFont="1" applyBorder="1" applyAlignment="1" applyProtection="1">
      <alignment horizontal="left" vertical="center"/>
      <protection hidden="1"/>
    </xf>
    <xf numFmtId="0" fontId="5" fillId="3" borderId="5" xfId="1" applyFont="1" applyFill="1" applyBorder="1" applyAlignment="1" applyProtection="1">
      <alignment horizontal="center" vertical="center"/>
      <protection locked="0"/>
    </xf>
    <xf numFmtId="0" fontId="5" fillId="0" borderId="7" xfId="1" applyFont="1" applyBorder="1" applyAlignment="1" applyProtection="1">
      <alignment horizontal="center" vertical="center"/>
      <protection locked="0"/>
    </xf>
    <xf numFmtId="0" fontId="5" fillId="0" borderId="6" xfId="1" applyFont="1" applyBorder="1" applyAlignment="1" applyProtection="1">
      <alignment horizontal="center" vertical="center"/>
      <protection locked="0"/>
    </xf>
    <xf numFmtId="0" fontId="5" fillId="0" borderId="7" xfId="1" applyFont="1" applyBorder="1" applyAlignment="1" applyProtection="1">
      <alignment vertical="center"/>
      <protection hidden="1"/>
    </xf>
    <xf numFmtId="0" fontId="5" fillId="2" borderId="7" xfId="1" applyFont="1" applyFill="1" applyBorder="1" applyAlignment="1" applyProtection="1">
      <alignment horizontal="left" vertical="center"/>
      <protection hidden="1"/>
    </xf>
    <xf numFmtId="0" fontId="5" fillId="0" borderId="2" xfId="1" applyFont="1" applyBorder="1" applyAlignment="1" applyProtection="1">
      <alignment vertical="center"/>
      <protection hidden="1"/>
    </xf>
    <xf numFmtId="1" fontId="7" fillId="3" borderId="9" xfId="1" applyNumberFormat="1" applyFont="1" applyFill="1" applyBorder="1" applyAlignment="1" applyProtection="1">
      <alignment horizontal="center" vertical="center"/>
      <protection locked="0"/>
    </xf>
    <xf numFmtId="1" fontId="7" fillId="0" borderId="11" xfId="1" applyNumberFormat="1" applyFont="1" applyBorder="1" applyAlignment="1" applyProtection="1">
      <alignment horizontal="center" vertical="center"/>
      <protection locked="0"/>
    </xf>
    <xf numFmtId="1" fontId="7" fillId="0" borderId="14" xfId="1" applyNumberFormat="1" applyFont="1" applyBorder="1" applyAlignment="1" applyProtection="1">
      <alignment horizontal="center" vertical="center"/>
      <protection locked="0"/>
    </xf>
    <xf numFmtId="1" fontId="7" fillId="0" borderId="15" xfId="1" applyNumberFormat="1" applyFont="1" applyBorder="1" applyAlignment="1" applyProtection="1">
      <alignment horizontal="center" vertical="center"/>
      <protection locked="0"/>
    </xf>
    <xf numFmtId="1" fontId="7" fillId="0" borderId="5" xfId="1" applyNumberFormat="1" applyFont="1" applyBorder="1" applyAlignment="1" applyProtection="1">
      <alignment horizontal="center" vertical="center"/>
      <protection locked="0"/>
    </xf>
    <xf numFmtId="1" fontId="7" fillId="0" borderId="6" xfId="1" applyNumberFormat="1" applyFont="1" applyBorder="1" applyAlignment="1" applyProtection="1">
      <alignment horizontal="center" vertical="center"/>
      <protection locked="0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7" fillId="2" borderId="2" xfId="1" applyFont="1" applyFill="1" applyBorder="1" applyAlignment="1" applyProtection="1">
      <alignment horizontal="center" vertical="center"/>
      <protection hidden="1"/>
    </xf>
    <xf numFmtId="0" fontId="7" fillId="2" borderId="4" xfId="1" applyFont="1" applyFill="1" applyBorder="1" applyAlignment="1" applyProtection="1">
      <alignment horizontal="center" vertical="center"/>
      <protection hidden="1"/>
    </xf>
    <xf numFmtId="171" fontId="7" fillId="2" borderId="4" xfId="1" applyNumberFormat="1" applyFont="1" applyFill="1" applyBorder="1" applyAlignment="1" applyProtection="1">
      <alignment horizontal="center" vertical="center"/>
      <protection hidden="1"/>
    </xf>
    <xf numFmtId="0" fontId="1" fillId="0" borderId="4" xfId="1" applyFont="1" applyBorder="1" applyAlignment="1" applyProtection="1">
      <alignment horizontal="center" vertical="center"/>
      <protection hidden="1"/>
    </xf>
  </cellXfs>
  <cellStyles count="26">
    <cellStyle name="=C:\WINNT\SYSTEM32\COMMAND.COM" xfId="2"/>
    <cellStyle name="ÊÝ [0.00]_¸@pR" xfId="3"/>
    <cellStyle name="ÊÝ_¸@pR" xfId="4"/>
    <cellStyle name="W_¸@pR" xfId="5"/>
    <cellStyle name="category" xfId="6"/>
    <cellStyle name="Currency $" xfId="7"/>
    <cellStyle name="Grey" xfId="8"/>
    <cellStyle name="HEADER" xfId="9"/>
    <cellStyle name="Input [yellow]" xfId="10"/>
    <cellStyle name="Milliers [0]_AR1194" xfId="11"/>
    <cellStyle name="Milliers_AR1194" xfId="12"/>
    <cellStyle name="Model" xfId="13"/>
    <cellStyle name="Monétaire [0]_AR1194" xfId="14"/>
    <cellStyle name="Monétaire_AR1194" xfId="15"/>
    <cellStyle name="Mon騁aire [0]_AR1194" xfId="16"/>
    <cellStyle name="Mon騁aire_AR1194" xfId="17"/>
    <cellStyle name="Normal" xfId="0" builtinId="0"/>
    <cellStyle name="Normal - Style1" xfId="18"/>
    <cellStyle name="Normal 2" xfId="1"/>
    <cellStyle name="Percent [2]" xfId="19"/>
    <cellStyle name="subhead" xfId="20"/>
    <cellStyle name="桁区切り [0.00]_2.6 - PFMEA" xfId="21"/>
    <cellStyle name="桁区切り_2.6 - PFMEA" xfId="22"/>
    <cellStyle name="標準_2.6 - PFMEA" xfId="23"/>
    <cellStyle name="通貨 [0.00]_2.6 - PFMEA" xfId="24"/>
    <cellStyle name="通貨_2.6 - PFMEA" xf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431670281996119"/>
          <c:y val="3.409090909090908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075921908893913E-2"/>
          <c:y val="7.6704651856373762E-2"/>
          <c:w val="0.90889370932754876"/>
          <c:h val="0.77556925765889273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'Element Resistance'!$Q$20</c:f>
              <c:strCache>
                <c:ptCount val="1"/>
                <c:pt idx="0">
                  <c:v>FREQ.</c:v>
                </c:pt>
              </c:strCache>
            </c:strRef>
          </c:tx>
          <c:spPr>
            <a:pattFill prst="pct5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'Element Resistance'!$O$21:$P$31</c:f>
              <c:multiLvlStrCache>
                <c:ptCount val="11"/>
                <c:lvl>
                  <c:pt idx="0">
                    <c:v>24.96</c:v>
                  </c:pt>
                  <c:pt idx="1">
                    <c:v>25.34</c:v>
                  </c:pt>
                  <c:pt idx="2">
                    <c:v>25.72</c:v>
                  </c:pt>
                  <c:pt idx="3">
                    <c:v>26.10</c:v>
                  </c:pt>
                  <c:pt idx="4">
                    <c:v>26.48</c:v>
                  </c:pt>
                  <c:pt idx="5">
                    <c:v>26.86</c:v>
                  </c:pt>
                  <c:pt idx="6">
                    <c:v>27.24</c:v>
                  </c:pt>
                  <c:pt idx="7">
                    <c:v>27.62</c:v>
                  </c:pt>
                  <c:pt idx="8">
                    <c:v>28.00</c:v>
                  </c:pt>
                  <c:pt idx="9">
                    <c:v>28.38</c:v>
                  </c:pt>
                  <c:pt idx="10">
                    <c:v>28.76</c:v>
                  </c:pt>
                </c:lvl>
                <c:lvl>
                  <c:pt idx="0">
                    <c:v>24.58</c:v>
                  </c:pt>
                  <c:pt idx="1">
                    <c:v>24.96</c:v>
                  </c:pt>
                  <c:pt idx="2">
                    <c:v>25.34</c:v>
                  </c:pt>
                  <c:pt idx="3">
                    <c:v>25.72</c:v>
                  </c:pt>
                  <c:pt idx="4">
                    <c:v>26.10</c:v>
                  </c:pt>
                  <c:pt idx="5">
                    <c:v>26.48</c:v>
                  </c:pt>
                  <c:pt idx="6">
                    <c:v>26.86</c:v>
                  </c:pt>
                  <c:pt idx="7">
                    <c:v>27.24</c:v>
                  </c:pt>
                  <c:pt idx="8">
                    <c:v>27.62</c:v>
                  </c:pt>
                  <c:pt idx="9">
                    <c:v>28.00</c:v>
                  </c:pt>
                  <c:pt idx="10">
                    <c:v>28.38</c:v>
                  </c:pt>
                </c:lvl>
              </c:multiLvlStrCache>
            </c:multiLvlStrRef>
          </c:cat>
          <c:val>
            <c:numRef>
              <c:f>'Element Resistance'!$Q$21:$Q$31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0</c:v>
                </c:pt>
                <c:pt idx="7">
                  <c:v>14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cylinder"/>
        <c:axId val="180884224"/>
        <c:axId val="180886144"/>
        <c:axId val="0"/>
      </c:bar3DChart>
      <c:catAx>
        <c:axId val="18088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2950108459869846"/>
              <c:y val="0.94318301121450765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25" b="0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0886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8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QTY</a:t>
                </a:r>
              </a:p>
            </c:rich>
          </c:tx>
          <c:layout>
            <c:manualLayout>
              <c:xMode val="edge"/>
              <c:yMode val="edge"/>
              <c:x val="1.084598698481562E-2"/>
              <c:y val="0.83901574803149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180884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180" verticalDpi="18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431670281996119"/>
          <c:y val="3.409090909090908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075921908893913E-2"/>
          <c:y val="7.6704651856373762E-2"/>
          <c:w val="0.90889370932754876"/>
          <c:h val="0.77556925765889273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'Wattage L2'!$Q$20</c:f>
              <c:strCache>
                <c:ptCount val="1"/>
                <c:pt idx="0">
                  <c:v>FREQ.</c:v>
                </c:pt>
              </c:strCache>
            </c:strRef>
          </c:tx>
          <c:spPr>
            <a:pattFill prst="pct5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'Wattage L2'!$O$21:$P$31</c:f>
              <c:multiLvlStrCache>
                <c:ptCount val="11"/>
                <c:lvl>
                  <c:pt idx="0">
                    <c:v>1804.90</c:v>
                  </c:pt>
                  <c:pt idx="1">
                    <c:v>1829.90</c:v>
                  </c:pt>
                  <c:pt idx="2">
                    <c:v>1854.90</c:v>
                  </c:pt>
                  <c:pt idx="3">
                    <c:v>1879.90</c:v>
                  </c:pt>
                  <c:pt idx="4">
                    <c:v>1904.90</c:v>
                  </c:pt>
                  <c:pt idx="5">
                    <c:v>1929.90</c:v>
                  </c:pt>
                  <c:pt idx="6">
                    <c:v>1954.90</c:v>
                  </c:pt>
                  <c:pt idx="7">
                    <c:v>1979.90</c:v>
                  </c:pt>
                  <c:pt idx="8">
                    <c:v>2004.90</c:v>
                  </c:pt>
                  <c:pt idx="9">
                    <c:v>2029.90</c:v>
                  </c:pt>
                  <c:pt idx="10">
                    <c:v>2054.90</c:v>
                  </c:pt>
                </c:lvl>
                <c:lvl>
                  <c:pt idx="0">
                    <c:v>1779.90</c:v>
                  </c:pt>
                  <c:pt idx="1">
                    <c:v>1804.90</c:v>
                  </c:pt>
                  <c:pt idx="2">
                    <c:v>1829.90</c:v>
                  </c:pt>
                  <c:pt idx="3">
                    <c:v>1854.90</c:v>
                  </c:pt>
                  <c:pt idx="4">
                    <c:v>1879.90</c:v>
                  </c:pt>
                  <c:pt idx="5">
                    <c:v>1904.90</c:v>
                  </c:pt>
                  <c:pt idx="6">
                    <c:v>1929.90</c:v>
                  </c:pt>
                  <c:pt idx="7">
                    <c:v>1954.90</c:v>
                  </c:pt>
                  <c:pt idx="8">
                    <c:v>1979.90</c:v>
                  </c:pt>
                  <c:pt idx="9">
                    <c:v>2004.90</c:v>
                  </c:pt>
                  <c:pt idx="10">
                    <c:v>2029.90</c:v>
                  </c:pt>
                </c:lvl>
              </c:multiLvlStrCache>
            </c:multiLvlStrRef>
          </c:cat>
          <c:val>
            <c:numRef>
              <c:f>'Wattage L2'!$Q$21:$Q$31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13</c:v>
                </c:pt>
                <c:pt idx="6">
                  <c:v>0</c:v>
                </c:pt>
                <c:pt idx="7">
                  <c:v>12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cylinder"/>
        <c:axId val="201074560"/>
        <c:axId val="201076736"/>
        <c:axId val="0"/>
      </c:bar3DChart>
      <c:catAx>
        <c:axId val="20107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2950108459869846"/>
              <c:y val="0.94318301121450765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25" b="0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1076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07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QTY</a:t>
                </a:r>
              </a:p>
            </c:rich>
          </c:tx>
          <c:layout>
            <c:manualLayout>
              <c:xMode val="edge"/>
              <c:yMode val="edge"/>
              <c:x val="1.084598698481562E-2"/>
              <c:y val="0.83901574803149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201074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180" verticalDpi="18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8</a:t>
            </a:r>
            <a:r>
              <a:rPr lang="en-US" sz="875" b="1" i="0" strike="noStrike">
                <a:solidFill>
                  <a:srgbClr val="FF0000"/>
                </a:solidFill>
                <a:latin typeface="Verdana"/>
              </a:rPr>
              <a:t> - CHART</a:t>
            </a:r>
          </a:p>
        </c:rich>
      </c:tx>
      <c:layout>
        <c:manualLayout>
          <c:xMode val="edge"/>
          <c:yMode val="edge"/>
          <c:x val="0.3221153846153848"/>
          <c:y val="2.8409090909090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36538461538461"/>
          <c:y val="0.13636363636363635"/>
          <c:w val="0.74519230769230771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'Wattage L2'!$A$19</c:f>
              <c:strCache>
                <c:ptCount val="1"/>
                <c:pt idx="0">
                  <c:v>AVG.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'Wattage L2'!$B$19:$K$19</c:f>
              <c:numCache>
                <c:formatCode>General</c:formatCode>
                <c:ptCount val="10"/>
                <c:pt idx="0">
                  <c:v>1927.8</c:v>
                </c:pt>
                <c:pt idx="1">
                  <c:v>1944.6</c:v>
                </c:pt>
                <c:pt idx="2">
                  <c:v>1939.2</c:v>
                </c:pt>
                <c:pt idx="3">
                  <c:v>1953.4</c:v>
                </c:pt>
                <c:pt idx="4">
                  <c:v>1925.8</c:v>
                </c:pt>
                <c:pt idx="5">
                  <c:v>1940.4</c:v>
                </c:pt>
                <c:pt idx="6">
                  <c:v>1958.6</c:v>
                </c:pt>
                <c:pt idx="7">
                  <c:v>1942.4</c:v>
                </c:pt>
                <c:pt idx="8">
                  <c:v>1940</c:v>
                </c:pt>
                <c:pt idx="9">
                  <c:v>1942.6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'Wattage L2'!$A$24</c:f>
              <c:strCache>
                <c:ptCount val="1"/>
                <c:pt idx="0">
                  <c:v>U.C.L. 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'Wattage L2'!$B$24:$K$24</c:f>
              <c:numCache>
                <c:formatCode>General</c:formatCode>
                <c:ptCount val="10"/>
                <c:pt idx="0">
                  <c:v>1981.836</c:v>
                </c:pt>
                <c:pt idx="1">
                  <c:v>1981.836</c:v>
                </c:pt>
                <c:pt idx="2">
                  <c:v>1981.836</c:v>
                </c:pt>
                <c:pt idx="3">
                  <c:v>1981.836</c:v>
                </c:pt>
                <c:pt idx="4">
                  <c:v>1981.836</c:v>
                </c:pt>
                <c:pt idx="5">
                  <c:v>1981.836</c:v>
                </c:pt>
                <c:pt idx="6">
                  <c:v>1981.836</c:v>
                </c:pt>
                <c:pt idx="7">
                  <c:v>1981.836</c:v>
                </c:pt>
                <c:pt idx="8">
                  <c:v>1981.836</c:v>
                </c:pt>
                <c:pt idx="9" formatCode="0.0000">
                  <c:v>1981.836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'Wattage L2'!$A$25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'Wattage L2'!$B$25:$K$25</c:f>
              <c:numCache>
                <c:formatCode>0.0000</c:formatCode>
                <c:ptCount val="10"/>
                <c:pt idx="0">
                  <c:v>1901.124</c:v>
                </c:pt>
                <c:pt idx="1">
                  <c:v>1901.124</c:v>
                </c:pt>
                <c:pt idx="2">
                  <c:v>1901.124</c:v>
                </c:pt>
                <c:pt idx="3">
                  <c:v>1901.124</c:v>
                </c:pt>
                <c:pt idx="4">
                  <c:v>1901.124</c:v>
                </c:pt>
                <c:pt idx="5">
                  <c:v>1901.124</c:v>
                </c:pt>
                <c:pt idx="6">
                  <c:v>1901.124</c:v>
                </c:pt>
                <c:pt idx="7">
                  <c:v>1901.124</c:v>
                </c:pt>
                <c:pt idx="8">
                  <c:v>1901.124</c:v>
                </c:pt>
                <c:pt idx="9">
                  <c:v>1901.124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'Wattage L2'!$A$28</c:f>
              <c:strCache>
                <c:ptCount val="1"/>
                <c:pt idx="0">
                  <c:v>X-BAR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'Wattage L2'!$B$28:$K$28</c:f>
              <c:numCache>
                <c:formatCode>0.0000</c:formatCode>
                <c:ptCount val="10"/>
                <c:pt idx="0">
                  <c:v>1941.48</c:v>
                </c:pt>
                <c:pt idx="1">
                  <c:v>1941.48</c:v>
                </c:pt>
                <c:pt idx="2">
                  <c:v>1941.48</c:v>
                </c:pt>
                <c:pt idx="3">
                  <c:v>1941.48</c:v>
                </c:pt>
                <c:pt idx="4">
                  <c:v>1941.48</c:v>
                </c:pt>
                <c:pt idx="5">
                  <c:v>1941.48</c:v>
                </c:pt>
                <c:pt idx="6">
                  <c:v>1941.48</c:v>
                </c:pt>
                <c:pt idx="7">
                  <c:v>1941.48</c:v>
                </c:pt>
                <c:pt idx="8">
                  <c:v>1941.48</c:v>
                </c:pt>
                <c:pt idx="9">
                  <c:v>1941.48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15904"/>
        <c:axId val="201216384"/>
      </c:lineChart>
      <c:catAx>
        <c:axId val="2011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158653846153848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1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21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011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159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971153846154243"/>
          <c:y val="0.48863636363636381"/>
          <c:w val="0.17067307692307532"/>
          <c:h val="0.278409090909091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180" verticalDpi="18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2</a:t>
            </a:r>
            <a:r>
              <a:rPr lang="en-US" sz="875" b="1" i="0" strike="noStrike">
                <a:solidFill>
                  <a:srgbClr val="FF0000"/>
                </a:solidFill>
                <a:latin typeface="Arial"/>
                <a:cs typeface="Arial"/>
              </a:rPr>
              <a:t> - CHART</a:t>
            </a:r>
          </a:p>
        </c:rich>
      </c:tx>
      <c:layout>
        <c:manualLayout>
          <c:xMode val="edge"/>
          <c:yMode val="edge"/>
          <c:x val="0.33413461538461997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730769230769246E-2"/>
          <c:y val="0.13636363636363635"/>
          <c:w val="0.73076923076923073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'Wattage L2'!$A$18</c:f>
              <c:strCache>
                <c:ptCount val="1"/>
                <c:pt idx="0">
                  <c:v>RANGE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'Wattage L2'!$B$18:$K$18</c:f>
              <c:numCache>
                <c:formatCode>General</c:formatCode>
                <c:ptCount val="10"/>
                <c:pt idx="0">
                  <c:v>63</c:v>
                </c:pt>
                <c:pt idx="1">
                  <c:v>109</c:v>
                </c:pt>
                <c:pt idx="2">
                  <c:v>30</c:v>
                </c:pt>
                <c:pt idx="3">
                  <c:v>100</c:v>
                </c:pt>
                <c:pt idx="4">
                  <c:v>55</c:v>
                </c:pt>
                <c:pt idx="5">
                  <c:v>50</c:v>
                </c:pt>
                <c:pt idx="6">
                  <c:v>74</c:v>
                </c:pt>
                <c:pt idx="7">
                  <c:v>50</c:v>
                </c:pt>
                <c:pt idx="8">
                  <c:v>108</c:v>
                </c:pt>
                <c:pt idx="9">
                  <c:v>45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'Wattage L2'!$A$26</c:f>
              <c:strCache>
                <c:ptCount val="1"/>
                <c:pt idx="0">
                  <c:v>U.C.L.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'Wattage L2'!$B$26:$K$26</c:f>
              <c:numCache>
                <c:formatCode>0.0000</c:formatCode>
                <c:ptCount val="10"/>
                <c:pt idx="0">
                  <c:v>144.32400000000001</c:v>
                </c:pt>
                <c:pt idx="1">
                  <c:v>144.32400000000001</c:v>
                </c:pt>
                <c:pt idx="2">
                  <c:v>144.32400000000001</c:v>
                </c:pt>
                <c:pt idx="3">
                  <c:v>144.32400000000001</c:v>
                </c:pt>
                <c:pt idx="4">
                  <c:v>144.32400000000001</c:v>
                </c:pt>
                <c:pt idx="5">
                  <c:v>144.32400000000001</c:v>
                </c:pt>
                <c:pt idx="6">
                  <c:v>144.32400000000001</c:v>
                </c:pt>
                <c:pt idx="7">
                  <c:v>144.32400000000001</c:v>
                </c:pt>
                <c:pt idx="8">
                  <c:v>144.32400000000001</c:v>
                </c:pt>
                <c:pt idx="9">
                  <c:v>144.32400000000001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'Wattage L2'!$A$27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'Wattage L2'!$B$27:$K$27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'Wattage L2'!$A$29</c:f>
              <c:strCache>
                <c:ptCount val="1"/>
                <c:pt idx="0">
                  <c:v>R-BAR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'Wattage L2'!$B$29:$K$29</c:f>
              <c:numCache>
                <c:formatCode>0.0000</c:formatCode>
                <c:ptCount val="10"/>
                <c:pt idx="0">
                  <c:v>68.400000000000006</c:v>
                </c:pt>
                <c:pt idx="1">
                  <c:v>68.400000000000006</c:v>
                </c:pt>
                <c:pt idx="2">
                  <c:v>68.400000000000006</c:v>
                </c:pt>
                <c:pt idx="3">
                  <c:v>68.400000000000006</c:v>
                </c:pt>
                <c:pt idx="4">
                  <c:v>68.400000000000006</c:v>
                </c:pt>
                <c:pt idx="5">
                  <c:v>68.400000000000006</c:v>
                </c:pt>
                <c:pt idx="6">
                  <c:v>68.400000000000006</c:v>
                </c:pt>
                <c:pt idx="7">
                  <c:v>68.400000000000006</c:v>
                </c:pt>
                <c:pt idx="8">
                  <c:v>68.400000000000006</c:v>
                </c:pt>
                <c:pt idx="9">
                  <c:v>68.400000000000006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86592"/>
        <c:axId val="200696960"/>
      </c:lineChart>
      <c:catAx>
        <c:axId val="20068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38701923076923295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9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69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5795454545454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865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730769230769262"/>
          <c:y val="0.46022727272727282"/>
          <c:w val="0.17307692307692321"/>
          <c:h val="0.301136363636363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8</a:t>
            </a:r>
            <a:r>
              <a:rPr lang="en-US" sz="875" b="1" i="0" strike="noStrike">
                <a:solidFill>
                  <a:srgbClr val="FF0000"/>
                </a:solidFill>
                <a:latin typeface="Verdana"/>
              </a:rPr>
              <a:t> - CHART</a:t>
            </a:r>
          </a:p>
        </c:rich>
      </c:tx>
      <c:layout>
        <c:manualLayout>
          <c:xMode val="edge"/>
          <c:yMode val="edge"/>
          <c:x val="0.3221153846153848"/>
          <c:y val="2.8409090909090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36538461538461"/>
          <c:y val="0.13636363636363635"/>
          <c:w val="0.74519230769230771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'Element Resistance'!$A$19</c:f>
              <c:strCache>
                <c:ptCount val="1"/>
                <c:pt idx="0">
                  <c:v>AVG.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'Element Resistance'!$B$19:$K$19</c:f>
              <c:numCache>
                <c:formatCode>General</c:formatCode>
                <c:ptCount val="10"/>
                <c:pt idx="0">
                  <c:v>27.359999999999996</c:v>
                </c:pt>
                <c:pt idx="1">
                  <c:v>27.24</c:v>
                </c:pt>
                <c:pt idx="2">
                  <c:v>26.9</c:v>
                </c:pt>
                <c:pt idx="3">
                  <c:v>27.360000000000003</c:v>
                </c:pt>
                <c:pt idx="4">
                  <c:v>27.020000000000003</c:v>
                </c:pt>
                <c:pt idx="5">
                  <c:v>27.080000000000002</c:v>
                </c:pt>
                <c:pt idx="6">
                  <c:v>27.079999999999995</c:v>
                </c:pt>
                <c:pt idx="7">
                  <c:v>27.1</c:v>
                </c:pt>
                <c:pt idx="8">
                  <c:v>27.139999999999997</c:v>
                </c:pt>
                <c:pt idx="9">
                  <c:v>27.18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'Element Resistance'!$A$24</c:f>
              <c:strCache>
                <c:ptCount val="1"/>
                <c:pt idx="0">
                  <c:v>U.C.L. 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'Element Resistance'!$B$24:$K$24</c:f>
              <c:numCache>
                <c:formatCode>General</c:formatCode>
                <c:ptCount val="10"/>
                <c:pt idx="0">
                  <c:v>27.6829</c:v>
                </c:pt>
                <c:pt idx="1">
                  <c:v>27.6829</c:v>
                </c:pt>
                <c:pt idx="2">
                  <c:v>27.6829</c:v>
                </c:pt>
                <c:pt idx="3">
                  <c:v>27.6829</c:v>
                </c:pt>
                <c:pt idx="4">
                  <c:v>27.6829</c:v>
                </c:pt>
                <c:pt idx="5">
                  <c:v>27.6829</c:v>
                </c:pt>
                <c:pt idx="6">
                  <c:v>27.6829</c:v>
                </c:pt>
                <c:pt idx="7">
                  <c:v>27.6829</c:v>
                </c:pt>
                <c:pt idx="8">
                  <c:v>27.6829</c:v>
                </c:pt>
                <c:pt idx="9" formatCode="0.0000">
                  <c:v>27.6829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'Element Resistance'!$A$25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'Element Resistance'!$B$25:$K$25</c:f>
              <c:numCache>
                <c:formatCode>0.0000</c:formatCode>
                <c:ptCount val="10"/>
                <c:pt idx="0">
                  <c:v>26.609100000000002</c:v>
                </c:pt>
                <c:pt idx="1">
                  <c:v>26.609100000000002</c:v>
                </c:pt>
                <c:pt idx="2">
                  <c:v>26.609100000000002</c:v>
                </c:pt>
                <c:pt idx="3">
                  <c:v>26.609100000000002</c:v>
                </c:pt>
                <c:pt idx="4">
                  <c:v>26.609100000000002</c:v>
                </c:pt>
                <c:pt idx="5">
                  <c:v>26.609100000000002</c:v>
                </c:pt>
                <c:pt idx="6">
                  <c:v>26.609100000000002</c:v>
                </c:pt>
                <c:pt idx="7">
                  <c:v>26.609100000000002</c:v>
                </c:pt>
                <c:pt idx="8">
                  <c:v>26.609100000000002</c:v>
                </c:pt>
                <c:pt idx="9">
                  <c:v>26.609100000000002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'Element Resistance'!$A$28</c:f>
              <c:strCache>
                <c:ptCount val="1"/>
                <c:pt idx="0">
                  <c:v>X-BAR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'Element Resistance'!$B$28:$K$28</c:f>
              <c:numCache>
                <c:formatCode>0.0000</c:formatCode>
                <c:ptCount val="10"/>
                <c:pt idx="0">
                  <c:v>27.146000000000001</c:v>
                </c:pt>
                <c:pt idx="1">
                  <c:v>27.146000000000001</c:v>
                </c:pt>
                <c:pt idx="2">
                  <c:v>27.146000000000001</c:v>
                </c:pt>
                <c:pt idx="3">
                  <c:v>27.146000000000001</c:v>
                </c:pt>
                <c:pt idx="4">
                  <c:v>27.146000000000001</c:v>
                </c:pt>
                <c:pt idx="5">
                  <c:v>27.146000000000001</c:v>
                </c:pt>
                <c:pt idx="6">
                  <c:v>27.146000000000001</c:v>
                </c:pt>
                <c:pt idx="7">
                  <c:v>27.146000000000001</c:v>
                </c:pt>
                <c:pt idx="8">
                  <c:v>27.146000000000001</c:v>
                </c:pt>
                <c:pt idx="9">
                  <c:v>27.146000000000001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10944"/>
        <c:axId val="200612864"/>
      </c:lineChart>
      <c:catAx>
        <c:axId val="20061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158653846153848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1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61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011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109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971153846154243"/>
          <c:y val="0.48863636363636381"/>
          <c:w val="0.17067307692307532"/>
          <c:h val="0.278409090909091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180" verticalDpi="18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2</a:t>
            </a:r>
            <a:r>
              <a:rPr lang="en-US" sz="875" b="1" i="0" strike="noStrike">
                <a:solidFill>
                  <a:srgbClr val="FF0000"/>
                </a:solidFill>
                <a:latin typeface="Arial"/>
                <a:cs typeface="Arial"/>
              </a:rPr>
              <a:t> - CHART</a:t>
            </a:r>
          </a:p>
        </c:rich>
      </c:tx>
      <c:layout>
        <c:manualLayout>
          <c:xMode val="edge"/>
          <c:yMode val="edge"/>
          <c:x val="0.33413461538461997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730769230769246E-2"/>
          <c:y val="0.13636363636363635"/>
          <c:w val="0.73076923076923073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'Element Resistance'!$A$18</c:f>
              <c:strCache>
                <c:ptCount val="1"/>
                <c:pt idx="0">
                  <c:v>RANGE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'Element Resistance'!$B$18:$K$18</c:f>
              <c:numCache>
                <c:formatCode>General</c:formatCode>
                <c:ptCount val="10"/>
                <c:pt idx="0">
                  <c:v>1.9000000000000021</c:v>
                </c:pt>
                <c:pt idx="1">
                  <c:v>1.1999999999999993</c:v>
                </c:pt>
                <c:pt idx="2">
                  <c:v>1</c:v>
                </c:pt>
                <c:pt idx="3">
                  <c:v>1</c:v>
                </c:pt>
                <c:pt idx="4">
                  <c:v>0.30000000000000071</c:v>
                </c:pt>
                <c:pt idx="5">
                  <c:v>0.59999999999999787</c:v>
                </c:pt>
                <c:pt idx="6">
                  <c:v>0.5</c:v>
                </c:pt>
                <c:pt idx="7">
                  <c:v>0.69999999999999929</c:v>
                </c:pt>
                <c:pt idx="8">
                  <c:v>1.3000000000000007</c:v>
                </c:pt>
                <c:pt idx="9">
                  <c:v>0.59999999999999787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'Element Resistance'!$A$26</c:f>
              <c:strCache>
                <c:ptCount val="1"/>
                <c:pt idx="0">
                  <c:v>U.C.L.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'Element Resistance'!$B$26:$K$26</c:f>
              <c:numCache>
                <c:formatCode>0.0000</c:formatCode>
                <c:ptCount val="10"/>
                <c:pt idx="0">
                  <c:v>1.9200999999999995</c:v>
                </c:pt>
                <c:pt idx="1">
                  <c:v>1.9200999999999995</c:v>
                </c:pt>
                <c:pt idx="2">
                  <c:v>1.9200999999999995</c:v>
                </c:pt>
                <c:pt idx="3">
                  <c:v>1.9200999999999995</c:v>
                </c:pt>
                <c:pt idx="4">
                  <c:v>1.9200999999999995</c:v>
                </c:pt>
                <c:pt idx="5">
                  <c:v>1.9200999999999995</c:v>
                </c:pt>
                <c:pt idx="6">
                  <c:v>1.9200999999999995</c:v>
                </c:pt>
                <c:pt idx="7">
                  <c:v>1.9200999999999995</c:v>
                </c:pt>
                <c:pt idx="8">
                  <c:v>1.9200999999999995</c:v>
                </c:pt>
                <c:pt idx="9">
                  <c:v>1.9200999999999995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'Element Resistance'!$A$27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'Element Resistance'!$B$27:$K$27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'Element Resistance'!$A$29</c:f>
              <c:strCache>
                <c:ptCount val="1"/>
                <c:pt idx="0">
                  <c:v>R-BAR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'Element Resistance'!$B$29:$K$29</c:f>
              <c:numCache>
                <c:formatCode>0.0000</c:formatCode>
                <c:ptCount val="10"/>
                <c:pt idx="0">
                  <c:v>0.90999999999999981</c:v>
                </c:pt>
                <c:pt idx="1">
                  <c:v>0.90999999999999981</c:v>
                </c:pt>
                <c:pt idx="2">
                  <c:v>0.90999999999999981</c:v>
                </c:pt>
                <c:pt idx="3">
                  <c:v>0.90999999999999981</c:v>
                </c:pt>
                <c:pt idx="4">
                  <c:v>0.90999999999999981</c:v>
                </c:pt>
                <c:pt idx="5">
                  <c:v>0.90999999999999981</c:v>
                </c:pt>
                <c:pt idx="6">
                  <c:v>0.90999999999999981</c:v>
                </c:pt>
                <c:pt idx="7">
                  <c:v>0.90999999999999981</c:v>
                </c:pt>
                <c:pt idx="8">
                  <c:v>0.90999999999999981</c:v>
                </c:pt>
                <c:pt idx="9">
                  <c:v>0.90999999999999981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2672"/>
        <c:axId val="200663040"/>
      </c:lineChart>
      <c:catAx>
        <c:axId val="20065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38701923076923295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6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66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5795454545454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526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730769230769262"/>
          <c:y val="0.46022727272727282"/>
          <c:w val="0.17307692307692321"/>
          <c:h val="0.301136363636363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431670281996119"/>
          <c:y val="3.409090909090908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075921908893913E-2"/>
          <c:y val="7.6704651856373762E-2"/>
          <c:w val="0.90889370932754876"/>
          <c:h val="0.77556925765889273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DFT!$Q$20</c:f>
              <c:strCache>
                <c:ptCount val="1"/>
                <c:pt idx="0">
                  <c:v>FREQ.</c:v>
                </c:pt>
              </c:strCache>
            </c:strRef>
          </c:tx>
          <c:spPr>
            <a:pattFill prst="pct5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DFT!$O$21:$P$31</c:f>
              <c:multiLvlStrCache>
                <c:ptCount val="11"/>
                <c:lvl>
                  <c:pt idx="0">
                    <c:v>259.30</c:v>
                  </c:pt>
                  <c:pt idx="1">
                    <c:v>275.50</c:v>
                  </c:pt>
                  <c:pt idx="2">
                    <c:v>291.70</c:v>
                  </c:pt>
                  <c:pt idx="3">
                    <c:v>307.90</c:v>
                  </c:pt>
                  <c:pt idx="4">
                    <c:v>324.10</c:v>
                  </c:pt>
                  <c:pt idx="5">
                    <c:v>340.30</c:v>
                  </c:pt>
                  <c:pt idx="6">
                    <c:v>356.50</c:v>
                  </c:pt>
                  <c:pt idx="7">
                    <c:v>372.70</c:v>
                  </c:pt>
                  <c:pt idx="8">
                    <c:v>388.90</c:v>
                  </c:pt>
                  <c:pt idx="9">
                    <c:v>405.10</c:v>
                  </c:pt>
                  <c:pt idx="10">
                    <c:v>421.30</c:v>
                  </c:pt>
                </c:lvl>
                <c:lvl>
                  <c:pt idx="0">
                    <c:v>243.10</c:v>
                  </c:pt>
                  <c:pt idx="1">
                    <c:v>259.30</c:v>
                  </c:pt>
                  <c:pt idx="2">
                    <c:v>275.50</c:v>
                  </c:pt>
                  <c:pt idx="3">
                    <c:v>291.70</c:v>
                  </c:pt>
                  <c:pt idx="4">
                    <c:v>307.90</c:v>
                  </c:pt>
                  <c:pt idx="5">
                    <c:v>324.10</c:v>
                  </c:pt>
                  <c:pt idx="6">
                    <c:v>340.30</c:v>
                  </c:pt>
                  <c:pt idx="7">
                    <c:v>356.50</c:v>
                  </c:pt>
                  <c:pt idx="8">
                    <c:v>372.70</c:v>
                  </c:pt>
                  <c:pt idx="9">
                    <c:v>388.90</c:v>
                  </c:pt>
                  <c:pt idx="10">
                    <c:v>405.10</c:v>
                  </c:pt>
                </c:lvl>
              </c:multiLvlStrCache>
            </c:multiLvlStrRef>
          </c:cat>
          <c:val>
            <c:numRef>
              <c:f>DFT!$Q$21:$Q$31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8</c:v>
                </c:pt>
                <c:pt idx="6">
                  <c:v>0</c:v>
                </c:pt>
                <c:pt idx="7">
                  <c:v>9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cylinder"/>
        <c:axId val="181028352"/>
        <c:axId val="181030272"/>
        <c:axId val="0"/>
      </c:bar3DChart>
      <c:catAx>
        <c:axId val="18102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2950108459869846"/>
              <c:y val="0.94318301121450765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25" b="0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103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3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QTY</a:t>
                </a:r>
              </a:p>
            </c:rich>
          </c:tx>
          <c:layout>
            <c:manualLayout>
              <c:xMode val="edge"/>
              <c:yMode val="edge"/>
              <c:x val="1.084598698481562E-2"/>
              <c:y val="0.83901574803149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181028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180" verticalDpi="18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8</a:t>
            </a:r>
            <a:r>
              <a:rPr lang="en-US" sz="875" b="1" i="0" strike="noStrike">
                <a:solidFill>
                  <a:srgbClr val="FF0000"/>
                </a:solidFill>
                <a:latin typeface="Verdana"/>
              </a:rPr>
              <a:t> - CHART</a:t>
            </a:r>
          </a:p>
        </c:rich>
      </c:tx>
      <c:layout>
        <c:manualLayout>
          <c:xMode val="edge"/>
          <c:yMode val="edge"/>
          <c:x val="0.3221153846153848"/>
          <c:y val="2.8409090909090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36538461538461"/>
          <c:y val="0.13636363636363635"/>
          <c:w val="0.74519230769230771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DFT!$A$19</c:f>
              <c:strCache>
                <c:ptCount val="1"/>
                <c:pt idx="0">
                  <c:v>AVG.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DFT!$B$19:$K$19</c:f>
              <c:numCache>
                <c:formatCode>General</c:formatCode>
                <c:ptCount val="10"/>
                <c:pt idx="0">
                  <c:v>343.8</c:v>
                </c:pt>
                <c:pt idx="1">
                  <c:v>343</c:v>
                </c:pt>
                <c:pt idx="2">
                  <c:v>343.6</c:v>
                </c:pt>
                <c:pt idx="3">
                  <c:v>341.2</c:v>
                </c:pt>
                <c:pt idx="4">
                  <c:v>342</c:v>
                </c:pt>
                <c:pt idx="5">
                  <c:v>345.8</c:v>
                </c:pt>
                <c:pt idx="6">
                  <c:v>339</c:v>
                </c:pt>
                <c:pt idx="7">
                  <c:v>347.2</c:v>
                </c:pt>
                <c:pt idx="8">
                  <c:v>352</c:v>
                </c:pt>
                <c:pt idx="9">
                  <c:v>338.2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DFT!$A$24</c:f>
              <c:strCache>
                <c:ptCount val="1"/>
                <c:pt idx="0">
                  <c:v>U.C.L. 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DFT!$B$24:$K$24</c:f>
              <c:numCache>
                <c:formatCode>General</c:formatCode>
                <c:ptCount val="10"/>
                <c:pt idx="0">
                  <c:v>379.21600000000001</c:v>
                </c:pt>
                <c:pt idx="1">
                  <c:v>379.21600000000001</c:v>
                </c:pt>
                <c:pt idx="2">
                  <c:v>379.21600000000001</c:v>
                </c:pt>
                <c:pt idx="3">
                  <c:v>379.21600000000001</c:v>
                </c:pt>
                <c:pt idx="4">
                  <c:v>379.21600000000001</c:v>
                </c:pt>
                <c:pt idx="5">
                  <c:v>379.21600000000001</c:v>
                </c:pt>
                <c:pt idx="6">
                  <c:v>379.21600000000001</c:v>
                </c:pt>
                <c:pt idx="7">
                  <c:v>379.21600000000001</c:v>
                </c:pt>
                <c:pt idx="8">
                  <c:v>379.21600000000001</c:v>
                </c:pt>
                <c:pt idx="9" formatCode="0.0000">
                  <c:v>379.21600000000001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DFT!$A$25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DFT!$B$25:$K$25</c:f>
              <c:numCache>
                <c:formatCode>0.0000</c:formatCode>
                <c:ptCount val="10"/>
                <c:pt idx="0">
                  <c:v>307.94399999999996</c:v>
                </c:pt>
                <c:pt idx="1">
                  <c:v>307.94399999999996</c:v>
                </c:pt>
                <c:pt idx="2">
                  <c:v>307.94399999999996</c:v>
                </c:pt>
                <c:pt idx="3">
                  <c:v>307.94399999999996</c:v>
                </c:pt>
                <c:pt idx="4">
                  <c:v>307.94399999999996</c:v>
                </c:pt>
                <c:pt idx="5">
                  <c:v>307.94399999999996</c:v>
                </c:pt>
                <c:pt idx="6">
                  <c:v>307.94399999999996</c:v>
                </c:pt>
                <c:pt idx="7">
                  <c:v>307.94399999999996</c:v>
                </c:pt>
                <c:pt idx="8">
                  <c:v>307.94399999999996</c:v>
                </c:pt>
                <c:pt idx="9">
                  <c:v>307.94399999999996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DFT!$A$28</c:f>
              <c:strCache>
                <c:ptCount val="1"/>
                <c:pt idx="0">
                  <c:v>X-BAR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DFT!$B$28:$K$28</c:f>
              <c:numCache>
                <c:formatCode>0.0000</c:formatCode>
                <c:ptCount val="10"/>
                <c:pt idx="0">
                  <c:v>343.58</c:v>
                </c:pt>
                <c:pt idx="1">
                  <c:v>343.58</c:v>
                </c:pt>
                <c:pt idx="2">
                  <c:v>343.58</c:v>
                </c:pt>
                <c:pt idx="3">
                  <c:v>343.58</c:v>
                </c:pt>
                <c:pt idx="4">
                  <c:v>343.58</c:v>
                </c:pt>
                <c:pt idx="5">
                  <c:v>343.58</c:v>
                </c:pt>
                <c:pt idx="6">
                  <c:v>343.58</c:v>
                </c:pt>
                <c:pt idx="7">
                  <c:v>343.58</c:v>
                </c:pt>
                <c:pt idx="8">
                  <c:v>343.58</c:v>
                </c:pt>
                <c:pt idx="9">
                  <c:v>343.58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25472"/>
        <c:axId val="200427392"/>
      </c:lineChart>
      <c:catAx>
        <c:axId val="20042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158653846153848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42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42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011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4254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971153846154243"/>
          <c:y val="0.48863636363636381"/>
          <c:w val="0.17067307692307532"/>
          <c:h val="0.278409090909091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180" verticalDpi="18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2</a:t>
            </a:r>
            <a:r>
              <a:rPr lang="en-US" sz="875" b="1" i="0" strike="noStrike">
                <a:solidFill>
                  <a:srgbClr val="FF0000"/>
                </a:solidFill>
                <a:latin typeface="Arial"/>
                <a:cs typeface="Arial"/>
              </a:rPr>
              <a:t> - CHART</a:t>
            </a:r>
          </a:p>
        </c:rich>
      </c:tx>
      <c:layout>
        <c:manualLayout>
          <c:xMode val="edge"/>
          <c:yMode val="edge"/>
          <c:x val="0.33413461538461997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730769230769246E-2"/>
          <c:y val="0.13636363636363635"/>
          <c:w val="0.73076923076923073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DFT!$A$18</c:f>
              <c:strCache>
                <c:ptCount val="1"/>
                <c:pt idx="0">
                  <c:v>RANGE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DFT!$B$18:$K$18</c:f>
              <c:numCache>
                <c:formatCode>General</c:formatCode>
                <c:ptCount val="10"/>
                <c:pt idx="0">
                  <c:v>58</c:v>
                </c:pt>
                <c:pt idx="1">
                  <c:v>50</c:v>
                </c:pt>
                <c:pt idx="2">
                  <c:v>56</c:v>
                </c:pt>
                <c:pt idx="3">
                  <c:v>71</c:v>
                </c:pt>
                <c:pt idx="4">
                  <c:v>67</c:v>
                </c:pt>
                <c:pt idx="5">
                  <c:v>69</c:v>
                </c:pt>
                <c:pt idx="6">
                  <c:v>55</c:v>
                </c:pt>
                <c:pt idx="7">
                  <c:v>56</c:v>
                </c:pt>
                <c:pt idx="8">
                  <c:v>81</c:v>
                </c:pt>
                <c:pt idx="9">
                  <c:v>41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DFT!$A$26</c:f>
              <c:strCache>
                <c:ptCount val="1"/>
                <c:pt idx="0">
                  <c:v>U.C.L.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DFT!$B$26:$K$26</c:f>
              <c:numCache>
                <c:formatCode>0.0000</c:formatCode>
                <c:ptCount val="10"/>
                <c:pt idx="0">
                  <c:v>127.44399999999999</c:v>
                </c:pt>
                <c:pt idx="1">
                  <c:v>127.44399999999999</c:v>
                </c:pt>
                <c:pt idx="2">
                  <c:v>127.44399999999999</c:v>
                </c:pt>
                <c:pt idx="3">
                  <c:v>127.44399999999999</c:v>
                </c:pt>
                <c:pt idx="4">
                  <c:v>127.44399999999999</c:v>
                </c:pt>
                <c:pt idx="5">
                  <c:v>127.44399999999999</c:v>
                </c:pt>
                <c:pt idx="6">
                  <c:v>127.44399999999999</c:v>
                </c:pt>
                <c:pt idx="7">
                  <c:v>127.44399999999999</c:v>
                </c:pt>
                <c:pt idx="8">
                  <c:v>127.44399999999999</c:v>
                </c:pt>
                <c:pt idx="9">
                  <c:v>127.44399999999999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DFT!$A$27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DFT!$B$27:$K$27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DFT!$A$29</c:f>
              <c:strCache>
                <c:ptCount val="1"/>
                <c:pt idx="0">
                  <c:v>R-BAR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DFT!$B$29:$K$29</c:f>
              <c:numCache>
                <c:formatCode>0.0000</c:formatCode>
                <c:ptCount val="10"/>
                <c:pt idx="0">
                  <c:v>60.4</c:v>
                </c:pt>
                <c:pt idx="1">
                  <c:v>60.4</c:v>
                </c:pt>
                <c:pt idx="2">
                  <c:v>60.4</c:v>
                </c:pt>
                <c:pt idx="3">
                  <c:v>60.4</c:v>
                </c:pt>
                <c:pt idx="4">
                  <c:v>60.4</c:v>
                </c:pt>
                <c:pt idx="5">
                  <c:v>60.4</c:v>
                </c:pt>
                <c:pt idx="6">
                  <c:v>60.4</c:v>
                </c:pt>
                <c:pt idx="7">
                  <c:v>60.4</c:v>
                </c:pt>
                <c:pt idx="8">
                  <c:v>60.4</c:v>
                </c:pt>
                <c:pt idx="9">
                  <c:v>60.4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72864"/>
        <c:axId val="181183232"/>
      </c:lineChart>
      <c:catAx>
        <c:axId val="18117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38701923076923295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8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183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5795454545454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728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730769230769262"/>
          <c:y val="0.46022727272727282"/>
          <c:w val="0.17307692307692321"/>
          <c:h val="0.301136363636363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431670281996119"/>
          <c:y val="3.409090909090908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075921908893913E-2"/>
          <c:y val="7.6704651856373762E-2"/>
          <c:w val="0.90889370932754876"/>
          <c:h val="0.77556925765889273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'Wattage L1'!$Q$20</c:f>
              <c:strCache>
                <c:ptCount val="1"/>
                <c:pt idx="0">
                  <c:v>FREQ.</c:v>
                </c:pt>
              </c:strCache>
            </c:strRef>
          </c:tx>
          <c:spPr>
            <a:pattFill prst="pct5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'Wattage L1'!$O$21:$P$31</c:f>
              <c:multiLvlStrCache>
                <c:ptCount val="11"/>
                <c:lvl>
                  <c:pt idx="0">
                    <c:v>1808.70</c:v>
                  </c:pt>
                  <c:pt idx="1">
                    <c:v>1834.10</c:v>
                  </c:pt>
                  <c:pt idx="2">
                    <c:v>1859.50</c:v>
                  </c:pt>
                  <c:pt idx="3">
                    <c:v>1884.90</c:v>
                  </c:pt>
                  <c:pt idx="4">
                    <c:v>1910.30</c:v>
                  </c:pt>
                  <c:pt idx="5">
                    <c:v>1935.70</c:v>
                  </c:pt>
                  <c:pt idx="6">
                    <c:v>1961.10</c:v>
                  </c:pt>
                  <c:pt idx="7">
                    <c:v>1986.50</c:v>
                  </c:pt>
                  <c:pt idx="8">
                    <c:v>2011.90</c:v>
                  </c:pt>
                  <c:pt idx="9">
                    <c:v>2037.30</c:v>
                  </c:pt>
                  <c:pt idx="10">
                    <c:v>2062.70</c:v>
                  </c:pt>
                </c:lvl>
                <c:lvl>
                  <c:pt idx="0">
                    <c:v>1783.30</c:v>
                  </c:pt>
                  <c:pt idx="1">
                    <c:v>1808.70</c:v>
                  </c:pt>
                  <c:pt idx="2">
                    <c:v>1834.10</c:v>
                  </c:pt>
                  <c:pt idx="3">
                    <c:v>1859.50</c:v>
                  </c:pt>
                  <c:pt idx="4">
                    <c:v>1884.90</c:v>
                  </c:pt>
                  <c:pt idx="5">
                    <c:v>1910.30</c:v>
                  </c:pt>
                  <c:pt idx="6">
                    <c:v>1935.70</c:v>
                  </c:pt>
                  <c:pt idx="7">
                    <c:v>1961.10</c:v>
                  </c:pt>
                  <c:pt idx="8">
                    <c:v>1986.50</c:v>
                  </c:pt>
                  <c:pt idx="9">
                    <c:v>2011.90</c:v>
                  </c:pt>
                  <c:pt idx="10">
                    <c:v>2037.30</c:v>
                  </c:pt>
                </c:lvl>
              </c:multiLvlStrCache>
            </c:multiLvlStrRef>
          </c:cat>
          <c:val>
            <c:numRef>
              <c:f>'Wattage L1'!$Q$21:$Q$31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17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cylinder"/>
        <c:axId val="181237248"/>
        <c:axId val="181239168"/>
        <c:axId val="0"/>
      </c:bar3DChart>
      <c:catAx>
        <c:axId val="18123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2950108459869846"/>
              <c:y val="0.94318301121450765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25" b="0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123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23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QTY</a:t>
                </a:r>
              </a:p>
            </c:rich>
          </c:tx>
          <c:layout>
            <c:manualLayout>
              <c:xMode val="edge"/>
              <c:yMode val="edge"/>
              <c:x val="1.084598698481562E-2"/>
              <c:y val="0.83901574803149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181237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180" verticalDpi="18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8</a:t>
            </a:r>
            <a:r>
              <a:rPr lang="en-US" sz="875" b="1" i="0" strike="noStrike">
                <a:solidFill>
                  <a:srgbClr val="FF0000"/>
                </a:solidFill>
                <a:latin typeface="Verdana"/>
              </a:rPr>
              <a:t> - CHART</a:t>
            </a:r>
          </a:p>
        </c:rich>
      </c:tx>
      <c:layout>
        <c:manualLayout>
          <c:xMode val="edge"/>
          <c:yMode val="edge"/>
          <c:x val="0.3221153846153848"/>
          <c:y val="2.8409090909090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36538461538461"/>
          <c:y val="0.13636363636363635"/>
          <c:w val="0.74519230769230771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'Wattage L1'!$A$19</c:f>
              <c:strCache>
                <c:ptCount val="1"/>
                <c:pt idx="0">
                  <c:v>AVG.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'Wattage L1'!$B$19:$K$19</c:f>
              <c:numCache>
                <c:formatCode>General</c:formatCode>
                <c:ptCount val="10"/>
                <c:pt idx="0">
                  <c:v>1948.8</c:v>
                </c:pt>
                <c:pt idx="1">
                  <c:v>1940.4</c:v>
                </c:pt>
                <c:pt idx="2">
                  <c:v>1938.6</c:v>
                </c:pt>
                <c:pt idx="3">
                  <c:v>1927.4</c:v>
                </c:pt>
                <c:pt idx="4">
                  <c:v>1924</c:v>
                </c:pt>
                <c:pt idx="5">
                  <c:v>1961.4</c:v>
                </c:pt>
                <c:pt idx="6">
                  <c:v>1938</c:v>
                </c:pt>
                <c:pt idx="7">
                  <c:v>1952.4</c:v>
                </c:pt>
                <c:pt idx="8">
                  <c:v>1934.2</c:v>
                </c:pt>
                <c:pt idx="9">
                  <c:v>1943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'Wattage L1'!$A$24</c:f>
              <c:strCache>
                <c:ptCount val="1"/>
                <c:pt idx="0">
                  <c:v>U.C.L. 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'Wattage L1'!$B$24:$K$24</c:f>
              <c:numCache>
                <c:formatCode>General</c:formatCode>
                <c:ptCount val="10"/>
                <c:pt idx="0">
                  <c:v>1977.3409999999999</c:v>
                </c:pt>
                <c:pt idx="1">
                  <c:v>1977.3409999999999</c:v>
                </c:pt>
                <c:pt idx="2">
                  <c:v>1977.3409999999999</c:v>
                </c:pt>
                <c:pt idx="3">
                  <c:v>1977.3409999999999</c:v>
                </c:pt>
                <c:pt idx="4">
                  <c:v>1977.3409999999999</c:v>
                </c:pt>
                <c:pt idx="5">
                  <c:v>1977.3409999999999</c:v>
                </c:pt>
                <c:pt idx="6">
                  <c:v>1977.3409999999999</c:v>
                </c:pt>
                <c:pt idx="7">
                  <c:v>1977.3409999999999</c:v>
                </c:pt>
                <c:pt idx="8">
                  <c:v>1977.3409999999999</c:v>
                </c:pt>
                <c:pt idx="9" formatCode="0.0000">
                  <c:v>1977.3409999999999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'Wattage L1'!$A$25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'Wattage L1'!$B$25:$K$25</c:f>
              <c:numCache>
                <c:formatCode>0.0000</c:formatCode>
                <c:ptCount val="10"/>
                <c:pt idx="0">
                  <c:v>1904.299</c:v>
                </c:pt>
                <c:pt idx="1">
                  <c:v>1904.299</c:v>
                </c:pt>
                <c:pt idx="2">
                  <c:v>1904.299</c:v>
                </c:pt>
                <c:pt idx="3">
                  <c:v>1904.299</c:v>
                </c:pt>
                <c:pt idx="4">
                  <c:v>1904.299</c:v>
                </c:pt>
                <c:pt idx="5">
                  <c:v>1904.299</c:v>
                </c:pt>
                <c:pt idx="6">
                  <c:v>1904.299</c:v>
                </c:pt>
                <c:pt idx="7">
                  <c:v>1904.299</c:v>
                </c:pt>
                <c:pt idx="8">
                  <c:v>1904.299</c:v>
                </c:pt>
                <c:pt idx="9">
                  <c:v>1904.299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'Wattage L1'!$A$28</c:f>
              <c:strCache>
                <c:ptCount val="1"/>
                <c:pt idx="0">
                  <c:v>X-BAR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'Wattage L1'!$B$28:$K$28</c:f>
              <c:numCache>
                <c:formatCode>0.0000</c:formatCode>
                <c:ptCount val="10"/>
                <c:pt idx="0">
                  <c:v>1940.82</c:v>
                </c:pt>
                <c:pt idx="1">
                  <c:v>1940.82</c:v>
                </c:pt>
                <c:pt idx="2">
                  <c:v>1940.82</c:v>
                </c:pt>
                <c:pt idx="3">
                  <c:v>1940.82</c:v>
                </c:pt>
                <c:pt idx="4">
                  <c:v>1940.82</c:v>
                </c:pt>
                <c:pt idx="5">
                  <c:v>1940.82</c:v>
                </c:pt>
                <c:pt idx="6">
                  <c:v>1940.82</c:v>
                </c:pt>
                <c:pt idx="7">
                  <c:v>1940.82</c:v>
                </c:pt>
                <c:pt idx="8">
                  <c:v>1940.82</c:v>
                </c:pt>
                <c:pt idx="9">
                  <c:v>1940.82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35232"/>
        <c:axId val="200540160"/>
      </c:lineChart>
      <c:catAx>
        <c:axId val="18113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158653846153848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54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54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011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35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971153846154243"/>
          <c:y val="0.48863636363636381"/>
          <c:w val="0.17067307692307532"/>
          <c:h val="0.278409090909091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180" verticalDpi="18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2</a:t>
            </a:r>
            <a:r>
              <a:rPr lang="en-US" sz="875" b="1" i="0" strike="noStrike">
                <a:solidFill>
                  <a:srgbClr val="FF0000"/>
                </a:solidFill>
                <a:latin typeface="Arial"/>
                <a:cs typeface="Arial"/>
              </a:rPr>
              <a:t> - CHART</a:t>
            </a:r>
          </a:p>
        </c:rich>
      </c:tx>
      <c:layout>
        <c:manualLayout>
          <c:xMode val="edge"/>
          <c:yMode val="edge"/>
          <c:x val="0.33413461538461997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730769230769246E-2"/>
          <c:y val="0.13636363636363635"/>
          <c:w val="0.73076923076923073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'Wattage L1'!$A$18</c:f>
              <c:strCache>
                <c:ptCount val="1"/>
                <c:pt idx="0">
                  <c:v>RANGE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'Wattage L1'!$B$18:$K$18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57</c:v>
                </c:pt>
                <c:pt idx="3">
                  <c:v>39</c:v>
                </c:pt>
                <c:pt idx="4">
                  <c:v>105</c:v>
                </c:pt>
                <c:pt idx="5">
                  <c:v>76</c:v>
                </c:pt>
                <c:pt idx="6">
                  <c:v>28</c:v>
                </c:pt>
                <c:pt idx="7">
                  <c:v>70</c:v>
                </c:pt>
                <c:pt idx="8">
                  <c:v>45</c:v>
                </c:pt>
                <c:pt idx="9">
                  <c:v>124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'Wattage L1'!$A$26</c:f>
              <c:strCache>
                <c:ptCount val="1"/>
                <c:pt idx="0">
                  <c:v>U.C.L.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'Wattage L1'!$B$26:$K$26</c:f>
              <c:numCache>
                <c:formatCode>0.0000</c:formatCode>
                <c:ptCount val="10"/>
                <c:pt idx="0">
                  <c:v>130.60899999999998</c:v>
                </c:pt>
                <c:pt idx="1">
                  <c:v>130.60899999999998</c:v>
                </c:pt>
                <c:pt idx="2">
                  <c:v>130.60899999999998</c:v>
                </c:pt>
                <c:pt idx="3">
                  <c:v>130.60899999999998</c:v>
                </c:pt>
                <c:pt idx="4">
                  <c:v>130.60899999999998</c:v>
                </c:pt>
                <c:pt idx="5">
                  <c:v>130.60899999999998</c:v>
                </c:pt>
                <c:pt idx="6">
                  <c:v>130.60899999999998</c:v>
                </c:pt>
                <c:pt idx="7">
                  <c:v>130.60899999999998</c:v>
                </c:pt>
                <c:pt idx="8">
                  <c:v>130.60899999999998</c:v>
                </c:pt>
                <c:pt idx="9">
                  <c:v>130.60899999999998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'Wattage L1'!$A$27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'Wattage L1'!$B$27:$K$27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'Wattage L1'!$A$29</c:f>
              <c:strCache>
                <c:ptCount val="1"/>
                <c:pt idx="0">
                  <c:v>R-BAR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'Wattage L1'!$B$29:$K$29</c:f>
              <c:numCache>
                <c:formatCode>0.0000</c:formatCode>
                <c:ptCount val="10"/>
                <c:pt idx="0">
                  <c:v>61.9</c:v>
                </c:pt>
                <c:pt idx="1">
                  <c:v>61.9</c:v>
                </c:pt>
                <c:pt idx="2">
                  <c:v>61.9</c:v>
                </c:pt>
                <c:pt idx="3">
                  <c:v>61.9</c:v>
                </c:pt>
                <c:pt idx="4">
                  <c:v>61.9</c:v>
                </c:pt>
                <c:pt idx="5">
                  <c:v>61.9</c:v>
                </c:pt>
                <c:pt idx="6">
                  <c:v>61.9</c:v>
                </c:pt>
                <c:pt idx="7">
                  <c:v>61.9</c:v>
                </c:pt>
                <c:pt idx="8">
                  <c:v>61.9</c:v>
                </c:pt>
                <c:pt idx="9">
                  <c:v>61.9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87904"/>
        <c:axId val="200598272"/>
      </c:lineChart>
      <c:catAx>
        <c:axId val="20058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38701923076923295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59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59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5795454545454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5879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730769230769262"/>
          <c:y val="0.46022727272727282"/>
          <c:w val="0.17307692307692321"/>
          <c:h val="0.301136363636363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8</xdr:col>
      <xdr:colOff>85725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22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30</xdr:row>
      <xdr:rowOff>0</xdr:rowOff>
    </xdr:from>
    <xdr:to>
      <xdr:col>14</xdr:col>
      <xdr:colOff>0</xdr:colOff>
      <xdr:row>38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38099</xdr:colOff>
      <xdr:row>0</xdr:row>
      <xdr:rowOff>41826</xdr:rowOff>
    </xdr:from>
    <xdr:to>
      <xdr:col>1</xdr:col>
      <xdr:colOff>538369</xdr:colOff>
      <xdr:row>2</xdr:row>
      <xdr:rowOff>304799</xdr:rowOff>
    </xdr:to>
    <xdr:pic>
      <xdr:nvPicPr>
        <xdr:cNvPr id="5" name="Picture 29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t="16553"/>
        <a:stretch>
          <a:fillRect/>
        </a:stretch>
      </xdr:blipFill>
      <xdr:spPr bwMode="auto">
        <a:xfrm>
          <a:off x="38099" y="41826"/>
          <a:ext cx="976520" cy="10249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8</xdr:col>
      <xdr:colOff>85725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22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30</xdr:row>
      <xdr:rowOff>0</xdr:rowOff>
    </xdr:from>
    <xdr:to>
      <xdr:col>14</xdr:col>
      <xdr:colOff>0</xdr:colOff>
      <xdr:row>38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38099</xdr:colOff>
      <xdr:row>0</xdr:row>
      <xdr:rowOff>41827</xdr:rowOff>
    </xdr:from>
    <xdr:to>
      <xdr:col>1</xdr:col>
      <xdr:colOff>538369</xdr:colOff>
      <xdr:row>2</xdr:row>
      <xdr:rowOff>240195</xdr:rowOff>
    </xdr:to>
    <xdr:pic>
      <xdr:nvPicPr>
        <xdr:cNvPr id="5" name="Picture 29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t="16553"/>
        <a:stretch>
          <a:fillRect/>
        </a:stretch>
      </xdr:blipFill>
      <xdr:spPr bwMode="auto">
        <a:xfrm>
          <a:off x="38099" y="41827"/>
          <a:ext cx="980661" cy="778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8</xdr:col>
      <xdr:colOff>85725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22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30</xdr:row>
      <xdr:rowOff>0</xdr:rowOff>
    </xdr:from>
    <xdr:to>
      <xdr:col>14</xdr:col>
      <xdr:colOff>0</xdr:colOff>
      <xdr:row>38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38099</xdr:colOff>
      <xdr:row>0</xdr:row>
      <xdr:rowOff>41827</xdr:rowOff>
    </xdr:from>
    <xdr:to>
      <xdr:col>1</xdr:col>
      <xdr:colOff>538369</xdr:colOff>
      <xdr:row>2</xdr:row>
      <xdr:rowOff>263674</xdr:rowOff>
    </xdr:to>
    <xdr:pic>
      <xdr:nvPicPr>
        <xdr:cNvPr id="5" name="Picture 29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t="16553"/>
        <a:stretch>
          <a:fillRect/>
        </a:stretch>
      </xdr:blipFill>
      <xdr:spPr bwMode="auto">
        <a:xfrm>
          <a:off x="38099" y="41827"/>
          <a:ext cx="980661" cy="8016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8</xdr:col>
      <xdr:colOff>85725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22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30</xdr:row>
      <xdr:rowOff>0</xdr:rowOff>
    </xdr:from>
    <xdr:to>
      <xdr:col>14</xdr:col>
      <xdr:colOff>0</xdr:colOff>
      <xdr:row>38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38099</xdr:colOff>
      <xdr:row>0</xdr:row>
      <xdr:rowOff>66675</xdr:rowOff>
    </xdr:from>
    <xdr:to>
      <xdr:col>1</xdr:col>
      <xdr:colOff>506600</xdr:colOff>
      <xdr:row>2</xdr:row>
      <xdr:rowOff>266700</xdr:rowOff>
    </xdr:to>
    <xdr:pic>
      <xdr:nvPicPr>
        <xdr:cNvPr id="5" name="Picture 29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t="16553"/>
        <a:stretch>
          <a:fillRect/>
        </a:stretch>
      </xdr:blipFill>
      <xdr:spPr bwMode="auto">
        <a:xfrm>
          <a:off x="38099" y="66675"/>
          <a:ext cx="944751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ijender/Mr%20Bijender/SPC%20M%20&amp;%20M%20form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sign/Desktop/Hand%20mould/PLASTIC%20COV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sign/Desktop/Bobbin%20JC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SHEET 1"/>
      <sheetName val="SHEET 1 (2)"/>
      <sheetName val="SHEET 1 (3)"/>
    </sheetNames>
    <sheetDataSet>
      <sheetData sheetId="0"/>
      <sheetData sheetId="1">
        <row r="21">
          <cell r="P21">
            <v>8.0009999999999994</v>
          </cell>
        </row>
        <row r="22">
          <cell r="P22">
            <v>8.0050000000000008</v>
          </cell>
        </row>
        <row r="23">
          <cell r="P23">
            <v>8.0090000000000003</v>
          </cell>
        </row>
        <row r="24">
          <cell r="P24">
            <v>8.0129999999999999</v>
          </cell>
        </row>
        <row r="25">
          <cell r="P25">
            <v>8.0169999999999995</v>
          </cell>
        </row>
        <row r="26">
          <cell r="P26">
            <v>8.0210000000000008</v>
          </cell>
        </row>
        <row r="27">
          <cell r="P27">
            <v>8.0250000000000004</v>
          </cell>
        </row>
        <row r="28">
          <cell r="P28">
            <v>8.0289999999999999</v>
          </cell>
        </row>
        <row r="29">
          <cell r="P29">
            <v>8.0329999999999995</v>
          </cell>
        </row>
        <row r="30">
          <cell r="P30">
            <v>8.0370000000000008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AP Info"/>
      <sheetName val="CHKLST"/>
      <sheetName val="ISAR"/>
      <sheetName val="PSW"/>
      <sheetName val="APPROVAL REQUEST"/>
      <sheetName val="PFD1"/>
      <sheetName val="PFMEA "/>
      <sheetName val="CONTROL PLAN"/>
      <sheetName val="CA"/>
      <sheetName val="Packing 1"/>
      <sheetName val="SPC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AP Info"/>
      <sheetName val="CHKLST"/>
      <sheetName val="ISAR"/>
      <sheetName val="PSW"/>
      <sheetName val="APPROVAL REQUEST"/>
      <sheetName val="BOBBIN 727300100 pfd"/>
      <sheetName val="PFMEA bobbin"/>
      <sheetName val="CONTROL PLAN"/>
      <sheetName val="CA"/>
      <sheetName val="Packing 1"/>
      <sheetName val="PCS"/>
      <sheetName val="SPC "/>
      <sheetName val="GRR-Att"/>
      <sheetName val="QLI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2"/>
  <sheetViews>
    <sheetView showGridLines="0" tabSelected="1" view="pageBreakPreview" topLeftCell="A13" zoomScaleNormal="100" zoomScaleSheetLayoutView="100" workbookViewId="0">
      <selection activeCell="C39" sqref="C39:N41"/>
    </sheetView>
  </sheetViews>
  <sheetFormatPr defaultRowHeight="8.25"/>
  <cols>
    <col min="1" max="1" width="7.140625" style="61" customWidth="1"/>
    <col min="2" max="2" width="8.85546875" style="1" bestFit="1" customWidth="1"/>
    <col min="3" max="3" width="8.7109375" style="1" bestFit="1" customWidth="1"/>
    <col min="4" max="5" width="8.5703125" style="1" bestFit="1" customWidth="1"/>
    <col min="6" max="9" width="7.5703125" style="1" bestFit="1" customWidth="1"/>
    <col min="10" max="10" width="8.42578125" style="1" bestFit="1" customWidth="1"/>
    <col min="11" max="11" width="7.5703125" style="1" bestFit="1" customWidth="1"/>
    <col min="12" max="12" width="12.5703125" style="1" customWidth="1"/>
    <col min="13" max="13" width="15.7109375" style="1" bestFit="1" customWidth="1"/>
    <col min="14" max="14" width="10.140625" style="1" bestFit="1" customWidth="1"/>
    <col min="15" max="15" width="8.5703125" style="1" customWidth="1"/>
    <col min="16" max="16" width="9.28515625" style="1" customWidth="1"/>
    <col min="17" max="18" width="11.7109375" style="1" customWidth="1"/>
    <col min="19" max="19" width="5.5703125" style="1" customWidth="1"/>
    <col min="20" max="20" width="11.28515625" style="1" customWidth="1"/>
    <col min="21" max="16384" width="9.140625" style="1"/>
  </cols>
  <sheetData>
    <row r="1" spans="1:32" ht="30" customHeight="1">
      <c r="A1" s="76"/>
      <c r="B1" s="77"/>
      <c r="C1" s="82" t="s">
        <v>88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4"/>
      <c r="Q1" s="69" t="s">
        <v>104</v>
      </c>
      <c r="R1" s="70" t="s">
        <v>105</v>
      </c>
    </row>
    <row r="2" spans="1:32" ht="30" customHeight="1">
      <c r="A2" s="78"/>
      <c r="B2" s="79"/>
      <c r="C2" s="85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7"/>
      <c r="Q2" s="71" t="s">
        <v>106</v>
      </c>
      <c r="R2" s="72" t="s">
        <v>107</v>
      </c>
    </row>
    <row r="3" spans="1:32" s="2" customFormat="1" ht="30" customHeight="1" thickBot="1">
      <c r="A3" s="80"/>
      <c r="B3" s="81"/>
      <c r="C3" s="88" t="s">
        <v>0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73" t="s">
        <v>108</v>
      </c>
      <c r="R3" s="74" t="s">
        <v>109</v>
      </c>
    </row>
    <row r="4" spans="1:32" s="4" customFormat="1" ht="15" customHeight="1">
      <c r="A4" s="96" t="s">
        <v>1</v>
      </c>
      <c r="B4" s="97"/>
      <c r="C4" s="98" t="s">
        <v>79</v>
      </c>
      <c r="D4" s="99"/>
      <c r="E4" s="100"/>
      <c r="F4" s="101" t="s">
        <v>2</v>
      </c>
      <c r="G4" s="102"/>
      <c r="H4" s="98" t="s">
        <v>80</v>
      </c>
      <c r="I4" s="99"/>
      <c r="J4" s="100"/>
      <c r="K4" s="103" t="s">
        <v>4</v>
      </c>
      <c r="L4" s="104"/>
      <c r="M4" s="65" t="s">
        <v>81</v>
      </c>
      <c r="N4" s="105"/>
      <c r="O4" s="107"/>
      <c r="P4" s="108"/>
      <c r="Q4" s="108"/>
      <c r="R4" s="109"/>
    </row>
    <row r="5" spans="1:32" s="4" customFormat="1" ht="15" customHeight="1">
      <c r="A5" s="113" t="s">
        <v>5</v>
      </c>
      <c r="B5" s="114"/>
      <c r="C5" s="91" t="s">
        <v>6</v>
      </c>
      <c r="D5" s="92"/>
      <c r="E5" s="93"/>
      <c r="F5" s="94" t="s">
        <v>7</v>
      </c>
      <c r="G5" s="115"/>
      <c r="H5" s="91" t="s">
        <v>82</v>
      </c>
      <c r="I5" s="92"/>
      <c r="J5" s="93"/>
      <c r="K5" s="116" t="s">
        <v>9</v>
      </c>
      <c r="L5" s="117"/>
      <c r="M5" s="66" t="s">
        <v>102</v>
      </c>
      <c r="N5" s="106"/>
      <c r="O5" s="110"/>
      <c r="P5" s="111"/>
      <c r="Q5" s="111"/>
      <c r="R5" s="112"/>
    </row>
    <row r="6" spans="1:32" s="4" customFormat="1" ht="15" customHeight="1">
      <c r="A6" s="113" t="s">
        <v>11</v>
      </c>
      <c r="B6" s="114"/>
      <c r="C6" s="154" t="s">
        <v>12</v>
      </c>
      <c r="D6" s="155"/>
      <c r="E6" s="156"/>
      <c r="F6" s="94" t="s">
        <v>13</v>
      </c>
      <c r="G6" s="115"/>
      <c r="H6" s="91" t="s">
        <v>14</v>
      </c>
      <c r="I6" s="92"/>
      <c r="J6" s="93"/>
      <c r="K6" s="94" t="s">
        <v>15</v>
      </c>
      <c r="L6" s="95"/>
      <c r="M6" s="66">
        <v>1</v>
      </c>
      <c r="N6" s="6"/>
      <c r="O6" s="120"/>
      <c r="P6" s="121"/>
      <c r="Q6" s="6" t="s">
        <v>16</v>
      </c>
      <c r="R6" s="75" t="s">
        <v>100</v>
      </c>
    </row>
    <row r="7" spans="1:32" s="4" customFormat="1" ht="15" customHeight="1">
      <c r="A7" s="122" t="s">
        <v>17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4"/>
      <c r="M7" s="125" t="s">
        <v>98</v>
      </c>
      <c r="N7" s="126"/>
      <c r="O7" s="126"/>
      <c r="P7" s="126"/>
      <c r="Q7" s="127"/>
      <c r="R7" s="68" t="s">
        <v>99</v>
      </c>
    </row>
    <row r="8" spans="1:32" s="4" customFormat="1" ht="15" customHeight="1">
      <c r="A8" s="8" t="s">
        <v>18</v>
      </c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128" t="s">
        <v>77</v>
      </c>
      <c r="M8" s="131">
        <v>29.4</v>
      </c>
      <c r="N8" s="132"/>
      <c r="O8" s="9" t="s">
        <v>19</v>
      </c>
      <c r="P8" s="10" t="s">
        <v>20</v>
      </c>
      <c r="Q8" s="10" t="s">
        <v>21</v>
      </c>
      <c r="R8" s="10" t="s">
        <v>22</v>
      </c>
    </row>
    <row r="9" spans="1:32" s="4" customFormat="1" ht="15" customHeight="1">
      <c r="A9" s="8">
        <v>1</v>
      </c>
      <c r="B9" s="64">
        <v>27.5</v>
      </c>
      <c r="C9" s="64">
        <v>27.1</v>
      </c>
      <c r="D9" s="64">
        <v>26.3</v>
      </c>
      <c r="E9" s="64">
        <v>27.4</v>
      </c>
      <c r="F9" s="64">
        <v>27.1</v>
      </c>
      <c r="G9" s="64">
        <v>27.1</v>
      </c>
      <c r="H9" s="64">
        <v>27.4</v>
      </c>
      <c r="I9" s="64">
        <v>26.8</v>
      </c>
      <c r="J9" s="64">
        <v>28</v>
      </c>
      <c r="K9" s="64">
        <v>27.1</v>
      </c>
      <c r="L9" s="129"/>
      <c r="M9" s="133"/>
      <c r="N9" s="134"/>
      <c r="O9" s="12" t="s">
        <v>23</v>
      </c>
      <c r="P9" s="6">
        <v>1.123</v>
      </c>
      <c r="Q9" s="12" t="s">
        <v>24</v>
      </c>
      <c r="R9" s="12" t="s">
        <v>25</v>
      </c>
      <c r="S9" s="13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1:32" s="4" customFormat="1" ht="15" customHeight="1">
      <c r="A10" s="8">
        <v>2</v>
      </c>
      <c r="B10" s="64">
        <v>28.1</v>
      </c>
      <c r="C10" s="64">
        <v>27.3</v>
      </c>
      <c r="D10" s="64">
        <v>27.2</v>
      </c>
      <c r="E10" s="64">
        <v>27.2</v>
      </c>
      <c r="F10" s="64">
        <v>27.1</v>
      </c>
      <c r="G10" s="64">
        <v>26.9</v>
      </c>
      <c r="H10" s="64">
        <v>27</v>
      </c>
      <c r="I10" s="64">
        <v>27.4</v>
      </c>
      <c r="J10" s="64">
        <v>26.9</v>
      </c>
      <c r="K10" s="64">
        <v>27.3</v>
      </c>
      <c r="L10" s="130"/>
      <c r="M10" s="135"/>
      <c r="N10" s="136"/>
      <c r="O10" s="12" t="s">
        <v>26</v>
      </c>
      <c r="P10" s="6">
        <v>1.1279999999999999</v>
      </c>
      <c r="Q10" s="12" t="s">
        <v>27</v>
      </c>
      <c r="R10" s="12" t="s">
        <v>25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 s="4" customFormat="1" ht="15" customHeight="1">
      <c r="A11" s="15">
        <v>3</v>
      </c>
      <c r="B11" s="64">
        <v>26.2</v>
      </c>
      <c r="C11" s="64">
        <v>27</v>
      </c>
      <c r="D11" s="64">
        <v>26.5</v>
      </c>
      <c r="E11" s="64">
        <v>27.9</v>
      </c>
      <c r="F11" s="64">
        <v>27.1</v>
      </c>
      <c r="G11" s="64">
        <v>27.4</v>
      </c>
      <c r="H11" s="64">
        <v>26.9</v>
      </c>
      <c r="I11" s="64">
        <v>26.9</v>
      </c>
      <c r="J11" s="64">
        <v>27.2</v>
      </c>
      <c r="K11" s="64">
        <v>27.4</v>
      </c>
      <c r="L11" s="128" t="s">
        <v>78</v>
      </c>
      <c r="M11" s="131">
        <v>25.2</v>
      </c>
      <c r="N11" s="132"/>
      <c r="O11" s="16" t="s">
        <v>28</v>
      </c>
      <c r="P11" s="17">
        <v>1.6930000000000001</v>
      </c>
      <c r="Q11" s="12" t="s">
        <v>29</v>
      </c>
      <c r="R11" s="12" t="s">
        <v>30</v>
      </c>
      <c r="T11" s="14" t="s">
        <v>31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2" s="4" customFormat="1" ht="15" customHeight="1">
      <c r="A12" s="18">
        <v>4</v>
      </c>
      <c r="B12" s="64">
        <v>27.4</v>
      </c>
      <c r="C12" s="64">
        <v>26.8</v>
      </c>
      <c r="D12" s="64">
        <v>27.3</v>
      </c>
      <c r="E12" s="64">
        <v>26.9</v>
      </c>
      <c r="F12" s="64">
        <v>27</v>
      </c>
      <c r="G12" s="64">
        <v>27.2</v>
      </c>
      <c r="H12" s="64">
        <v>26.9</v>
      </c>
      <c r="I12" s="64">
        <v>27.5</v>
      </c>
      <c r="J12" s="64">
        <v>26.9</v>
      </c>
      <c r="K12" s="64">
        <v>26.8</v>
      </c>
      <c r="L12" s="137"/>
      <c r="M12" s="133"/>
      <c r="N12" s="134"/>
      <c r="O12" s="12" t="s">
        <v>32</v>
      </c>
      <c r="P12" s="6">
        <v>2.0590000000000002</v>
      </c>
      <c r="Q12" s="12" t="s">
        <v>33</v>
      </c>
      <c r="R12" s="12" t="s">
        <v>34</v>
      </c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4"/>
      <c r="AE12" s="14"/>
      <c r="AF12" s="14"/>
    </row>
    <row r="13" spans="1:32" s="4" customFormat="1" ht="15" customHeight="1">
      <c r="A13" s="20">
        <v>5</v>
      </c>
      <c r="B13" s="64">
        <v>27.6</v>
      </c>
      <c r="C13" s="64">
        <v>28</v>
      </c>
      <c r="D13" s="64">
        <v>27.2</v>
      </c>
      <c r="E13" s="64">
        <v>27.4</v>
      </c>
      <c r="F13" s="64">
        <v>26.8</v>
      </c>
      <c r="G13" s="64">
        <v>26.8</v>
      </c>
      <c r="H13" s="64">
        <v>27.2</v>
      </c>
      <c r="I13" s="64">
        <v>26.9</v>
      </c>
      <c r="J13" s="64">
        <v>26.7</v>
      </c>
      <c r="K13" s="64">
        <v>27.3</v>
      </c>
      <c r="L13" s="138"/>
      <c r="M13" s="135"/>
      <c r="N13" s="136"/>
      <c r="O13" s="21" t="s">
        <v>35</v>
      </c>
      <c r="P13" s="22">
        <v>2.3260000000000001</v>
      </c>
      <c r="Q13" s="12" t="s">
        <v>36</v>
      </c>
      <c r="R13" s="12" t="s">
        <v>37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4"/>
      <c r="AE13" s="14"/>
      <c r="AF13" s="14"/>
    </row>
    <row r="14" spans="1:32" s="4" customFormat="1" ht="15" customHeight="1">
      <c r="A14" s="122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40"/>
      <c r="S14" s="14"/>
      <c r="T14" s="14"/>
      <c r="U14" s="14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s="4" customFormat="1" ht="15" customHeight="1">
      <c r="A15" s="141" t="s">
        <v>38</v>
      </c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3"/>
      <c r="S15" s="14"/>
      <c r="T15" s="14"/>
      <c r="U15" s="14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s="4" customFormat="1" ht="15" customHeight="1">
      <c r="A16" s="23" t="s">
        <v>39</v>
      </c>
      <c r="B16" s="24">
        <f t="shared" ref="B16:K16" si="0">MAX(B9:B13)</f>
        <v>28.1</v>
      </c>
      <c r="C16" s="24">
        <f t="shared" si="0"/>
        <v>28</v>
      </c>
      <c r="D16" s="24">
        <f t="shared" si="0"/>
        <v>27.3</v>
      </c>
      <c r="E16" s="24">
        <f t="shared" si="0"/>
        <v>27.9</v>
      </c>
      <c r="F16" s="24">
        <f t="shared" si="0"/>
        <v>27.1</v>
      </c>
      <c r="G16" s="24">
        <f t="shared" si="0"/>
        <v>27.4</v>
      </c>
      <c r="H16" s="24">
        <f t="shared" si="0"/>
        <v>27.4</v>
      </c>
      <c r="I16" s="24">
        <f>MAX(I9:I13)</f>
        <v>27.5</v>
      </c>
      <c r="J16" s="24">
        <f t="shared" si="0"/>
        <v>28</v>
      </c>
      <c r="K16" s="25">
        <f t="shared" si="0"/>
        <v>27.4</v>
      </c>
      <c r="L16" s="6" t="s">
        <v>40</v>
      </c>
      <c r="M16" s="26">
        <f>(MAX(B16:K16))</f>
        <v>28.1</v>
      </c>
      <c r="N16" s="144" t="s">
        <v>41</v>
      </c>
      <c r="O16" s="145"/>
      <c r="P16" s="146"/>
      <c r="Q16" s="150">
        <f>SUM(Q18:R19)</f>
        <v>0</v>
      </c>
      <c r="R16" s="152" t="s">
        <v>42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4"/>
      <c r="AE16" s="14"/>
      <c r="AF16" s="14"/>
    </row>
    <row r="17" spans="1:32" s="4" customFormat="1" ht="15" customHeight="1">
      <c r="A17" s="27" t="s">
        <v>43</v>
      </c>
      <c r="B17" s="25">
        <f t="shared" ref="B17:J17" si="1">MIN(B9:B13)</f>
        <v>26.2</v>
      </c>
      <c r="C17" s="24">
        <f>MIN(C9:C13)</f>
        <v>26.8</v>
      </c>
      <c r="D17" s="25">
        <f t="shared" si="1"/>
        <v>26.3</v>
      </c>
      <c r="E17" s="25">
        <f t="shared" si="1"/>
        <v>26.9</v>
      </c>
      <c r="F17" s="25">
        <f t="shared" si="1"/>
        <v>26.8</v>
      </c>
      <c r="G17" s="25">
        <f>MIN(G9:G13)</f>
        <v>26.8</v>
      </c>
      <c r="H17" s="25">
        <f t="shared" si="1"/>
        <v>26.9</v>
      </c>
      <c r="I17" s="24">
        <f>MIN(I9:I13)</f>
        <v>26.8</v>
      </c>
      <c r="J17" s="25">
        <f t="shared" si="1"/>
        <v>26.7</v>
      </c>
      <c r="K17" s="25">
        <f>MIN(K9:K13)</f>
        <v>26.8</v>
      </c>
      <c r="L17" s="6" t="s">
        <v>44</v>
      </c>
      <c r="M17" s="26">
        <f>MIN(B17:K17)</f>
        <v>26.2</v>
      </c>
      <c r="N17" s="147"/>
      <c r="O17" s="148"/>
      <c r="P17" s="149"/>
      <c r="Q17" s="151"/>
      <c r="R17" s="15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:32" s="4" customFormat="1" ht="15" customHeight="1">
      <c r="A18" s="28" t="s">
        <v>45</v>
      </c>
      <c r="B18" s="29">
        <f t="shared" ref="B18:K18" si="2">SUM(MAX(B9:B13)-MIN(B9:B13))</f>
        <v>1.9000000000000021</v>
      </c>
      <c r="C18" s="29">
        <f t="shared" si="2"/>
        <v>1.1999999999999993</v>
      </c>
      <c r="D18" s="29">
        <f t="shared" si="2"/>
        <v>1</v>
      </c>
      <c r="E18" s="29">
        <f t="shared" si="2"/>
        <v>1</v>
      </c>
      <c r="F18" s="29">
        <f t="shared" si="2"/>
        <v>0.30000000000000071</v>
      </c>
      <c r="G18" s="29">
        <f>SUM(MAX(G9:G13)-MIN(G9:G13))</f>
        <v>0.59999999999999787</v>
      </c>
      <c r="H18" s="29">
        <f t="shared" si="2"/>
        <v>0.5</v>
      </c>
      <c r="I18" s="29">
        <f t="shared" si="2"/>
        <v>0.69999999999999929</v>
      </c>
      <c r="J18" s="29">
        <f t="shared" si="2"/>
        <v>1.3000000000000007</v>
      </c>
      <c r="K18" s="25">
        <f t="shared" si="2"/>
        <v>0.59999999999999787</v>
      </c>
      <c r="L18" s="30" t="s">
        <v>46</v>
      </c>
      <c r="M18" s="31">
        <f>AVERAGE(B18:K18)</f>
        <v>0.90999999999999981</v>
      </c>
      <c r="N18" s="118" t="s">
        <v>47</v>
      </c>
      <c r="O18" s="119"/>
      <c r="P18" s="119"/>
      <c r="Q18" s="32">
        <f>COUNTIF(B9:K13,"&gt;"&amp;TEXT(M8,"0.000000"))</f>
        <v>0</v>
      </c>
      <c r="R18" s="33" t="s">
        <v>42</v>
      </c>
      <c r="U18" s="34"/>
    </row>
    <row r="19" spans="1:32" s="4" customFormat="1" ht="15" customHeight="1">
      <c r="A19" s="6" t="s">
        <v>48</v>
      </c>
      <c r="B19" s="25">
        <f>(AVERAGE(B9:B13))</f>
        <v>27.359999999999996</v>
      </c>
      <c r="C19" s="25">
        <f t="shared" ref="C19:K19" si="3">AVERAGE(C9:C13)</f>
        <v>27.24</v>
      </c>
      <c r="D19" s="25">
        <f t="shared" si="3"/>
        <v>26.9</v>
      </c>
      <c r="E19" s="25">
        <f t="shared" si="3"/>
        <v>27.360000000000003</v>
      </c>
      <c r="F19" s="25">
        <f t="shared" si="3"/>
        <v>27.020000000000003</v>
      </c>
      <c r="G19" s="25">
        <f>AVERAGE(G9:G13)</f>
        <v>27.080000000000002</v>
      </c>
      <c r="H19" s="25">
        <f t="shared" si="3"/>
        <v>27.079999999999995</v>
      </c>
      <c r="I19" s="25">
        <f t="shared" si="3"/>
        <v>27.1</v>
      </c>
      <c r="J19" s="25">
        <f t="shared" si="3"/>
        <v>27.139999999999997</v>
      </c>
      <c r="K19" s="25">
        <f t="shared" si="3"/>
        <v>27.18</v>
      </c>
      <c r="L19" s="30" t="s">
        <v>49</v>
      </c>
      <c r="M19" s="35">
        <f>ROUNDUP(AVERAGE(B9:K13),4)</f>
        <v>27.146000000000001</v>
      </c>
      <c r="N19" s="118" t="s">
        <v>50</v>
      </c>
      <c r="O19" s="157"/>
      <c r="P19" s="157"/>
      <c r="Q19" s="36">
        <f>COUNTIF(B9:K13,"&lt;"&amp;TEXT(M11,"0.000000"))</f>
        <v>0</v>
      </c>
      <c r="R19" s="37" t="s">
        <v>42</v>
      </c>
    </row>
    <row r="20" spans="1:32" s="4" customFormat="1" ht="15" customHeight="1">
      <c r="A20" s="113" t="s">
        <v>51</v>
      </c>
      <c r="B20" s="158"/>
      <c r="C20" s="158"/>
      <c r="D20" s="159">
        <f>ROUNDUP(SUM(M16-M17),4)</f>
        <v>1.9</v>
      </c>
      <c r="E20" s="160"/>
      <c r="F20" s="113" t="s">
        <v>52</v>
      </c>
      <c r="G20" s="158"/>
      <c r="H20" s="158"/>
      <c r="I20" s="159">
        <f>ROUNDUP(ABS(SUM(M8-M11)),4)</f>
        <v>4.2</v>
      </c>
      <c r="J20" s="160"/>
      <c r="K20" s="113" t="s">
        <v>53</v>
      </c>
      <c r="L20" s="158"/>
      <c r="M20" s="158"/>
      <c r="N20" s="38">
        <f>ROUNDUP(SUM((2*(N22))/I20),4)</f>
        <v>7.3400000000000007E-2</v>
      </c>
      <c r="O20" s="161" t="s">
        <v>54</v>
      </c>
      <c r="P20" s="162"/>
      <c r="Q20" s="39" t="s">
        <v>55</v>
      </c>
      <c r="R20" s="39" t="s">
        <v>56</v>
      </c>
    </row>
    <row r="21" spans="1:32" s="4" customFormat="1" ht="15" customHeight="1">
      <c r="A21" s="113" t="s">
        <v>57</v>
      </c>
      <c r="B21" s="158"/>
      <c r="C21" s="158"/>
      <c r="D21" s="159">
        <f>ROUNDUP(AVERAGE(M8:M11),4)</f>
        <v>27.3</v>
      </c>
      <c r="E21" s="160"/>
      <c r="F21" s="113" t="s">
        <v>58</v>
      </c>
      <c r="G21" s="158"/>
      <c r="H21" s="158"/>
      <c r="I21" s="163">
        <f>ROUNDUP(SUM(D20/N21),4)</f>
        <v>0.38</v>
      </c>
      <c r="J21" s="164"/>
      <c r="K21" s="113" t="s">
        <v>59</v>
      </c>
      <c r="L21" s="158"/>
      <c r="M21" s="158"/>
      <c r="N21" s="40" t="str">
        <f>IF(I22/10&lt;=5,"5",IF(I22/10&lt;=6,"6",IF(I22/10&lt;=7,"7","8")))</f>
        <v>5</v>
      </c>
      <c r="O21" s="41">
        <f>ROUNDUP(SUM(P21-I21),4)</f>
        <v>24.58</v>
      </c>
      <c r="P21" s="41">
        <f>ROUNDUP(SUM(P22-I21),4)</f>
        <v>24.96</v>
      </c>
      <c r="Q21" s="25">
        <f>SUM(R21)</f>
        <v>0</v>
      </c>
      <c r="R21" s="25">
        <f>FREQUENCY(B9:K13,P21:P22)</f>
        <v>0</v>
      </c>
    </row>
    <row r="22" spans="1:32" s="4" customFormat="1" ht="15" customHeight="1">
      <c r="A22" s="113" t="s">
        <v>60</v>
      </c>
      <c r="B22" s="158"/>
      <c r="C22" s="158"/>
      <c r="D22" s="159">
        <f>ROUNDUP(SUM(M17-(IF(M6=M33,J33,IF(M6=M34,J34,IF(M6=M35,J35,IF(M6=M36,J36,IF(M6=M37,J37))))))),4)</f>
        <v>26.1</v>
      </c>
      <c r="E22" s="160"/>
      <c r="F22" s="113" t="s">
        <v>61</v>
      </c>
      <c r="G22" s="158"/>
      <c r="H22" s="158"/>
      <c r="I22" s="159">
        <f>COUNTIF((B9:K13),"&gt;0")</f>
        <v>50</v>
      </c>
      <c r="J22" s="159"/>
      <c r="K22" s="113" t="s">
        <v>62</v>
      </c>
      <c r="L22" s="158"/>
      <c r="M22" s="158"/>
      <c r="N22" s="42">
        <f>(ABS(SUM(M19-D21)))</f>
        <v>0.15399999999999991</v>
      </c>
      <c r="O22" s="41">
        <f>ROUNDUP(SUM(P22-I21),4)</f>
        <v>24.96</v>
      </c>
      <c r="P22" s="41">
        <f>ROUNDUP(SUM(P23-I21),4)</f>
        <v>25.34</v>
      </c>
      <c r="Q22" s="25">
        <f t="shared" ref="Q22:Q32" si="4">SUM(R22-R21)</f>
        <v>0</v>
      </c>
      <c r="R22" s="25">
        <f>FREQUENCY(B9:K13,P22:P23)</f>
        <v>0</v>
      </c>
    </row>
    <row r="23" spans="1:32" s="2" customFormat="1" ht="17.100000000000001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1">
        <f>ROUNDUP(SUM(P23-I21),4)</f>
        <v>25.34</v>
      </c>
      <c r="P23" s="41">
        <f>ROUNDUP(SUM(P24-I21),4)</f>
        <v>25.72</v>
      </c>
      <c r="Q23" s="25">
        <f t="shared" si="4"/>
        <v>0</v>
      </c>
      <c r="R23" s="25">
        <f>FREQUENCY(B9:K13,P23:P24)</f>
        <v>0</v>
      </c>
    </row>
    <row r="24" spans="1:32" s="2" customFormat="1" ht="17.100000000000001" customHeight="1">
      <c r="A24" s="44" t="s">
        <v>63</v>
      </c>
      <c r="B24" s="6">
        <f>Q33</f>
        <v>27.6829</v>
      </c>
      <c r="C24" s="6">
        <f>Q33</f>
        <v>27.6829</v>
      </c>
      <c r="D24" s="6">
        <f>Q33</f>
        <v>27.6829</v>
      </c>
      <c r="E24" s="6">
        <f>Q33</f>
        <v>27.6829</v>
      </c>
      <c r="F24" s="45">
        <f>Q33</f>
        <v>27.6829</v>
      </c>
      <c r="G24" s="45">
        <f>Q33</f>
        <v>27.6829</v>
      </c>
      <c r="H24" s="45">
        <f>Q33</f>
        <v>27.6829</v>
      </c>
      <c r="I24" s="6">
        <f>Q33</f>
        <v>27.6829</v>
      </c>
      <c r="J24" s="6">
        <f>Q33</f>
        <v>27.6829</v>
      </c>
      <c r="K24" s="26">
        <f>Q33</f>
        <v>27.6829</v>
      </c>
      <c r="M24" s="46"/>
      <c r="N24" s="46"/>
      <c r="O24" s="41">
        <f>ROUNDUP(SUM(P24-I21),4)</f>
        <v>25.72</v>
      </c>
      <c r="P24" s="41">
        <f>ROUNDUP((D22),4)</f>
        <v>26.1</v>
      </c>
      <c r="Q24" s="25">
        <f t="shared" si="4"/>
        <v>0</v>
      </c>
      <c r="R24" s="25">
        <f>FREQUENCY(B9:K13,P24:P25)</f>
        <v>0</v>
      </c>
    </row>
    <row r="25" spans="1:32" s="2" customFormat="1" ht="17.100000000000001" customHeight="1">
      <c r="A25" s="47" t="s">
        <v>64</v>
      </c>
      <c r="B25" s="26">
        <f>Q34</f>
        <v>26.609100000000002</v>
      </c>
      <c r="C25" s="26">
        <f>Q34</f>
        <v>26.609100000000002</v>
      </c>
      <c r="D25" s="26">
        <f>Q34</f>
        <v>26.609100000000002</v>
      </c>
      <c r="E25" s="26">
        <f>Q34</f>
        <v>26.609100000000002</v>
      </c>
      <c r="F25" s="26">
        <f>Q34</f>
        <v>26.609100000000002</v>
      </c>
      <c r="G25" s="26">
        <f>Q34</f>
        <v>26.609100000000002</v>
      </c>
      <c r="H25" s="26">
        <f>Q34</f>
        <v>26.609100000000002</v>
      </c>
      <c r="I25" s="26">
        <f>Q34</f>
        <v>26.609100000000002</v>
      </c>
      <c r="J25" s="26">
        <f>Q34</f>
        <v>26.609100000000002</v>
      </c>
      <c r="K25" s="26">
        <f>Q34</f>
        <v>26.609100000000002</v>
      </c>
      <c r="M25" s="48"/>
      <c r="N25" s="48"/>
      <c r="O25" s="41">
        <f>ROUNDUP((D22),4)</f>
        <v>26.1</v>
      </c>
      <c r="P25" s="41">
        <f>ROUNDUP(SUM(P24+I21),4)</f>
        <v>26.48</v>
      </c>
      <c r="Q25" s="25">
        <f t="shared" si="4"/>
        <v>2</v>
      </c>
      <c r="R25" s="25">
        <f>FREQUENCY(B9:K13,P25:P26)</f>
        <v>2</v>
      </c>
    </row>
    <row r="26" spans="1:32" s="2" customFormat="1" ht="17.100000000000001" customHeight="1">
      <c r="A26" s="44" t="s">
        <v>65</v>
      </c>
      <c r="B26" s="26">
        <f>Q35</f>
        <v>1.9200999999999995</v>
      </c>
      <c r="C26" s="26">
        <f>Q35</f>
        <v>1.9200999999999995</v>
      </c>
      <c r="D26" s="26">
        <f>Q35</f>
        <v>1.9200999999999995</v>
      </c>
      <c r="E26" s="49">
        <f>Q35</f>
        <v>1.9200999999999995</v>
      </c>
      <c r="F26" s="49">
        <f>Q35</f>
        <v>1.9200999999999995</v>
      </c>
      <c r="G26" s="49">
        <f>Q35</f>
        <v>1.9200999999999995</v>
      </c>
      <c r="H26" s="26">
        <f>Q35</f>
        <v>1.9200999999999995</v>
      </c>
      <c r="I26" s="26">
        <f>Q35</f>
        <v>1.9200999999999995</v>
      </c>
      <c r="J26" s="26">
        <f>Q35</f>
        <v>1.9200999999999995</v>
      </c>
      <c r="K26" s="26">
        <f>Q35</f>
        <v>1.9200999999999995</v>
      </c>
      <c r="M26" s="48"/>
      <c r="N26" s="48"/>
      <c r="O26" s="41">
        <f>ROUNDUP(SUM(P24+I21),4)</f>
        <v>26.48</v>
      </c>
      <c r="P26" s="41">
        <f>ROUNDUP(SUM(P25+I21),4)</f>
        <v>26.86</v>
      </c>
      <c r="Q26" s="25">
        <f t="shared" si="4"/>
        <v>7</v>
      </c>
      <c r="R26" s="25">
        <f>FREQUENCY(B9:K13,P26:P27)</f>
        <v>9</v>
      </c>
    </row>
    <row r="27" spans="1:32" s="2" customFormat="1" ht="17.100000000000001" customHeight="1">
      <c r="A27" s="44" t="s">
        <v>64</v>
      </c>
      <c r="B27" s="49">
        <f>Q36</f>
        <v>0</v>
      </c>
      <c r="C27" s="49">
        <f>Q36</f>
        <v>0</v>
      </c>
      <c r="D27" s="49">
        <f>Q36</f>
        <v>0</v>
      </c>
      <c r="E27" s="49">
        <f>Q36</f>
        <v>0</v>
      </c>
      <c r="F27" s="49">
        <f>Q36</f>
        <v>0</v>
      </c>
      <c r="G27" s="49">
        <f>Q36</f>
        <v>0</v>
      </c>
      <c r="H27" s="49">
        <f>Q36</f>
        <v>0</v>
      </c>
      <c r="I27" s="49">
        <f>Q36</f>
        <v>0</v>
      </c>
      <c r="J27" s="49">
        <f>Q36</f>
        <v>0</v>
      </c>
      <c r="K27" s="26">
        <f>Q36</f>
        <v>0</v>
      </c>
      <c r="M27" s="48"/>
      <c r="N27" s="48"/>
      <c r="O27" s="41">
        <f>ROUNDUP(SUM(P25+I21),4)</f>
        <v>26.86</v>
      </c>
      <c r="P27" s="41">
        <f>ROUNDUP(SUM(P26+I21),4)</f>
        <v>27.24</v>
      </c>
      <c r="Q27" s="25">
        <v>0</v>
      </c>
      <c r="R27" s="25">
        <f>FREQUENCY(B9:K13,P27:P28)</f>
        <v>32</v>
      </c>
    </row>
    <row r="28" spans="1:32" s="2" customFormat="1" ht="17.100000000000001" customHeight="1">
      <c r="A28" s="44" t="s">
        <v>66</v>
      </c>
      <c r="B28" s="26">
        <f>ROUNDUP(AVERAGE(B9:K13),4)</f>
        <v>27.146000000000001</v>
      </c>
      <c r="C28" s="26">
        <f>ROUNDUP(AVERAGE(B9:K13),4)</f>
        <v>27.146000000000001</v>
      </c>
      <c r="D28" s="26">
        <f>ROUNDUP(AVERAGE(B9:K13),4)</f>
        <v>27.146000000000001</v>
      </c>
      <c r="E28" s="49">
        <f>ROUNDUP(AVERAGE(B9:K13),4)</f>
        <v>27.146000000000001</v>
      </c>
      <c r="F28" s="49">
        <f>ROUNDUP(AVERAGE(B9:K13),4)</f>
        <v>27.146000000000001</v>
      </c>
      <c r="G28" s="49">
        <f>ROUNDUP(AVERAGE(B9:K13),4)</f>
        <v>27.146000000000001</v>
      </c>
      <c r="H28" s="26">
        <f>ROUNDUP(AVERAGE(B9:K13),4)</f>
        <v>27.146000000000001</v>
      </c>
      <c r="I28" s="26">
        <f>ROUNDUP(AVERAGE(B9:K13),4)</f>
        <v>27.146000000000001</v>
      </c>
      <c r="J28" s="26">
        <f>ROUNDUP(AVERAGE(B9:K13),4)</f>
        <v>27.146000000000001</v>
      </c>
      <c r="K28" s="26">
        <f>ROUNDUP(AVERAGE(B9:K13),4)</f>
        <v>27.146000000000001</v>
      </c>
      <c r="M28" s="48"/>
      <c r="N28" s="48"/>
      <c r="O28" s="41">
        <f>ROUNDUP(SUM(P26+I21),4)</f>
        <v>27.24</v>
      </c>
      <c r="P28" s="41">
        <f>ROUNDUP(SUM(P27+I21),4)</f>
        <v>27.62</v>
      </c>
      <c r="Q28" s="6">
        <f t="shared" si="4"/>
        <v>14</v>
      </c>
      <c r="R28" s="25">
        <f>FREQUENCY(B9:K13,P28:P29)</f>
        <v>46</v>
      </c>
    </row>
    <row r="29" spans="1:32" ht="17.100000000000001" customHeight="1">
      <c r="A29" s="44" t="s">
        <v>67</v>
      </c>
      <c r="B29" s="26">
        <f>AVERAGE(B18:K18)</f>
        <v>0.90999999999999981</v>
      </c>
      <c r="C29" s="26">
        <f>AVERAGE(B18:K18)</f>
        <v>0.90999999999999981</v>
      </c>
      <c r="D29" s="26">
        <f>AVERAGE(B18:K18)</f>
        <v>0.90999999999999981</v>
      </c>
      <c r="E29" s="26">
        <f>AVERAGE(B18:K18)</f>
        <v>0.90999999999999981</v>
      </c>
      <c r="F29" s="26">
        <f>AVERAGE(B18:K18)</f>
        <v>0.90999999999999981</v>
      </c>
      <c r="G29" s="26">
        <f>AVERAGE(B18:K18)</f>
        <v>0.90999999999999981</v>
      </c>
      <c r="H29" s="26">
        <f>AVERAGE(B18:K18)</f>
        <v>0.90999999999999981</v>
      </c>
      <c r="I29" s="26">
        <f>AVERAGE(B18:K18)</f>
        <v>0.90999999999999981</v>
      </c>
      <c r="J29" s="26">
        <f>AVERAGE(B18:K18)</f>
        <v>0.90999999999999981</v>
      </c>
      <c r="K29" s="26">
        <f>AVERAGE(B18:K18)</f>
        <v>0.90999999999999981</v>
      </c>
      <c r="M29" s="48"/>
      <c r="N29" s="48"/>
      <c r="O29" s="41">
        <f>ROUNDUP(SUM(P27+I21),4)</f>
        <v>27.62</v>
      </c>
      <c r="P29" s="41">
        <f>ROUNDUP(SUM(P28+I21),4)</f>
        <v>28</v>
      </c>
      <c r="Q29" s="6">
        <f t="shared" si="4"/>
        <v>3</v>
      </c>
      <c r="R29" s="25">
        <f>FREQUENCY(B9:K13,P29:P30)</f>
        <v>49</v>
      </c>
    </row>
    <row r="30" spans="1:32" ht="17.100000000000001" customHeight="1">
      <c r="A30" s="14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48"/>
      <c r="M30" s="48"/>
      <c r="N30" s="48"/>
      <c r="O30" s="41">
        <f>ROUNDUP(SUM(P28+I21),4)</f>
        <v>28</v>
      </c>
      <c r="P30" s="41">
        <f>ROUNDUP(SUM(P29+I21),4)</f>
        <v>28.38</v>
      </c>
      <c r="Q30" s="6">
        <f t="shared" si="4"/>
        <v>1</v>
      </c>
      <c r="R30" s="25">
        <f>FREQUENCY(B9:K13,P30:P31)</f>
        <v>50</v>
      </c>
    </row>
    <row r="31" spans="1:32" ht="17.100000000000001" customHeight="1">
      <c r="A31" s="43"/>
      <c r="B31" s="43"/>
      <c r="C31" s="19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1">
        <f>ROUNDUP(SUM(P29+I21),4)</f>
        <v>28.38</v>
      </c>
      <c r="P31" s="41">
        <f>ROUNDUP(SUM(P30+I21),4)</f>
        <v>28.76</v>
      </c>
      <c r="Q31" s="6">
        <f t="shared" si="4"/>
        <v>0</v>
      </c>
      <c r="R31" s="25">
        <f>FREQUENCY(B9:K13,P31:P32)</f>
        <v>50</v>
      </c>
    </row>
    <row r="32" spans="1:32" ht="17.100000000000001" customHeight="1">
      <c r="A32" s="14"/>
      <c r="B32" s="14"/>
      <c r="C32" s="14"/>
      <c r="D32" s="14"/>
      <c r="E32" s="14"/>
      <c r="F32" s="51"/>
      <c r="G32" s="51"/>
      <c r="H32" s="51"/>
      <c r="I32" s="14"/>
      <c r="J32" s="165" t="s">
        <v>68</v>
      </c>
      <c r="K32" s="159"/>
      <c r="L32" s="160"/>
      <c r="M32" s="52" t="s">
        <v>69</v>
      </c>
      <c r="N32" s="46"/>
      <c r="O32" s="41">
        <f>ROUNDUP(SUM(P30+I21),4)</f>
        <v>28.76</v>
      </c>
      <c r="P32" s="41">
        <f>ROUNDUP(SUM(P31+I21),4)</f>
        <v>29.14</v>
      </c>
      <c r="Q32" s="6">
        <f t="shared" si="4"/>
        <v>0</v>
      </c>
      <c r="R32" s="25">
        <f>FREQUENCY(B9:K13,P32:P32)</f>
        <v>50</v>
      </c>
    </row>
    <row r="33" spans="1:19" ht="17.100000000000001" customHeight="1">
      <c r="A33" s="14"/>
      <c r="B33" s="19"/>
      <c r="C33" s="19"/>
      <c r="D33" s="19"/>
      <c r="E33" s="19"/>
      <c r="F33" s="19"/>
      <c r="G33" s="19"/>
      <c r="H33" s="19"/>
      <c r="I33" s="19"/>
      <c r="J33" s="165">
        <v>1</v>
      </c>
      <c r="K33" s="159"/>
      <c r="L33" s="160"/>
      <c r="M33" s="52">
        <v>0</v>
      </c>
      <c r="N33" s="48"/>
      <c r="O33" s="113" t="s">
        <v>70</v>
      </c>
      <c r="P33" s="166"/>
      <c r="Q33" s="167">
        <f>(M19+(Q13*M18))</f>
        <v>27.6829</v>
      </c>
      <c r="R33" s="168"/>
      <c r="S33" s="53"/>
    </row>
    <row r="34" spans="1:19" ht="17.100000000000001" customHeight="1">
      <c r="A34" s="14"/>
      <c r="B34" s="19"/>
      <c r="C34" s="19"/>
      <c r="D34" s="19"/>
      <c r="E34" s="19"/>
      <c r="F34" s="19"/>
      <c r="G34" s="19"/>
      <c r="H34" s="19"/>
      <c r="I34" s="19"/>
      <c r="J34" s="165">
        <v>0.1</v>
      </c>
      <c r="K34" s="159"/>
      <c r="L34" s="160"/>
      <c r="M34" s="52">
        <v>1</v>
      </c>
      <c r="N34" s="48"/>
      <c r="O34" s="169" t="s">
        <v>71</v>
      </c>
      <c r="P34" s="166"/>
      <c r="Q34" s="170">
        <f>(M19-(Q13*M18))</f>
        <v>26.609100000000002</v>
      </c>
      <c r="R34" s="168"/>
    </row>
    <row r="35" spans="1:19" ht="17.100000000000001" customHeight="1">
      <c r="A35" s="14"/>
      <c r="B35" s="19"/>
      <c r="C35" s="19"/>
      <c r="D35" s="19"/>
      <c r="E35" s="19"/>
      <c r="F35" s="19"/>
      <c r="G35" s="19"/>
      <c r="H35" s="19"/>
      <c r="I35" s="19"/>
      <c r="J35" s="165">
        <v>0.01</v>
      </c>
      <c r="K35" s="159"/>
      <c r="L35" s="160"/>
      <c r="M35" s="52">
        <v>2</v>
      </c>
      <c r="N35" s="48"/>
      <c r="O35" s="113" t="s">
        <v>72</v>
      </c>
      <c r="P35" s="166"/>
      <c r="Q35" s="171">
        <f>M18*R13</f>
        <v>1.9200999999999995</v>
      </c>
      <c r="R35" s="168"/>
    </row>
    <row r="36" spans="1:19" ht="17.100000000000001" customHeight="1">
      <c r="A36" s="14"/>
      <c r="B36" s="19"/>
      <c r="C36" s="19"/>
      <c r="D36" s="19"/>
      <c r="E36" s="19"/>
      <c r="F36" s="19"/>
      <c r="G36" s="19"/>
      <c r="H36" s="19"/>
      <c r="I36" s="19"/>
      <c r="J36" s="165">
        <v>1E-3</v>
      </c>
      <c r="K36" s="159"/>
      <c r="L36" s="160"/>
      <c r="M36" s="55">
        <v>3</v>
      </c>
      <c r="N36" s="48"/>
      <c r="O36" s="113" t="s">
        <v>73</v>
      </c>
      <c r="P36" s="166"/>
      <c r="Q36" s="172">
        <f>M18*0</f>
        <v>0</v>
      </c>
      <c r="R36" s="127"/>
    </row>
    <row r="37" spans="1:19" s="59" customFormat="1" ht="17.100000000000001" customHeight="1">
      <c r="A37" s="56"/>
      <c r="B37" s="57"/>
      <c r="C37" s="56"/>
      <c r="D37" s="58"/>
      <c r="E37" s="58"/>
      <c r="F37" s="58"/>
      <c r="G37" s="58"/>
      <c r="H37" s="58"/>
      <c r="I37" s="58"/>
      <c r="J37" s="183">
        <v>1E-4</v>
      </c>
      <c r="K37" s="183"/>
      <c r="L37" s="183"/>
      <c r="M37" s="55">
        <v>4</v>
      </c>
      <c r="N37" s="58"/>
      <c r="O37" s="184" t="s">
        <v>74</v>
      </c>
      <c r="P37" s="185"/>
      <c r="Q37" s="186">
        <f>STDEV(B9:K13)</f>
        <v>0.38714549287452804</v>
      </c>
      <c r="R37" s="127"/>
    </row>
    <row r="38" spans="1:19" ht="17.100000000000001" customHeight="1">
      <c r="A38" s="57"/>
      <c r="B38" s="57"/>
      <c r="C38" s="58"/>
      <c r="D38" s="58"/>
      <c r="E38" s="58"/>
      <c r="F38" s="58"/>
      <c r="G38" s="58"/>
      <c r="H38" s="58"/>
      <c r="I38" s="58"/>
      <c r="J38" s="60"/>
      <c r="K38" s="58"/>
      <c r="L38" s="58"/>
      <c r="N38" s="58"/>
      <c r="O38" s="187" t="s">
        <v>86</v>
      </c>
      <c r="P38" s="188"/>
      <c r="Q38" s="186">
        <f>ROUNDUP(SUM(I20/(6*Q37)),4)</f>
        <v>1.8082</v>
      </c>
      <c r="R38" s="168"/>
    </row>
    <row r="39" spans="1:19" ht="15.75" customHeight="1">
      <c r="A39" s="173" t="s">
        <v>75</v>
      </c>
      <c r="B39" s="173"/>
      <c r="C39" s="174" t="str">
        <f>IF(OR(AND(Q38&gt;=0,Q38&lt;=0.5),AND(Q39&gt;=0,Q39&lt;=0.5)),"PROCESS IS VERY POOR TAKE IMMEDIATE ACTION",IF(OR(AND(Q38&gt;0.5,Q38&lt;=1.33),AND(Q39&gt;0.5,Q39&lt;=1.33)),"PROCESS NEEDS CORRECTION ,Cp &amp; Cpk SHOULD BE &gt;=1.33",IF(OR(AND(Q38&gt;1,Q38&lt;=1.67),AND(Q39&gt;1,Q39&lt;=1.67)),"PROCESS IS GOOD BUT STILL IMPROVEMENT IS REQIURED","PROCESS IS EXCELLENT")))</f>
        <v>PROCESS IS EXCELLENT</v>
      </c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6"/>
      <c r="O39" s="187" t="s">
        <v>85</v>
      </c>
      <c r="P39" s="188"/>
      <c r="Q39" s="186">
        <f>ROUNDUP(SUM((1-N20)*Q38),4)</f>
        <v>1.6755</v>
      </c>
      <c r="R39" s="168"/>
    </row>
    <row r="40" spans="1:19" ht="15.75" customHeight="1">
      <c r="A40" s="173"/>
      <c r="B40" s="173"/>
      <c r="C40" s="177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9"/>
      <c r="O40" s="189" t="s">
        <v>76</v>
      </c>
      <c r="P40" s="190"/>
      <c r="Q40" s="191" t="s">
        <v>89</v>
      </c>
      <c r="R40" s="192"/>
    </row>
    <row r="41" spans="1:19" ht="15.75" customHeight="1">
      <c r="A41" s="173"/>
      <c r="B41" s="173"/>
      <c r="C41" s="180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2"/>
      <c r="O41" s="189" t="s">
        <v>84</v>
      </c>
      <c r="P41" s="190"/>
      <c r="Q41" s="191" t="s">
        <v>90</v>
      </c>
      <c r="R41" s="192"/>
    </row>
    <row r="42" spans="1:19">
      <c r="M42" s="62"/>
      <c r="P42" s="63"/>
    </row>
  </sheetData>
  <mergeCells count="76">
    <mergeCell ref="A39:B41"/>
    <mergeCell ref="C39:N41"/>
    <mergeCell ref="J37:L37"/>
    <mergeCell ref="O37:P37"/>
    <mergeCell ref="Q37:R37"/>
    <mergeCell ref="O38:P38"/>
    <mergeCell ref="Q38:R38"/>
    <mergeCell ref="O39:P39"/>
    <mergeCell ref="Q39:R39"/>
    <mergeCell ref="O40:P40"/>
    <mergeCell ref="Q40:R40"/>
    <mergeCell ref="O41:P41"/>
    <mergeCell ref="Q41:R41"/>
    <mergeCell ref="J35:L35"/>
    <mergeCell ref="O35:P35"/>
    <mergeCell ref="Q35:R35"/>
    <mergeCell ref="J36:L36"/>
    <mergeCell ref="O36:P36"/>
    <mergeCell ref="Q36:R36"/>
    <mergeCell ref="J32:L32"/>
    <mergeCell ref="J33:L33"/>
    <mergeCell ref="O33:P33"/>
    <mergeCell ref="Q33:R33"/>
    <mergeCell ref="J34:L34"/>
    <mergeCell ref="O34:P34"/>
    <mergeCell ref="Q34:R34"/>
    <mergeCell ref="A21:C21"/>
    <mergeCell ref="D21:E21"/>
    <mergeCell ref="F21:H21"/>
    <mergeCell ref="I21:J21"/>
    <mergeCell ref="K21:M21"/>
    <mergeCell ref="A22:C22"/>
    <mergeCell ref="D22:E22"/>
    <mergeCell ref="F22:H22"/>
    <mergeCell ref="I22:J22"/>
    <mergeCell ref="K22:M22"/>
    <mergeCell ref="F6:G6"/>
    <mergeCell ref="N19:P19"/>
    <mergeCell ref="A20:C20"/>
    <mergeCell ref="D20:E20"/>
    <mergeCell ref="F20:H20"/>
    <mergeCell ref="I20:J20"/>
    <mergeCell ref="K20:M20"/>
    <mergeCell ref="O20:P20"/>
    <mergeCell ref="K5:L5"/>
    <mergeCell ref="N18:P18"/>
    <mergeCell ref="O6:P6"/>
    <mergeCell ref="A7:L7"/>
    <mergeCell ref="M7:Q7"/>
    <mergeCell ref="L8:L10"/>
    <mergeCell ref="M8:N10"/>
    <mergeCell ref="L11:L13"/>
    <mergeCell ref="M11:N13"/>
    <mergeCell ref="A14:R14"/>
    <mergeCell ref="A15:R15"/>
    <mergeCell ref="N16:P17"/>
    <mergeCell ref="Q16:Q17"/>
    <mergeCell ref="R16:R17"/>
    <mergeCell ref="A6:B6"/>
    <mergeCell ref="C6:E6"/>
    <mergeCell ref="A1:B3"/>
    <mergeCell ref="C1:P2"/>
    <mergeCell ref="C3:P3"/>
    <mergeCell ref="H6:J6"/>
    <mergeCell ref="K6:L6"/>
    <mergeCell ref="A4:B4"/>
    <mergeCell ref="C4:E4"/>
    <mergeCell ref="F4:G4"/>
    <mergeCell ref="H4:J4"/>
    <mergeCell ref="K4:L4"/>
    <mergeCell ref="N4:N5"/>
    <mergeCell ref="O4:R5"/>
    <mergeCell ref="A5:B5"/>
    <mergeCell ref="C5:E5"/>
    <mergeCell ref="F5:G5"/>
    <mergeCell ref="H5:J5"/>
  </mergeCells>
  <printOptions horizontalCentered="1"/>
  <pageMargins left="0.3" right="0.14000000000000001" top="0.43" bottom="0.37" header="0.37" footer="0.28999999999999998"/>
  <pageSetup scale="80" orientation="landscape" horizontalDpi="300" verticalDpi="300" r:id="rId1"/>
  <headerFooter alignWithMargins="0">
    <oddFooter>&amp;CPage &amp;P&amp;R&amp;Z&amp;F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2"/>
  <sheetViews>
    <sheetView showGridLines="0" view="pageBreakPreview" topLeftCell="D1" zoomScaleNormal="115" zoomScaleSheetLayoutView="100" workbookViewId="0">
      <selection activeCell="O40" sqref="O40:R41"/>
    </sheetView>
  </sheetViews>
  <sheetFormatPr defaultRowHeight="8.25"/>
  <cols>
    <col min="1" max="1" width="7.140625" style="61" customWidth="1"/>
    <col min="2" max="2" width="8.85546875" style="1" bestFit="1" customWidth="1"/>
    <col min="3" max="3" width="8.7109375" style="1" bestFit="1" customWidth="1"/>
    <col min="4" max="5" width="8.5703125" style="1" bestFit="1" customWidth="1"/>
    <col min="6" max="9" width="7.5703125" style="1" bestFit="1" customWidth="1"/>
    <col min="10" max="10" width="8.42578125" style="1" bestFit="1" customWidth="1"/>
    <col min="11" max="11" width="7.5703125" style="1" bestFit="1" customWidth="1"/>
    <col min="12" max="12" width="12.5703125" style="1" customWidth="1"/>
    <col min="13" max="13" width="14.42578125" style="1" customWidth="1"/>
    <col min="14" max="14" width="11" style="1" customWidth="1"/>
    <col min="15" max="15" width="8.5703125" style="1" customWidth="1"/>
    <col min="16" max="16" width="9.28515625" style="1" customWidth="1"/>
    <col min="17" max="18" width="11.5703125" style="1" customWidth="1"/>
    <col min="19" max="19" width="5.5703125" style="1" customWidth="1"/>
    <col min="20" max="20" width="11.28515625" style="1" customWidth="1"/>
    <col min="21" max="16384" width="9.140625" style="1"/>
  </cols>
  <sheetData>
    <row r="1" spans="1:32" ht="22.5" customHeight="1">
      <c r="A1" s="76"/>
      <c r="B1" s="77"/>
      <c r="C1" s="82" t="s">
        <v>88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4"/>
      <c r="Q1" s="69" t="s">
        <v>104</v>
      </c>
      <c r="R1" s="70" t="s">
        <v>105</v>
      </c>
    </row>
    <row r="2" spans="1:32" ht="22.5" customHeight="1">
      <c r="A2" s="78"/>
      <c r="B2" s="79"/>
      <c r="C2" s="85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7"/>
      <c r="Q2" s="71" t="s">
        <v>106</v>
      </c>
      <c r="R2" s="72" t="s">
        <v>107</v>
      </c>
    </row>
    <row r="3" spans="1:32" s="2" customFormat="1" ht="22.5" customHeight="1" thickBot="1">
      <c r="A3" s="80"/>
      <c r="B3" s="81"/>
      <c r="C3" s="88" t="s">
        <v>0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73" t="s">
        <v>108</v>
      </c>
      <c r="R3" s="74" t="s">
        <v>109</v>
      </c>
    </row>
    <row r="4" spans="1:32" s="4" customFormat="1" ht="15" customHeight="1">
      <c r="A4" s="96" t="s">
        <v>1</v>
      </c>
      <c r="B4" s="97"/>
      <c r="C4" s="197" t="s">
        <v>101</v>
      </c>
      <c r="D4" s="198"/>
      <c r="E4" s="199"/>
      <c r="F4" s="96" t="s">
        <v>2</v>
      </c>
      <c r="G4" s="200"/>
      <c r="H4" s="197" t="s">
        <v>83</v>
      </c>
      <c r="I4" s="198"/>
      <c r="J4" s="199"/>
      <c r="K4" s="201" t="s">
        <v>4</v>
      </c>
      <c r="L4" s="97"/>
      <c r="M4" s="3" t="s">
        <v>87</v>
      </c>
      <c r="N4" s="105"/>
      <c r="O4" s="107"/>
      <c r="P4" s="108"/>
      <c r="Q4" s="108"/>
      <c r="R4" s="109"/>
    </row>
    <row r="5" spans="1:32" s="4" customFormat="1" ht="15" customHeight="1">
      <c r="A5" s="113" t="s">
        <v>5</v>
      </c>
      <c r="B5" s="114"/>
      <c r="C5" s="193" t="s">
        <v>6</v>
      </c>
      <c r="D5" s="194"/>
      <c r="E5" s="195"/>
      <c r="F5" s="113" t="s">
        <v>7</v>
      </c>
      <c r="G5" s="202"/>
      <c r="H5" s="193" t="s">
        <v>103</v>
      </c>
      <c r="I5" s="194"/>
      <c r="J5" s="195"/>
      <c r="K5" s="158" t="s">
        <v>9</v>
      </c>
      <c r="L5" s="114"/>
      <c r="M5" s="5"/>
      <c r="N5" s="106"/>
      <c r="O5" s="110"/>
      <c r="P5" s="111"/>
      <c r="Q5" s="111"/>
      <c r="R5" s="112"/>
    </row>
    <row r="6" spans="1:32" s="4" customFormat="1" ht="15" customHeight="1">
      <c r="A6" s="113" t="s">
        <v>11</v>
      </c>
      <c r="B6" s="114"/>
      <c r="C6" s="172" t="s">
        <v>12</v>
      </c>
      <c r="D6" s="209"/>
      <c r="E6" s="210"/>
      <c r="F6" s="113" t="s">
        <v>13</v>
      </c>
      <c r="G6" s="202"/>
      <c r="H6" s="193" t="s">
        <v>14</v>
      </c>
      <c r="I6" s="194"/>
      <c r="J6" s="195"/>
      <c r="K6" s="113" t="s">
        <v>15</v>
      </c>
      <c r="L6" s="196"/>
      <c r="M6" s="5">
        <v>1</v>
      </c>
      <c r="N6" s="6"/>
      <c r="O6" s="120"/>
      <c r="P6" s="121"/>
      <c r="Q6" s="6" t="s">
        <v>16</v>
      </c>
      <c r="R6" s="75" t="s">
        <v>110</v>
      </c>
    </row>
    <row r="7" spans="1:32" s="4" customFormat="1" ht="15" customHeight="1">
      <c r="A7" s="122" t="s">
        <v>17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4"/>
      <c r="M7" s="125" t="s">
        <v>96</v>
      </c>
      <c r="N7" s="126"/>
      <c r="O7" s="126"/>
      <c r="P7" s="126"/>
      <c r="Q7" s="127"/>
      <c r="R7" s="7" t="s">
        <v>97</v>
      </c>
    </row>
    <row r="8" spans="1:32" s="4" customFormat="1" ht="15" customHeight="1">
      <c r="A8" s="8" t="s">
        <v>18</v>
      </c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128" t="s">
        <v>77</v>
      </c>
      <c r="M8" s="203">
        <v>600</v>
      </c>
      <c r="N8" s="204"/>
      <c r="O8" s="9" t="s">
        <v>19</v>
      </c>
      <c r="P8" s="10" t="s">
        <v>20</v>
      </c>
      <c r="Q8" s="10" t="s">
        <v>21</v>
      </c>
      <c r="R8" s="10" t="s">
        <v>22</v>
      </c>
    </row>
    <row r="9" spans="1:32" s="4" customFormat="1" ht="15" customHeight="1">
      <c r="A9" s="8">
        <v>1</v>
      </c>
      <c r="B9" s="11">
        <v>378</v>
      </c>
      <c r="C9" s="11">
        <v>316</v>
      </c>
      <c r="D9" s="11">
        <v>366</v>
      </c>
      <c r="E9" s="11">
        <v>389</v>
      </c>
      <c r="F9" s="11">
        <v>345</v>
      </c>
      <c r="G9" s="11">
        <v>340</v>
      </c>
      <c r="H9" s="11">
        <v>360</v>
      </c>
      <c r="I9" s="11">
        <v>347</v>
      </c>
      <c r="J9" s="11">
        <v>389</v>
      </c>
      <c r="K9" s="11">
        <v>325</v>
      </c>
      <c r="L9" s="129"/>
      <c r="M9" s="205"/>
      <c r="N9" s="206"/>
      <c r="O9" s="12" t="s">
        <v>23</v>
      </c>
      <c r="P9" s="6">
        <v>1.123</v>
      </c>
      <c r="Q9" s="12" t="s">
        <v>24</v>
      </c>
      <c r="R9" s="12" t="s">
        <v>25</v>
      </c>
      <c r="S9" s="13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1:32" s="4" customFormat="1" ht="15" customHeight="1">
      <c r="A10" s="8">
        <v>2</v>
      </c>
      <c r="B10" s="11">
        <v>340</v>
      </c>
      <c r="C10" s="11">
        <v>356</v>
      </c>
      <c r="D10" s="11">
        <v>322</v>
      </c>
      <c r="E10" s="11">
        <v>345</v>
      </c>
      <c r="F10" s="11">
        <v>378</v>
      </c>
      <c r="G10" s="11">
        <v>325</v>
      </c>
      <c r="H10" s="11">
        <v>320</v>
      </c>
      <c r="I10" s="11">
        <v>311</v>
      </c>
      <c r="J10" s="11">
        <v>345</v>
      </c>
      <c r="K10" s="11">
        <v>342</v>
      </c>
      <c r="L10" s="130"/>
      <c r="M10" s="207"/>
      <c r="N10" s="208"/>
      <c r="O10" s="12" t="s">
        <v>26</v>
      </c>
      <c r="P10" s="6">
        <v>1.1279999999999999</v>
      </c>
      <c r="Q10" s="12" t="s">
        <v>27</v>
      </c>
      <c r="R10" s="12" t="s">
        <v>25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 s="4" customFormat="1" ht="15" customHeight="1">
      <c r="A11" s="15">
        <v>3</v>
      </c>
      <c r="B11" s="11">
        <v>320</v>
      </c>
      <c r="C11" s="11">
        <v>344</v>
      </c>
      <c r="D11" s="11">
        <v>365</v>
      </c>
      <c r="E11" s="11">
        <v>320</v>
      </c>
      <c r="F11" s="11">
        <v>356</v>
      </c>
      <c r="G11" s="11">
        <v>389</v>
      </c>
      <c r="H11" s="11">
        <v>336</v>
      </c>
      <c r="I11" s="11">
        <v>367</v>
      </c>
      <c r="J11" s="11">
        <v>308</v>
      </c>
      <c r="K11" s="11">
        <v>319</v>
      </c>
      <c r="L11" s="128" t="s">
        <v>78</v>
      </c>
      <c r="M11" s="203">
        <v>150</v>
      </c>
      <c r="N11" s="204"/>
      <c r="O11" s="16" t="s">
        <v>28</v>
      </c>
      <c r="P11" s="17">
        <v>1.6930000000000001</v>
      </c>
      <c r="Q11" s="12" t="s">
        <v>29</v>
      </c>
      <c r="R11" s="12" t="s">
        <v>30</v>
      </c>
      <c r="T11" s="14" t="s">
        <v>31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2" s="4" customFormat="1" ht="15" customHeight="1">
      <c r="A12" s="18">
        <v>4</v>
      </c>
      <c r="B12" s="11">
        <v>355</v>
      </c>
      <c r="C12" s="11">
        <v>366</v>
      </c>
      <c r="D12" s="11">
        <v>355</v>
      </c>
      <c r="E12" s="11">
        <v>318</v>
      </c>
      <c r="F12" s="11">
        <v>320</v>
      </c>
      <c r="G12" s="11">
        <v>320</v>
      </c>
      <c r="H12" s="11">
        <v>367</v>
      </c>
      <c r="I12" s="11">
        <v>349</v>
      </c>
      <c r="J12" s="11">
        <v>351</v>
      </c>
      <c r="K12" s="11">
        <v>360</v>
      </c>
      <c r="L12" s="137"/>
      <c r="M12" s="205"/>
      <c r="N12" s="206"/>
      <c r="O12" s="12" t="s">
        <v>32</v>
      </c>
      <c r="P12" s="6">
        <v>2.0590000000000002</v>
      </c>
      <c r="Q12" s="12" t="s">
        <v>33</v>
      </c>
      <c r="R12" s="12" t="s">
        <v>34</v>
      </c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4"/>
      <c r="AE12" s="14"/>
      <c r="AF12" s="14"/>
    </row>
    <row r="13" spans="1:32" s="4" customFormat="1" ht="15" customHeight="1">
      <c r="A13" s="20">
        <v>5</v>
      </c>
      <c r="B13" s="11">
        <v>326</v>
      </c>
      <c r="C13" s="11">
        <v>333</v>
      </c>
      <c r="D13" s="11">
        <v>310</v>
      </c>
      <c r="E13" s="11">
        <v>334</v>
      </c>
      <c r="F13" s="11">
        <v>311</v>
      </c>
      <c r="G13" s="11">
        <v>355</v>
      </c>
      <c r="H13" s="11">
        <v>312</v>
      </c>
      <c r="I13" s="11">
        <v>362</v>
      </c>
      <c r="J13" s="11">
        <v>367</v>
      </c>
      <c r="K13" s="11">
        <v>345</v>
      </c>
      <c r="L13" s="138"/>
      <c r="M13" s="207"/>
      <c r="N13" s="208"/>
      <c r="O13" s="21" t="s">
        <v>35</v>
      </c>
      <c r="P13" s="22">
        <v>2.3260000000000001</v>
      </c>
      <c r="Q13" s="12" t="s">
        <v>36</v>
      </c>
      <c r="R13" s="12" t="s">
        <v>37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4"/>
      <c r="AE13" s="14"/>
      <c r="AF13" s="14"/>
    </row>
    <row r="14" spans="1:32" s="4" customFormat="1" ht="15" customHeight="1">
      <c r="A14" s="122">
        <v>11.99</v>
      </c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40"/>
      <c r="S14" s="14"/>
      <c r="T14" s="14"/>
      <c r="U14" s="14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s="4" customFormat="1" ht="15" customHeight="1">
      <c r="A15" s="141" t="s">
        <v>38</v>
      </c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3"/>
      <c r="S15" s="14"/>
      <c r="T15" s="14"/>
      <c r="U15" s="14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s="4" customFormat="1" ht="15" customHeight="1">
      <c r="A16" s="23" t="s">
        <v>39</v>
      </c>
      <c r="B16" s="24">
        <f t="shared" ref="B16:K16" si="0">MAX(B9:B13)</f>
        <v>378</v>
      </c>
      <c r="C16" s="24">
        <f t="shared" si="0"/>
        <v>366</v>
      </c>
      <c r="D16" s="24">
        <f t="shared" si="0"/>
        <v>366</v>
      </c>
      <c r="E16" s="24">
        <f t="shared" si="0"/>
        <v>389</v>
      </c>
      <c r="F16" s="24">
        <f t="shared" si="0"/>
        <v>378</v>
      </c>
      <c r="G16" s="24">
        <f t="shared" si="0"/>
        <v>389</v>
      </c>
      <c r="H16" s="24">
        <f t="shared" si="0"/>
        <v>367</v>
      </c>
      <c r="I16" s="24">
        <f>MAX(I9:I13)</f>
        <v>367</v>
      </c>
      <c r="J16" s="24">
        <f t="shared" si="0"/>
        <v>389</v>
      </c>
      <c r="K16" s="25">
        <f t="shared" si="0"/>
        <v>360</v>
      </c>
      <c r="L16" s="6" t="s">
        <v>40</v>
      </c>
      <c r="M16" s="26">
        <f>(MAX(B16:K16))</f>
        <v>389</v>
      </c>
      <c r="N16" s="144" t="s">
        <v>41</v>
      </c>
      <c r="O16" s="145"/>
      <c r="P16" s="146"/>
      <c r="Q16" s="150">
        <f>SUM(Q18:R19)</f>
        <v>0</v>
      </c>
      <c r="R16" s="152" t="s">
        <v>42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4"/>
      <c r="AE16" s="14"/>
      <c r="AF16" s="14"/>
    </row>
    <row r="17" spans="1:32" s="4" customFormat="1" ht="15" customHeight="1">
      <c r="A17" s="27" t="s">
        <v>43</v>
      </c>
      <c r="B17" s="25">
        <f t="shared" ref="B17:J17" si="1">MIN(B9:B13)</f>
        <v>320</v>
      </c>
      <c r="C17" s="24">
        <f>MIN(C9:C13)</f>
        <v>316</v>
      </c>
      <c r="D17" s="25">
        <f t="shared" si="1"/>
        <v>310</v>
      </c>
      <c r="E17" s="25">
        <f t="shared" si="1"/>
        <v>318</v>
      </c>
      <c r="F17" s="25">
        <f t="shared" si="1"/>
        <v>311</v>
      </c>
      <c r="G17" s="25">
        <f>MIN(G9:G13)</f>
        <v>320</v>
      </c>
      <c r="H17" s="25">
        <f t="shared" si="1"/>
        <v>312</v>
      </c>
      <c r="I17" s="24">
        <f>MIN(I9:I13)</f>
        <v>311</v>
      </c>
      <c r="J17" s="25">
        <f t="shared" si="1"/>
        <v>308</v>
      </c>
      <c r="K17" s="25">
        <f>MIN(K9:K13)</f>
        <v>319</v>
      </c>
      <c r="L17" s="6" t="s">
        <v>44</v>
      </c>
      <c r="M17" s="26">
        <f>MIN(B17:K17)</f>
        <v>308</v>
      </c>
      <c r="N17" s="147"/>
      <c r="O17" s="148"/>
      <c r="P17" s="149"/>
      <c r="Q17" s="151"/>
      <c r="R17" s="15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:32" s="4" customFormat="1" ht="15" customHeight="1">
      <c r="A18" s="28" t="s">
        <v>45</v>
      </c>
      <c r="B18" s="29">
        <f t="shared" ref="B18:K18" si="2">SUM(MAX(B9:B13)-MIN(B9:B13))</f>
        <v>58</v>
      </c>
      <c r="C18" s="29">
        <f t="shared" si="2"/>
        <v>50</v>
      </c>
      <c r="D18" s="29">
        <f t="shared" si="2"/>
        <v>56</v>
      </c>
      <c r="E18" s="29">
        <f t="shared" si="2"/>
        <v>71</v>
      </c>
      <c r="F18" s="29">
        <f t="shared" si="2"/>
        <v>67</v>
      </c>
      <c r="G18" s="29">
        <f>SUM(MAX(G9:G13)-MIN(G9:G13))</f>
        <v>69</v>
      </c>
      <c r="H18" s="29">
        <f t="shared" si="2"/>
        <v>55</v>
      </c>
      <c r="I18" s="29">
        <f t="shared" si="2"/>
        <v>56</v>
      </c>
      <c r="J18" s="29">
        <f t="shared" si="2"/>
        <v>81</v>
      </c>
      <c r="K18" s="25">
        <f t="shared" si="2"/>
        <v>41</v>
      </c>
      <c r="L18" s="30" t="s">
        <v>46</v>
      </c>
      <c r="M18" s="31">
        <f>AVERAGE(B18:K18)</f>
        <v>60.4</v>
      </c>
      <c r="N18" s="118" t="s">
        <v>47</v>
      </c>
      <c r="O18" s="119"/>
      <c r="P18" s="119"/>
      <c r="Q18" s="32">
        <f>COUNTIF(B9:K13,"&gt;"&amp;TEXT(M8,"0.000000"))</f>
        <v>0</v>
      </c>
      <c r="R18" s="33" t="s">
        <v>42</v>
      </c>
      <c r="U18" s="34"/>
    </row>
    <row r="19" spans="1:32" s="4" customFormat="1" ht="15" customHeight="1">
      <c r="A19" s="6" t="s">
        <v>48</v>
      </c>
      <c r="B19" s="25">
        <f>(AVERAGE(B9:B13))</f>
        <v>343.8</v>
      </c>
      <c r="C19" s="25">
        <f t="shared" ref="C19:K19" si="3">AVERAGE(C9:C13)</f>
        <v>343</v>
      </c>
      <c r="D19" s="25">
        <f t="shared" si="3"/>
        <v>343.6</v>
      </c>
      <c r="E19" s="25">
        <f t="shared" si="3"/>
        <v>341.2</v>
      </c>
      <c r="F19" s="25">
        <f t="shared" si="3"/>
        <v>342</v>
      </c>
      <c r="G19" s="25">
        <f>AVERAGE(G9:G13)</f>
        <v>345.8</v>
      </c>
      <c r="H19" s="25">
        <f t="shared" si="3"/>
        <v>339</v>
      </c>
      <c r="I19" s="25">
        <f t="shared" si="3"/>
        <v>347.2</v>
      </c>
      <c r="J19" s="25">
        <f t="shared" si="3"/>
        <v>352</v>
      </c>
      <c r="K19" s="25">
        <f t="shared" si="3"/>
        <v>338.2</v>
      </c>
      <c r="L19" s="30" t="s">
        <v>49</v>
      </c>
      <c r="M19" s="35">
        <f>ROUNDUP(AVERAGE(B9:K13),4)</f>
        <v>343.58</v>
      </c>
      <c r="N19" s="118" t="s">
        <v>50</v>
      </c>
      <c r="O19" s="157"/>
      <c r="P19" s="157"/>
      <c r="Q19" s="36">
        <f>COUNTIF(B9:K13,"&lt;"&amp;TEXT(M11,"0.000000"))</f>
        <v>0</v>
      </c>
      <c r="R19" s="37" t="s">
        <v>42</v>
      </c>
    </row>
    <row r="20" spans="1:32" s="4" customFormat="1" ht="15" customHeight="1">
      <c r="A20" s="113" t="s">
        <v>51</v>
      </c>
      <c r="B20" s="158"/>
      <c r="C20" s="158"/>
      <c r="D20" s="159">
        <f>ROUNDUP(SUM(M16-M17),4)</f>
        <v>81</v>
      </c>
      <c r="E20" s="160"/>
      <c r="F20" s="113" t="s">
        <v>52</v>
      </c>
      <c r="G20" s="158"/>
      <c r="H20" s="158"/>
      <c r="I20" s="159">
        <f>ROUNDUP(ABS(SUM(M8-M11)),4)</f>
        <v>450</v>
      </c>
      <c r="J20" s="160"/>
      <c r="K20" s="113" t="s">
        <v>53</v>
      </c>
      <c r="L20" s="158"/>
      <c r="M20" s="158"/>
      <c r="N20" s="38">
        <f>ROUNDUP(SUM((2*(N22))/I20),4)</f>
        <v>0.13969999999999999</v>
      </c>
      <c r="O20" s="161" t="s">
        <v>54</v>
      </c>
      <c r="P20" s="162"/>
      <c r="Q20" s="39" t="s">
        <v>55</v>
      </c>
      <c r="R20" s="39" t="s">
        <v>56</v>
      </c>
    </row>
    <row r="21" spans="1:32" s="4" customFormat="1" ht="15" customHeight="1">
      <c r="A21" s="113" t="s">
        <v>57</v>
      </c>
      <c r="B21" s="158"/>
      <c r="C21" s="158"/>
      <c r="D21" s="159">
        <f>ROUNDUP(AVERAGE(M8:M11),4)</f>
        <v>375</v>
      </c>
      <c r="E21" s="160"/>
      <c r="F21" s="113" t="s">
        <v>58</v>
      </c>
      <c r="G21" s="158"/>
      <c r="H21" s="158"/>
      <c r="I21" s="163">
        <f>ROUNDUP(SUM(D20/N21),4)</f>
        <v>16.2</v>
      </c>
      <c r="J21" s="164"/>
      <c r="K21" s="113" t="s">
        <v>59</v>
      </c>
      <c r="L21" s="158"/>
      <c r="M21" s="158"/>
      <c r="N21" s="40" t="str">
        <f>IF(I22/10&lt;=5,"5",IF(I22/10&lt;=6,"6",IF(I22/10&lt;=7,"7","8")))</f>
        <v>5</v>
      </c>
      <c r="O21" s="41">
        <f>ROUNDUP(SUM(P21-I21),4)</f>
        <v>243.1</v>
      </c>
      <c r="P21" s="41">
        <f>ROUNDUP(SUM(P22-I21),4)</f>
        <v>259.3</v>
      </c>
      <c r="Q21" s="25">
        <f>SUM(R21)</f>
        <v>0</v>
      </c>
      <c r="R21" s="25">
        <f>FREQUENCY(B9:K13,P21:P22)</f>
        <v>0</v>
      </c>
    </row>
    <row r="22" spans="1:32" s="4" customFormat="1" ht="15" customHeight="1">
      <c r="A22" s="113" t="s">
        <v>60</v>
      </c>
      <c r="B22" s="158"/>
      <c r="C22" s="158"/>
      <c r="D22" s="159">
        <f>ROUNDUP(SUM(M17-(IF(M6=M33,J33,IF(M6=M34,J34,IF(M6=M35,J35,IF(M6=M36,J36,IF(M6=M37,J37))))))),4)</f>
        <v>307.89999999999998</v>
      </c>
      <c r="E22" s="160"/>
      <c r="F22" s="113" t="s">
        <v>61</v>
      </c>
      <c r="G22" s="158"/>
      <c r="H22" s="158"/>
      <c r="I22" s="159">
        <f>COUNTIF((B9:K13),"&gt;0")</f>
        <v>50</v>
      </c>
      <c r="J22" s="159"/>
      <c r="K22" s="113" t="s">
        <v>62</v>
      </c>
      <c r="L22" s="158"/>
      <c r="M22" s="158"/>
      <c r="N22" s="67">
        <f>(ABS(SUM(M19-D21)))</f>
        <v>31.420000000000016</v>
      </c>
      <c r="O22" s="41">
        <f>ROUNDUP(SUM(P22-I21),4)</f>
        <v>259.3</v>
      </c>
      <c r="P22" s="41">
        <f>ROUNDUP(SUM(P23-I21),4)</f>
        <v>275.5</v>
      </c>
      <c r="Q22" s="25">
        <f t="shared" ref="Q22:Q32" si="4">SUM(R22-R21)</f>
        <v>0</v>
      </c>
      <c r="R22" s="25">
        <f>FREQUENCY(B9:K13,P22:P23)</f>
        <v>0</v>
      </c>
    </row>
    <row r="23" spans="1:32" s="2" customFormat="1" ht="17.100000000000001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1">
        <f>ROUNDUP(SUM(P23-I21),4)</f>
        <v>275.5</v>
      </c>
      <c r="P23" s="41">
        <f>ROUNDUP(SUM(P24-I21),4)</f>
        <v>291.7</v>
      </c>
      <c r="Q23" s="25">
        <f t="shared" si="4"/>
        <v>0</v>
      </c>
      <c r="R23" s="25">
        <f>FREQUENCY(B9:K13,P23:P24)</f>
        <v>0</v>
      </c>
    </row>
    <row r="24" spans="1:32" s="2" customFormat="1" ht="17.100000000000001" customHeight="1">
      <c r="A24" s="44" t="s">
        <v>63</v>
      </c>
      <c r="B24" s="6">
        <f>Q33</f>
        <v>379.21600000000001</v>
      </c>
      <c r="C24" s="6">
        <f>Q33</f>
        <v>379.21600000000001</v>
      </c>
      <c r="D24" s="6">
        <f>Q33</f>
        <v>379.21600000000001</v>
      </c>
      <c r="E24" s="6">
        <f>Q33</f>
        <v>379.21600000000001</v>
      </c>
      <c r="F24" s="45">
        <f>Q33</f>
        <v>379.21600000000001</v>
      </c>
      <c r="G24" s="45">
        <f>Q33</f>
        <v>379.21600000000001</v>
      </c>
      <c r="H24" s="45">
        <f>Q33</f>
        <v>379.21600000000001</v>
      </c>
      <c r="I24" s="6">
        <f>Q33</f>
        <v>379.21600000000001</v>
      </c>
      <c r="J24" s="6">
        <f>Q33</f>
        <v>379.21600000000001</v>
      </c>
      <c r="K24" s="26">
        <f>Q33</f>
        <v>379.21600000000001</v>
      </c>
      <c r="M24" s="46"/>
      <c r="N24" s="46"/>
      <c r="O24" s="41">
        <f>ROUNDUP(SUM(P24-I21),4)</f>
        <v>291.7</v>
      </c>
      <c r="P24" s="41">
        <f>ROUNDUP((D22),4)</f>
        <v>307.89999999999998</v>
      </c>
      <c r="Q24" s="25">
        <f t="shared" si="4"/>
        <v>0</v>
      </c>
      <c r="R24" s="25">
        <f>FREQUENCY(B9:K13,P24:P25)</f>
        <v>0</v>
      </c>
    </row>
    <row r="25" spans="1:32" s="2" customFormat="1" ht="17.100000000000001" customHeight="1">
      <c r="A25" s="47" t="s">
        <v>64</v>
      </c>
      <c r="B25" s="26">
        <f>Q34</f>
        <v>307.94399999999996</v>
      </c>
      <c r="C25" s="26">
        <f>Q34</f>
        <v>307.94399999999996</v>
      </c>
      <c r="D25" s="26">
        <f>Q34</f>
        <v>307.94399999999996</v>
      </c>
      <c r="E25" s="26">
        <f>Q34</f>
        <v>307.94399999999996</v>
      </c>
      <c r="F25" s="26">
        <f>Q34</f>
        <v>307.94399999999996</v>
      </c>
      <c r="G25" s="26">
        <f>Q34</f>
        <v>307.94399999999996</v>
      </c>
      <c r="H25" s="26">
        <f>Q34</f>
        <v>307.94399999999996</v>
      </c>
      <c r="I25" s="26">
        <f>Q34</f>
        <v>307.94399999999996</v>
      </c>
      <c r="J25" s="26">
        <f>Q34</f>
        <v>307.94399999999996</v>
      </c>
      <c r="K25" s="26">
        <f>Q34</f>
        <v>307.94399999999996</v>
      </c>
      <c r="M25" s="48"/>
      <c r="N25" s="48"/>
      <c r="O25" s="41">
        <f>ROUNDUP((D22),4)</f>
        <v>307.89999999999998</v>
      </c>
      <c r="P25" s="41">
        <f>ROUNDUP(SUM(P24+I21),4)</f>
        <v>324.10000000000002</v>
      </c>
      <c r="Q25" s="25">
        <f t="shared" si="4"/>
        <v>14</v>
      </c>
      <c r="R25" s="25">
        <f>FREQUENCY(B9:K13,P25:P26)</f>
        <v>14</v>
      </c>
    </row>
    <row r="26" spans="1:32" s="2" customFormat="1" ht="17.100000000000001" customHeight="1">
      <c r="A26" s="44" t="s">
        <v>65</v>
      </c>
      <c r="B26" s="26">
        <f>Q35</f>
        <v>127.44399999999999</v>
      </c>
      <c r="C26" s="26">
        <f>Q35</f>
        <v>127.44399999999999</v>
      </c>
      <c r="D26" s="26">
        <f>Q35</f>
        <v>127.44399999999999</v>
      </c>
      <c r="E26" s="49">
        <f>Q35</f>
        <v>127.44399999999999</v>
      </c>
      <c r="F26" s="49">
        <f>Q35</f>
        <v>127.44399999999999</v>
      </c>
      <c r="G26" s="49">
        <f>Q35</f>
        <v>127.44399999999999</v>
      </c>
      <c r="H26" s="26">
        <f>Q35</f>
        <v>127.44399999999999</v>
      </c>
      <c r="I26" s="26">
        <f>Q35</f>
        <v>127.44399999999999</v>
      </c>
      <c r="J26" s="26">
        <f>Q35</f>
        <v>127.44399999999999</v>
      </c>
      <c r="K26" s="26">
        <f>Q35</f>
        <v>127.44399999999999</v>
      </c>
      <c r="M26" s="48"/>
      <c r="N26" s="48"/>
      <c r="O26" s="41">
        <f>ROUNDUP(SUM(P24+I21),4)</f>
        <v>324.10000000000002</v>
      </c>
      <c r="P26" s="41">
        <f>ROUNDUP(SUM(P25+I21),4)</f>
        <v>340.3</v>
      </c>
      <c r="Q26" s="25">
        <f t="shared" si="4"/>
        <v>8</v>
      </c>
      <c r="R26" s="25">
        <f>FREQUENCY(B9:K13,P26:P27)</f>
        <v>22</v>
      </c>
    </row>
    <row r="27" spans="1:32" s="2" customFormat="1" ht="17.100000000000001" customHeight="1">
      <c r="A27" s="44" t="s">
        <v>64</v>
      </c>
      <c r="B27" s="49">
        <f>Q36</f>
        <v>0</v>
      </c>
      <c r="C27" s="49">
        <f>Q36</f>
        <v>0</v>
      </c>
      <c r="D27" s="49">
        <f>Q36</f>
        <v>0</v>
      </c>
      <c r="E27" s="49">
        <f>Q36</f>
        <v>0</v>
      </c>
      <c r="F27" s="49">
        <f>Q36</f>
        <v>0</v>
      </c>
      <c r="G27" s="49">
        <f>Q36</f>
        <v>0</v>
      </c>
      <c r="H27" s="49">
        <f>Q36</f>
        <v>0</v>
      </c>
      <c r="I27" s="49">
        <f>Q36</f>
        <v>0</v>
      </c>
      <c r="J27" s="49">
        <f>Q36</f>
        <v>0</v>
      </c>
      <c r="K27" s="26">
        <f>Q36</f>
        <v>0</v>
      </c>
      <c r="M27" s="48"/>
      <c r="N27" s="48"/>
      <c r="O27" s="41">
        <f>ROUNDUP(SUM(P25+I21),4)</f>
        <v>340.3</v>
      </c>
      <c r="P27" s="41">
        <f>ROUNDUP(SUM(P26+I21),4)</f>
        <v>356.5</v>
      </c>
      <c r="Q27" s="25">
        <v>0</v>
      </c>
      <c r="R27" s="25">
        <f>FREQUENCY(B9:K13,P27:P28)</f>
        <v>36</v>
      </c>
      <c r="T27" s="50"/>
    </row>
    <row r="28" spans="1:32" s="2" customFormat="1" ht="17.100000000000001" customHeight="1">
      <c r="A28" s="44" t="s">
        <v>66</v>
      </c>
      <c r="B28" s="26">
        <f>ROUNDUP(AVERAGE(B9:K13),4)</f>
        <v>343.58</v>
      </c>
      <c r="C28" s="26">
        <f>ROUNDUP(AVERAGE(B9:K13),4)</f>
        <v>343.58</v>
      </c>
      <c r="D28" s="26">
        <f>ROUNDUP(AVERAGE(B9:K13),4)</f>
        <v>343.58</v>
      </c>
      <c r="E28" s="49">
        <f>ROUNDUP(AVERAGE(B9:K13),4)</f>
        <v>343.58</v>
      </c>
      <c r="F28" s="49">
        <f>ROUNDUP(AVERAGE(B9:K13),4)</f>
        <v>343.58</v>
      </c>
      <c r="G28" s="49">
        <f>ROUNDUP(AVERAGE(B9:K13),4)</f>
        <v>343.58</v>
      </c>
      <c r="H28" s="26">
        <f>ROUNDUP(AVERAGE(B9:K13),4)</f>
        <v>343.58</v>
      </c>
      <c r="I28" s="26">
        <f>ROUNDUP(AVERAGE(B9:K13),4)</f>
        <v>343.58</v>
      </c>
      <c r="J28" s="26">
        <f>ROUNDUP(AVERAGE(B9:K13),4)</f>
        <v>343.58</v>
      </c>
      <c r="K28" s="26">
        <f>ROUNDUP(AVERAGE(B9:K13),4)</f>
        <v>343.58</v>
      </c>
      <c r="M28" s="48"/>
      <c r="N28" s="48"/>
      <c r="O28" s="41">
        <f>ROUNDUP(SUM(P26+I21),4)</f>
        <v>356.5</v>
      </c>
      <c r="P28" s="41">
        <f>ROUNDUP(SUM(P27+I21),4)</f>
        <v>372.7</v>
      </c>
      <c r="Q28" s="6">
        <f t="shared" si="4"/>
        <v>9</v>
      </c>
      <c r="R28" s="25">
        <f>FREQUENCY(B9:K13,P28:P29)</f>
        <v>45</v>
      </c>
    </row>
    <row r="29" spans="1:32" ht="17.100000000000001" customHeight="1">
      <c r="A29" s="44" t="s">
        <v>67</v>
      </c>
      <c r="B29" s="26">
        <f>AVERAGE(B18:K18)</f>
        <v>60.4</v>
      </c>
      <c r="C29" s="26">
        <f>AVERAGE(B18:K18)</f>
        <v>60.4</v>
      </c>
      <c r="D29" s="26">
        <f>AVERAGE(B18:K18)</f>
        <v>60.4</v>
      </c>
      <c r="E29" s="26">
        <f>AVERAGE(B18:K18)</f>
        <v>60.4</v>
      </c>
      <c r="F29" s="26">
        <f>AVERAGE(B18:K18)</f>
        <v>60.4</v>
      </c>
      <c r="G29" s="26">
        <f>AVERAGE(B18:K18)</f>
        <v>60.4</v>
      </c>
      <c r="H29" s="26">
        <f>AVERAGE(B18:K18)</f>
        <v>60.4</v>
      </c>
      <c r="I29" s="26">
        <f>AVERAGE(B18:K18)</f>
        <v>60.4</v>
      </c>
      <c r="J29" s="26">
        <f>AVERAGE(B18:K18)</f>
        <v>60.4</v>
      </c>
      <c r="K29" s="26">
        <f>AVERAGE(B18:K18)</f>
        <v>60.4</v>
      </c>
      <c r="M29" s="48"/>
      <c r="N29" s="48"/>
      <c r="O29" s="41">
        <f>ROUNDUP(SUM(P27+I21),4)</f>
        <v>372.7</v>
      </c>
      <c r="P29" s="41">
        <f>ROUNDUP(SUM(P28+I21),4)</f>
        <v>388.9</v>
      </c>
      <c r="Q29" s="6">
        <f t="shared" si="4"/>
        <v>2</v>
      </c>
      <c r="R29" s="25">
        <f>FREQUENCY(B9:K13,P29:P30)</f>
        <v>47</v>
      </c>
    </row>
    <row r="30" spans="1:32" ht="17.100000000000001" customHeight="1">
      <c r="A30" s="14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48"/>
      <c r="M30" s="48"/>
      <c r="N30" s="48"/>
      <c r="O30" s="41">
        <f>ROUNDUP(SUM(P28+I21),4)</f>
        <v>388.9</v>
      </c>
      <c r="P30" s="41">
        <f>ROUNDUP(SUM(P29+I21),4)</f>
        <v>405.1</v>
      </c>
      <c r="Q30" s="6">
        <f t="shared" si="4"/>
        <v>3</v>
      </c>
      <c r="R30" s="25">
        <f>FREQUENCY(B9:K13,P30:P31)</f>
        <v>50</v>
      </c>
    </row>
    <row r="31" spans="1:32" ht="17.100000000000001" customHeight="1">
      <c r="A31" s="43"/>
      <c r="B31" s="43"/>
      <c r="C31" s="19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1">
        <f>ROUNDUP(SUM(P29+I21),4)</f>
        <v>405.1</v>
      </c>
      <c r="P31" s="41">
        <f>ROUNDUP(SUM(P30+I21),4)</f>
        <v>421.3</v>
      </c>
      <c r="Q31" s="6">
        <f t="shared" si="4"/>
        <v>0</v>
      </c>
      <c r="R31" s="25">
        <f>FREQUENCY(B9:K13,P31:P32)</f>
        <v>50</v>
      </c>
    </row>
    <row r="32" spans="1:32" ht="17.100000000000001" customHeight="1">
      <c r="A32" s="14"/>
      <c r="B32" s="14"/>
      <c r="C32" s="14"/>
      <c r="D32" s="14"/>
      <c r="E32" s="14"/>
      <c r="F32" s="51"/>
      <c r="G32" s="51"/>
      <c r="H32" s="51"/>
      <c r="I32" s="14"/>
      <c r="J32" s="165" t="s">
        <v>68</v>
      </c>
      <c r="K32" s="159"/>
      <c r="L32" s="160"/>
      <c r="M32" s="52" t="s">
        <v>69</v>
      </c>
      <c r="N32" s="46"/>
      <c r="O32" s="41">
        <f>ROUNDUP(SUM(P30+I21),4)</f>
        <v>421.3</v>
      </c>
      <c r="P32" s="41">
        <f>ROUNDUP(SUM(P31+I21),4)</f>
        <v>437.5</v>
      </c>
      <c r="Q32" s="6">
        <f t="shared" si="4"/>
        <v>0</v>
      </c>
      <c r="R32" s="25">
        <f>FREQUENCY(B9:K13,P32:P32)</f>
        <v>50</v>
      </c>
    </row>
    <row r="33" spans="1:20" ht="17.100000000000001" customHeight="1">
      <c r="A33" s="14"/>
      <c r="B33" s="19"/>
      <c r="C33" s="19"/>
      <c r="D33" s="19"/>
      <c r="E33" s="19"/>
      <c r="F33" s="19"/>
      <c r="G33" s="19"/>
      <c r="H33" s="19"/>
      <c r="I33" s="19"/>
      <c r="J33" s="165">
        <v>1</v>
      </c>
      <c r="K33" s="159"/>
      <c r="L33" s="160"/>
      <c r="M33" s="52">
        <v>0</v>
      </c>
      <c r="N33" s="48"/>
      <c r="O33" s="113" t="s">
        <v>70</v>
      </c>
      <c r="P33" s="166"/>
      <c r="Q33" s="167">
        <f>(M19+(Q13*M18))</f>
        <v>379.21600000000001</v>
      </c>
      <c r="R33" s="168"/>
      <c r="S33" s="53"/>
    </row>
    <row r="34" spans="1:20" ht="17.100000000000001" customHeight="1">
      <c r="A34" s="14"/>
      <c r="B34" s="19"/>
      <c r="C34" s="19"/>
      <c r="D34" s="19"/>
      <c r="E34" s="19"/>
      <c r="F34" s="19"/>
      <c r="G34" s="19"/>
      <c r="H34" s="19"/>
      <c r="I34" s="19"/>
      <c r="J34" s="165">
        <v>0.1</v>
      </c>
      <c r="K34" s="159"/>
      <c r="L34" s="160"/>
      <c r="M34" s="52">
        <v>1</v>
      </c>
      <c r="N34" s="48"/>
      <c r="O34" s="169" t="s">
        <v>71</v>
      </c>
      <c r="P34" s="166"/>
      <c r="Q34" s="170">
        <f>(M19-(Q13*M18))</f>
        <v>307.94399999999996</v>
      </c>
      <c r="R34" s="168"/>
      <c r="T34" s="54"/>
    </row>
    <row r="35" spans="1:20" ht="17.100000000000001" customHeight="1">
      <c r="A35" s="14"/>
      <c r="B35" s="19"/>
      <c r="C35" s="19"/>
      <c r="D35" s="19"/>
      <c r="E35" s="19"/>
      <c r="F35" s="19"/>
      <c r="G35" s="19"/>
      <c r="H35" s="19"/>
      <c r="I35" s="19"/>
      <c r="J35" s="165">
        <v>0.01</v>
      </c>
      <c r="K35" s="159"/>
      <c r="L35" s="160"/>
      <c r="M35" s="52">
        <v>2</v>
      </c>
      <c r="N35" s="48"/>
      <c r="O35" s="113" t="s">
        <v>72</v>
      </c>
      <c r="P35" s="166"/>
      <c r="Q35" s="171">
        <f>M18*R13</f>
        <v>127.44399999999999</v>
      </c>
      <c r="R35" s="168"/>
    </row>
    <row r="36" spans="1:20" ht="17.100000000000001" customHeight="1">
      <c r="A36" s="14"/>
      <c r="B36" s="19"/>
      <c r="C36" s="19"/>
      <c r="D36" s="19"/>
      <c r="E36" s="19"/>
      <c r="F36" s="19"/>
      <c r="G36" s="19"/>
      <c r="H36" s="19"/>
      <c r="I36" s="19"/>
      <c r="J36" s="165">
        <v>1E-3</v>
      </c>
      <c r="K36" s="159"/>
      <c r="L36" s="160"/>
      <c r="M36" s="55">
        <v>3</v>
      </c>
      <c r="N36" s="48"/>
      <c r="O36" s="113" t="s">
        <v>73</v>
      </c>
      <c r="P36" s="166"/>
      <c r="Q36" s="172">
        <f>M18*0</f>
        <v>0</v>
      </c>
      <c r="R36" s="127"/>
    </row>
    <row r="37" spans="1:20" s="59" customFormat="1" ht="17.100000000000001" customHeight="1">
      <c r="A37" s="56"/>
      <c r="B37" s="57"/>
      <c r="C37" s="56"/>
      <c r="D37" s="58"/>
      <c r="E37" s="58"/>
      <c r="F37" s="58"/>
      <c r="G37" s="58"/>
      <c r="H37" s="58"/>
      <c r="I37" s="58"/>
      <c r="J37" s="183">
        <v>1E-4</v>
      </c>
      <c r="K37" s="183"/>
      <c r="L37" s="183"/>
      <c r="M37" s="55">
        <v>4</v>
      </c>
      <c r="N37" s="58"/>
      <c r="O37" s="184" t="s">
        <v>74</v>
      </c>
      <c r="P37" s="185"/>
      <c r="Q37" s="186">
        <f>STDEV(B9:K13)</f>
        <v>22.775828576518105</v>
      </c>
      <c r="R37" s="127"/>
    </row>
    <row r="38" spans="1:20" ht="17.100000000000001" customHeight="1">
      <c r="A38" s="57"/>
      <c r="B38" s="57"/>
      <c r="C38" s="58"/>
      <c r="D38" s="58"/>
      <c r="E38" s="58"/>
      <c r="F38" s="58"/>
      <c r="G38" s="58"/>
      <c r="H38" s="58"/>
      <c r="I38" s="58"/>
      <c r="J38" s="60"/>
      <c r="K38" s="58"/>
      <c r="L38" s="58"/>
      <c r="N38" s="58"/>
      <c r="O38" s="187" t="s">
        <v>86</v>
      </c>
      <c r="P38" s="188"/>
      <c r="Q38" s="186">
        <f>ROUNDUP(SUM(I20/(6*Q37)),4)</f>
        <v>3.2930000000000001</v>
      </c>
      <c r="R38" s="168"/>
    </row>
    <row r="39" spans="1:20" ht="15" customHeight="1">
      <c r="A39" s="173" t="s">
        <v>75</v>
      </c>
      <c r="B39" s="173"/>
      <c r="C39" s="174" t="str">
        <f>IF(OR(AND(Q38&gt;=0,Q38&lt;=0.5),AND(Q39&gt;=0,Q39&lt;=0.5)),"PROCESS IS VERY POOR TAKE IMMEDIATE ACTION",IF(OR(AND(Q38&gt;0.5,Q38&lt;=1.33),AND(Q39&gt;0.5,Q39&lt;=1.33)),"PROCESS NEEDS CORRECTION ,Cp &amp; Cpk SHOULD BE &gt;=1.33",IF(OR(AND(Q38&gt;1,Q38&lt;=1.67),AND(Q39&gt;1,Q39&lt;=1.67)),"PROCESS IS GOOD BUT STILL IMPROVEMENT IS REQIURED","PROCESS IS EXCELLENT")))</f>
        <v>PROCESS IS EXCELLENT</v>
      </c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6"/>
      <c r="O39" s="211" t="s">
        <v>85</v>
      </c>
      <c r="P39" s="188"/>
      <c r="Q39" s="186">
        <f>ROUNDUP(SUM((1-N20)*Q38),4)</f>
        <v>2.8330000000000002</v>
      </c>
      <c r="R39" s="168"/>
    </row>
    <row r="40" spans="1:20" ht="15" customHeight="1">
      <c r="A40" s="173"/>
      <c r="B40" s="173"/>
      <c r="C40" s="177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9"/>
      <c r="O40" s="189" t="s">
        <v>76</v>
      </c>
      <c r="P40" s="190"/>
      <c r="Q40" s="191" t="s">
        <v>89</v>
      </c>
      <c r="R40" s="192"/>
    </row>
    <row r="41" spans="1:20" ht="15" customHeight="1">
      <c r="A41" s="173"/>
      <c r="B41" s="173"/>
      <c r="C41" s="180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2"/>
      <c r="O41" s="189" t="s">
        <v>84</v>
      </c>
      <c r="P41" s="190"/>
      <c r="Q41" s="191" t="s">
        <v>90</v>
      </c>
      <c r="R41" s="192"/>
    </row>
    <row r="42" spans="1:20" ht="15.75" customHeight="1">
      <c r="M42" s="62"/>
      <c r="P42" s="63"/>
    </row>
  </sheetData>
  <mergeCells count="76">
    <mergeCell ref="O41:P41"/>
    <mergeCell ref="Q41:R41"/>
    <mergeCell ref="C39:N41"/>
    <mergeCell ref="A39:B41"/>
    <mergeCell ref="O39:P39"/>
    <mergeCell ref="Q39:R39"/>
    <mergeCell ref="Q40:R40"/>
    <mergeCell ref="O40:P40"/>
    <mergeCell ref="J35:L35"/>
    <mergeCell ref="O35:P35"/>
    <mergeCell ref="Q35:R35"/>
    <mergeCell ref="J36:L36"/>
    <mergeCell ref="O36:P36"/>
    <mergeCell ref="Q36:R36"/>
    <mergeCell ref="J37:L37"/>
    <mergeCell ref="O37:P37"/>
    <mergeCell ref="Q37:R37"/>
    <mergeCell ref="O38:P38"/>
    <mergeCell ref="Q38:R38"/>
    <mergeCell ref="J32:L32"/>
    <mergeCell ref="J33:L33"/>
    <mergeCell ref="O33:P33"/>
    <mergeCell ref="Q33:R33"/>
    <mergeCell ref="J34:L34"/>
    <mergeCell ref="O34:P34"/>
    <mergeCell ref="Q34:R34"/>
    <mergeCell ref="A21:C21"/>
    <mergeCell ref="D21:E21"/>
    <mergeCell ref="F21:H21"/>
    <mergeCell ref="I21:J21"/>
    <mergeCell ref="K21:M21"/>
    <mergeCell ref="A22:C22"/>
    <mergeCell ref="D22:E22"/>
    <mergeCell ref="F22:H22"/>
    <mergeCell ref="I22:J22"/>
    <mergeCell ref="K22:M22"/>
    <mergeCell ref="F6:G6"/>
    <mergeCell ref="N19:P19"/>
    <mergeCell ref="A20:C20"/>
    <mergeCell ref="D20:E20"/>
    <mergeCell ref="F20:H20"/>
    <mergeCell ref="I20:J20"/>
    <mergeCell ref="K20:M20"/>
    <mergeCell ref="O20:P20"/>
    <mergeCell ref="K5:L5"/>
    <mergeCell ref="N18:P18"/>
    <mergeCell ref="O6:P6"/>
    <mergeCell ref="A7:L7"/>
    <mergeCell ref="M7:Q7"/>
    <mergeCell ref="L8:L10"/>
    <mergeCell ref="M8:N10"/>
    <mergeCell ref="L11:L13"/>
    <mergeCell ref="M11:N13"/>
    <mergeCell ref="A14:R14"/>
    <mergeCell ref="A15:R15"/>
    <mergeCell ref="N16:P17"/>
    <mergeCell ref="Q16:Q17"/>
    <mergeCell ref="R16:R17"/>
    <mergeCell ref="A6:B6"/>
    <mergeCell ref="C6:E6"/>
    <mergeCell ref="A1:B3"/>
    <mergeCell ref="C1:P2"/>
    <mergeCell ref="C3:P3"/>
    <mergeCell ref="H6:J6"/>
    <mergeCell ref="K6:L6"/>
    <mergeCell ref="A4:B4"/>
    <mergeCell ref="C4:E4"/>
    <mergeCell ref="F4:G4"/>
    <mergeCell ref="H4:J4"/>
    <mergeCell ref="K4:L4"/>
    <mergeCell ref="N4:N5"/>
    <mergeCell ref="O4:R5"/>
    <mergeCell ref="A5:B5"/>
    <mergeCell ref="C5:E5"/>
    <mergeCell ref="F5:G5"/>
    <mergeCell ref="H5:J5"/>
  </mergeCells>
  <printOptions horizontalCentered="1"/>
  <pageMargins left="0.3" right="0.14000000000000001" top="0.43" bottom="0.37" header="0.37" footer="0.28999999999999998"/>
  <pageSetup scale="80" orientation="landscape" horizontalDpi="300" verticalDpi="300" r:id="rId1"/>
  <headerFooter alignWithMargins="0">
    <oddFooter>&amp;CPage &amp;P&amp;R&amp;Z&amp;F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2"/>
  <sheetViews>
    <sheetView showGridLines="0" view="pageBreakPreview" topLeftCell="E1" zoomScaleNormal="115" zoomScaleSheetLayoutView="100" workbookViewId="0">
      <selection activeCell="O40" sqref="O40:R41"/>
    </sheetView>
  </sheetViews>
  <sheetFormatPr defaultRowHeight="8.25"/>
  <cols>
    <col min="1" max="1" width="7.140625" style="61" customWidth="1"/>
    <col min="2" max="2" width="8.85546875" style="1" bestFit="1" customWidth="1"/>
    <col min="3" max="3" width="8.7109375" style="1" bestFit="1" customWidth="1"/>
    <col min="4" max="5" width="8.5703125" style="1" bestFit="1" customWidth="1"/>
    <col min="6" max="9" width="7.5703125" style="1" bestFit="1" customWidth="1"/>
    <col min="10" max="10" width="8.42578125" style="1" bestFit="1" customWidth="1"/>
    <col min="11" max="11" width="7.5703125" style="1" bestFit="1" customWidth="1"/>
    <col min="12" max="12" width="12.5703125" style="1" customWidth="1"/>
    <col min="13" max="13" width="14.42578125" style="1" customWidth="1"/>
    <col min="14" max="14" width="10.140625" style="1" bestFit="1" customWidth="1"/>
    <col min="15" max="15" width="8.5703125" style="1" customWidth="1"/>
    <col min="16" max="16" width="9.28515625" style="1" customWidth="1"/>
    <col min="17" max="18" width="11.5703125" style="1" customWidth="1"/>
    <col min="19" max="19" width="5.5703125" style="1" customWidth="1"/>
    <col min="20" max="20" width="11.28515625" style="1" customWidth="1"/>
    <col min="21" max="16384" width="9.140625" style="1"/>
  </cols>
  <sheetData>
    <row r="1" spans="1:32" ht="22.5" customHeight="1">
      <c r="A1" s="76"/>
      <c r="B1" s="77"/>
      <c r="C1" s="82" t="s">
        <v>88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4"/>
      <c r="Q1" s="69" t="s">
        <v>104</v>
      </c>
      <c r="R1" s="70" t="s">
        <v>105</v>
      </c>
    </row>
    <row r="2" spans="1:32" ht="22.5" customHeight="1">
      <c r="A2" s="78"/>
      <c r="B2" s="79"/>
      <c r="C2" s="85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7"/>
      <c r="Q2" s="71" t="s">
        <v>106</v>
      </c>
      <c r="R2" s="72" t="s">
        <v>107</v>
      </c>
    </row>
    <row r="3" spans="1:32" s="2" customFormat="1" ht="22.5" customHeight="1" thickBot="1">
      <c r="A3" s="80"/>
      <c r="B3" s="81"/>
      <c r="C3" s="88" t="s">
        <v>0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73" t="s">
        <v>108</v>
      </c>
      <c r="R3" s="74" t="s">
        <v>109</v>
      </c>
    </row>
    <row r="4" spans="1:32" s="4" customFormat="1" ht="15" customHeight="1">
      <c r="A4" s="96" t="s">
        <v>1</v>
      </c>
      <c r="B4" s="97"/>
      <c r="C4" s="197" t="s">
        <v>92</v>
      </c>
      <c r="D4" s="198"/>
      <c r="E4" s="199"/>
      <c r="F4" s="96" t="s">
        <v>2</v>
      </c>
      <c r="G4" s="200"/>
      <c r="H4" s="197" t="s">
        <v>3</v>
      </c>
      <c r="I4" s="198"/>
      <c r="J4" s="199"/>
      <c r="K4" s="201" t="s">
        <v>4</v>
      </c>
      <c r="L4" s="97"/>
      <c r="M4" s="3" t="s">
        <v>95</v>
      </c>
      <c r="N4" s="105"/>
      <c r="O4" s="107"/>
      <c r="P4" s="108"/>
      <c r="Q4" s="108"/>
      <c r="R4" s="109"/>
    </row>
    <row r="5" spans="1:32" s="4" customFormat="1" ht="15" customHeight="1">
      <c r="A5" s="113" t="s">
        <v>5</v>
      </c>
      <c r="B5" s="114"/>
      <c r="C5" s="193" t="s">
        <v>6</v>
      </c>
      <c r="D5" s="194"/>
      <c r="E5" s="195"/>
      <c r="F5" s="113" t="s">
        <v>7</v>
      </c>
      <c r="G5" s="202"/>
      <c r="H5" s="193" t="s">
        <v>8</v>
      </c>
      <c r="I5" s="194"/>
      <c r="J5" s="195"/>
      <c r="K5" s="158" t="s">
        <v>9</v>
      </c>
      <c r="L5" s="114"/>
      <c r="M5" s="5" t="s">
        <v>10</v>
      </c>
      <c r="N5" s="106"/>
      <c r="O5" s="110"/>
      <c r="P5" s="111"/>
      <c r="Q5" s="111"/>
      <c r="R5" s="112"/>
    </row>
    <row r="6" spans="1:32" s="4" customFormat="1" ht="15" customHeight="1">
      <c r="A6" s="113" t="s">
        <v>11</v>
      </c>
      <c r="B6" s="114"/>
      <c r="C6" s="172" t="s">
        <v>12</v>
      </c>
      <c r="D6" s="209"/>
      <c r="E6" s="210"/>
      <c r="F6" s="113" t="s">
        <v>13</v>
      </c>
      <c r="G6" s="202"/>
      <c r="H6" s="193" t="s">
        <v>14</v>
      </c>
      <c r="I6" s="194"/>
      <c r="J6" s="195"/>
      <c r="K6" s="113" t="s">
        <v>15</v>
      </c>
      <c r="L6" s="196"/>
      <c r="M6" s="5">
        <v>1</v>
      </c>
      <c r="N6" s="6"/>
      <c r="O6" s="120"/>
      <c r="P6" s="121"/>
      <c r="Q6" s="6" t="s">
        <v>16</v>
      </c>
      <c r="R6" s="75" t="s">
        <v>111</v>
      </c>
    </row>
    <row r="7" spans="1:32" s="4" customFormat="1" ht="15" customHeight="1">
      <c r="A7" s="122" t="s">
        <v>17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4"/>
      <c r="M7" s="125" t="s">
        <v>93</v>
      </c>
      <c r="N7" s="126"/>
      <c r="O7" s="126"/>
      <c r="P7" s="126"/>
      <c r="Q7" s="127"/>
      <c r="R7" s="68" t="s">
        <v>94</v>
      </c>
    </row>
    <row r="8" spans="1:32" s="4" customFormat="1" ht="15" customHeight="1">
      <c r="A8" s="8" t="s">
        <v>18</v>
      </c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128" t="s">
        <v>77</v>
      </c>
      <c r="M8" s="203">
        <v>2100</v>
      </c>
      <c r="N8" s="204"/>
      <c r="O8" s="9" t="s">
        <v>19</v>
      </c>
      <c r="P8" s="10" t="s">
        <v>20</v>
      </c>
      <c r="Q8" s="10" t="s">
        <v>21</v>
      </c>
      <c r="R8" s="10" t="s">
        <v>22</v>
      </c>
    </row>
    <row r="9" spans="1:32" s="4" customFormat="1" ht="15" customHeight="1">
      <c r="A9" s="8">
        <v>1</v>
      </c>
      <c r="B9" s="11">
        <v>1945</v>
      </c>
      <c r="C9" s="11">
        <v>1930</v>
      </c>
      <c r="D9" s="11">
        <v>1910</v>
      </c>
      <c r="E9" s="11">
        <v>1911</v>
      </c>
      <c r="F9" s="11">
        <v>1911</v>
      </c>
      <c r="G9" s="11">
        <v>1958</v>
      </c>
      <c r="H9" s="11">
        <v>1922</v>
      </c>
      <c r="I9" s="11">
        <v>1983</v>
      </c>
      <c r="J9" s="11">
        <v>1911</v>
      </c>
      <c r="K9" s="11">
        <v>2009</v>
      </c>
      <c r="L9" s="129"/>
      <c r="M9" s="205"/>
      <c r="N9" s="206"/>
      <c r="O9" s="12" t="s">
        <v>23</v>
      </c>
      <c r="P9" s="6">
        <v>1.123</v>
      </c>
      <c r="Q9" s="12" t="s">
        <v>24</v>
      </c>
      <c r="R9" s="12" t="s">
        <v>25</v>
      </c>
      <c r="S9" s="13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1:32" s="4" customFormat="1" ht="15" customHeight="1">
      <c r="A10" s="8">
        <v>2</v>
      </c>
      <c r="B10" s="11">
        <v>1927</v>
      </c>
      <c r="C10" s="11">
        <v>1956</v>
      </c>
      <c r="D10" s="11">
        <v>1967</v>
      </c>
      <c r="E10" s="11">
        <v>1934</v>
      </c>
      <c r="F10" s="11">
        <v>1885</v>
      </c>
      <c r="G10" s="11">
        <v>2012</v>
      </c>
      <c r="H10" s="11">
        <v>1945</v>
      </c>
      <c r="I10" s="11">
        <v>1947</v>
      </c>
      <c r="J10" s="11">
        <v>1929</v>
      </c>
      <c r="K10" s="11">
        <v>1956</v>
      </c>
      <c r="L10" s="130"/>
      <c r="M10" s="207"/>
      <c r="N10" s="208"/>
      <c r="O10" s="12" t="s">
        <v>26</v>
      </c>
      <c r="P10" s="6">
        <v>1.1279999999999999</v>
      </c>
      <c r="Q10" s="12" t="s">
        <v>27</v>
      </c>
      <c r="R10" s="12" t="s">
        <v>25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 s="4" customFormat="1" ht="15" customHeight="1">
      <c r="A11" s="15">
        <v>3</v>
      </c>
      <c r="B11" s="11">
        <v>1967</v>
      </c>
      <c r="C11" s="11">
        <v>1945</v>
      </c>
      <c r="D11" s="11">
        <v>1934</v>
      </c>
      <c r="E11" s="11">
        <v>1950</v>
      </c>
      <c r="F11" s="11">
        <v>1945</v>
      </c>
      <c r="G11" s="11">
        <v>1936</v>
      </c>
      <c r="H11" s="11">
        <v>1937</v>
      </c>
      <c r="I11" s="11">
        <v>1922</v>
      </c>
      <c r="J11" s="11">
        <v>1956</v>
      </c>
      <c r="K11" s="11">
        <v>1937</v>
      </c>
      <c r="L11" s="128" t="s">
        <v>78</v>
      </c>
      <c r="M11" s="203">
        <v>1800</v>
      </c>
      <c r="N11" s="204"/>
      <c r="O11" s="16" t="s">
        <v>28</v>
      </c>
      <c r="P11" s="17">
        <v>1.6930000000000001</v>
      </c>
      <c r="Q11" s="12" t="s">
        <v>29</v>
      </c>
      <c r="R11" s="12" t="s">
        <v>30</v>
      </c>
      <c r="T11" s="14" t="s">
        <v>31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2" s="4" customFormat="1" ht="15" customHeight="1">
      <c r="A12" s="18">
        <v>4</v>
      </c>
      <c r="B12" s="11">
        <v>1945</v>
      </c>
      <c r="C12" s="11">
        <v>1950</v>
      </c>
      <c r="D12" s="11">
        <v>1926</v>
      </c>
      <c r="E12" s="11">
        <v>1925</v>
      </c>
      <c r="F12" s="11">
        <v>1889</v>
      </c>
      <c r="G12" s="11">
        <v>1956</v>
      </c>
      <c r="H12" s="11">
        <v>1950</v>
      </c>
      <c r="I12" s="11">
        <v>1990</v>
      </c>
      <c r="J12" s="11">
        <v>1928</v>
      </c>
      <c r="K12" s="11">
        <v>1928</v>
      </c>
      <c r="L12" s="137"/>
      <c r="M12" s="205"/>
      <c r="N12" s="206"/>
      <c r="O12" s="12" t="s">
        <v>32</v>
      </c>
      <c r="P12" s="6">
        <v>2.0590000000000002</v>
      </c>
      <c r="Q12" s="12" t="s">
        <v>33</v>
      </c>
      <c r="R12" s="12" t="s">
        <v>34</v>
      </c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4"/>
      <c r="AE12" s="14"/>
      <c r="AF12" s="14"/>
    </row>
    <row r="13" spans="1:32" s="4" customFormat="1" ht="15" customHeight="1">
      <c r="A13" s="20">
        <v>5</v>
      </c>
      <c r="B13" s="11">
        <v>1960</v>
      </c>
      <c r="C13" s="11">
        <v>1921</v>
      </c>
      <c r="D13" s="11">
        <v>1956</v>
      </c>
      <c r="E13" s="11">
        <v>1917</v>
      </c>
      <c r="F13" s="11">
        <v>1990</v>
      </c>
      <c r="G13" s="11">
        <v>1945</v>
      </c>
      <c r="H13" s="11">
        <v>1936</v>
      </c>
      <c r="I13" s="11">
        <v>1920</v>
      </c>
      <c r="J13" s="11">
        <v>1947</v>
      </c>
      <c r="K13" s="11">
        <v>1885</v>
      </c>
      <c r="L13" s="138"/>
      <c r="M13" s="207"/>
      <c r="N13" s="208"/>
      <c r="O13" s="21" t="s">
        <v>35</v>
      </c>
      <c r="P13" s="22">
        <v>2.3260000000000001</v>
      </c>
      <c r="Q13" s="12" t="s">
        <v>36</v>
      </c>
      <c r="R13" s="12" t="s">
        <v>37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4"/>
      <c r="AE13" s="14"/>
      <c r="AF13" s="14"/>
    </row>
    <row r="14" spans="1:32" s="4" customFormat="1" ht="15" customHeight="1">
      <c r="A14" s="122">
        <v>11.99</v>
      </c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40"/>
      <c r="S14" s="14"/>
      <c r="T14" s="14"/>
      <c r="U14" s="14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s="4" customFormat="1" ht="15" customHeight="1">
      <c r="A15" s="141" t="s">
        <v>38</v>
      </c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3"/>
      <c r="S15" s="14"/>
      <c r="T15" s="14"/>
      <c r="U15" s="14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s="4" customFormat="1" ht="15" customHeight="1">
      <c r="A16" s="23" t="s">
        <v>39</v>
      </c>
      <c r="B16" s="24">
        <f t="shared" ref="B16:K16" si="0">MAX(B9:B13)</f>
        <v>1967</v>
      </c>
      <c r="C16" s="24">
        <f t="shared" si="0"/>
        <v>1956</v>
      </c>
      <c r="D16" s="24">
        <f t="shared" si="0"/>
        <v>1967</v>
      </c>
      <c r="E16" s="24">
        <f t="shared" si="0"/>
        <v>1950</v>
      </c>
      <c r="F16" s="24">
        <f t="shared" si="0"/>
        <v>1990</v>
      </c>
      <c r="G16" s="24">
        <f t="shared" si="0"/>
        <v>2012</v>
      </c>
      <c r="H16" s="24">
        <f t="shared" si="0"/>
        <v>1950</v>
      </c>
      <c r="I16" s="24">
        <f>MAX(I9:I13)</f>
        <v>1990</v>
      </c>
      <c r="J16" s="24">
        <f t="shared" si="0"/>
        <v>1956</v>
      </c>
      <c r="K16" s="25">
        <f t="shared" si="0"/>
        <v>2009</v>
      </c>
      <c r="L16" s="6" t="s">
        <v>40</v>
      </c>
      <c r="M16" s="26">
        <f>(MAX(B16:K16))</f>
        <v>2012</v>
      </c>
      <c r="N16" s="144" t="s">
        <v>41</v>
      </c>
      <c r="O16" s="145"/>
      <c r="P16" s="146"/>
      <c r="Q16" s="150">
        <f>SUM(Q18:R19)</f>
        <v>0</v>
      </c>
      <c r="R16" s="152" t="s">
        <v>42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4"/>
      <c r="AE16" s="14"/>
      <c r="AF16" s="14"/>
    </row>
    <row r="17" spans="1:32" s="4" customFormat="1" ht="15" customHeight="1">
      <c r="A17" s="27" t="s">
        <v>43</v>
      </c>
      <c r="B17" s="25">
        <f t="shared" ref="B17:J17" si="1">MIN(B9:B13)</f>
        <v>1927</v>
      </c>
      <c r="C17" s="24">
        <f>MIN(C9:C13)</f>
        <v>1921</v>
      </c>
      <c r="D17" s="25">
        <f t="shared" si="1"/>
        <v>1910</v>
      </c>
      <c r="E17" s="25">
        <f t="shared" si="1"/>
        <v>1911</v>
      </c>
      <c r="F17" s="25">
        <f t="shared" si="1"/>
        <v>1885</v>
      </c>
      <c r="G17" s="25">
        <f>MIN(G9:G13)</f>
        <v>1936</v>
      </c>
      <c r="H17" s="25">
        <f t="shared" si="1"/>
        <v>1922</v>
      </c>
      <c r="I17" s="24">
        <f>MIN(I9:I13)</f>
        <v>1920</v>
      </c>
      <c r="J17" s="25">
        <f t="shared" si="1"/>
        <v>1911</v>
      </c>
      <c r="K17" s="25">
        <f>MIN(K9:K13)</f>
        <v>1885</v>
      </c>
      <c r="L17" s="6" t="s">
        <v>44</v>
      </c>
      <c r="M17" s="26">
        <f>MIN(B17:K17)</f>
        <v>1885</v>
      </c>
      <c r="N17" s="147"/>
      <c r="O17" s="148"/>
      <c r="P17" s="149"/>
      <c r="Q17" s="151"/>
      <c r="R17" s="15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:32" s="4" customFormat="1" ht="15" customHeight="1">
      <c r="A18" s="28" t="s">
        <v>45</v>
      </c>
      <c r="B18" s="29">
        <f t="shared" ref="B18:K18" si="2">SUM(MAX(B9:B13)-MIN(B9:B13))</f>
        <v>40</v>
      </c>
      <c r="C18" s="29">
        <f t="shared" si="2"/>
        <v>35</v>
      </c>
      <c r="D18" s="29">
        <f t="shared" si="2"/>
        <v>57</v>
      </c>
      <c r="E18" s="29">
        <f t="shared" si="2"/>
        <v>39</v>
      </c>
      <c r="F18" s="29">
        <f t="shared" si="2"/>
        <v>105</v>
      </c>
      <c r="G18" s="29">
        <f>SUM(MAX(G9:G13)-MIN(G9:G13))</f>
        <v>76</v>
      </c>
      <c r="H18" s="29">
        <f t="shared" si="2"/>
        <v>28</v>
      </c>
      <c r="I18" s="29">
        <f t="shared" si="2"/>
        <v>70</v>
      </c>
      <c r="J18" s="29">
        <f t="shared" si="2"/>
        <v>45</v>
      </c>
      <c r="K18" s="25">
        <f t="shared" si="2"/>
        <v>124</v>
      </c>
      <c r="L18" s="30" t="s">
        <v>46</v>
      </c>
      <c r="M18" s="31">
        <f>AVERAGE(B18:K18)</f>
        <v>61.9</v>
      </c>
      <c r="N18" s="118" t="s">
        <v>47</v>
      </c>
      <c r="O18" s="119"/>
      <c r="P18" s="119"/>
      <c r="Q18" s="32">
        <f>COUNTIF(B9:K13,"&gt;"&amp;TEXT(M8,"0.000000"))</f>
        <v>0</v>
      </c>
      <c r="R18" s="33" t="s">
        <v>42</v>
      </c>
      <c r="U18" s="34"/>
    </row>
    <row r="19" spans="1:32" s="4" customFormat="1" ht="15" customHeight="1">
      <c r="A19" s="6" t="s">
        <v>48</v>
      </c>
      <c r="B19" s="25">
        <f>(AVERAGE(B9:B13))</f>
        <v>1948.8</v>
      </c>
      <c r="C19" s="25">
        <f t="shared" ref="C19:K19" si="3">AVERAGE(C9:C13)</f>
        <v>1940.4</v>
      </c>
      <c r="D19" s="25">
        <f t="shared" si="3"/>
        <v>1938.6</v>
      </c>
      <c r="E19" s="25">
        <f t="shared" si="3"/>
        <v>1927.4</v>
      </c>
      <c r="F19" s="25">
        <f t="shared" si="3"/>
        <v>1924</v>
      </c>
      <c r="G19" s="25">
        <f>AVERAGE(G9:G13)</f>
        <v>1961.4</v>
      </c>
      <c r="H19" s="25">
        <f t="shared" si="3"/>
        <v>1938</v>
      </c>
      <c r="I19" s="25">
        <f t="shared" si="3"/>
        <v>1952.4</v>
      </c>
      <c r="J19" s="25">
        <f t="shared" si="3"/>
        <v>1934.2</v>
      </c>
      <c r="K19" s="25">
        <f t="shared" si="3"/>
        <v>1943</v>
      </c>
      <c r="L19" s="30" t="s">
        <v>49</v>
      </c>
      <c r="M19" s="35">
        <f>ROUNDUP(AVERAGE(B9:K13),4)</f>
        <v>1940.82</v>
      </c>
      <c r="N19" s="118" t="s">
        <v>50</v>
      </c>
      <c r="O19" s="157"/>
      <c r="P19" s="157"/>
      <c r="Q19" s="36">
        <f>COUNTIF(B9:K13,"&lt;"&amp;TEXT(M11,"0.000000"))</f>
        <v>0</v>
      </c>
      <c r="R19" s="37" t="s">
        <v>42</v>
      </c>
    </row>
    <row r="20" spans="1:32" s="4" customFormat="1" ht="15" customHeight="1">
      <c r="A20" s="113" t="s">
        <v>51</v>
      </c>
      <c r="B20" s="158"/>
      <c r="C20" s="158"/>
      <c r="D20" s="159">
        <f>ROUNDUP(SUM(M16-M17),4)</f>
        <v>127</v>
      </c>
      <c r="E20" s="160"/>
      <c r="F20" s="113" t="s">
        <v>52</v>
      </c>
      <c r="G20" s="158"/>
      <c r="H20" s="158"/>
      <c r="I20" s="159">
        <f>ROUNDUP(ABS(SUM(M8-M11)),4)</f>
        <v>300</v>
      </c>
      <c r="J20" s="160"/>
      <c r="K20" s="113" t="s">
        <v>53</v>
      </c>
      <c r="L20" s="158"/>
      <c r="M20" s="158"/>
      <c r="N20" s="38">
        <f>ROUNDUP(SUM((2*(N22))/I20),4)</f>
        <v>6.13E-2</v>
      </c>
      <c r="O20" s="161" t="s">
        <v>54</v>
      </c>
      <c r="P20" s="162"/>
      <c r="Q20" s="39" t="s">
        <v>55</v>
      </c>
      <c r="R20" s="39" t="s">
        <v>56</v>
      </c>
    </row>
    <row r="21" spans="1:32" s="4" customFormat="1" ht="15" customHeight="1">
      <c r="A21" s="113" t="s">
        <v>57</v>
      </c>
      <c r="B21" s="158"/>
      <c r="C21" s="158"/>
      <c r="D21" s="159">
        <f>ROUNDUP(AVERAGE(M8:M11),4)</f>
        <v>1950</v>
      </c>
      <c r="E21" s="160"/>
      <c r="F21" s="113" t="s">
        <v>58</v>
      </c>
      <c r="G21" s="158"/>
      <c r="H21" s="158"/>
      <c r="I21" s="163">
        <f>ROUNDUP(SUM(D20/N21),4)</f>
        <v>25.4</v>
      </c>
      <c r="J21" s="164"/>
      <c r="K21" s="113" t="s">
        <v>59</v>
      </c>
      <c r="L21" s="158"/>
      <c r="M21" s="158"/>
      <c r="N21" s="40" t="str">
        <f>IF(I22/10&lt;=5,"5",IF(I22/10&lt;=6,"6",IF(I22/10&lt;=7,"7","8")))</f>
        <v>5</v>
      </c>
      <c r="O21" s="41">
        <f>ROUNDUP(SUM(P21-I21),4)</f>
        <v>1783.3</v>
      </c>
      <c r="P21" s="41">
        <f>ROUNDUP(SUM(P22-I21),4)</f>
        <v>1808.7</v>
      </c>
      <c r="Q21" s="25">
        <f>SUM(R21)</f>
        <v>0</v>
      </c>
      <c r="R21" s="25">
        <f>FREQUENCY(B9:K13,P21:P22)</f>
        <v>0</v>
      </c>
    </row>
    <row r="22" spans="1:32" s="4" customFormat="1" ht="15" customHeight="1">
      <c r="A22" s="113" t="s">
        <v>60</v>
      </c>
      <c r="B22" s="158"/>
      <c r="C22" s="158"/>
      <c r="D22" s="159">
        <f>ROUNDUP(SUM(M17-(IF(M6=M33,J33,IF(M6=M34,J34,IF(M6=M35,J35,IF(M6=M36,J36,IF(M6=M37,J37))))))),4)</f>
        <v>1884.9</v>
      </c>
      <c r="E22" s="160"/>
      <c r="F22" s="113" t="s">
        <v>61</v>
      </c>
      <c r="G22" s="158"/>
      <c r="H22" s="158"/>
      <c r="I22" s="159">
        <f>COUNTIF((B9:K13),"&gt;0")</f>
        <v>50</v>
      </c>
      <c r="J22" s="159"/>
      <c r="K22" s="113" t="s">
        <v>62</v>
      </c>
      <c r="L22" s="158"/>
      <c r="M22" s="158"/>
      <c r="N22" s="42">
        <f>(ABS(SUM(M19-D21)))</f>
        <v>9.1800000000000637</v>
      </c>
      <c r="O22" s="41">
        <f>ROUNDUP(SUM(P22-I21),4)</f>
        <v>1808.7</v>
      </c>
      <c r="P22" s="41">
        <f>ROUNDUP(SUM(P23-I21),4)</f>
        <v>1834.1</v>
      </c>
      <c r="Q22" s="25">
        <f t="shared" ref="Q22:Q32" si="4">SUM(R22-R21)</f>
        <v>0</v>
      </c>
      <c r="R22" s="25">
        <f>FREQUENCY(B9:K13,P22:P23)</f>
        <v>0</v>
      </c>
    </row>
    <row r="23" spans="1:32" s="2" customFormat="1" ht="17.100000000000001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1">
        <f>ROUNDUP(SUM(P23-I21),4)</f>
        <v>1834.1</v>
      </c>
      <c r="P23" s="41">
        <f>ROUNDUP(SUM(P24-I21),4)</f>
        <v>1859.5</v>
      </c>
      <c r="Q23" s="25">
        <f t="shared" si="4"/>
        <v>0</v>
      </c>
      <c r="R23" s="25">
        <f>FREQUENCY(B9:K13,P23:P24)</f>
        <v>0</v>
      </c>
    </row>
    <row r="24" spans="1:32" s="2" customFormat="1" ht="17.100000000000001" customHeight="1">
      <c r="A24" s="44" t="s">
        <v>63</v>
      </c>
      <c r="B24" s="6">
        <f>Q33</f>
        <v>1977.3409999999999</v>
      </c>
      <c r="C24" s="6">
        <f>Q33</f>
        <v>1977.3409999999999</v>
      </c>
      <c r="D24" s="6">
        <f>Q33</f>
        <v>1977.3409999999999</v>
      </c>
      <c r="E24" s="6">
        <f>Q33</f>
        <v>1977.3409999999999</v>
      </c>
      <c r="F24" s="45">
        <f>Q33</f>
        <v>1977.3409999999999</v>
      </c>
      <c r="G24" s="45">
        <f>Q33</f>
        <v>1977.3409999999999</v>
      </c>
      <c r="H24" s="45">
        <f>Q33</f>
        <v>1977.3409999999999</v>
      </c>
      <c r="I24" s="6">
        <f>Q33</f>
        <v>1977.3409999999999</v>
      </c>
      <c r="J24" s="6">
        <f>Q33</f>
        <v>1977.3409999999999</v>
      </c>
      <c r="K24" s="26">
        <f>Q33</f>
        <v>1977.3409999999999</v>
      </c>
      <c r="M24" s="46"/>
      <c r="N24" s="46"/>
      <c r="O24" s="41">
        <f>ROUNDUP(SUM(P24-I21),4)</f>
        <v>1859.5</v>
      </c>
      <c r="P24" s="41">
        <f>ROUNDUP((D22),4)</f>
        <v>1884.9</v>
      </c>
      <c r="Q24" s="25">
        <f t="shared" si="4"/>
        <v>0</v>
      </c>
      <c r="R24" s="25">
        <f>FREQUENCY(B9:K13,P24:P25)</f>
        <v>0</v>
      </c>
    </row>
    <row r="25" spans="1:32" s="2" customFormat="1" ht="17.100000000000001" customHeight="1">
      <c r="A25" s="47" t="s">
        <v>64</v>
      </c>
      <c r="B25" s="26">
        <f>Q34</f>
        <v>1904.299</v>
      </c>
      <c r="C25" s="26">
        <f>Q34</f>
        <v>1904.299</v>
      </c>
      <c r="D25" s="26">
        <f>Q34</f>
        <v>1904.299</v>
      </c>
      <c r="E25" s="26">
        <f>Q34</f>
        <v>1904.299</v>
      </c>
      <c r="F25" s="26">
        <f>Q34</f>
        <v>1904.299</v>
      </c>
      <c r="G25" s="26">
        <f>Q34</f>
        <v>1904.299</v>
      </c>
      <c r="H25" s="26">
        <f>Q34</f>
        <v>1904.299</v>
      </c>
      <c r="I25" s="26">
        <f>Q34</f>
        <v>1904.299</v>
      </c>
      <c r="J25" s="26">
        <f>Q34</f>
        <v>1904.299</v>
      </c>
      <c r="K25" s="26">
        <f>Q34</f>
        <v>1904.299</v>
      </c>
      <c r="M25" s="48"/>
      <c r="N25" s="48"/>
      <c r="O25" s="41">
        <f>ROUNDUP((D22),4)</f>
        <v>1884.9</v>
      </c>
      <c r="P25" s="41">
        <f>ROUNDUP(SUM(P24+I21),4)</f>
        <v>1910.3</v>
      </c>
      <c r="Q25" s="25">
        <f t="shared" si="4"/>
        <v>4</v>
      </c>
      <c r="R25" s="25">
        <f>FREQUENCY(B9:K13,P25:P26)</f>
        <v>4</v>
      </c>
    </row>
    <row r="26" spans="1:32" s="2" customFormat="1" ht="17.100000000000001" customHeight="1">
      <c r="A26" s="44" t="s">
        <v>65</v>
      </c>
      <c r="B26" s="26">
        <f>Q35</f>
        <v>130.60899999999998</v>
      </c>
      <c r="C26" s="26">
        <f>Q35</f>
        <v>130.60899999999998</v>
      </c>
      <c r="D26" s="26">
        <f>Q35</f>
        <v>130.60899999999998</v>
      </c>
      <c r="E26" s="49">
        <f>Q35</f>
        <v>130.60899999999998</v>
      </c>
      <c r="F26" s="49">
        <f>Q35</f>
        <v>130.60899999999998</v>
      </c>
      <c r="G26" s="49">
        <f>Q35</f>
        <v>130.60899999999998</v>
      </c>
      <c r="H26" s="26">
        <f>Q35</f>
        <v>130.60899999999998</v>
      </c>
      <c r="I26" s="26">
        <f>Q35</f>
        <v>130.60899999999998</v>
      </c>
      <c r="J26" s="26">
        <f>Q35</f>
        <v>130.60899999999998</v>
      </c>
      <c r="K26" s="26">
        <f>Q35</f>
        <v>130.60899999999998</v>
      </c>
      <c r="M26" s="48"/>
      <c r="N26" s="48"/>
      <c r="O26" s="41">
        <f>ROUNDUP(SUM(P24+I21),4)</f>
        <v>1910.3</v>
      </c>
      <c r="P26" s="41">
        <f>ROUNDUP(SUM(P25+I21),4)</f>
        <v>1935.7</v>
      </c>
      <c r="Q26" s="25">
        <f t="shared" si="4"/>
        <v>17</v>
      </c>
      <c r="R26" s="25">
        <f>FREQUENCY(B9:K13,P26:P27)</f>
        <v>21</v>
      </c>
    </row>
    <row r="27" spans="1:32" s="2" customFormat="1" ht="17.100000000000001" customHeight="1">
      <c r="A27" s="44" t="s">
        <v>64</v>
      </c>
      <c r="B27" s="49">
        <f>Q36</f>
        <v>0</v>
      </c>
      <c r="C27" s="49">
        <f>Q36</f>
        <v>0</v>
      </c>
      <c r="D27" s="49">
        <f>Q36</f>
        <v>0</v>
      </c>
      <c r="E27" s="49">
        <f>Q36</f>
        <v>0</v>
      </c>
      <c r="F27" s="49">
        <f>Q36</f>
        <v>0</v>
      </c>
      <c r="G27" s="49">
        <f>Q36</f>
        <v>0</v>
      </c>
      <c r="H27" s="49">
        <f>Q36</f>
        <v>0</v>
      </c>
      <c r="I27" s="49">
        <f>Q36</f>
        <v>0</v>
      </c>
      <c r="J27" s="49">
        <f>Q36</f>
        <v>0</v>
      </c>
      <c r="K27" s="26">
        <f>Q36</f>
        <v>0</v>
      </c>
      <c r="M27" s="48"/>
      <c r="N27" s="48"/>
      <c r="O27" s="41">
        <f>ROUNDUP(SUM(P25+I21),4)</f>
        <v>1935.7</v>
      </c>
      <c r="P27" s="41">
        <f>ROUNDUP(SUM(P26+I21),4)</f>
        <v>1961.1</v>
      </c>
      <c r="Q27" s="25">
        <v>0</v>
      </c>
      <c r="R27" s="25">
        <f>FREQUENCY(B9:K13,P27:P28)</f>
        <v>43</v>
      </c>
    </row>
    <row r="28" spans="1:32" s="2" customFormat="1" ht="17.100000000000001" customHeight="1">
      <c r="A28" s="44" t="s">
        <v>66</v>
      </c>
      <c r="B28" s="26">
        <f>ROUNDUP(AVERAGE(B9:K13),4)</f>
        <v>1940.82</v>
      </c>
      <c r="C28" s="26">
        <f>ROUNDUP(AVERAGE(B9:K13),4)</f>
        <v>1940.82</v>
      </c>
      <c r="D28" s="26">
        <f>ROUNDUP(AVERAGE(B9:K13),4)</f>
        <v>1940.82</v>
      </c>
      <c r="E28" s="49">
        <f>ROUNDUP(AVERAGE(B9:K13),4)</f>
        <v>1940.82</v>
      </c>
      <c r="F28" s="49">
        <f>ROUNDUP(AVERAGE(B9:K13),4)</f>
        <v>1940.82</v>
      </c>
      <c r="G28" s="49">
        <f>ROUNDUP(AVERAGE(B9:K13),4)</f>
        <v>1940.82</v>
      </c>
      <c r="H28" s="26">
        <f>ROUNDUP(AVERAGE(B9:K13),4)</f>
        <v>1940.82</v>
      </c>
      <c r="I28" s="26">
        <f>ROUNDUP(AVERAGE(B9:K13),4)</f>
        <v>1940.82</v>
      </c>
      <c r="J28" s="26">
        <f>ROUNDUP(AVERAGE(B9:K13),4)</f>
        <v>1940.82</v>
      </c>
      <c r="K28" s="26">
        <f>ROUNDUP(AVERAGE(B9:K13),4)</f>
        <v>1940.82</v>
      </c>
      <c r="M28" s="48"/>
      <c r="N28" s="48"/>
      <c r="O28" s="41">
        <f>ROUNDUP(SUM(P26+I21),4)</f>
        <v>1961.1</v>
      </c>
      <c r="P28" s="41">
        <f>ROUNDUP(SUM(P27+I21),4)</f>
        <v>1986.5</v>
      </c>
      <c r="Q28" s="6">
        <f t="shared" si="4"/>
        <v>3</v>
      </c>
      <c r="R28" s="25">
        <f>FREQUENCY(B9:K13,P28:P29)</f>
        <v>46</v>
      </c>
    </row>
    <row r="29" spans="1:32" ht="17.100000000000001" customHeight="1">
      <c r="A29" s="44" t="s">
        <v>67</v>
      </c>
      <c r="B29" s="26">
        <f>AVERAGE(B18:K18)</f>
        <v>61.9</v>
      </c>
      <c r="C29" s="26">
        <f>AVERAGE(B18:K18)</f>
        <v>61.9</v>
      </c>
      <c r="D29" s="26">
        <f>AVERAGE(B18:K18)</f>
        <v>61.9</v>
      </c>
      <c r="E29" s="26">
        <f>AVERAGE(B18:K18)</f>
        <v>61.9</v>
      </c>
      <c r="F29" s="26">
        <f>AVERAGE(B18:K18)</f>
        <v>61.9</v>
      </c>
      <c r="G29" s="26">
        <f>AVERAGE(B18:K18)</f>
        <v>61.9</v>
      </c>
      <c r="H29" s="26">
        <f>AVERAGE(B18:K18)</f>
        <v>61.9</v>
      </c>
      <c r="I29" s="26">
        <f>AVERAGE(B18:K18)</f>
        <v>61.9</v>
      </c>
      <c r="J29" s="26">
        <f>AVERAGE(B18:K18)</f>
        <v>61.9</v>
      </c>
      <c r="K29" s="26">
        <f>AVERAGE(B18:K18)</f>
        <v>61.9</v>
      </c>
      <c r="M29" s="48"/>
      <c r="N29" s="48"/>
      <c r="O29" s="41">
        <f>ROUNDUP(SUM(P27+I21),4)</f>
        <v>1986.5</v>
      </c>
      <c r="P29" s="41">
        <f>ROUNDUP(SUM(P28+I21),4)</f>
        <v>2011.9</v>
      </c>
      <c r="Q29" s="6">
        <f t="shared" si="4"/>
        <v>3</v>
      </c>
      <c r="R29" s="25">
        <f>FREQUENCY(B9:K13,P29:P30)</f>
        <v>49</v>
      </c>
    </row>
    <row r="30" spans="1:32" ht="17.100000000000001" customHeight="1">
      <c r="A30" s="14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48"/>
      <c r="M30" s="48"/>
      <c r="N30" s="48"/>
      <c r="O30" s="41">
        <f>ROUNDUP(SUM(P28+I21),4)</f>
        <v>2011.9</v>
      </c>
      <c r="P30" s="41">
        <f>ROUNDUP(SUM(P29+I21),4)</f>
        <v>2037.3</v>
      </c>
      <c r="Q30" s="6">
        <f t="shared" si="4"/>
        <v>1</v>
      </c>
      <c r="R30" s="25">
        <f>FREQUENCY(B9:K13,P30:P31)</f>
        <v>50</v>
      </c>
    </row>
    <row r="31" spans="1:32" ht="17.100000000000001" customHeight="1">
      <c r="A31" s="43"/>
      <c r="B31" s="43"/>
      <c r="C31" s="19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1">
        <f>ROUNDUP(SUM(P29+I21),4)</f>
        <v>2037.3</v>
      </c>
      <c r="P31" s="41">
        <f>ROUNDUP(SUM(P30+I21),4)</f>
        <v>2062.6999999999998</v>
      </c>
      <c r="Q31" s="6">
        <f t="shared" si="4"/>
        <v>0</v>
      </c>
      <c r="R31" s="25">
        <f>FREQUENCY(B9:K13,P31:P32)</f>
        <v>50</v>
      </c>
    </row>
    <row r="32" spans="1:32" ht="17.100000000000001" customHeight="1">
      <c r="A32" s="14"/>
      <c r="B32" s="14"/>
      <c r="C32" s="14"/>
      <c r="D32" s="14"/>
      <c r="E32" s="14"/>
      <c r="F32" s="51"/>
      <c r="G32" s="51"/>
      <c r="H32" s="51"/>
      <c r="I32" s="14"/>
      <c r="J32" s="165" t="s">
        <v>68</v>
      </c>
      <c r="K32" s="159"/>
      <c r="L32" s="160"/>
      <c r="M32" s="52" t="s">
        <v>69</v>
      </c>
      <c r="N32" s="46"/>
      <c r="O32" s="41">
        <f>ROUNDUP(SUM(P30+I21),4)</f>
        <v>2062.6999999999998</v>
      </c>
      <c r="P32" s="41">
        <f>ROUNDUP(SUM(P31+I21),4)</f>
        <v>2088.1</v>
      </c>
      <c r="Q32" s="6">
        <f t="shared" si="4"/>
        <v>0</v>
      </c>
      <c r="R32" s="25">
        <f>FREQUENCY(B9:K13,P32:P32)</f>
        <v>50</v>
      </c>
    </row>
    <row r="33" spans="1:19" ht="17.100000000000001" customHeight="1">
      <c r="A33" s="14"/>
      <c r="B33" s="19"/>
      <c r="C33" s="19"/>
      <c r="D33" s="19"/>
      <c r="E33" s="19"/>
      <c r="F33" s="19"/>
      <c r="G33" s="19"/>
      <c r="H33" s="19"/>
      <c r="I33" s="19"/>
      <c r="J33" s="165">
        <v>1</v>
      </c>
      <c r="K33" s="159"/>
      <c r="L33" s="160"/>
      <c r="M33" s="52">
        <v>0</v>
      </c>
      <c r="N33" s="48"/>
      <c r="O33" s="113" t="s">
        <v>70</v>
      </c>
      <c r="P33" s="166"/>
      <c r="Q33" s="167">
        <f>(M19+(Q13*M18))</f>
        <v>1977.3409999999999</v>
      </c>
      <c r="R33" s="168"/>
      <c r="S33" s="53"/>
    </row>
    <row r="34" spans="1:19" ht="17.100000000000001" customHeight="1">
      <c r="A34" s="14"/>
      <c r="B34" s="19"/>
      <c r="C34" s="19"/>
      <c r="D34" s="19"/>
      <c r="E34" s="19"/>
      <c r="F34" s="19"/>
      <c r="G34" s="19"/>
      <c r="H34" s="19"/>
      <c r="I34" s="19"/>
      <c r="J34" s="165">
        <v>0.1</v>
      </c>
      <c r="K34" s="159"/>
      <c r="L34" s="160"/>
      <c r="M34" s="52">
        <v>1</v>
      </c>
      <c r="N34" s="48"/>
      <c r="O34" s="169" t="s">
        <v>71</v>
      </c>
      <c r="P34" s="166"/>
      <c r="Q34" s="170">
        <f>(M19-(Q13*M18))</f>
        <v>1904.299</v>
      </c>
      <c r="R34" s="168"/>
    </row>
    <row r="35" spans="1:19" ht="17.100000000000001" customHeight="1">
      <c r="A35" s="14"/>
      <c r="B35" s="19"/>
      <c r="C35" s="19"/>
      <c r="D35" s="19"/>
      <c r="E35" s="19"/>
      <c r="F35" s="19"/>
      <c r="G35" s="19"/>
      <c r="H35" s="19"/>
      <c r="I35" s="19"/>
      <c r="J35" s="165">
        <v>0.01</v>
      </c>
      <c r="K35" s="159"/>
      <c r="L35" s="160"/>
      <c r="M35" s="52">
        <v>2</v>
      </c>
      <c r="N35" s="48"/>
      <c r="O35" s="113" t="s">
        <v>72</v>
      </c>
      <c r="P35" s="166"/>
      <c r="Q35" s="171">
        <f>M18*R13</f>
        <v>130.60899999999998</v>
      </c>
      <c r="R35" s="168"/>
    </row>
    <row r="36" spans="1:19" ht="17.100000000000001" customHeight="1">
      <c r="A36" s="14"/>
      <c r="B36" s="19"/>
      <c r="C36" s="19"/>
      <c r="D36" s="19"/>
      <c r="E36" s="19"/>
      <c r="F36" s="19"/>
      <c r="G36" s="19"/>
      <c r="H36" s="19"/>
      <c r="I36" s="19"/>
      <c r="J36" s="165">
        <v>1E-3</v>
      </c>
      <c r="K36" s="159"/>
      <c r="L36" s="160"/>
      <c r="M36" s="55">
        <v>3</v>
      </c>
      <c r="N36" s="48"/>
      <c r="O36" s="113" t="s">
        <v>73</v>
      </c>
      <c r="P36" s="166"/>
      <c r="Q36" s="172">
        <f>M18*0</f>
        <v>0</v>
      </c>
      <c r="R36" s="127"/>
    </row>
    <row r="37" spans="1:19" s="59" customFormat="1" ht="17.100000000000001" customHeight="1">
      <c r="A37" s="56"/>
      <c r="B37" s="57"/>
      <c r="C37" s="56"/>
      <c r="D37" s="58"/>
      <c r="E37" s="58"/>
      <c r="F37" s="58"/>
      <c r="G37" s="58"/>
      <c r="H37" s="58"/>
      <c r="I37" s="58"/>
      <c r="J37" s="183">
        <v>1E-4</v>
      </c>
      <c r="K37" s="183"/>
      <c r="L37" s="183"/>
      <c r="M37" s="55">
        <v>4</v>
      </c>
      <c r="N37" s="58"/>
      <c r="O37" s="184" t="s">
        <v>74</v>
      </c>
      <c r="P37" s="185"/>
      <c r="Q37" s="186">
        <f>STDEV(B9:K13)</f>
        <v>27.106509497588526</v>
      </c>
      <c r="R37" s="127"/>
    </row>
    <row r="38" spans="1:19" ht="17.100000000000001" customHeight="1">
      <c r="A38" s="57"/>
      <c r="B38" s="57"/>
      <c r="C38" s="58"/>
      <c r="D38" s="58"/>
      <c r="E38" s="58"/>
      <c r="F38" s="58"/>
      <c r="G38" s="58"/>
      <c r="H38" s="58"/>
      <c r="I38" s="58"/>
      <c r="J38" s="60"/>
      <c r="K38" s="58"/>
      <c r="L38" s="58"/>
      <c r="N38" s="58"/>
      <c r="O38" s="187" t="s">
        <v>86</v>
      </c>
      <c r="P38" s="188"/>
      <c r="Q38" s="186">
        <f>ROUNDUP(SUM(I20/(6*Q37)),4)</f>
        <v>1.8446</v>
      </c>
      <c r="R38" s="168"/>
    </row>
    <row r="39" spans="1:19" ht="14.25" customHeight="1">
      <c r="A39" s="173" t="s">
        <v>75</v>
      </c>
      <c r="B39" s="173"/>
      <c r="C39" s="174" t="str">
        <f>IF(OR(AND(Q38&gt;=0,Q38&lt;=0.5),AND(Q39&gt;=0,Q39&lt;=0.5)),"PROCESS IS VERY POOR TAKE IMMEDIATE ACTION",IF(OR(AND(Q38&gt;0.5,Q38&lt;=1.33),AND(Q39&gt;0.5,Q39&lt;=1.33)),"PROCESS NEEDS CORRECTION ,Cp &amp; Cpk SHOULD BE &gt;=1.33",IF(OR(AND(Q38&gt;1,Q38&lt;=1.67),AND(Q39&gt;1,Q39&lt;=1.67)),"PROCESS IS GOOD BUT STILL IMPROVEMENT IS REQIURED","PROCESS IS EXCELLENT")))</f>
        <v>PROCESS IS EXCELLENT</v>
      </c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6"/>
      <c r="O39" s="212" t="s">
        <v>85</v>
      </c>
      <c r="P39" s="212"/>
      <c r="Q39" s="213">
        <f>ROUNDUP(SUM((1-N20)*Q38),4)</f>
        <v>1.7316</v>
      </c>
      <c r="R39" s="214"/>
    </row>
    <row r="40" spans="1:19" ht="14.25" customHeight="1">
      <c r="A40" s="173"/>
      <c r="B40" s="173"/>
      <c r="C40" s="177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9"/>
      <c r="O40" s="189" t="s">
        <v>76</v>
      </c>
      <c r="P40" s="190"/>
      <c r="Q40" s="191" t="s">
        <v>89</v>
      </c>
      <c r="R40" s="192"/>
    </row>
    <row r="41" spans="1:19" ht="14.25" customHeight="1">
      <c r="A41" s="173"/>
      <c r="B41" s="173"/>
      <c r="C41" s="180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2"/>
      <c r="O41" s="189" t="s">
        <v>84</v>
      </c>
      <c r="P41" s="190"/>
      <c r="Q41" s="191" t="s">
        <v>90</v>
      </c>
      <c r="R41" s="192"/>
    </row>
    <row r="42" spans="1:19">
      <c r="M42" s="62"/>
      <c r="P42" s="63"/>
    </row>
  </sheetData>
  <mergeCells count="76">
    <mergeCell ref="A39:B41"/>
    <mergeCell ref="C39:N41"/>
    <mergeCell ref="J37:L37"/>
    <mergeCell ref="O37:P37"/>
    <mergeCell ref="Q37:R37"/>
    <mergeCell ref="O38:P38"/>
    <mergeCell ref="Q38:R38"/>
    <mergeCell ref="O39:P39"/>
    <mergeCell ref="Q39:R39"/>
    <mergeCell ref="O40:P40"/>
    <mergeCell ref="Q40:R40"/>
    <mergeCell ref="O41:P41"/>
    <mergeCell ref="Q41:R41"/>
    <mergeCell ref="J35:L35"/>
    <mergeCell ref="O35:P35"/>
    <mergeCell ref="Q35:R35"/>
    <mergeCell ref="J36:L36"/>
    <mergeCell ref="O36:P36"/>
    <mergeCell ref="Q36:R36"/>
    <mergeCell ref="J32:L32"/>
    <mergeCell ref="J33:L33"/>
    <mergeCell ref="O33:P33"/>
    <mergeCell ref="Q33:R33"/>
    <mergeCell ref="J34:L34"/>
    <mergeCell ref="O34:P34"/>
    <mergeCell ref="Q34:R34"/>
    <mergeCell ref="A21:C21"/>
    <mergeCell ref="D21:E21"/>
    <mergeCell ref="F21:H21"/>
    <mergeCell ref="I21:J21"/>
    <mergeCell ref="K21:M21"/>
    <mergeCell ref="A22:C22"/>
    <mergeCell ref="D22:E22"/>
    <mergeCell ref="F22:H22"/>
    <mergeCell ref="I22:J22"/>
    <mergeCell ref="K22:M22"/>
    <mergeCell ref="F6:G6"/>
    <mergeCell ref="N19:P19"/>
    <mergeCell ref="A20:C20"/>
    <mergeCell ref="D20:E20"/>
    <mergeCell ref="F20:H20"/>
    <mergeCell ref="I20:J20"/>
    <mergeCell ref="K20:M20"/>
    <mergeCell ref="O20:P20"/>
    <mergeCell ref="K5:L5"/>
    <mergeCell ref="N18:P18"/>
    <mergeCell ref="O6:P6"/>
    <mergeCell ref="A7:L7"/>
    <mergeCell ref="M7:Q7"/>
    <mergeCell ref="L8:L10"/>
    <mergeCell ref="M8:N10"/>
    <mergeCell ref="L11:L13"/>
    <mergeCell ref="M11:N13"/>
    <mergeCell ref="A14:R14"/>
    <mergeCell ref="A15:R15"/>
    <mergeCell ref="N16:P17"/>
    <mergeCell ref="Q16:Q17"/>
    <mergeCell ref="R16:R17"/>
    <mergeCell ref="A6:B6"/>
    <mergeCell ref="C6:E6"/>
    <mergeCell ref="A1:B3"/>
    <mergeCell ref="C1:P2"/>
    <mergeCell ref="C3:P3"/>
    <mergeCell ref="H6:J6"/>
    <mergeCell ref="K6:L6"/>
    <mergeCell ref="A4:B4"/>
    <mergeCell ref="C4:E4"/>
    <mergeCell ref="F4:G4"/>
    <mergeCell ref="H4:J4"/>
    <mergeCell ref="K4:L4"/>
    <mergeCell ref="N4:N5"/>
    <mergeCell ref="O4:R5"/>
    <mergeCell ref="A5:B5"/>
    <mergeCell ref="C5:E5"/>
    <mergeCell ref="F5:G5"/>
    <mergeCell ref="H5:J5"/>
  </mergeCells>
  <printOptions horizontalCentered="1"/>
  <pageMargins left="0.3" right="0.14000000000000001" top="0.43" bottom="0.37" header="0.37" footer="0.28999999999999998"/>
  <pageSetup scale="80" orientation="landscape" horizontalDpi="300" verticalDpi="300" r:id="rId1"/>
  <headerFooter alignWithMargins="0">
    <oddFooter>&amp;CPage &amp;P&amp;R&amp;Z&amp;F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2"/>
  <sheetViews>
    <sheetView showGridLines="0" view="pageBreakPreview" zoomScaleNormal="100" zoomScaleSheetLayoutView="100" workbookViewId="0">
      <selection activeCell="A24" sqref="A24:XFD24"/>
    </sheetView>
  </sheetViews>
  <sheetFormatPr defaultRowHeight="8.25"/>
  <cols>
    <col min="1" max="1" width="7.140625" style="61" customWidth="1"/>
    <col min="2" max="2" width="8.85546875" style="1" bestFit="1" customWidth="1"/>
    <col min="3" max="3" width="8.7109375" style="1" bestFit="1" customWidth="1"/>
    <col min="4" max="5" width="8.5703125" style="1" bestFit="1" customWidth="1"/>
    <col min="6" max="9" width="7.5703125" style="1" bestFit="1" customWidth="1"/>
    <col min="10" max="10" width="8.42578125" style="1" bestFit="1" customWidth="1"/>
    <col min="11" max="11" width="7.5703125" style="1" bestFit="1" customWidth="1"/>
    <col min="12" max="12" width="12.5703125" style="1" customWidth="1"/>
    <col min="13" max="13" width="14.42578125" style="1" customWidth="1"/>
    <col min="14" max="14" width="10.140625" style="1" bestFit="1" customWidth="1"/>
    <col min="15" max="15" width="8.5703125" style="1" customWidth="1"/>
    <col min="16" max="16" width="9.28515625" style="1" customWidth="1"/>
    <col min="17" max="18" width="11.7109375" style="1" customWidth="1"/>
    <col min="19" max="19" width="5.5703125" style="1" customWidth="1"/>
    <col min="20" max="20" width="11.28515625" style="1" customWidth="1"/>
    <col min="21" max="16384" width="9.140625" style="1"/>
  </cols>
  <sheetData>
    <row r="1" spans="1:32" ht="22.5" customHeight="1">
      <c r="A1" s="76"/>
      <c r="B1" s="77"/>
      <c r="C1" s="82" t="s">
        <v>88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4"/>
      <c r="Q1" s="69" t="s">
        <v>104</v>
      </c>
      <c r="R1" s="70" t="s">
        <v>105</v>
      </c>
    </row>
    <row r="2" spans="1:32" ht="22.5" customHeight="1">
      <c r="A2" s="78"/>
      <c r="B2" s="79"/>
      <c r="C2" s="85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7"/>
      <c r="Q2" s="71" t="s">
        <v>106</v>
      </c>
      <c r="R2" s="72" t="s">
        <v>107</v>
      </c>
    </row>
    <row r="3" spans="1:32" s="2" customFormat="1" ht="22.5" customHeight="1" thickBot="1">
      <c r="A3" s="80"/>
      <c r="B3" s="81"/>
      <c r="C3" s="88" t="s">
        <v>0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73" t="s">
        <v>108</v>
      </c>
      <c r="R3" s="74" t="s">
        <v>109</v>
      </c>
    </row>
    <row r="4" spans="1:32" s="4" customFormat="1" ht="15" customHeight="1">
      <c r="A4" s="96" t="s">
        <v>1</v>
      </c>
      <c r="B4" s="97"/>
      <c r="C4" s="197" t="s">
        <v>91</v>
      </c>
      <c r="D4" s="198"/>
      <c r="E4" s="199"/>
      <c r="F4" s="96" t="s">
        <v>2</v>
      </c>
      <c r="G4" s="200"/>
      <c r="H4" s="197" t="s">
        <v>3</v>
      </c>
      <c r="I4" s="198"/>
      <c r="J4" s="199"/>
      <c r="K4" s="201" t="s">
        <v>4</v>
      </c>
      <c r="L4" s="97"/>
      <c r="M4" s="3" t="s">
        <v>95</v>
      </c>
      <c r="N4" s="105"/>
      <c r="O4" s="107"/>
      <c r="P4" s="108"/>
      <c r="Q4" s="108"/>
      <c r="R4" s="109"/>
    </row>
    <row r="5" spans="1:32" s="4" customFormat="1" ht="15" customHeight="1">
      <c r="A5" s="113" t="s">
        <v>5</v>
      </c>
      <c r="B5" s="114"/>
      <c r="C5" s="193" t="s">
        <v>6</v>
      </c>
      <c r="D5" s="194"/>
      <c r="E5" s="195"/>
      <c r="F5" s="113" t="s">
        <v>7</v>
      </c>
      <c r="G5" s="202"/>
      <c r="H5" s="193" t="s">
        <v>8</v>
      </c>
      <c r="I5" s="194"/>
      <c r="J5" s="195"/>
      <c r="K5" s="158" t="s">
        <v>9</v>
      </c>
      <c r="L5" s="114"/>
      <c r="M5" s="5" t="s">
        <v>10</v>
      </c>
      <c r="N5" s="106"/>
      <c r="O5" s="110"/>
      <c r="P5" s="111"/>
      <c r="Q5" s="111"/>
      <c r="R5" s="112"/>
    </row>
    <row r="6" spans="1:32" s="4" customFormat="1" ht="15" customHeight="1">
      <c r="A6" s="113" t="s">
        <v>11</v>
      </c>
      <c r="B6" s="114"/>
      <c r="C6" s="172" t="s">
        <v>12</v>
      </c>
      <c r="D6" s="209"/>
      <c r="E6" s="210"/>
      <c r="F6" s="113" t="s">
        <v>13</v>
      </c>
      <c r="G6" s="202"/>
      <c r="H6" s="193" t="s">
        <v>14</v>
      </c>
      <c r="I6" s="194"/>
      <c r="J6" s="195"/>
      <c r="K6" s="113" t="s">
        <v>15</v>
      </c>
      <c r="L6" s="196"/>
      <c r="M6" s="5">
        <v>1</v>
      </c>
      <c r="N6" s="6"/>
      <c r="O6" s="120"/>
      <c r="P6" s="121"/>
      <c r="Q6" s="6" t="s">
        <v>16</v>
      </c>
      <c r="R6" s="75" t="s">
        <v>112</v>
      </c>
    </row>
    <row r="7" spans="1:32" s="4" customFormat="1" ht="15" customHeight="1">
      <c r="A7" s="122" t="s">
        <v>17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4"/>
      <c r="M7" s="125" t="s">
        <v>93</v>
      </c>
      <c r="N7" s="126"/>
      <c r="O7" s="126"/>
      <c r="P7" s="126"/>
      <c r="Q7" s="127"/>
      <c r="R7" s="68" t="s">
        <v>94</v>
      </c>
    </row>
    <row r="8" spans="1:32" s="4" customFormat="1" ht="15" customHeight="1">
      <c r="A8" s="8" t="s">
        <v>18</v>
      </c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128" t="s">
        <v>77</v>
      </c>
      <c r="M8" s="203">
        <v>2100</v>
      </c>
      <c r="N8" s="204"/>
      <c r="O8" s="9" t="s">
        <v>19</v>
      </c>
      <c r="P8" s="10" t="s">
        <v>20</v>
      </c>
      <c r="Q8" s="10" t="s">
        <v>21</v>
      </c>
      <c r="R8" s="10" t="s">
        <v>22</v>
      </c>
    </row>
    <row r="9" spans="1:32" s="4" customFormat="1" ht="15" customHeight="1">
      <c r="A9" s="8">
        <v>1</v>
      </c>
      <c r="B9" s="11">
        <v>1940</v>
      </c>
      <c r="C9" s="11">
        <v>1920</v>
      </c>
      <c r="D9" s="11">
        <v>1956</v>
      </c>
      <c r="E9" s="11">
        <v>1905</v>
      </c>
      <c r="F9" s="11">
        <v>1890</v>
      </c>
      <c r="G9" s="11">
        <v>1956</v>
      </c>
      <c r="H9" s="11">
        <v>1932</v>
      </c>
      <c r="I9" s="11">
        <v>1911</v>
      </c>
      <c r="J9" s="11">
        <v>1926</v>
      </c>
      <c r="K9" s="11">
        <v>1922</v>
      </c>
      <c r="L9" s="129"/>
      <c r="M9" s="205"/>
      <c r="N9" s="206"/>
      <c r="O9" s="12" t="s">
        <v>23</v>
      </c>
      <c r="P9" s="6">
        <v>1.123</v>
      </c>
      <c r="Q9" s="12" t="s">
        <v>24</v>
      </c>
      <c r="R9" s="12" t="s">
        <v>25</v>
      </c>
      <c r="S9" s="13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1:32" s="4" customFormat="1" ht="15" customHeight="1">
      <c r="A10" s="8">
        <v>2</v>
      </c>
      <c r="B10" s="11">
        <v>1936</v>
      </c>
      <c r="C10" s="11">
        <v>1978</v>
      </c>
      <c r="D10" s="11">
        <v>1945</v>
      </c>
      <c r="E10" s="11">
        <v>1956</v>
      </c>
      <c r="F10" s="11">
        <v>1925</v>
      </c>
      <c r="G10" s="11">
        <v>1936</v>
      </c>
      <c r="H10" s="11">
        <v>1989</v>
      </c>
      <c r="I10" s="11">
        <v>1939</v>
      </c>
      <c r="J10" s="11">
        <v>1997</v>
      </c>
      <c r="K10" s="11">
        <v>1923</v>
      </c>
      <c r="L10" s="130"/>
      <c r="M10" s="207"/>
      <c r="N10" s="208"/>
      <c r="O10" s="12" t="s">
        <v>26</v>
      </c>
      <c r="P10" s="6">
        <v>1.1279999999999999</v>
      </c>
      <c r="Q10" s="12" t="s">
        <v>27</v>
      </c>
      <c r="R10" s="12" t="s">
        <v>25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 s="4" customFormat="1" ht="15" customHeight="1">
      <c r="A11" s="15">
        <v>3</v>
      </c>
      <c r="B11" s="11">
        <v>1922</v>
      </c>
      <c r="C11" s="11">
        <v>1956</v>
      </c>
      <c r="D11" s="11">
        <v>1937</v>
      </c>
      <c r="E11" s="11">
        <v>1945</v>
      </c>
      <c r="F11" s="11">
        <v>1945</v>
      </c>
      <c r="G11" s="11">
        <v>1926</v>
      </c>
      <c r="H11" s="11">
        <v>2001</v>
      </c>
      <c r="I11" s="11">
        <v>1942</v>
      </c>
      <c r="J11" s="11">
        <v>1966</v>
      </c>
      <c r="K11" s="11">
        <v>1956</v>
      </c>
      <c r="L11" s="128" t="s">
        <v>78</v>
      </c>
      <c r="M11" s="203">
        <v>1800</v>
      </c>
      <c r="N11" s="204"/>
      <c r="O11" s="16" t="s">
        <v>28</v>
      </c>
      <c r="P11" s="17">
        <v>1.6930000000000001</v>
      </c>
      <c r="Q11" s="12" t="s">
        <v>29</v>
      </c>
      <c r="R11" s="12" t="s">
        <v>30</v>
      </c>
      <c r="T11" s="14" t="s">
        <v>31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2" s="4" customFormat="1" ht="15" customHeight="1">
      <c r="A12" s="18">
        <v>4</v>
      </c>
      <c r="B12" s="11">
        <v>1952</v>
      </c>
      <c r="C12" s="11">
        <v>1989</v>
      </c>
      <c r="D12" s="11">
        <v>1932</v>
      </c>
      <c r="E12" s="11">
        <v>2005</v>
      </c>
      <c r="F12" s="11">
        <v>1934</v>
      </c>
      <c r="G12" s="11">
        <v>1917</v>
      </c>
      <c r="H12" s="11">
        <v>1927</v>
      </c>
      <c r="I12" s="11">
        <v>1961</v>
      </c>
      <c r="J12" s="11">
        <v>1922</v>
      </c>
      <c r="K12" s="11">
        <v>1945</v>
      </c>
      <c r="L12" s="137"/>
      <c r="M12" s="205"/>
      <c r="N12" s="206"/>
      <c r="O12" s="12" t="s">
        <v>32</v>
      </c>
      <c r="P12" s="6">
        <v>2.0590000000000002</v>
      </c>
      <c r="Q12" s="12" t="s">
        <v>33</v>
      </c>
      <c r="R12" s="12" t="s">
        <v>34</v>
      </c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4"/>
      <c r="AE12" s="14"/>
      <c r="AF12" s="14"/>
    </row>
    <row r="13" spans="1:32" s="4" customFormat="1" ht="15" customHeight="1">
      <c r="A13" s="20">
        <v>5</v>
      </c>
      <c r="B13" s="11">
        <v>1889</v>
      </c>
      <c r="C13" s="11">
        <v>1880</v>
      </c>
      <c r="D13" s="11">
        <v>1926</v>
      </c>
      <c r="E13" s="11">
        <v>1956</v>
      </c>
      <c r="F13" s="11">
        <v>1935</v>
      </c>
      <c r="G13" s="11">
        <v>1967</v>
      </c>
      <c r="H13" s="11">
        <v>1944</v>
      </c>
      <c r="I13" s="11">
        <v>1959</v>
      </c>
      <c r="J13" s="11">
        <v>1889</v>
      </c>
      <c r="K13" s="11">
        <v>1967</v>
      </c>
      <c r="L13" s="138"/>
      <c r="M13" s="207"/>
      <c r="N13" s="208"/>
      <c r="O13" s="21" t="s">
        <v>35</v>
      </c>
      <c r="P13" s="22">
        <v>2.3260000000000001</v>
      </c>
      <c r="Q13" s="12" t="s">
        <v>36</v>
      </c>
      <c r="R13" s="12" t="s">
        <v>37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4"/>
      <c r="AE13" s="14"/>
      <c r="AF13" s="14"/>
    </row>
    <row r="14" spans="1:32" s="4" customFormat="1" ht="15" customHeight="1">
      <c r="A14" s="122">
        <v>11.99</v>
      </c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40"/>
      <c r="S14" s="14"/>
      <c r="T14" s="14"/>
      <c r="U14" s="14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s="4" customFormat="1" ht="15" customHeight="1">
      <c r="A15" s="141" t="s">
        <v>38</v>
      </c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3"/>
      <c r="S15" s="14"/>
      <c r="T15" s="14"/>
      <c r="U15" s="14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s="4" customFormat="1" ht="15" customHeight="1">
      <c r="A16" s="23" t="s">
        <v>39</v>
      </c>
      <c r="B16" s="24">
        <f t="shared" ref="B16:K16" si="0">MAX(B9:B13)</f>
        <v>1952</v>
      </c>
      <c r="C16" s="24">
        <f t="shared" si="0"/>
        <v>1989</v>
      </c>
      <c r="D16" s="24">
        <f t="shared" si="0"/>
        <v>1956</v>
      </c>
      <c r="E16" s="24">
        <f t="shared" si="0"/>
        <v>2005</v>
      </c>
      <c r="F16" s="24">
        <f t="shared" si="0"/>
        <v>1945</v>
      </c>
      <c r="G16" s="24">
        <f t="shared" si="0"/>
        <v>1967</v>
      </c>
      <c r="H16" s="24">
        <f t="shared" si="0"/>
        <v>2001</v>
      </c>
      <c r="I16" s="24">
        <f>MAX(I9:I13)</f>
        <v>1961</v>
      </c>
      <c r="J16" s="24">
        <f t="shared" si="0"/>
        <v>1997</v>
      </c>
      <c r="K16" s="25">
        <f t="shared" si="0"/>
        <v>1967</v>
      </c>
      <c r="L16" s="6" t="s">
        <v>40</v>
      </c>
      <c r="M16" s="26">
        <f>(MAX(B16:K16))</f>
        <v>2005</v>
      </c>
      <c r="N16" s="144" t="s">
        <v>41</v>
      </c>
      <c r="O16" s="145"/>
      <c r="P16" s="146"/>
      <c r="Q16" s="150">
        <f>SUM(Q18:R19)</f>
        <v>0</v>
      </c>
      <c r="R16" s="152" t="s">
        <v>42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4"/>
      <c r="AE16" s="14"/>
      <c r="AF16" s="14"/>
    </row>
    <row r="17" spans="1:32" s="4" customFormat="1" ht="15" customHeight="1">
      <c r="A17" s="27" t="s">
        <v>43</v>
      </c>
      <c r="B17" s="25">
        <f t="shared" ref="B17:J17" si="1">MIN(B9:B13)</f>
        <v>1889</v>
      </c>
      <c r="C17" s="24">
        <f>MIN(C9:C13)</f>
        <v>1880</v>
      </c>
      <c r="D17" s="25">
        <f t="shared" si="1"/>
        <v>1926</v>
      </c>
      <c r="E17" s="25">
        <f t="shared" si="1"/>
        <v>1905</v>
      </c>
      <c r="F17" s="25">
        <f t="shared" si="1"/>
        <v>1890</v>
      </c>
      <c r="G17" s="25">
        <f>MIN(G9:G13)</f>
        <v>1917</v>
      </c>
      <c r="H17" s="25">
        <f t="shared" si="1"/>
        <v>1927</v>
      </c>
      <c r="I17" s="24">
        <f>MIN(I9:I13)</f>
        <v>1911</v>
      </c>
      <c r="J17" s="25">
        <f t="shared" si="1"/>
        <v>1889</v>
      </c>
      <c r="K17" s="25">
        <f>MIN(K9:K13)</f>
        <v>1922</v>
      </c>
      <c r="L17" s="6" t="s">
        <v>44</v>
      </c>
      <c r="M17" s="26">
        <f>MIN(B17:K17)</f>
        <v>1880</v>
      </c>
      <c r="N17" s="147"/>
      <c r="O17" s="148"/>
      <c r="P17" s="149"/>
      <c r="Q17" s="151"/>
      <c r="R17" s="15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:32" s="4" customFormat="1" ht="15" customHeight="1">
      <c r="A18" s="28" t="s">
        <v>45</v>
      </c>
      <c r="B18" s="29">
        <f t="shared" ref="B18:K18" si="2">SUM(MAX(B9:B13)-MIN(B9:B13))</f>
        <v>63</v>
      </c>
      <c r="C18" s="29">
        <f t="shared" si="2"/>
        <v>109</v>
      </c>
      <c r="D18" s="29">
        <f t="shared" si="2"/>
        <v>30</v>
      </c>
      <c r="E18" s="29">
        <f t="shared" si="2"/>
        <v>100</v>
      </c>
      <c r="F18" s="29">
        <f t="shared" si="2"/>
        <v>55</v>
      </c>
      <c r="G18" s="29">
        <f>SUM(MAX(G9:G13)-MIN(G9:G13))</f>
        <v>50</v>
      </c>
      <c r="H18" s="29">
        <f t="shared" si="2"/>
        <v>74</v>
      </c>
      <c r="I18" s="29">
        <f t="shared" si="2"/>
        <v>50</v>
      </c>
      <c r="J18" s="29">
        <f t="shared" si="2"/>
        <v>108</v>
      </c>
      <c r="K18" s="25">
        <f t="shared" si="2"/>
        <v>45</v>
      </c>
      <c r="L18" s="30" t="s">
        <v>46</v>
      </c>
      <c r="M18" s="31">
        <f>AVERAGE(B18:K18)</f>
        <v>68.400000000000006</v>
      </c>
      <c r="N18" s="118" t="s">
        <v>47</v>
      </c>
      <c r="O18" s="119"/>
      <c r="P18" s="119"/>
      <c r="Q18" s="32">
        <f>COUNTIF(B9:K13,"&gt;"&amp;TEXT(M8,"0.000000"))</f>
        <v>0</v>
      </c>
      <c r="R18" s="33" t="s">
        <v>42</v>
      </c>
      <c r="U18" s="34"/>
    </row>
    <row r="19" spans="1:32" s="4" customFormat="1" ht="15" customHeight="1">
      <c r="A19" s="6" t="s">
        <v>48</v>
      </c>
      <c r="B19" s="25">
        <f>(AVERAGE(B9:B13))</f>
        <v>1927.8</v>
      </c>
      <c r="C19" s="25">
        <f t="shared" ref="C19:K19" si="3">AVERAGE(C9:C13)</f>
        <v>1944.6</v>
      </c>
      <c r="D19" s="25">
        <f t="shared" si="3"/>
        <v>1939.2</v>
      </c>
      <c r="E19" s="25">
        <f t="shared" si="3"/>
        <v>1953.4</v>
      </c>
      <c r="F19" s="25">
        <f t="shared" si="3"/>
        <v>1925.8</v>
      </c>
      <c r="G19" s="25">
        <f>AVERAGE(G9:G13)</f>
        <v>1940.4</v>
      </c>
      <c r="H19" s="25">
        <f t="shared" si="3"/>
        <v>1958.6</v>
      </c>
      <c r="I19" s="25">
        <f t="shared" si="3"/>
        <v>1942.4</v>
      </c>
      <c r="J19" s="25">
        <f t="shared" si="3"/>
        <v>1940</v>
      </c>
      <c r="K19" s="25">
        <f t="shared" si="3"/>
        <v>1942.6</v>
      </c>
      <c r="L19" s="30" t="s">
        <v>49</v>
      </c>
      <c r="M19" s="35">
        <f>ROUNDUP(AVERAGE(B9:K13),4)</f>
        <v>1941.48</v>
      </c>
      <c r="N19" s="118" t="s">
        <v>50</v>
      </c>
      <c r="O19" s="157"/>
      <c r="P19" s="157"/>
      <c r="Q19" s="36">
        <f>COUNTIF(B9:K13,"&lt;"&amp;TEXT(M11,"0.000000"))</f>
        <v>0</v>
      </c>
      <c r="R19" s="37" t="s">
        <v>42</v>
      </c>
    </row>
    <row r="20" spans="1:32" s="4" customFormat="1" ht="15" customHeight="1">
      <c r="A20" s="113" t="s">
        <v>51</v>
      </c>
      <c r="B20" s="158"/>
      <c r="C20" s="158"/>
      <c r="D20" s="159">
        <f>ROUNDUP(SUM(M16-M17),4)</f>
        <v>125</v>
      </c>
      <c r="E20" s="160"/>
      <c r="F20" s="113" t="s">
        <v>52</v>
      </c>
      <c r="G20" s="158"/>
      <c r="H20" s="158"/>
      <c r="I20" s="159">
        <f>ROUNDUP(ABS(SUM(M8-M11)),4)</f>
        <v>300</v>
      </c>
      <c r="J20" s="160"/>
      <c r="K20" s="113" t="s">
        <v>53</v>
      </c>
      <c r="L20" s="158"/>
      <c r="M20" s="158"/>
      <c r="N20" s="38">
        <f>ROUNDUP(SUM((2*(N22))/I20),4)</f>
        <v>5.6800000000000003E-2</v>
      </c>
      <c r="O20" s="161" t="s">
        <v>54</v>
      </c>
      <c r="P20" s="162"/>
      <c r="Q20" s="39" t="s">
        <v>55</v>
      </c>
      <c r="R20" s="39" t="s">
        <v>56</v>
      </c>
    </row>
    <row r="21" spans="1:32" s="4" customFormat="1" ht="15" customHeight="1">
      <c r="A21" s="113" t="s">
        <v>57</v>
      </c>
      <c r="B21" s="158"/>
      <c r="C21" s="158"/>
      <c r="D21" s="159">
        <f>ROUNDUP(AVERAGE(M8:M11),4)</f>
        <v>1950</v>
      </c>
      <c r="E21" s="160"/>
      <c r="F21" s="113" t="s">
        <v>58</v>
      </c>
      <c r="G21" s="158"/>
      <c r="H21" s="158"/>
      <c r="I21" s="163">
        <f>ROUNDUP(SUM(D20/N21),4)</f>
        <v>25</v>
      </c>
      <c r="J21" s="164"/>
      <c r="K21" s="113" t="s">
        <v>59</v>
      </c>
      <c r="L21" s="158"/>
      <c r="M21" s="158"/>
      <c r="N21" s="40" t="str">
        <f>IF(I22/10&lt;=5,"5",IF(I22/10&lt;=6,"6",IF(I22/10&lt;=7,"7","8")))</f>
        <v>5</v>
      </c>
      <c r="O21" s="41">
        <f>ROUNDUP(SUM(P21-I21),4)</f>
        <v>1779.9</v>
      </c>
      <c r="P21" s="41">
        <f>ROUNDUP(SUM(P22-I21),4)</f>
        <v>1804.9</v>
      </c>
      <c r="Q21" s="25">
        <f>SUM(R21)</f>
        <v>0</v>
      </c>
      <c r="R21" s="25">
        <f>FREQUENCY(B9:K13,P21:P22)</f>
        <v>0</v>
      </c>
    </row>
    <row r="22" spans="1:32" s="4" customFormat="1" ht="15" customHeight="1">
      <c r="A22" s="113" t="s">
        <v>60</v>
      </c>
      <c r="B22" s="158"/>
      <c r="C22" s="158"/>
      <c r="D22" s="159">
        <f>ROUNDUP(SUM(M17-(IF(M6=M33,J33,IF(M6=M34,J34,IF(M6=M35,J35,IF(M6=M36,J36,IF(M6=M37,J37))))))),4)</f>
        <v>1879.9</v>
      </c>
      <c r="E22" s="160"/>
      <c r="F22" s="113" t="s">
        <v>61</v>
      </c>
      <c r="G22" s="158"/>
      <c r="H22" s="158"/>
      <c r="I22" s="159">
        <f>COUNTIF((B9:K13),"&gt;0")</f>
        <v>50</v>
      </c>
      <c r="J22" s="159"/>
      <c r="K22" s="113" t="s">
        <v>62</v>
      </c>
      <c r="L22" s="158"/>
      <c r="M22" s="158"/>
      <c r="N22" s="42">
        <f>(ABS(SUM(M19-D21)))</f>
        <v>8.5199999999999818</v>
      </c>
      <c r="O22" s="41">
        <f>ROUNDUP(SUM(P22-I21),4)</f>
        <v>1804.9</v>
      </c>
      <c r="P22" s="41">
        <f>ROUNDUP(SUM(P23-I21),4)</f>
        <v>1829.9</v>
      </c>
      <c r="Q22" s="25">
        <f t="shared" ref="Q22:Q32" si="4">SUM(R22-R21)</f>
        <v>0</v>
      </c>
      <c r="R22" s="25">
        <f>FREQUENCY(B9:K13,P22:P23)</f>
        <v>0</v>
      </c>
    </row>
    <row r="23" spans="1:32" s="2" customFormat="1" ht="17.100000000000001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1">
        <f>ROUNDUP(SUM(P23-I21),4)</f>
        <v>1829.9</v>
      </c>
      <c r="P23" s="41">
        <f>ROUNDUP(SUM(P24-I21),4)</f>
        <v>1854.9</v>
      </c>
      <c r="Q23" s="25">
        <f t="shared" si="4"/>
        <v>0</v>
      </c>
      <c r="R23" s="25">
        <f>FREQUENCY(B9:K13,P23:P24)</f>
        <v>0</v>
      </c>
    </row>
    <row r="24" spans="1:32" s="2" customFormat="1" ht="17.100000000000001" customHeight="1">
      <c r="A24" s="44" t="s">
        <v>63</v>
      </c>
      <c r="B24" s="6">
        <f>Q33</f>
        <v>1981.836</v>
      </c>
      <c r="C24" s="6">
        <f>Q33</f>
        <v>1981.836</v>
      </c>
      <c r="D24" s="6">
        <f>Q33</f>
        <v>1981.836</v>
      </c>
      <c r="E24" s="6">
        <f>Q33</f>
        <v>1981.836</v>
      </c>
      <c r="F24" s="45">
        <f>Q33</f>
        <v>1981.836</v>
      </c>
      <c r="G24" s="45">
        <f>Q33</f>
        <v>1981.836</v>
      </c>
      <c r="H24" s="45">
        <f>Q33</f>
        <v>1981.836</v>
      </c>
      <c r="I24" s="6">
        <f>Q33</f>
        <v>1981.836</v>
      </c>
      <c r="J24" s="6">
        <f>Q33</f>
        <v>1981.836</v>
      </c>
      <c r="K24" s="26">
        <f>Q33</f>
        <v>1981.836</v>
      </c>
      <c r="M24" s="46"/>
      <c r="N24" s="46"/>
      <c r="O24" s="41">
        <f>ROUNDUP(SUM(P24-I21),4)</f>
        <v>1854.9</v>
      </c>
      <c r="P24" s="41">
        <f>ROUNDUP((D22),4)</f>
        <v>1879.9</v>
      </c>
      <c r="Q24" s="25">
        <f t="shared" si="4"/>
        <v>0</v>
      </c>
      <c r="R24" s="25">
        <f>FREQUENCY(B9:K13,P24:P25)</f>
        <v>0</v>
      </c>
    </row>
    <row r="25" spans="1:32" s="2" customFormat="1" ht="17.100000000000001" customHeight="1">
      <c r="A25" s="47" t="s">
        <v>64</v>
      </c>
      <c r="B25" s="26">
        <f>Q34</f>
        <v>1901.124</v>
      </c>
      <c r="C25" s="26">
        <f>Q34</f>
        <v>1901.124</v>
      </c>
      <c r="D25" s="26">
        <f>Q34</f>
        <v>1901.124</v>
      </c>
      <c r="E25" s="26">
        <f>Q34</f>
        <v>1901.124</v>
      </c>
      <c r="F25" s="26">
        <f>Q34</f>
        <v>1901.124</v>
      </c>
      <c r="G25" s="26">
        <f>Q34</f>
        <v>1901.124</v>
      </c>
      <c r="H25" s="26">
        <f>Q34</f>
        <v>1901.124</v>
      </c>
      <c r="I25" s="26">
        <f>Q34</f>
        <v>1901.124</v>
      </c>
      <c r="J25" s="26">
        <f>Q34</f>
        <v>1901.124</v>
      </c>
      <c r="K25" s="26">
        <f>Q34</f>
        <v>1901.124</v>
      </c>
      <c r="M25" s="48"/>
      <c r="N25" s="48"/>
      <c r="O25" s="41">
        <f>ROUNDUP((D22),4)</f>
        <v>1879.9</v>
      </c>
      <c r="P25" s="41">
        <f>ROUNDUP(SUM(P24+I21),4)</f>
        <v>1904.9</v>
      </c>
      <c r="Q25" s="25">
        <f t="shared" si="4"/>
        <v>4</v>
      </c>
      <c r="R25" s="25">
        <f>FREQUENCY(B9:K13,P25:P26)</f>
        <v>4</v>
      </c>
    </row>
    <row r="26" spans="1:32" s="2" customFormat="1" ht="17.100000000000001" customHeight="1">
      <c r="A26" s="44" t="s">
        <v>65</v>
      </c>
      <c r="B26" s="26">
        <f>Q35</f>
        <v>144.32400000000001</v>
      </c>
      <c r="C26" s="26">
        <f>Q35</f>
        <v>144.32400000000001</v>
      </c>
      <c r="D26" s="26">
        <f>Q35</f>
        <v>144.32400000000001</v>
      </c>
      <c r="E26" s="49">
        <f>Q35</f>
        <v>144.32400000000001</v>
      </c>
      <c r="F26" s="49">
        <f>Q35</f>
        <v>144.32400000000001</v>
      </c>
      <c r="G26" s="49">
        <f>Q35</f>
        <v>144.32400000000001</v>
      </c>
      <c r="H26" s="26">
        <f>Q35</f>
        <v>144.32400000000001</v>
      </c>
      <c r="I26" s="26">
        <f>Q35</f>
        <v>144.32400000000001</v>
      </c>
      <c r="J26" s="26">
        <f>Q35</f>
        <v>144.32400000000001</v>
      </c>
      <c r="K26" s="26">
        <f>Q35</f>
        <v>144.32400000000001</v>
      </c>
      <c r="M26" s="48"/>
      <c r="N26" s="48"/>
      <c r="O26" s="41">
        <f>ROUNDUP(SUM(P24+I21),4)</f>
        <v>1904.9</v>
      </c>
      <c r="P26" s="41">
        <f>ROUNDUP(SUM(P25+I21),4)</f>
        <v>1929.9</v>
      </c>
      <c r="Q26" s="25">
        <f t="shared" si="4"/>
        <v>13</v>
      </c>
      <c r="R26" s="25">
        <f>FREQUENCY(B9:K13,P26:P27)</f>
        <v>17</v>
      </c>
    </row>
    <row r="27" spans="1:32" s="2" customFormat="1" ht="17.100000000000001" customHeight="1">
      <c r="A27" s="44" t="s">
        <v>64</v>
      </c>
      <c r="B27" s="49">
        <f>Q36</f>
        <v>0</v>
      </c>
      <c r="C27" s="49">
        <f>Q36</f>
        <v>0</v>
      </c>
      <c r="D27" s="49">
        <f>Q36</f>
        <v>0</v>
      </c>
      <c r="E27" s="49">
        <f>Q36</f>
        <v>0</v>
      </c>
      <c r="F27" s="49">
        <f>Q36</f>
        <v>0</v>
      </c>
      <c r="G27" s="49">
        <f>Q36</f>
        <v>0</v>
      </c>
      <c r="H27" s="49">
        <f>Q36</f>
        <v>0</v>
      </c>
      <c r="I27" s="49">
        <f>Q36</f>
        <v>0</v>
      </c>
      <c r="J27" s="49">
        <f>Q36</f>
        <v>0</v>
      </c>
      <c r="K27" s="26">
        <f>Q36</f>
        <v>0</v>
      </c>
      <c r="M27" s="48"/>
      <c r="N27" s="48"/>
      <c r="O27" s="41">
        <f>ROUNDUP(SUM(P25+I21),4)</f>
        <v>1929.9</v>
      </c>
      <c r="P27" s="41">
        <f>ROUNDUP(SUM(P26+I21),4)</f>
        <v>1954.9</v>
      </c>
      <c r="Q27" s="25">
        <v>0</v>
      </c>
      <c r="R27" s="25">
        <f>FREQUENCY(B9:K13,P27:P28)</f>
        <v>33</v>
      </c>
    </row>
    <row r="28" spans="1:32" s="2" customFormat="1" ht="17.100000000000001" customHeight="1">
      <c r="A28" s="44" t="s">
        <v>66</v>
      </c>
      <c r="B28" s="26">
        <f>ROUNDUP(AVERAGE(B9:K13),4)</f>
        <v>1941.48</v>
      </c>
      <c r="C28" s="26">
        <f>ROUNDUP(AVERAGE(B9:K13),4)</f>
        <v>1941.48</v>
      </c>
      <c r="D28" s="26">
        <f>ROUNDUP(AVERAGE(B9:K13),4)</f>
        <v>1941.48</v>
      </c>
      <c r="E28" s="49">
        <f>ROUNDUP(AVERAGE(B9:K13),4)</f>
        <v>1941.48</v>
      </c>
      <c r="F28" s="49">
        <f>ROUNDUP(AVERAGE(B9:K13),4)</f>
        <v>1941.48</v>
      </c>
      <c r="G28" s="49">
        <f>ROUNDUP(AVERAGE(B9:K13),4)</f>
        <v>1941.48</v>
      </c>
      <c r="H28" s="26">
        <f>ROUNDUP(AVERAGE(B9:K13),4)</f>
        <v>1941.48</v>
      </c>
      <c r="I28" s="26">
        <f>ROUNDUP(AVERAGE(B9:K13),4)</f>
        <v>1941.48</v>
      </c>
      <c r="J28" s="26">
        <f>ROUNDUP(AVERAGE(B9:K13),4)</f>
        <v>1941.48</v>
      </c>
      <c r="K28" s="26">
        <f>ROUNDUP(AVERAGE(B9:K13),4)</f>
        <v>1941.48</v>
      </c>
      <c r="M28" s="48"/>
      <c r="N28" s="48"/>
      <c r="O28" s="41">
        <f>ROUNDUP(SUM(P26+I21),4)</f>
        <v>1954.9</v>
      </c>
      <c r="P28" s="41">
        <f>ROUNDUP(SUM(P27+I21),4)</f>
        <v>1979.9</v>
      </c>
      <c r="Q28" s="6">
        <f t="shared" si="4"/>
        <v>12</v>
      </c>
      <c r="R28" s="25">
        <f>FREQUENCY(B9:K13,P28:P29)</f>
        <v>45</v>
      </c>
    </row>
    <row r="29" spans="1:32" ht="17.100000000000001" customHeight="1">
      <c r="A29" s="44" t="s">
        <v>67</v>
      </c>
      <c r="B29" s="26">
        <f>AVERAGE(B18:K18)</f>
        <v>68.400000000000006</v>
      </c>
      <c r="C29" s="26">
        <f>AVERAGE(B18:K18)</f>
        <v>68.400000000000006</v>
      </c>
      <c r="D29" s="26">
        <f>AVERAGE(B18:K18)</f>
        <v>68.400000000000006</v>
      </c>
      <c r="E29" s="26">
        <f>AVERAGE(B18:K18)</f>
        <v>68.400000000000006</v>
      </c>
      <c r="F29" s="26">
        <f>AVERAGE(B18:K18)</f>
        <v>68.400000000000006</v>
      </c>
      <c r="G29" s="26">
        <f>AVERAGE(B18:K18)</f>
        <v>68.400000000000006</v>
      </c>
      <c r="H29" s="26">
        <f>AVERAGE(B18:K18)</f>
        <v>68.400000000000006</v>
      </c>
      <c r="I29" s="26">
        <f>AVERAGE(B18:K18)</f>
        <v>68.400000000000006</v>
      </c>
      <c r="J29" s="26">
        <f>AVERAGE(B18:K18)</f>
        <v>68.400000000000006</v>
      </c>
      <c r="K29" s="26">
        <f>AVERAGE(B18:K18)</f>
        <v>68.400000000000006</v>
      </c>
      <c r="M29" s="48"/>
      <c r="N29" s="48"/>
      <c r="O29" s="41">
        <f>ROUNDUP(SUM(P27+I21),4)</f>
        <v>1979.9</v>
      </c>
      <c r="P29" s="41">
        <f>ROUNDUP(SUM(P28+I21),4)</f>
        <v>2004.9</v>
      </c>
      <c r="Q29" s="6">
        <f t="shared" si="4"/>
        <v>4</v>
      </c>
      <c r="R29" s="25">
        <f>FREQUENCY(B9:K13,P29:P30)</f>
        <v>49</v>
      </c>
    </row>
    <row r="30" spans="1:32" ht="17.100000000000001" customHeight="1">
      <c r="A30" s="14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48"/>
      <c r="M30" s="48"/>
      <c r="N30" s="48"/>
      <c r="O30" s="41">
        <f>ROUNDUP(SUM(P28+I21),4)</f>
        <v>2004.9</v>
      </c>
      <c r="P30" s="41">
        <f>ROUNDUP(SUM(P29+I21),4)</f>
        <v>2029.9</v>
      </c>
      <c r="Q30" s="6">
        <f t="shared" si="4"/>
        <v>1</v>
      </c>
      <c r="R30" s="25">
        <f>FREQUENCY(B9:K13,P30:P31)</f>
        <v>50</v>
      </c>
    </row>
    <row r="31" spans="1:32" ht="17.100000000000001" customHeight="1">
      <c r="A31" s="43"/>
      <c r="B31" s="43"/>
      <c r="C31" s="19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1">
        <f>ROUNDUP(SUM(P29+I21),4)</f>
        <v>2029.9</v>
      </c>
      <c r="P31" s="41">
        <f>ROUNDUP(SUM(P30+I21),4)</f>
        <v>2054.9</v>
      </c>
      <c r="Q31" s="6">
        <f t="shared" si="4"/>
        <v>0</v>
      </c>
      <c r="R31" s="25">
        <f>FREQUENCY(B9:K13,P31:P32)</f>
        <v>50</v>
      </c>
    </row>
    <row r="32" spans="1:32" ht="17.100000000000001" customHeight="1">
      <c r="A32" s="14"/>
      <c r="B32" s="14"/>
      <c r="C32" s="14"/>
      <c r="D32" s="14"/>
      <c r="E32" s="14"/>
      <c r="F32" s="51"/>
      <c r="G32" s="51"/>
      <c r="H32" s="51"/>
      <c r="I32" s="14"/>
      <c r="J32" s="165" t="s">
        <v>68</v>
      </c>
      <c r="K32" s="159"/>
      <c r="L32" s="160"/>
      <c r="M32" s="52" t="s">
        <v>69</v>
      </c>
      <c r="N32" s="46"/>
      <c r="O32" s="41">
        <f>ROUNDUP(SUM(P30+I21),4)</f>
        <v>2054.9</v>
      </c>
      <c r="P32" s="41">
        <f>ROUNDUP(SUM(P31+I21),4)</f>
        <v>2079.9</v>
      </c>
      <c r="Q32" s="6">
        <f t="shared" si="4"/>
        <v>0</v>
      </c>
      <c r="R32" s="25">
        <f>FREQUENCY(B9:K13,P32:P32)</f>
        <v>50</v>
      </c>
    </row>
    <row r="33" spans="1:19" ht="17.100000000000001" customHeight="1">
      <c r="A33" s="14"/>
      <c r="B33" s="19"/>
      <c r="C33" s="19"/>
      <c r="D33" s="19"/>
      <c r="E33" s="19"/>
      <c r="F33" s="19"/>
      <c r="G33" s="19"/>
      <c r="H33" s="19"/>
      <c r="I33" s="19"/>
      <c r="J33" s="165">
        <v>1</v>
      </c>
      <c r="K33" s="159"/>
      <c r="L33" s="160"/>
      <c r="M33" s="52">
        <v>0</v>
      </c>
      <c r="N33" s="48"/>
      <c r="O33" s="113" t="s">
        <v>70</v>
      </c>
      <c r="P33" s="166"/>
      <c r="Q33" s="167">
        <f>(M19+(Q13*M18))</f>
        <v>1981.836</v>
      </c>
      <c r="R33" s="168"/>
      <c r="S33" s="53"/>
    </row>
    <row r="34" spans="1:19" ht="17.100000000000001" customHeight="1">
      <c r="A34" s="14"/>
      <c r="B34" s="19"/>
      <c r="C34" s="19"/>
      <c r="D34" s="19"/>
      <c r="E34" s="19"/>
      <c r="F34" s="19"/>
      <c r="G34" s="19"/>
      <c r="H34" s="19"/>
      <c r="I34" s="19"/>
      <c r="J34" s="165">
        <v>0.1</v>
      </c>
      <c r="K34" s="159"/>
      <c r="L34" s="160"/>
      <c r="M34" s="52">
        <v>1</v>
      </c>
      <c r="N34" s="48"/>
      <c r="O34" s="169" t="s">
        <v>71</v>
      </c>
      <c r="P34" s="166"/>
      <c r="Q34" s="170">
        <f>(M19-(Q13*M18))</f>
        <v>1901.124</v>
      </c>
      <c r="R34" s="168"/>
    </row>
    <row r="35" spans="1:19" ht="17.100000000000001" customHeight="1">
      <c r="A35" s="14"/>
      <c r="B35" s="19"/>
      <c r="C35" s="19"/>
      <c r="D35" s="19"/>
      <c r="E35" s="19"/>
      <c r="F35" s="19"/>
      <c r="G35" s="19"/>
      <c r="H35" s="19"/>
      <c r="I35" s="19"/>
      <c r="J35" s="165">
        <v>0.01</v>
      </c>
      <c r="K35" s="159"/>
      <c r="L35" s="160"/>
      <c r="M35" s="52">
        <v>2</v>
      </c>
      <c r="N35" s="48"/>
      <c r="O35" s="113" t="s">
        <v>72</v>
      </c>
      <c r="P35" s="166"/>
      <c r="Q35" s="171">
        <f>M18*R13</f>
        <v>144.32400000000001</v>
      </c>
      <c r="R35" s="168"/>
    </row>
    <row r="36" spans="1:19" ht="17.100000000000001" customHeight="1">
      <c r="A36" s="14"/>
      <c r="B36" s="19"/>
      <c r="C36" s="19"/>
      <c r="D36" s="19"/>
      <c r="E36" s="19"/>
      <c r="F36" s="19"/>
      <c r="G36" s="19"/>
      <c r="H36" s="19"/>
      <c r="I36" s="19"/>
      <c r="J36" s="165">
        <v>1E-3</v>
      </c>
      <c r="K36" s="159"/>
      <c r="L36" s="160"/>
      <c r="M36" s="55">
        <v>3</v>
      </c>
      <c r="N36" s="48"/>
      <c r="O36" s="113" t="s">
        <v>73</v>
      </c>
      <c r="P36" s="166"/>
      <c r="Q36" s="172">
        <f>M18*0</f>
        <v>0</v>
      </c>
      <c r="R36" s="127"/>
    </row>
    <row r="37" spans="1:19" s="59" customFormat="1" ht="17.100000000000001" customHeight="1">
      <c r="A37" s="56"/>
      <c r="B37" s="57"/>
      <c r="C37" s="56"/>
      <c r="D37" s="58"/>
      <c r="E37" s="58"/>
      <c r="F37" s="58"/>
      <c r="G37" s="58"/>
      <c r="H37" s="58"/>
      <c r="I37" s="58"/>
      <c r="J37" s="183">
        <v>1E-4</v>
      </c>
      <c r="K37" s="183"/>
      <c r="L37" s="183"/>
      <c r="M37" s="55">
        <v>4</v>
      </c>
      <c r="N37" s="58"/>
      <c r="O37" s="184" t="s">
        <v>74</v>
      </c>
      <c r="P37" s="185"/>
      <c r="Q37" s="186">
        <f>STDEV(B9:K13)</f>
        <v>28.153544018761242</v>
      </c>
      <c r="R37" s="127"/>
    </row>
    <row r="38" spans="1:19" ht="17.100000000000001" customHeight="1">
      <c r="A38" s="57"/>
      <c r="B38" s="57"/>
      <c r="C38" s="58"/>
      <c r="D38" s="58"/>
      <c r="E38" s="58"/>
      <c r="F38" s="58"/>
      <c r="G38" s="58"/>
      <c r="H38" s="58"/>
      <c r="I38" s="58"/>
      <c r="J38" s="60"/>
      <c r="K38" s="58"/>
      <c r="L38" s="58"/>
      <c r="N38" s="58"/>
      <c r="O38" s="187" t="s">
        <v>86</v>
      </c>
      <c r="P38" s="188"/>
      <c r="Q38" s="186">
        <f>ROUNDUP(SUM(I20/(6*Q37)),4)</f>
        <v>1.776</v>
      </c>
      <c r="R38" s="168"/>
    </row>
    <row r="39" spans="1:19" ht="15" customHeight="1">
      <c r="A39" s="173" t="s">
        <v>75</v>
      </c>
      <c r="B39" s="173"/>
      <c r="C39" s="174" t="str">
        <f>IF(OR(AND(Q38&gt;=0,Q38&lt;=0.5),AND(Q39&gt;=0,Q39&lt;=0.5)),"PROCESS IS VERY POOR TAKE IMMEDIATE ACTION",IF(OR(AND(Q38&gt;0.5,Q38&lt;=1.33),AND(Q39&gt;0.5,Q39&lt;=1.33)),"PROCESS NEEDS CORRECTION ,Cp &amp; Cpk SHOULD BE &gt;=1.33",IF(OR(AND(Q38&gt;1,Q38&lt;=1.67),AND(Q39&gt;1,Q39&lt;=1.67)),"PROCESS IS GOOD BUT STILL IMPROVEMENT IS REQIURED","PROCESS IS EXCELLENT")))</f>
        <v>PROCESS IS EXCELLENT</v>
      </c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6"/>
      <c r="O39" s="212" t="s">
        <v>85</v>
      </c>
      <c r="P39" s="212"/>
      <c r="Q39" s="213">
        <f>ROUNDUP(SUM((1-N20)*Q38),4)</f>
        <v>1.6752</v>
      </c>
      <c r="R39" s="214"/>
    </row>
    <row r="40" spans="1:19" ht="18.75" customHeight="1">
      <c r="A40" s="173"/>
      <c r="B40" s="173"/>
      <c r="C40" s="177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9"/>
      <c r="O40" s="189" t="s">
        <v>76</v>
      </c>
      <c r="P40" s="190"/>
      <c r="Q40" s="191" t="s">
        <v>89</v>
      </c>
      <c r="R40" s="192"/>
    </row>
    <row r="41" spans="1:19" ht="18.75" customHeight="1">
      <c r="A41" s="173"/>
      <c r="B41" s="173"/>
      <c r="C41" s="180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2"/>
      <c r="O41" s="189" t="s">
        <v>84</v>
      </c>
      <c r="P41" s="190"/>
      <c r="Q41" s="191" t="s">
        <v>90</v>
      </c>
      <c r="R41" s="192"/>
    </row>
    <row r="42" spans="1:19">
      <c r="M42" s="62"/>
      <c r="P42" s="63"/>
    </row>
  </sheetData>
  <mergeCells count="76">
    <mergeCell ref="A39:B41"/>
    <mergeCell ref="C39:N41"/>
    <mergeCell ref="J37:L37"/>
    <mergeCell ref="O37:P37"/>
    <mergeCell ref="Q37:R37"/>
    <mergeCell ref="O38:P38"/>
    <mergeCell ref="Q38:R38"/>
    <mergeCell ref="O39:P39"/>
    <mergeCell ref="Q39:R39"/>
    <mergeCell ref="O40:P40"/>
    <mergeCell ref="Q40:R40"/>
    <mergeCell ref="O41:P41"/>
    <mergeCell ref="Q41:R41"/>
    <mergeCell ref="J35:L35"/>
    <mergeCell ref="O35:P35"/>
    <mergeCell ref="Q35:R35"/>
    <mergeCell ref="J36:L36"/>
    <mergeCell ref="O36:P36"/>
    <mergeCell ref="Q36:R36"/>
    <mergeCell ref="J32:L32"/>
    <mergeCell ref="J33:L33"/>
    <mergeCell ref="O33:P33"/>
    <mergeCell ref="Q33:R33"/>
    <mergeCell ref="J34:L34"/>
    <mergeCell ref="O34:P34"/>
    <mergeCell ref="Q34:R34"/>
    <mergeCell ref="A21:C21"/>
    <mergeCell ref="D21:E21"/>
    <mergeCell ref="F21:H21"/>
    <mergeCell ref="I21:J21"/>
    <mergeCell ref="K21:M21"/>
    <mergeCell ref="A22:C22"/>
    <mergeCell ref="D22:E22"/>
    <mergeCell ref="F22:H22"/>
    <mergeCell ref="I22:J22"/>
    <mergeCell ref="K22:M22"/>
    <mergeCell ref="F6:G6"/>
    <mergeCell ref="N19:P19"/>
    <mergeCell ref="A20:C20"/>
    <mergeCell ref="D20:E20"/>
    <mergeCell ref="F20:H20"/>
    <mergeCell ref="I20:J20"/>
    <mergeCell ref="K20:M20"/>
    <mergeCell ref="O20:P20"/>
    <mergeCell ref="K5:L5"/>
    <mergeCell ref="N18:P18"/>
    <mergeCell ref="O6:P6"/>
    <mergeCell ref="A7:L7"/>
    <mergeCell ref="M7:Q7"/>
    <mergeCell ref="L8:L10"/>
    <mergeCell ref="M8:N10"/>
    <mergeCell ref="L11:L13"/>
    <mergeCell ref="M11:N13"/>
    <mergeCell ref="A14:R14"/>
    <mergeCell ref="A15:R15"/>
    <mergeCell ref="N16:P17"/>
    <mergeCell ref="Q16:Q17"/>
    <mergeCell ref="R16:R17"/>
    <mergeCell ref="A6:B6"/>
    <mergeCell ref="C6:E6"/>
    <mergeCell ref="A1:B3"/>
    <mergeCell ref="C1:P2"/>
    <mergeCell ref="C3:P3"/>
    <mergeCell ref="H6:J6"/>
    <mergeCell ref="K6:L6"/>
    <mergeCell ref="A4:B4"/>
    <mergeCell ref="C4:E4"/>
    <mergeCell ref="F4:G4"/>
    <mergeCell ref="H4:J4"/>
    <mergeCell ref="K4:L4"/>
    <mergeCell ref="N4:N5"/>
    <mergeCell ref="O4:R5"/>
    <mergeCell ref="A5:B5"/>
    <mergeCell ref="C5:E5"/>
    <mergeCell ref="F5:G5"/>
    <mergeCell ref="H5:J5"/>
  </mergeCells>
  <printOptions horizontalCentered="1"/>
  <pageMargins left="0.3" right="0.14000000000000001" top="0.43" bottom="0.37" header="0.37" footer="0.28999999999999998"/>
  <pageSetup scale="80" orientation="landscape" horizontalDpi="300" verticalDpi="300" r:id="rId1"/>
  <headerFooter alignWithMargins="0">
    <oddFooter>&amp;CPage &amp;P&amp;R&amp;Z&amp;F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Element Resistance</vt:lpstr>
      <vt:lpstr>DFT</vt:lpstr>
      <vt:lpstr>Wattage L1</vt:lpstr>
      <vt:lpstr>Wattage L2</vt:lpstr>
      <vt:lpstr>DFT!Print_Area</vt:lpstr>
      <vt:lpstr>'Element Resistance'!Print_Area</vt:lpstr>
      <vt:lpstr>'Wattage L1'!Print_Area</vt:lpstr>
      <vt:lpstr>'Wattage L2'!Print_Area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2022-12-12T05:13:44Z</dcterms:modified>
</cp:coreProperties>
</file>