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lement Resistance" sheetId="7" r:id="rId1"/>
    <sheet name="DFT" sheetId="4" r:id="rId2"/>
    <sheet name="Wattage L1" sheetId="6" r:id="rId3"/>
    <sheet name="Wattage L2" sheetId="5" r:id="rId4"/>
  </sheets>
  <externalReferences>
    <externalReference r:id="rId5"/>
    <externalReference r:id="rId6"/>
    <externalReference r:id="rId7"/>
  </externalReferences>
  <definedNames>
    <definedName name="_Fill" localSheetId="1" hidden="1">DFT!$P$22:$P$31</definedName>
    <definedName name="_Fill" localSheetId="0" hidden="1">'Element Resistance'!$P$22:$P$31</definedName>
    <definedName name="_Fill" localSheetId="2" hidden="1">'Wattage L1'!$P$22:$P$31</definedName>
    <definedName name="_Fill" localSheetId="3" hidden="1">'Wattage L2'!$P$22:$P$31</definedName>
    <definedName name="_Fill" hidden="1">'[1]SHEET 1'!$P$21:$P$30</definedName>
    <definedName name="_xlnm.Print_Area" localSheetId="1">DFT!$A$1:$R$41</definedName>
    <definedName name="_xlnm.Print_Area" localSheetId="0">'Element Resistance'!$A$1:$R$41</definedName>
    <definedName name="_xlnm.Print_Area" localSheetId="2">'Wattage L1'!$A$1:$R$41</definedName>
    <definedName name="_xlnm.Print_Area" localSheetId="3">'Wattage L2'!$A$1:$R$41</definedName>
    <definedName name="readings">#REF!</definedName>
    <definedName name="Supp_Logo" localSheetId="1">'[2]PPAP Info'!#REF!</definedName>
    <definedName name="Supp_Logo" localSheetId="0">'[2]PPAP Info'!#REF!</definedName>
    <definedName name="Supp_Logo" localSheetId="2">'[2]PPAP Info'!#REF!</definedName>
    <definedName name="Supp_Logo" localSheetId="3">'[2]PPAP Info'!#REF!</definedName>
    <definedName name="Supp_Logo">'[3]PPAP Info'!#REF!</definedName>
    <definedName name="Wattage">'[3]PPAP Info'!#REF!</definedName>
    <definedName name="Z_38235CC0_A1D3_11D4_BDA6_0020352770F9_.wvu.PrintArea" localSheetId="1" hidden="1">DFT!$A$3:$R$40</definedName>
    <definedName name="Z_38235CC0_A1D3_11D4_BDA6_0020352770F9_.wvu.PrintArea" localSheetId="0" hidden="1">'Element Resistance'!$A$3:$R$40</definedName>
    <definedName name="Z_38235CC0_A1D3_11D4_BDA6_0020352770F9_.wvu.PrintArea" localSheetId="2" hidden="1">'Wattage L1'!$A$3:$R$40</definedName>
    <definedName name="Z_38235CC0_A1D3_11D4_BDA6_0020352770F9_.wvu.PrintArea" localSheetId="3" hidden="1">'Wattage L2'!$A$3:$R$40</definedName>
    <definedName name="Z_743D464C_9EBC_11D4_87C7_002035271A36_.wvu.PrintArea" localSheetId="1" hidden="1">DFT!$A$3:$R$40</definedName>
    <definedName name="Z_743D464C_9EBC_11D4_87C7_002035271A36_.wvu.PrintArea" localSheetId="0" hidden="1">'Element Resistance'!$A$3:$R$40</definedName>
    <definedName name="Z_743D464C_9EBC_11D4_87C7_002035271A36_.wvu.PrintArea" localSheetId="2" hidden="1">'Wattage L1'!$A$3:$R$40</definedName>
    <definedName name="Z_743D464C_9EBC_11D4_87C7_002035271A36_.wvu.PrintArea" localSheetId="3" hidden="1">'Wattage L2'!$A$3:$R$40</definedName>
    <definedName name="Z_BA715C6C_7BC9_11D2_80E9_0020352770F9_.wvu.PrintArea" localSheetId="1" hidden="1">DFT!$A$3:$R$40</definedName>
    <definedName name="Z_BA715C6C_7BC9_11D2_80E9_0020352770F9_.wvu.PrintArea" localSheetId="0" hidden="1">'Element Resistance'!$A$3:$R$40</definedName>
    <definedName name="Z_BA715C6C_7BC9_11D2_80E9_0020352770F9_.wvu.PrintArea" localSheetId="2" hidden="1">'Wattage L1'!$A$3:$R$40</definedName>
    <definedName name="Z_BA715C6C_7BC9_11D2_80E9_0020352770F9_.wvu.PrintArea" localSheetId="3" hidden="1">'Wattage L2'!$A$3:$R$40</definedName>
    <definedName name="Z_EA212840_1C84_11D5_B0CC_002035272DB3_.wvu.PrintArea" localSheetId="1" hidden="1">DFT!$A$3:$R$40</definedName>
    <definedName name="Z_EA212840_1C84_11D5_B0CC_002035272DB3_.wvu.PrintArea" localSheetId="0" hidden="1">'Element Resistance'!$A$3:$R$40</definedName>
    <definedName name="Z_EA212840_1C84_11D5_B0CC_002035272DB3_.wvu.PrintArea" localSheetId="2" hidden="1">'Wattage L1'!$A$3:$R$40</definedName>
    <definedName name="Z_EA212840_1C84_11D5_B0CC_002035272DB3_.wvu.PrintArea" localSheetId="3" hidden="1">'Wattage L2'!$A$3:$R$40</definedName>
  </definedNames>
  <calcPr calcId="144525"/>
</workbook>
</file>

<file path=xl/calcChain.xml><?xml version="1.0" encoding="utf-8"?>
<calcChain xmlns="http://schemas.openxmlformats.org/spreadsheetml/2006/main">
  <c r="Q37" i="4" l="1"/>
  <c r="B16" i="4"/>
  <c r="Q37" i="7"/>
  <c r="K28" i="7"/>
  <c r="J28" i="7"/>
  <c r="I28" i="7"/>
  <c r="H28" i="7"/>
  <c r="G28" i="7"/>
  <c r="F28" i="7"/>
  <c r="E28" i="7"/>
  <c r="D28" i="7"/>
  <c r="C28" i="7"/>
  <c r="B28" i="7"/>
  <c r="I22" i="7"/>
  <c r="N21" i="7" s="1"/>
  <c r="D21" i="7"/>
  <c r="I20" i="7"/>
  <c r="Q19" i="7"/>
  <c r="M19" i="7"/>
  <c r="K19" i="7"/>
  <c r="J19" i="7"/>
  <c r="I19" i="7"/>
  <c r="H19" i="7"/>
  <c r="G19" i="7"/>
  <c r="F19" i="7"/>
  <c r="E19" i="7"/>
  <c r="D19" i="7"/>
  <c r="C19" i="7"/>
  <c r="B19" i="7"/>
  <c r="Q18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K16" i="7"/>
  <c r="J16" i="7"/>
  <c r="I16" i="7"/>
  <c r="H16" i="7"/>
  <c r="G16" i="7"/>
  <c r="F16" i="7"/>
  <c r="E16" i="7"/>
  <c r="D16" i="7"/>
  <c r="M16" i="7" s="1"/>
  <c r="C16" i="7"/>
  <c r="B16" i="7"/>
  <c r="Q37" i="6"/>
  <c r="K28" i="6"/>
  <c r="J28" i="6"/>
  <c r="I28" i="6"/>
  <c r="H28" i="6"/>
  <c r="G28" i="6"/>
  <c r="F28" i="6"/>
  <c r="E28" i="6"/>
  <c r="D28" i="6"/>
  <c r="C28" i="6"/>
  <c r="B28" i="6"/>
  <c r="I22" i="6"/>
  <c r="N21" i="6" s="1"/>
  <c r="D21" i="6"/>
  <c r="I20" i="6"/>
  <c r="Q19" i="6"/>
  <c r="M19" i="6"/>
  <c r="K19" i="6"/>
  <c r="J19" i="6"/>
  <c r="I19" i="6"/>
  <c r="H19" i="6"/>
  <c r="G19" i="6"/>
  <c r="F19" i="6"/>
  <c r="E19" i="6"/>
  <c r="D19" i="6"/>
  <c r="C19" i="6"/>
  <c r="B19" i="6"/>
  <c r="Q18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Q37" i="5"/>
  <c r="K28" i="5"/>
  <c r="J28" i="5"/>
  <c r="I28" i="5"/>
  <c r="H28" i="5"/>
  <c r="G28" i="5"/>
  <c r="F28" i="5"/>
  <c r="E28" i="5"/>
  <c r="D28" i="5"/>
  <c r="C28" i="5"/>
  <c r="B28" i="5"/>
  <c r="I22" i="5"/>
  <c r="N21" i="5" s="1"/>
  <c r="D21" i="5"/>
  <c r="I20" i="5"/>
  <c r="Q19" i="5"/>
  <c r="M19" i="5"/>
  <c r="K19" i="5"/>
  <c r="J19" i="5"/>
  <c r="I19" i="5"/>
  <c r="H19" i="5"/>
  <c r="G19" i="5"/>
  <c r="F19" i="5"/>
  <c r="E19" i="5"/>
  <c r="D19" i="5"/>
  <c r="C19" i="5"/>
  <c r="B19" i="5"/>
  <c r="Q18" i="5"/>
  <c r="Q16" i="5" s="1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28" i="4"/>
  <c r="J28" i="4"/>
  <c r="I28" i="4"/>
  <c r="H28" i="4"/>
  <c r="G28" i="4"/>
  <c r="F28" i="4"/>
  <c r="E28" i="4"/>
  <c r="D28" i="4"/>
  <c r="C28" i="4"/>
  <c r="B28" i="4"/>
  <c r="I22" i="4"/>
  <c r="N21" i="4" s="1"/>
  <c r="D21" i="4"/>
  <c r="I20" i="4"/>
  <c r="Q19" i="4"/>
  <c r="M19" i="4"/>
  <c r="K19" i="4"/>
  <c r="J19" i="4"/>
  <c r="I19" i="4"/>
  <c r="H19" i="4"/>
  <c r="G19" i="4"/>
  <c r="F19" i="4"/>
  <c r="E19" i="4"/>
  <c r="D19" i="4"/>
  <c r="C19" i="4"/>
  <c r="B19" i="4"/>
  <c r="Q18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K29" i="6" l="1"/>
  <c r="Q38" i="5"/>
  <c r="Q38" i="6"/>
  <c r="M16" i="6"/>
  <c r="J29" i="6"/>
  <c r="M17" i="6"/>
  <c r="D22" i="6" s="1"/>
  <c r="O25" i="6" s="1"/>
  <c r="M16" i="4"/>
  <c r="Q38" i="4"/>
  <c r="I29" i="4"/>
  <c r="F29" i="4"/>
  <c r="M17" i="4"/>
  <c r="D22" i="4" s="1"/>
  <c r="O25" i="4" s="1"/>
  <c r="J29" i="4"/>
  <c r="Q16" i="4"/>
  <c r="Q16" i="6"/>
  <c r="E29" i="5"/>
  <c r="M17" i="5"/>
  <c r="J29" i="5"/>
  <c r="M16" i="5"/>
  <c r="Q16" i="7"/>
  <c r="K29" i="7"/>
  <c r="Q38" i="7"/>
  <c r="M17" i="7"/>
  <c r="D22" i="7" s="1"/>
  <c r="P24" i="7" s="1"/>
  <c r="J29" i="7"/>
  <c r="G29" i="7"/>
  <c r="N22" i="7"/>
  <c r="N20" i="7" s="1"/>
  <c r="Q39" i="7" s="1"/>
  <c r="C39" i="7" s="1"/>
  <c r="D29" i="7"/>
  <c r="H29" i="7"/>
  <c r="I29" i="7"/>
  <c r="E29" i="7"/>
  <c r="M18" i="7"/>
  <c r="B29" i="7"/>
  <c r="F29" i="7"/>
  <c r="C29" i="7"/>
  <c r="C29" i="6"/>
  <c r="G29" i="6"/>
  <c r="N22" i="6"/>
  <c r="N20" i="6" s="1"/>
  <c r="D29" i="6"/>
  <c r="H29" i="6"/>
  <c r="I29" i="6"/>
  <c r="E29" i="6"/>
  <c r="M18" i="6"/>
  <c r="B29" i="6"/>
  <c r="F29" i="6"/>
  <c r="C29" i="5"/>
  <c r="G29" i="5"/>
  <c r="K29" i="5"/>
  <c r="N22" i="5"/>
  <c r="N20" i="5" s="1"/>
  <c r="D29" i="5"/>
  <c r="H29" i="5"/>
  <c r="I29" i="5"/>
  <c r="M18" i="5"/>
  <c r="B29" i="5"/>
  <c r="F29" i="5"/>
  <c r="C29" i="4"/>
  <c r="G29" i="4"/>
  <c r="K29" i="4"/>
  <c r="M18" i="4"/>
  <c r="Q33" i="4" s="1"/>
  <c r="B29" i="4"/>
  <c r="N22" i="4"/>
  <c r="N20" i="4" s="1"/>
  <c r="D29" i="4"/>
  <c r="H29" i="4"/>
  <c r="E29" i="4"/>
  <c r="D20" i="7" l="1"/>
  <c r="I21" i="7" s="1"/>
  <c r="O24" i="7" s="1"/>
  <c r="Q39" i="4"/>
  <c r="C39" i="4" s="1"/>
  <c r="D20" i="4"/>
  <c r="I21" i="4" s="1"/>
  <c r="D22" i="5"/>
  <c r="P24" i="5" s="1"/>
  <c r="D20" i="5"/>
  <c r="I21" i="5" s="1"/>
  <c r="Q39" i="5"/>
  <c r="C39" i="5" s="1"/>
  <c r="Q39" i="6"/>
  <c r="C39" i="6" s="1"/>
  <c r="D20" i="6"/>
  <c r="I21" i="6" s="1"/>
  <c r="P24" i="6"/>
  <c r="P24" i="4"/>
  <c r="Q34" i="4"/>
  <c r="H25" i="4" s="1"/>
  <c r="O25" i="7"/>
  <c r="Q36" i="7"/>
  <c r="Q35" i="7"/>
  <c r="Q34" i="7"/>
  <c r="Q33" i="7"/>
  <c r="Q35" i="6"/>
  <c r="Q34" i="6"/>
  <c r="Q36" i="6"/>
  <c r="Q33" i="6"/>
  <c r="Q35" i="5"/>
  <c r="Q34" i="5"/>
  <c r="Q36" i="5"/>
  <c r="Q33" i="5"/>
  <c r="J24" i="4"/>
  <c r="F24" i="4"/>
  <c r="B24" i="4"/>
  <c r="I24" i="4"/>
  <c r="E24" i="4"/>
  <c r="K24" i="4"/>
  <c r="G24" i="4"/>
  <c r="C24" i="4"/>
  <c r="H24" i="4"/>
  <c r="D24" i="4"/>
  <c r="Q35" i="4"/>
  <c r="Q36" i="4"/>
  <c r="O26" i="7" l="1"/>
  <c r="P23" i="7"/>
  <c r="P25" i="7"/>
  <c r="R24" i="7" s="1"/>
  <c r="O26" i="4"/>
  <c r="P25" i="5"/>
  <c r="O25" i="5"/>
  <c r="O26" i="5"/>
  <c r="O24" i="5"/>
  <c r="P23" i="5"/>
  <c r="O23" i="5" s="1"/>
  <c r="O24" i="6"/>
  <c r="P25" i="6"/>
  <c r="P26" i="6" s="1"/>
  <c r="P23" i="6"/>
  <c r="P22" i="6" s="1"/>
  <c r="O26" i="6"/>
  <c r="I25" i="4"/>
  <c r="K25" i="4"/>
  <c r="B25" i="4"/>
  <c r="D25" i="4"/>
  <c r="P25" i="4"/>
  <c r="R24" i="4" s="1"/>
  <c r="E25" i="4"/>
  <c r="P23" i="4"/>
  <c r="R23" i="4" s="1"/>
  <c r="J25" i="4"/>
  <c r="G25" i="4"/>
  <c r="O24" i="4"/>
  <c r="F25" i="4"/>
  <c r="C25" i="4"/>
  <c r="I27" i="7"/>
  <c r="E27" i="7"/>
  <c r="D27" i="7"/>
  <c r="H27" i="7"/>
  <c r="K27" i="7"/>
  <c r="G27" i="7"/>
  <c r="C27" i="7"/>
  <c r="J27" i="7"/>
  <c r="F27" i="7"/>
  <c r="B27" i="7"/>
  <c r="P22" i="7"/>
  <c r="O23" i="7"/>
  <c r="R23" i="7"/>
  <c r="D24" i="7"/>
  <c r="K24" i="7"/>
  <c r="G24" i="7"/>
  <c r="C24" i="7"/>
  <c r="J24" i="7"/>
  <c r="B24" i="7"/>
  <c r="F24" i="7"/>
  <c r="I24" i="7"/>
  <c r="E24" i="7"/>
  <c r="H24" i="7"/>
  <c r="F25" i="7"/>
  <c r="I25" i="7"/>
  <c r="E25" i="7"/>
  <c r="H25" i="7"/>
  <c r="D25" i="7"/>
  <c r="K25" i="7"/>
  <c r="G25" i="7"/>
  <c r="C25" i="7"/>
  <c r="J25" i="7"/>
  <c r="B25" i="7"/>
  <c r="O27" i="7"/>
  <c r="P26" i="7"/>
  <c r="R25" i="7" s="1"/>
  <c r="Q25" i="7" s="1"/>
  <c r="D26" i="7"/>
  <c r="K26" i="7"/>
  <c r="G26" i="7"/>
  <c r="C26" i="7"/>
  <c r="J26" i="7"/>
  <c r="B26" i="7"/>
  <c r="F26" i="7"/>
  <c r="I26" i="7"/>
  <c r="E26" i="7"/>
  <c r="H26" i="7"/>
  <c r="K26" i="6"/>
  <c r="G26" i="6"/>
  <c r="C26" i="6"/>
  <c r="J26" i="6"/>
  <c r="B26" i="6"/>
  <c r="F26" i="6"/>
  <c r="I26" i="6"/>
  <c r="E26" i="6"/>
  <c r="H26" i="6"/>
  <c r="D26" i="6"/>
  <c r="D24" i="6"/>
  <c r="K24" i="6"/>
  <c r="G24" i="6"/>
  <c r="C24" i="6"/>
  <c r="F24" i="6"/>
  <c r="J24" i="6"/>
  <c r="B24" i="6"/>
  <c r="I24" i="6"/>
  <c r="E24" i="6"/>
  <c r="H24" i="6"/>
  <c r="I27" i="6"/>
  <c r="E27" i="6"/>
  <c r="D27" i="6"/>
  <c r="H27" i="6"/>
  <c r="K27" i="6"/>
  <c r="G27" i="6"/>
  <c r="C27" i="6"/>
  <c r="J27" i="6"/>
  <c r="F27" i="6"/>
  <c r="B27" i="6"/>
  <c r="B25" i="6"/>
  <c r="I25" i="6"/>
  <c r="E25" i="6"/>
  <c r="D25" i="6"/>
  <c r="H25" i="6"/>
  <c r="K25" i="6"/>
  <c r="G25" i="6"/>
  <c r="C25" i="6"/>
  <c r="J25" i="6"/>
  <c r="F25" i="6"/>
  <c r="J25" i="5"/>
  <c r="I25" i="5"/>
  <c r="E25" i="5"/>
  <c r="D25" i="5"/>
  <c r="H25" i="5"/>
  <c r="K25" i="5"/>
  <c r="G25" i="5"/>
  <c r="C25" i="5"/>
  <c r="F25" i="5"/>
  <c r="B25" i="5"/>
  <c r="D24" i="5"/>
  <c r="K24" i="5"/>
  <c r="G24" i="5"/>
  <c r="C24" i="5"/>
  <c r="J24" i="5"/>
  <c r="B24" i="5"/>
  <c r="F24" i="5"/>
  <c r="I24" i="5"/>
  <c r="E24" i="5"/>
  <c r="H24" i="5"/>
  <c r="O27" i="5"/>
  <c r="P26" i="5"/>
  <c r="R25" i="5" s="1"/>
  <c r="R24" i="5"/>
  <c r="I27" i="5"/>
  <c r="E27" i="5"/>
  <c r="H27" i="5"/>
  <c r="D27" i="5"/>
  <c r="K27" i="5"/>
  <c r="G27" i="5"/>
  <c r="C27" i="5"/>
  <c r="J27" i="5"/>
  <c r="F27" i="5"/>
  <c r="B27" i="5"/>
  <c r="K26" i="5"/>
  <c r="G26" i="5"/>
  <c r="C26" i="5"/>
  <c r="J26" i="5"/>
  <c r="F26" i="5"/>
  <c r="B26" i="5"/>
  <c r="I26" i="5"/>
  <c r="E26" i="5"/>
  <c r="H26" i="5"/>
  <c r="D26" i="5"/>
  <c r="J26" i="4"/>
  <c r="F26" i="4"/>
  <c r="B26" i="4"/>
  <c r="I26" i="4"/>
  <c r="E26" i="4"/>
  <c r="K26" i="4"/>
  <c r="G26" i="4"/>
  <c r="C26" i="4"/>
  <c r="H26" i="4"/>
  <c r="D26" i="4"/>
  <c r="H27" i="4"/>
  <c r="D27" i="4"/>
  <c r="K27" i="4"/>
  <c r="G27" i="4"/>
  <c r="C27" i="4"/>
  <c r="I27" i="4"/>
  <c r="E27" i="4"/>
  <c r="J27" i="4"/>
  <c r="F27" i="4"/>
  <c r="B27" i="4"/>
  <c r="P22" i="5" l="1"/>
  <c r="R22" i="5" s="1"/>
  <c r="R23" i="5"/>
  <c r="Q24" i="5" s="1"/>
  <c r="R25" i="6"/>
  <c r="O27" i="6"/>
  <c r="R23" i="6"/>
  <c r="R24" i="6"/>
  <c r="O23" i="6"/>
  <c r="O27" i="4"/>
  <c r="O23" i="4"/>
  <c r="P26" i="4"/>
  <c r="O28" i="4" s="1"/>
  <c r="P22" i="4"/>
  <c r="P21" i="4" s="1"/>
  <c r="Q24" i="4"/>
  <c r="Q25" i="5"/>
  <c r="O28" i="7"/>
  <c r="P27" i="7"/>
  <c r="R26" i="7" s="1"/>
  <c r="Q26" i="7" s="1"/>
  <c r="Q24" i="7"/>
  <c r="O22" i="7"/>
  <c r="R22" i="7"/>
  <c r="Q23" i="7" s="1"/>
  <c r="P21" i="7"/>
  <c r="P21" i="6"/>
  <c r="O22" i="6"/>
  <c r="R22" i="6"/>
  <c r="O28" i="6"/>
  <c r="P27" i="6"/>
  <c r="R26" i="6" s="1"/>
  <c r="O28" i="5"/>
  <c r="P27" i="5"/>
  <c r="R26" i="5" s="1"/>
  <c r="Q26" i="5" s="1"/>
  <c r="P21" i="5" l="1"/>
  <c r="O21" i="5" s="1"/>
  <c r="O22" i="5"/>
  <c r="Q23" i="5"/>
  <c r="Q23" i="6"/>
  <c r="Q24" i="6"/>
  <c r="Q26" i="6"/>
  <c r="Q25" i="6"/>
  <c r="O22" i="4"/>
  <c r="R22" i="4"/>
  <c r="Q23" i="4" s="1"/>
  <c r="R25" i="4"/>
  <c r="Q25" i="4" s="1"/>
  <c r="P27" i="4"/>
  <c r="R26" i="4" s="1"/>
  <c r="O21" i="7"/>
  <c r="R21" i="7"/>
  <c r="Q21" i="7" s="1"/>
  <c r="O29" i="7"/>
  <c r="P28" i="7"/>
  <c r="R27" i="7" s="1"/>
  <c r="O21" i="6"/>
  <c r="R21" i="6"/>
  <c r="Q21" i="6" s="1"/>
  <c r="P28" i="6"/>
  <c r="R27" i="6" s="1"/>
  <c r="O29" i="6"/>
  <c r="O29" i="5"/>
  <c r="P28" i="5"/>
  <c r="R27" i="5" s="1"/>
  <c r="R21" i="5"/>
  <c r="Q21" i="5" s="1"/>
  <c r="R21" i="4"/>
  <c r="Q21" i="4" s="1"/>
  <c r="O21" i="4"/>
  <c r="Q22" i="6" l="1"/>
  <c r="O29" i="4"/>
  <c r="Q26" i="4"/>
  <c r="P28" i="4"/>
  <c r="R27" i="4" s="1"/>
  <c r="Q22" i="7"/>
  <c r="P29" i="7"/>
  <c r="R28" i="7"/>
  <c r="Q28" i="7" s="1"/>
  <c r="O30" i="7"/>
  <c r="P29" i="6"/>
  <c r="O30" i="6"/>
  <c r="P29" i="5"/>
  <c r="R28" i="5" s="1"/>
  <c r="Q28" i="5" s="1"/>
  <c r="O30" i="5"/>
  <c r="Q22" i="5"/>
  <c r="Q22" i="4"/>
  <c r="P29" i="4" l="1"/>
  <c r="R28" i="4" s="1"/>
  <c r="Q28" i="4" s="1"/>
  <c r="O30" i="4"/>
  <c r="P30" i="7"/>
  <c r="O31" i="7"/>
  <c r="R29" i="7"/>
  <c r="Q29" i="7" s="1"/>
  <c r="P30" i="6"/>
  <c r="O31" i="6"/>
  <c r="R28" i="6"/>
  <c r="Q28" i="6" s="1"/>
  <c r="P30" i="5"/>
  <c r="R29" i="5" s="1"/>
  <c r="Q29" i="5" s="1"/>
  <c r="O31" i="5"/>
  <c r="P30" i="4" l="1"/>
  <c r="R29" i="4" s="1"/>
  <c r="Q29" i="4" s="1"/>
  <c r="O31" i="4"/>
  <c r="P31" i="7"/>
  <c r="O32" i="7"/>
  <c r="P31" i="6"/>
  <c r="O32" i="6"/>
  <c r="R29" i="6"/>
  <c r="Q29" i="6" s="1"/>
  <c r="P31" i="5"/>
  <c r="R30" i="5" s="1"/>
  <c r="Q30" i="5" s="1"/>
  <c r="O32" i="5"/>
  <c r="O32" i="4" l="1"/>
  <c r="P31" i="4"/>
  <c r="R30" i="4" s="1"/>
  <c r="Q30" i="4" s="1"/>
  <c r="P32" i="7"/>
  <c r="R32" i="7" s="1"/>
  <c r="R30" i="7"/>
  <c r="Q30" i="7" s="1"/>
  <c r="P32" i="6"/>
  <c r="R32" i="6" s="1"/>
  <c r="R30" i="6"/>
  <c r="Q30" i="6" s="1"/>
  <c r="P32" i="5"/>
  <c r="R32" i="5" s="1"/>
  <c r="P32" i="4" l="1"/>
  <c r="R32" i="4" s="1"/>
  <c r="R31" i="7"/>
  <c r="Q31" i="7" s="1"/>
  <c r="R31" i="6"/>
  <c r="Q31" i="6" s="1"/>
  <c r="R31" i="5"/>
  <c r="Q31" i="5" s="1"/>
  <c r="R31" i="4" l="1"/>
  <c r="Q31" i="4" s="1"/>
  <c r="Q32" i="7"/>
  <c r="Q32" i="6"/>
  <c r="Q32" i="5"/>
  <c r="Q32" i="4" l="1"/>
</calcChain>
</file>

<file path=xl/sharedStrings.xml><?xml version="1.0" encoding="utf-8"?>
<sst xmlns="http://schemas.openxmlformats.org/spreadsheetml/2006/main" count="399" uniqueCount="111">
  <si>
    <t>STATISTICAL PROCESS CONTROL STUDY</t>
  </si>
  <si>
    <t>PART NAME:</t>
  </si>
  <si>
    <t>INSTRUMENT:</t>
  </si>
  <si>
    <t>Wattage</t>
  </si>
  <si>
    <t>L.COUNT:</t>
  </si>
  <si>
    <t>PART NO.:</t>
  </si>
  <si>
    <t>NA</t>
  </si>
  <si>
    <t>SPECIFIC:</t>
  </si>
  <si>
    <t>2000+5%/-10%</t>
  </si>
  <si>
    <t>MACHINE:</t>
  </si>
  <si>
    <t>Testing Panel</t>
  </si>
  <si>
    <t>SAMPLE SIZE:</t>
  </si>
  <si>
    <t>50NOS.</t>
  </si>
  <si>
    <t>OPERATION:</t>
  </si>
  <si>
    <t>TESTING</t>
  </si>
  <si>
    <t>NO.OF DECIMALS:</t>
  </si>
  <si>
    <t>Date</t>
  </si>
  <si>
    <t xml:space="preserve">DATA COLLECTION: - </t>
  </si>
  <si>
    <t>ALL DIMENSIONS ARE IN INCHES / MM</t>
  </si>
  <si>
    <t>MM</t>
  </si>
  <si>
    <t>SNO.</t>
  </si>
  <si>
    <t>SAMPLE</t>
  </si>
  <si>
    <t>D2</t>
  </si>
  <si>
    <t>A2</t>
  </si>
  <si>
    <t>D4</t>
  </si>
  <si>
    <t>1</t>
  </si>
  <si>
    <t>2.560</t>
  </si>
  <si>
    <t>3.270</t>
  </si>
  <si>
    <t>2</t>
  </si>
  <si>
    <t>1.880</t>
  </si>
  <si>
    <t>3</t>
  </si>
  <si>
    <t>1.020</t>
  </si>
  <si>
    <t>2.570</t>
  </si>
  <si>
    <t xml:space="preserve"> </t>
  </si>
  <si>
    <t>4</t>
  </si>
  <si>
    <t>0.730</t>
  </si>
  <si>
    <t>2.230</t>
  </si>
  <si>
    <t>5</t>
  </si>
  <si>
    <t>0.590</t>
  </si>
  <si>
    <t>2.110</t>
  </si>
  <si>
    <t>FOR HISTOGRAM</t>
  </si>
  <si>
    <r>
      <t>X</t>
    </r>
    <r>
      <rPr>
        <sz val="6"/>
        <rFont val="Arial"/>
        <family val="2"/>
      </rPr>
      <t>LARGE</t>
    </r>
  </si>
  <si>
    <t>Xmax.=</t>
  </si>
  <si>
    <t>NO.OF NON CONFORMING PART =</t>
  </si>
  <si>
    <t>NOS.</t>
  </si>
  <si>
    <r>
      <t>X</t>
    </r>
    <r>
      <rPr>
        <sz val="6"/>
        <rFont val="Arial"/>
        <family val="2"/>
      </rPr>
      <t>SMALL</t>
    </r>
  </si>
  <si>
    <t>Xmin.=</t>
  </si>
  <si>
    <t>RANGE</t>
  </si>
  <si>
    <r>
      <t xml:space="preserve">2 </t>
    </r>
    <r>
      <rPr>
        <b/>
        <sz val="10"/>
        <color indexed="10"/>
        <rFont val="Arial"/>
        <family val="2"/>
      </rPr>
      <t>=</t>
    </r>
  </si>
  <si>
    <t xml:space="preserve">NO. OF PARTS ABOVE U.T.L. = </t>
  </si>
  <si>
    <t>AVG.</t>
  </si>
  <si>
    <r>
      <t xml:space="preserve">8 </t>
    </r>
    <r>
      <rPr>
        <b/>
        <sz val="10"/>
        <color indexed="10"/>
        <rFont val="Arial"/>
        <family val="2"/>
      </rPr>
      <t>=</t>
    </r>
  </si>
  <si>
    <t xml:space="preserve">NO. OF PARTS BELOW L.T.L. = </t>
  </si>
  <si>
    <t>Process Width ( P ) =</t>
  </si>
  <si>
    <t>Specification Width(S) =</t>
  </si>
  <si>
    <r>
      <t>Index (K)={2 x (D-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) / S}=</t>
    </r>
  </si>
  <si>
    <t>INTERVAL</t>
  </si>
  <si>
    <t>FREQ.</t>
  </si>
  <si>
    <t>CU. FREQ.</t>
  </si>
  <si>
    <t>Design Centre ( D ) =</t>
  </si>
  <si>
    <t>Interval =</t>
  </si>
  <si>
    <t>Selecting no. of classes =</t>
  </si>
  <si>
    <t>Starting Point =</t>
  </si>
  <si>
    <t>No. of readings=</t>
  </si>
  <si>
    <r>
      <t>Shift Of '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' from 'D' =</t>
    </r>
  </si>
  <si>
    <r>
      <t>U.C.L.</t>
    </r>
    <r>
      <rPr>
        <b/>
        <sz val="10"/>
        <color indexed="10"/>
        <rFont val="Arial"/>
        <family val="2"/>
      </rPr>
      <t xml:space="preserve"> </t>
    </r>
  </si>
  <si>
    <t>L.C.L.</t>
  </si>
  <si>
    <t>U.C.L.</t>
  </si>
  <si>
    <r>
      <t>X-BAR</t>
    </r>
    <r>
      <rPr>
        <b/>
        <sz val="10"/>
        <color indexed="10"/>
        <rFont val="Arial"/>
        <family val="2"/>
      </rPr>
      <t xml:space="preserve"> </t>
    </r>
  </si>
  <si>
    <t>R-BAR</t>
  </si>
  <si>
    <t>MINIMUM DECIMAL VALUE</t>
  </si>
  <si>
    <t>M4 VALUE</t>
  </si>
  <si>
    <r>
      <t>U.C.L.</t>
    </r>
    <r>
      <rPr>
        <sz val="6"/>
        <rFont val="Bookshelf Symbol 5"/>
        <charset val="2"/>
      </rPr>
      <t xml:space="preserve">8 </t>
    </r>
    <r>
      <rPr>
        <sz val="10"/>
        <rFont val="Arial"/>
        <family val="2"/>
      </rPr>
      <t>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+A2x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</si>
  <si>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L.C.L.</t>
    </r>
    <r>
      <rPr>
        <sz val="6"/>
        <rFont val="Bookshelf Symbol 5"/>
        <charset val="2"/>
      </rPr>
      <t>8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-A2x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</si>
  <si>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U.C.L.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D4}</t>
    </r>
  </si>
  <si>
    <r>
      <t>L.C.L.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D3}</t>
    </r>
  </si>
  <si>
    <r>
      <t>Std.Dev."σ"=</t>
    </r>
    <r>
      <rPr>
        <b/>
        <sz val="10"/>
        <color indexed="10"/>
        <rFont val="Bookshelf Symbol 5"/>
        <charset val="2"/>
      </rPr>
      <t/>
    </r>
  </si>
  <si>
    <t>REMARKS: -</t>
  </si>
  <si>
    <t>PREPARED BY</t>
  </si>
  <si>
    <t>U.S.L.</t>
  </si>
  <si>
    <t>L.S.L</t>
  </si>
  <si>
    <t>Element</t>
  </si>
  <si>
    <t>Resistance</t>
  </si>
  <si>
    <t>0.1 mΩ</t>
  </si>
  <si>
    <r>
      <t>25.2~29.4 m</t>
    </r>
    <r>
      <rPr>
        <sz val="10"/>
        <rFont val="Calibri"/>
        <family val="2"/>
      </rPr>
      <t>Ω</t>
    </r>
  </si>
  <si>
    <t>DFT Meter</t>
  </si>
  <si>
    <t>APPROVED BY</t>
  </si>
  <si>
    <t>Cpk={1-K}xCp)=</t>
  </si>
  <si>
    <r>
      <t>Cp=(S/6</t>
    </r>
    <r>
      <rPr>
        <b/>
        <sz val="10"/>
        <color indexed="10"/>
        <rFont val="Bookman Old Style"/>
        <family val="1"/>
      </rPr>
      <t>σ</t>
    </r>
    <r>
      <rPr>
        <b/>
        <sz val="10"/>
        <color indexed="10"/>
        <rFont val="Arial"/>
        <family val="2"/>
      </rPr>
      <t>)=</t>
    </r>
  </si>
  <si>
    <t>1µ</t>
  </si>
  <si>
    <t>Micro Precession Pvt. Ltd.</t>
  </si>
  <si>
    <t>06.09.2022</t>
  </si>
  <si>
    <t>ALL WATTAGE IN WATTS</t>
  </si>
  <si>
    <t>WATTS</t>
  </si>
  <si>
    <t>Resistance meter</t>
  </si>
  <si>
    <t>ROUND /SQUARE</t>
  </si>
  <si>
    <t>ROUND</t>
  </si>
  <si>
    <t>SQUARE</t>
  </si>
  <si>
    <t>150~600 µ</t>
  </si>
  <si>
    <t>1 w</t>
  </si>
  <si>
    <t>00</t>
  </si>
  <si>
    <t>16.08.2021</t>
  </si>
  <si>
    <t>Formate No.</t>
  </si>
  <si>
    <t>Rev. No</t>
  </si>
  <si>
    <t>Issue Date</t>
  </si>
  <si>
    <t>MPPL/F/QA/24</t>
  </si>
  <si>
    <t>VIJAY KUSHWAHA</t>
  </si>
  <si>
    <t>S.K MOHARANA</t>
  </si>
  <si>
    <t>13.09.2022</t>
  </si>
  <si>
    <t>19.09.2022</t>
  </si>
  <si>
    <t>23.09.2022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</si>
</sst>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00"/>
    <numFmt numFmtId="171" formatCode="0.00000"/>
    <numFmt numFmtId="172" formatCode="0.000000"/>
    <numFmt numFmtId="173" formatCode="&quot;$&quot;#,##0.0000"/>
    <numFmt numFmtId="174" formatCode="\$#,##0.00;[Red]\-\$#,##0.00"/>
    <numFmt numFmtId="175" formatCode="0.00_)"/>
    <numFmt numFmtId="176" formatCode="0.0"/>
  </numFmts>
  <fonts count="28">
    <font>
      <sz val="11"/>
      <color theme="1"/>
      <name val="Calibri"/>
      <family val="2"/>
      <scheme val="minor"/>
    </font>
    <font>
      <sz val="10"/>
      <name val="Arial"/>
    </font>
    <font>
      <sz val="6"/>
      <name val="Arial"/>
      <family val="2"/>
    </font>
    <font>
      <sz val="18"/>
      <name val="Arial Black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Bookshelf Symbol 5"/>
      <charset val="2"/>
    </font>
    <font>
      <sz val="10"/>
      <name val="Bookshelf Symbol 5"/>
      <charset val="2"/>
    </font>
    <font>
      <b/>
      <sz val="8"/>
      <name val="Arial"/>
      <family val="2"/>
    </font>
    <font>
      <sz val="6"/>
      <name val="Bookshelf Symbol 5"/>
      <charset val="2"/>
    </font>
    <font>
      <b/>
      <i/>
      <sz val="6"/>
      <name val="Arial"/>
      <family val="2"/>
    </font>
    <font>
      <b/>
      <sz val="10"/>
      <color indexed="10"/>
      <name val="Bookman Old Style"/>
      <family val="1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sz val="10"/>
      <name val="Calibri"/>
      <family val="2"/>
    </font>
    <font>
      <b/>
      <sz val="36"/>
      <name val="Bookman Old Style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7" fillId="0" borderId="0"/>
    <xf numFmtId="174" fontId="18" fillId="0" borderId="0">
      <alignment horizontal="center"/>
    </xf>
    <xf numFmtId="38" fontId="4" fillId="2" borderId="0" applyNumberFormat="0" applyBorder="0" applyAlignment="0" applyProtection="0"/>
    <xf numFmtId="0" fontId="19" fillId="0" borderId="0">
      <alignment horizontal="left"/>
    </xf>
    <xf numFmtId="10" fontId="4" fillId="2" borderId="4" applyNumberFormat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20" fillId="0" borderId="16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5" fontId="21" fillId="0" borderId="0"/>
    <xf numFmtId="10" fontId="5" fillId="0" borderId="0" applyFont="0" applyFill="0" applyBorder="0" applyAlignment="0" applyProtection="0"/>
    <xf numFmtId="0" fontId="20" fillId="0" borderId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279">
    <xf numFmtId="0" fontId="0" fillId="0" borderId="0" xfId="0"/>
    <xf numFmtId="0" fontId="2" fillId="2" borderId="0" xfId="1" applyFont="1" applyFill="1" applyAlignment="1" applyProtection="1">
      <alignment horizontal="center" vertical="center"/>
      <protection hidden="1"/>
    </xf>
    <xf numFmtId="0" fontId="4" fillId="2" borderId="0" xfId="1" applyFont="1" applyFill="1" applyAlignment="1" applyProtection="1">
      <alignment horizontal="center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hidden="1"/>
    </xf>
    <xf numFmtId="170" fontId="5" fillId="3" borderId="4" xfId="1" applyNumberFormat="1" applyFont="1" applyFill="1" applyBorder="1" applyAlignment="1" applyProtection="1">
      <alignment horizontal="left" vertical="center"/>
      <protection locked="0" hidden="1"/>
    </xf>
    <xf numFmtId="0" fontId="1" fillId="3" borderId="4" xfId="1" applyFill="1" applyBorder="1" applyAlignment="1" applyProtection="1">
      <alignment vertical="center"/>
      <protection locked="0"/>
    </xf>
    <xf numFmtId="0" fontId="5" fillId="2" borderId="4" xfId="1" applyFont="1" applyFill="1" applyBorder="1" applyAlignment="1" applyProtection="1">
      <alignment horizontal="center" vertical="center" shrinkToFit="1"/>
      <protection hidden="1"/>
    </xf>
    <xf numFmtId="0" fontId="6" fillId="2" borderId="4" xfId="1" applyFont="1" applyFill="1" applyBorder="1" applyAlignment="1" applyProtection="1">
      <alignment horizontal="center" vertical="center" shrinkToFit="1"/>
      <protection hidden="1"/>
    </xf>
    <xf numFmtId="0" fontId="6" fillId="2" borderId="4" xfId="1" applyFont="1" applyFill="1" applyBorder="1" applyAlignment="1" applyProtection="1">
      <alignment horizontal="center" vertical="center"/>
      <protection hidden="1"/>
    </xf>
    <xf numFmtId="1" fontId="5" fillId="3" borderId="4" xfId="1" applyNumberFormat="1" applyFont="1" applyFill="1" applyBorder="1" applyAlignment="1" applyProtection="1">
      <alignment horizontal="center" vertical="center"/>
      <protection locked="0"/>
    </xf>
    <xf numFmtId="49" fontId="5" fillId="2" borderId="4" xfId="1" applyNumberFormat="1" applyFont="1" applyFill="1" applyBorder="1" applyAlignment="1" applyProtection="1">
      <alignment horizontal="center" vertical="center"/>
      <protection hidden="1"/>
    </xf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0" fontId="5" fillId="2" borderId="0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 shrinkToFit="1"/>
      <protection hidden="1"/>
    </xf>
    <xf numFmtId="49" fontId="5" fillId="2" borderId="12" xfId="1" applyNumberFormat="1" applyFont="1" applyFill="1" applyBorder="1" applyAlignment="1" applyProtection="1">
      <alignment horizontal="center" vertical="center"/>
      <protection hidden="1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 shrinkToFit="1"/>
      <protection hidden="1"/>
    </xf>
    <xf numFmtId="170" fontId="5" fillId="2" borderId="0" xfId="1" applyNumberFormat="1" applyFont="1" applyFill="1" applyBorder="1" applyAlignment="1" applyProtection="1">
      <alignment horizontal="center" vertical="center"/>
      <protection hidden="1"/>
    </xf>
    <xf numFmtId="0" fontId="5" fillId="2" borderId="9" xfId="1" applyFont="1" applyFill="1" applyBorder="1" applyAlignment="1" applyProtection="1">
      <alignment horizontal="center" vertical="center" shrinkToFit="1"/>
      <protection hidden="1"/>
    </xf>
    <xf numFmtId="49" fontId="5" fillId="2" borderId="13" xfId="1" applyNumberFormat="1" applyFont="1" applyFill="1" applyBorder="1" applyAlignment="1" applyProtection="1">
      <alignment horizontal="center" vertical="center"/>
      <protection hidden="1"/>
    </xf>
    <xf numFmtId="0" fontId="5" fillId="2" borderId="13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5" xfId="1" applyNumberFormat="1" applyFont="1" applyFill="1" applyBorder="1" applyAlignment="1" applyProtection="1">
      <alignment horizontal="center" vertical="center"/>
      <protection hidden="1"/>
    </xf>
    <xf numFmtId="0" fontId="5" fillId="2" borderId="4" xfId="1" applyNumberFormat="1" applyFont="1" applyFill="1" applyBorder="1" applyAlignment="1" applyProtection="1">
      <alignment horizontal="center" vertical="center"/>
      <protection hidden="1"/>
    </xf>
    <xf numFmtId="170" fontId="5" fillId="2" borderId="4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9" xfId="1" applyFont="1" applyFill="1" applyBorder="1" applyAlignment="1" applyProtection="1">
      <alignment horizontal="center" vertical="center"/>
      <protection hidden="1"/>
    </xf>
    <xf numFmtId="0" fontId="5" fillId="2" borderId="13" xfId="1" applyNumberFormat="1" applyFont="1" applyFill="1" applyBorder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/>
      <protection hidden="1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7" fillId="0" borderId="11" xfId="1" applyFont="1" applyBorder="1" applyAlignment="1" applyProtection="1">
      <alignment horizontal="left" vertical="center"/>
      <protection hidden="1"/>
    </xf>
    <xf numFmtId="20" fontId="5" fillId="2" borderId="0" xfId="1" applyNumberFormat="1" applyFont="1" applyFill="1" applyAlignment="1" applyProtection="1">
      <alignment horizontal="center" vertical="center"/>
      <protection hidden="1"/>
    </xf>
    <xf numFmtId="170" fontId="7" fillId="2" borderId="4" xfId="1" applyNumberFormat="1" applyFont="1" applyFill="1" applyBorder="1" applyAlignment="1" applyProtection="1">
      <alignment horizontal="center" vertical="center"/>
      <protection hidden="1"/>
    </xf>
    <xf numFmtId="0" fontId="7" fillId="0" borderId="1" xfId="1" applyFont="1" applyBorder="1" applyAlignment="1" applyProtection="1">
      <alignment horizontal="right" vertical="center"/>
      <protection hidden="1"/>
    </xf>
    <xf numFmtId="0" fontId="7" fillId="0" borderId="3" xfId="1" applyFont="1" applyBorder="1" applyAlignment="1" applyProtection="1">
      <alignment horizontal="left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170" fontId="10" fillId="2" borderId="12" xfId="1" applyNumberFormat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2" fontId="5" fillId="2" borderId="4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6" fillId="2" borderId="0" xfId="1" applyFont="1" applyFill="1" applyBorder="1" applyAlignment="1" applyProtection="1">
      <alignment horizontal="left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0" fontId="5" fillId="0" borderId="4" xfId="1" applyFont="1" applyBorder="1" applyAlignment="1" applyProtection="1">
      <alignment horizontal="center" vertical="center"/>
      <protection hidden="1"/>
    </xf>
    <xf numFmtId="0" fontId="10" fillId="2" borderId="0" xfId="1" applyFont="1" applyFill="1" applyBorder="1" applyAlignment="1" applyProtection="1">
      <alignment horizontal="center" vertical="center"/>
      <protection hidden="1"/>
    </xf>
    <xf numFmtId="0" fontId="7" fillId="0" borderId="4" xfId="1" applyFont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170" fontId="5" fillId="0" borderId="4" xfId="1" applyNumberFormat="1" applyFont="1" applyBorder="1" applyAlignment="1" applyProtection="1">
      <alignment horizontal="center" vertical="center"/>
      <protection hidden="1"/>
    </xf>
    <xf numFmtId="49" fontId="4" fillId="2" borderId="0" xfId="1" applyNumberFormat="1" applyFont="1" applyFill="1" applyAlignment="1" applyProtection="1">
      <alignment horizontal="center" vertical="center"/>
      <protection hidden="1"/>
    </xf>
    <xf numFmtId="0" fontId="5" fillId="0" borderId="0" xfId="1" applyFont="1" applyBorder="1" applyAlignment="1" applyProtection="1">
      <alignment horizontal="center" vertical="center"/>
      <protection hidden="1"/>
    </xf>
    <xf numFmtId="0" fontId="4" fillId="2" borderId="4" xfId="1" applyFont="1" applyFill="1" applyBorder="1" applyAlignment="1" applyProtection="1">
      <alignment horizontal="center" vertical="center"/>
      <protection hidden="1"/>
    </xf>
    <xf numFmtId="0" fontId="5" fillId="2" borderId="0" xfId="1" applyNumberFormat="1" applyFont="1" applyFill="1" applyBorder="1" applyAlignment="1" applyProtection="1">
      <alignment horizontal="center" vertical="center"/>
      <protection hidden="1"/>
    </xf>
    <xf numFmtId="49" fontId="2" fillId="2" borderId="0" xfId="1" applyNumberFormat="1" applyFont="1" applyFill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12" fillId="2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horizontal="center" vertical="center"/>
      <protection hidden="1"/>
    </xf>
    <xf numFmtId="170" fontId="1" fillId="0" borderId="0" xfId="1" applyNumberFormat="1" applyFont="1" applyBorder="1" applyAlignment="1" applyProtection="1">
      <alignment horizontal="center" vertical="center"/>
      <protection hidden="1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left" vertical="center"/>
      <protection hidden="1"/>
    </xf>
    <xf numFmtId="170" fontId="2" fillId="2" borderId="0" xfId="1" applyNumberFormat="1" applyFont="1" applyFill="1" applyAlignment="1" applyProtection="1">
      <alignment horizontal="center" vertical="center"/>
      <protection hidden="1"/>
    </xf>
    <xf numFmtId="176" fontId="5" fillId="3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3" xfId="1" applyNumberFormat="1" applyFont="1" applyFill="1" applyBorder="1" applyAlignment="1" applyProtection="1">
      <alignment horizontal="center" vertical="center"/>
      <protection hidden="1"/>
    </xf>
    <xf numFmtId="1" fontId="5" fillId="2" borderId="5" xfId="1" applyNumberFormat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3" borderId="5" xfId="1" applyFont="1" applyFill="1" applyBorder="1" applyAlignment="1" applyProtection="1">
      <alignment horizontal="center" vertical="center"/>
      <protection locked="0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wrapText="1"/>
    </xf>
    <xf numFmtId="0" fontId="26" fillId="0" borderId="21" xfId="0" quotePrefix="1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70" fontId="5" fillId="3" borderId="21" xfId="1" applyNumberFormat="1" applyFont="1" applyFill="1" applyBorder="1" applyAlignment="1" applyProtection="1">
      <alignment horizontal="left" vertical="center"/>
      <protection locked="0" hidden="1"/>
    </xf>
    <xf numFmtId="0" fontId="1" fillId="3" borderId="21" xfId="1" applyFill="1" applyBorder="1" applyAlignment="1" applyProtection="1">
      <alignment vertical="center"/>
      <protection locked="0"/>
    </xf>
    <xf numFmtId="0" fontId="5" fillId="2" borderId="20" xfId="1" applyFont="1" applyFill="1" applyBorder="1" applyAlignment="1" applyProtection="1">
      <alignment horizontal="center" vertical="center" shrinkToFit="1"/>
      <protection hidden="1"/>
    </xf>
    <xf numFmtId="0" fontId="6" fillId="2" borderId="21" xfId="1" applyFont="1" applyFill="1" applyBorder="1" applyAlignment="1" applyProtection="1">
      <alignment horizontal="center" vertical="center"/>
      <protection hidden="1"/>
    </xf>
    <xf numFmtId="49" fontId="5" fillId="2" borderId="21" xfId="1" applyNumberFormat="1" applyFont="1" applyFill="1" applyBorder="1" applyAlignment="1" applyProtection="1">
      <alignment horizontal="center" vertical="center"/>
      <protection hidden="1"/>
    </xf>
    <xf numFmtId="0" fontId="5" fillId="2" borderId="32" xfId="1" applyFont="1" applyFill="1" applyBorder="1" applyAlignment="1" applyProtection="1">
      <alignment horizontal="center" vertical="center" shrinkToFit="1"/>
      <protection hidden="1"/>
    </xf>
    <xf numFmtId="0" fontId="5" fillId="2" borderId="33" xfId="1" applyFont="1" applyFill="1" applyBorder="1" applyAlignment="1" applyProtection="1">
      <alignment horizontal="center" vertical="center" shrinkToFit="1"/>
      <protection hidden="1"/>
    </xf>
    <xf numFmtId="0" fontId="5" fillId="2" borderId="35" xfId="1" applyFont="1" applyFill="1" applyBorder="1" applyAlignment="1" applyProtection="1">
      <alignment horizontal="center" vertical="center" shrinkToFit="1"/>
      <protection hidden="1"/>
    </xf>
    <xf numFmtId="0" fontId="5" fillId="2" borderId="32" xfId="1" applyFont="1" applyFill="1" applyBorder="1" applyAlignment="1" applyProtection="1">
      <alignment horizontal="center" vertical="center"/>
      <protection hidden="1"/>
    </xf>
    <xf numFmtId="0" fontId="5" fillId="2" borderId="33" xfId="1" applyFont="1" applyFill="1" applyBorder="1" applyAlignment="1" applyProtection="1">
      <alignment horizontal="center" vertical="center"/>
      <protection hidden="1"/>
    </xf>
    <xf numFmtId="0" fontId="5" fillId="2" borderId="35" xfId="1" applyFont="1" applyFill="1" applyBorder="1" applyAlignment="1" applyProtection="1">
      <alignment horizontal="center" vertical="center"/>
      <protection hidden="1"/>
    </xf>
    <xf numFmtId="0" fontId="7" fillId="0" borderId="36" xfId="1" applyFont="1" applyBorder="1" applyAlignment="1" applyProtection="1">
      <alignment horizontal="left" vertical="center"/>
      <protection hidden="1"/>
    </xf>
    <xf numFmtId="0" fontId="5" fillId="2" borderId="20" xfId="1" applyFont="1" applyFill="1" applyBorder="1" applyAlignment="1" applyProtection="1">
      <alignment horizontal="center" vertical="center"/>
      <protection hidden="1"/>
    </xf>
    <xf numFmtId="0" fontId="7" fillId="0" borderId="17" xfId="1" applyFont="1" applyBorder="1" applyAlignment="1" applyProtection="1">
      <alignment horizontal="left" vertical="center"/>
      <protection hidden="1"/>
    </xf>
    <xf numFmtId="170" fontId="10" fillId="2" borderId="37" xfId="1" applyNumberFormat="1" applyFont="1" applyFill="1" applyBorder="1" applyAlignment="1" applyProtection="1">
      <alignment horizontal="center" vertical="center"/>
      <protection hidden="1"/>
    </xf>
    <xf numFmtId="0" fontId="5" fillId="2" borderId="21" xfId="1" applyNumberFormat="1" applyFont="1" applyFill="1" applyBorder="1" applyAlignment="1" applyProtection="1">
      <alignment horizontal="center" vertical="center"/>
      <protection hidden="1"/>
    </xf>
    <xf numFmtId="0" fontId="6" fillId="2" borderId="28" xfId="1" applyFont="1" applyFill="1" applyBorder="1" applyAlignment="1" applyProtection="1">
      <alignment horizontal="left" vertical="center"/>
      <protection hidden="1"/>
    </xf>
    <xf numFmtId="0" fontId="7" fillId="2" borderId="20" xfId="1" applyFont="1" applyFill="1" applyBorder="1" applyAlignment="1" applyProtection="1">
      <alignment horizontal="center" vertical="center"/>
      <protection hidden="1"/>
    </xf>
    <xf numFmtId="0" fontId="7" fillId="0" borderId="20" xfId="1" applyFont="1" applyBorder="1" applyAlignment="1" applyProtection="1">
      <alignment horizontal="center" vertical="center"/>
      <protection hidden="1"/>
    </xf>
    <xf numFmtId="0" fontId="2" fillId="2" borderId="0" xfId="1" applyFont="1" applyFill="1" applyBorder="1" applyAlignment="1" applyProtection="1">
      <alignment horizontal="center" vertical="center"/>
      <protection hidden="1"/>
    </xf>
    <xf numFmtId="0" fontId="5" fillId="2" borderId="28" xfId="1" applyFont="1" applyFill="1" applyBorder="1" applyAlignment="1" applyProtection="1">
      <alignment horizontal="center" vertical="center"/>
      <protection hidden="1"/>
    </xf>
    <xf numFmtId="0" fontId="12" fillId="2" borderId="28" xfId="1" applyFont="1" applyFill="1" applyBorder="1" applyAlignment="1" applyProtection="1">
      <alignment horizontal="center" vertical="center"/>
      <protection hidden="1"/>
    </xf>
    <xf numFmtId="0" fontId="1" fillId="0" borderId="28" xfId="1" applyFont="1" applyBorder="1" applyAlignment="1" applyProtection="1">
      <alignment vertical="center"/>
      <protection hidden="1"/>
    </xf>
    <xf numFmtId="170" fontId="5" fillId="3" borderId="21" xfId="1" applyNumberFormat="1" applyFont="1" applyFill="1" applyBorder="1" applyAlignment="1" applyProtection="1">
      <alignment horizontal="center" vertical="center"/>
      <protection locked="0" hidden="1"/>
    </xf>
    <xf numFmtId="0" fontId="5" fillId="2" borderId="8" xfId="1" applyFont="1" applyFill="1" applyBorder="1" applyAlignment="1" applyProtection="1">
      <alignment horizontal="center" vertical="center"/>
      <protection hidden="1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6" fillId="2" borderId="14" xfId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6" fillId="2" borderId="29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 applyProtection="1">
      <alignment horizontal="center" vertical="center" wrapText="1"/>
      <protection locked="0"/>
    </xf>
    <xf numFmtId="0" fontId="6" fillId="2" borderId="34" xfId="1" applyFont="1" applyFill="1" applyBorder="1" applyAlignment="1" applyProtection="1">
      <alignment horizontal="center" vertical="center" wrapText="1"/>
      <protection locked="0"/>
    </xf>
    <xf numFmtId="0" fontId="5" fillId="2" borderId="33" xfId="1" applyFont="1" applyFill="1" applyBorder="1" applyAlignment="1" applyProtection="1">
      <alignment horizontal="left" vertical="center"/>
      <protection hidden="1"/>
    </xf>
    <xf numFmtId="0" fontId="5" fillId="0" borderId="3" xfId="1" applyFont="1" applyBorder="1" applyAlignment="1" applyProtection="1">
      <alignment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hidden="1"/>
    </xf>
    <xf numFmtId="0" fontId="5" fillId="0" borderId="2" xfId="0" applyFont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5" fillId="2" borderId="32" xfId="1" applyFont="1" applyFill="1" applyBorder="1" applyAlignment="1" applyProtection="1">
      <alignment horizontal="left" vertical="center"/>
      <protection hidden="1"/>
    </xf>
    <xf numFmtId="0" fontId="5" fillId="0" borderId="6" xfId="1" applyFont="1" applyBorder="1" applyAlignment="1" applyProtection="1">
      <alignment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hidden="1"/>
    </xf>
    <xf numFmtId="0" fontId="5" fillId="0" borderId="7" xfId="0" applyFont="1" applyBorder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alignment vertical="center"/>
      <protection hidden="1"/>
    </xf>
    <xf numFmtId="0" fontId="5" fillId="2" borderId="1" xfId="1" applyFont="1" applyFill="1" applyBorder="1" applyAlignment="1" applyProtection="1">
      <alignment horizontal="left" vertical="center"/>
      <protection hidden="1"/>
    </xf>
    <xf numFmtId="0" fontId="5" fillId="2" borderId="2" xfId="1" applyFont="1" applyFill="1" applyBorder="1" applyAlignment="1" applyProtection="1">
      <alignment horizontal="left" vertical="center"/>
      <protection hidden="1"/>
    </xf>
    <xf numFmtId="170" fontId="10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7" fillId="0" borderId="2" xfId="1" applyFont="1" applyBorder="1" applyAlignment="1" applyProtection="1">
      <alignment horizontal="center" vertical="center" shrinkToFit="1"/>
      <protection hidden="1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left" vertical="center"/>
      <protection hidden="1"/>
    </xf>
    <xf numFmtId="0" fontId="6" fillId="2" borderId="2" xfId="1" applyFont="1" applyFill="1" applyBorder="1" applyAlignment="1" applyProtection="1">
      <alignment horizontal="left" vertical="center"/>
      <protection hidden="1"/>
    </xf>
    <xf numFmtId="0" fontId="6" fillId="2" borderId="3" xfId="1" applyFont="1" applyFill="1" applyBorder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horizontal="center" vertical="center"/>
      <protection hidden="1"/>
    </xf>
    <xf numFmtId="0" fontId="5" fillId="0" borderId="3" xfId="1" applyFont="1" applyBorder="1" applyAlignment="1" applyProtection="1">
      <alignment horizontal="center" vertical="center"/>
      <protection hidden="1"/>
    </xf>
    <xf numFmtId="0" fontId="7" fillId="2" borderId="13" xfId="1" applyFont="1" applyFill="1" applyBorder="1" applyAlignment="1" applyProtection="1">
      <alignment horizontal="center" vertical="center"/>
      <protection hidden="1"/>
    </xf>
    <xf numFmtId="0" fontId="1" fillId="0" borderId="8" xfId="1" applyBorder="1" applyProtection="1">
      <protection hidden="1"/>
    </xf>
    <xf numFmtId="0" fontId="1" fillId="0" borderId="12" xfId="1" applyBorder="1" applyProtection="1">
      <protection hidden="1"/>
    </xf>
    <xf numFmtId="2" fontId="7" fillId="3" borderId="9" xfId="1" applyNumberFormat="1" applyFont="1" applyFill="1" applyBorder="1" applyAlignment="1" applyProtection="1">
      <alignment horizontal="center" vertical="center"/>
      <protection locked="0"/>
    </xf>
    <xf numFmtId="2" fontId="7" fillId="3" borderId="11" xfId="1" applyNumberFormat="1" applyFont="1" applyFill="1" applyBorder="1" applyAlignment="1" applyProtection="1">
      <alignment horizontal="center" vertical="center"/>
      <protection locked="0"/>
    </xf>
    <xf numFmtId="2" fontId="7" fillId="3" borderId="14" xfId="1" applyNumberFormat="1" applyFont="1" applyFill="1" applyBorder="1" applyAlignment="1" applyProtection="1">
      <alignment horizontal="center" vertical="center"/>
      <protection locked="0"/>
    </xf>
    <xf numFmtId="2" fontId="7" fillId="3" borderId="15" xfId="1" applyNumberFormat="1" applyFont="1" applyFill="1" applyBorder="1" applyAlignment="1" applyProtection="1">
      <alignment horizontal="center" vertical="center"/>
      <protection locked="0"/>
    </xf>
    <xf numFmtId="2" fontId="7" fillId="3" borderId="5" xfId="1" applyNumberFormat="1" applyFont="1" applyFill="1" applyBorder="1" applyAlignment="1" applyProtection="1">
      <alignment horizontal="center" vertical="center"/>
      <protection locked="0"/>
    </xf>
    <xf numFmtId="2" fontId="7" fillId="3" borderId="6" xfId="1" applyNumberFormat="1" applyFont="1" applyFill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hidden="1"/>
    </xf>
    <xf numFmtId="0" fontId="1" fillId="0" borderId="12" xfId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horizontal="left" vertical="center"/>
      <protection hidden="1"/>
    </xf>
    <xf numFmtId="0" fontId="1" fillId="0" borderId="17" xfId="1" applyBorder="1" applyAlignment="1" applyProtection="1">
      <alignment horizontal="left" vertical="center"/>
      <protection hidden="1"/>
    </xf>
    <xf numFmtId="0" fontId="6" fillId="2" borderId="20" xfId="1" applyFont="1" applyFill="1" applyBorder="1" applyAlignment="1" applyProtection="1">
      <alignment horizontal="left" vertical="center"/>
      <protection hidden="1"/>
    </xf>
    <xf numFmtId="0" fontId="5" fillId="0" borderId="4" xfId="1" applyFont="1" applyBorder="1" applyAlignment="1" applyProtection="1">
      <alignment vertical="center"/>
      <protection hidden="1"/>
    </xf>
    <xf numFmtId="0" fontId="1" fillId="0" borderId="21" xfId="1" applyBorder="1" applyAlignment="1" applyProtection="1">
      <alignment vertical="center"/>
      <protection hidden="1"/>
    </xf>
    <xf numFmtId="0" fontId="7" fillId="0" borderId="9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11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7" fillId="0" borderId="14" xfId="1" applyFont="1" applyBorder="1" applyAlignment="1" applyProtection="1">
      <alignment horizontal="right" vertical="center"/>
      <protection hidden="1"/>
    </xf>
    <xf numFmtId="0" fontId="7" fillId="0" borderId="36" xfId="1" applyFont="1" applyBorder="1" applyAlignment="1" applyProtection="1">
      <alignment horizontal="left" vertical="center"/>
      <protection hidden="1"/>
    </xf>
    <xf numFmtId="0" fontId="7" fillId="0" borderId="29" xfId="1" applyFont="1" applyBorder="1" applyAlignment="1" applyProtection="1">
      <alignment horizontal="left" vertical="center"/>
      <protection hidden="1"/>
    </xf>
    <xf numFmtId="0" fontId="5" fillId="2" borderId="1" xfId="1" applyNumberFormat="1" applyFont="1" applyFill="1" applyBorder="1" applyAlignment="1" applyProtection="1">
      <alignment horizontal="center" vertical="center"/>
      <protection hidden="1"/>
    </xf>
    <xf numFmtId="0" fontId="1" fillId="0" borderId="17" xfId="1" applyFont="1" applyBorder="1" applyAlignment="1" applyProtection="1">
      <alignment horizontal="center" vertical="center"/>
      <protection hidden="1"/>
    </xf>
    <xf numFmtId="170" fontId="5" fillId="2" borderId="1" xfId="1" applyNumberFormat="1" applyFont="1" applyFill="1" applyBorder="1" applyAlignment="1" applyProtection="1">
      <alignment horizontal="center" vertical="center"/>
      <protection hidden="1"/>
    </xf>
    <xf numFmtId="170" fontId="5" fillId="2" borderId="2" xfId="1" applyNumberFormat="1" applyFont="1" applyFill="1" applyBorder="1" applyAlignment="1" applyProtection="1">
      <alignment horizontal="center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0" fontId="5" fillId="0" borderId="1" xfId="1" applyFont="1" applyBorder="1" applyAlignment="1" applyProtection="1">
      <alignment horizontal="left" vertical="center"/>
      <protection hidden="1"/>
    </xf>
    <xf numFmtId="0" fontId="1" fillId="0" borderId="3" xfId="1" applyFont="1" applyBorder="1" applyAlignment="1" applyProtection="1">
      <alignment horizontal="left" vertical="center"/>
      <protection hidden="1"/>
    </xf>
    <xf numFmtId="171" fontId="5" fillId="2" borderId="1" xfId="1" applyNumberFormat="1" applyFont="1" applyFill="1" applyBorder="1" applyAlignment="1" applyProtection="1">
      <alignment horizontal="center" vertical="center"/>
      <protection hidden="1"/>
    </xf>
    <xf numFmtId="172" fontId="5" fillId="2" borderId="2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15" fontId="18" fillId="3" borderId="1" xfId="1" applyNumberFormat="1" applyFont="1" applyFill="1" applyBorder="1" applyAlignment="1" applyProtection="1">
      <alignment horizontal="center" vertical="center"/>
    </xf>
    <xf numFmtId="15" fontId="18" fillId="3" borderId="17" xfId="1" applyNumberFormat="1" applyFont="1" applyFill="1" applyBorder="1" applyAlignment="1" applyProtection="1">
      <alignment horizontal="center" vertical="center"/>
    </xf>
    <xf numFmtId="0" fontId="27" fillId="3" borderId="40" xfId="1" applyFont="1" applyFill="1" applyBorder="1" applyAlignment="1" applyProtection="1">
      <alignment horizontal="left" vertical="center"/>
    </xf>
    <xf numFmtId="0" fontId="27" fillId="3" borderId="41" xfId="1" applyFont="1" applyFill="1" applyBorder="1" applyAlignment="1" applyProtection="1">
      <alignment horizontal="left" vertical="center"/>
    </xf>
    <xf numFmtId="15" fontId="18" fillId="3" borderId="40" xfId="1" applyNumberFormat="1" applyFont="1" applyFill="1" applyBorder="1" applyAlignment="1" applyProtection="1">
      <alignment horizontal="center" vertical="center"/>
    </xf>
    <xf numFmtId="15" fontId="18" fillId="3" borderId="42" xfId="1" applyNumberFormat="1" applyFont="1" applyFill="1" applyBorder="1" applyAlignment="1" applyProtection="1">
      <alignment horizontal="center" vertical="center"/>
    </xf>
    <xf numFmtId="49" fontId="5" fillId="2" borderId="1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hidden="1"/>
    </xf>
    <xf numFmtId="171" fontId="7" fillId="2" borderId="1" xfId="1" applyNumberFormat="1" applyFont="1" applyFill="1" applyBorder="1" applyAlignment="1" applyProtection="1">
      <alignment horizontal="center" vertical="center"/>
      <protection hidden="1"/>
    </xf>
    <xf numFmtId="0" fontId="7" fillId="2" borderId="1" xfId="1" applyFont="1" applyFill="1" applyBorder="1" applyAlignment="1" applyProtection="1">
      <alignment horizontal="center" vertical="center"/>
      <protection hidden="1"/>
    </xf>
    <xf numFmtId="0" fontId="7" fillId="2" borderId="3" xfId="1" applyFont="1" applyFill="1" applyBorder="1" applyAlignment="1" applyProtection="1">
      <alignment horizontal="center" vertical="center"/>
      <protection hidden="1"/>
    </xf>
    <xf numFmtId="0" fontId="24" fillId="4" borderId="18" xfId="1" applyFont="1" applyFill="1" applyBorder="1" applyAlignment="1" applyProtection="1">
      <alignment horizontal="center" vertical="center"/>
      <protection hidden="1"/>
    </xf>
    <xf numFmtId="0" fontId="24" fillId="4" borderId="24" xfId="1" applyFont="1" applyFill="1" applyBorder="1" applyAlignment="1" applyProtection="1">
      <alignment horizontal="center" vertical="center"/>
      <protection hidden="1"/>
    </xf>
    <xf numFmtId="0" fontId="24" fillId="4" borderId="19" xfId="1" applyFont="1" applyFill="1" applyBorder="1" applyAlignment="1" applyProtection="1">
      <alignment horizontal="center" vertical="center"/>
      <protection hidden="1"/>
    </xf>
    <xf numFmtId="0" fontId="24" fillId="4" borderId="20" xfId="1" applyFont="1" applyFill="1" applyBorder="1" applyAlignment="1" applyProtection="1">
      <alignment horizontal="center" vertical="center"/>
      <protection hidden="1"/>
    </xf>
    <xf numFmtId="0" fontId="24" fillId="4" borderId="4" xfId="1" applyFont="1" applyFill="1" applyBorder="1" applyAlignment="1" applyProtection="1">
      <alignment horizontal="center" vertical="center"/>
      <protection hidden="1"/>
    </xf>
    <xf numFmtId="0" fontId="24" fillId="4" borderId="21" xfId="1" applyFont="1" applyFill="1" applyBorder="1" applyAlignment="1" applyProtection="1">
      <alignment horizontal="center" vertical="center"/>
      <protection hidden="1"/>
    </xf>
    <xf numFmtId="0" fontId="3" fillId="0" borderId="22" xfId="1" applyFont="1" applyFill="1" applyBorder="1" applyAlignment="1" applyProtection="1">
      <alignment horizontal="center" vertical="center"/>
      <protection hidden="1"/>
    </xf>
    <xf numFmtId="0" fontId="3" fillId="0" borderId="25" xfId="1" applyFont="1" applyFill="1" applyBorder="1" applyAlignment="1" applyProtection="1">
      <alignment horizontal="center" vertical="center"/>
      <protection hidden="1"/>
    </xf>
    <xf numFmtId="0" fontId="3" fillId="0" borderId="23" xfId="1" applyFont="1" applyFill="1" applyBorder="1" applyAlignment="1" applyProtection="1">
      <alignment horizontal="center" vertical="center"/>
      <protection hidden="1"/>
    </xf>
    <xf numFmtId="0" fontId="2" fillId="0" borderId="26" xfId="1" applyFont="1" applyFill="1" applyBorder="1" applyAlignment="1" applyProtection="1">
      <alignment horizontal="center" vertical="center"/>
      <protection hidden="1"/>
    </xf>
    <xf numFmtId="0" fontId="2" fillId="0" borderId="27" xfId="1" applyFont="1" applyFill="1" applyBorder="1" applyAlignment="1" applyProtection="1">
      <alignment horizontal="center" vertical="center"/>
      <protection hidden="1"/>
    </xf>
    <xf numFmtId="0" fontId="2" fillId="0" borderId="28" xfId="1" applyFont="1" applyFill="1" applyBorder="1" applyAlignment="1" applyProtection="1">
      <alignment horizontal="center" vertical="center"/>
      <protection hidden="1"/>
    </xf>
    <xf numFmtId="0" fontId="2" fillId="0" borderId="29" xfId="1" applyFont="1" applyFill="1" applyBorder="1" applyAlignment="1" applyProtection="1">
      <alignment horizontal="center" vertical="center"/>
      <protection hidden="1"/>
    </xf>
    <xf numFmtId="0" fontId="2" fillId="0" borderId="30" xfId="1" applyFont="1" applyFill="1" applyBorder="1" applyAlignment="1" applyProtection="1">
      <alignment horizontal="center" vertical="center"/>
      <protection hidden="1"/>
    </xf>
    <xf numFmtId="0" fontId="2" fillId="0" borderId="31" xfId="1" applyFont="1" applyFill="1" applyBorder="1" applyAlignment="1" applyProtection="1">
      <alignment horizontal="center" vertical="center"/>
      <protection hidden="1"/>
    </xf>
    <xf numFmtId="0" fontId="14" fillId="2" borderId="20" xfId="1" applyFont="1" applyFill="1" applyBorder="1" applyAlignment="1" applyProtection="1">
      <alignment horizontal="center" vertical="center"/>
      <protection hidden="1"/>
    </xf>
    <xf numFmtId="0" fontId="14" fillId="2" borderId="4" xfId="1" applyFont="1" applyFill="1" applyBorder="1" applyAlignment="1" applyProtection="1">
      <alignment horizontal="center" vertical="center"/>
      <protection hidden="1"/>
    </xf>
    <xf numFmtId="0" fontId="14" fillId="2" borderId="22" xfId="1" applyFont="1" applyFill="1" applyBorder="1" applyAlignment="1" applyProtection="1">
      <alignment horizontal="center" vertical="center"/>
      <protection hidden="1"/>
    </xf>
    <xf numFmtId="0" fontId="14" fillId="2" borderId="25" xfId="1" applyFont="1" applyFill="1" applyBorder="1" applyAlignment="1" applyProtection="1">
      <alignment horizontal="center" vertical="center"/>
      <protection hidden="1"/>
    </xf>
    <xf numFmtId="0" fontId="15" fillId="2" borderId="9" xfId="1" applyFont="1" applyFill="1" applyBorder="1" applyAlignment="1" applyProtection="1">
      <alignment horizontal="center" vertical="center"/>
      <protection hidden="1"/>
    </xf>
    <xf numFmtId="0" fontId="15" fillId="2" borderId="10" xfId="1" applyFont="1" applyFill="1" applyBorder="1" applyAlignment="1" applyProtection="1">
      <alignment horizontal="center" vertical="center"/>
      <protection hidden="1"/>
    </xf>
    <xf numFmtId="0" fontId="15" fillId="2" borderId="11" xfId="1" applyFont="1" applyFill="1" applyBorder="1" applyAlignment="1" applyProtection="1">
      <alignment horizontal="center" vertical="center"/>
      <protection hidden="1"/>
    </xf>
    <xf numFmtId="0" fontId="15" fillId="2" borderId="14" xfId="1" applyFont="1" applyFill="1" applyBorder="1" applyAlignment="1" applyProtection="1">
      <alignment horizontal="center" vertical="center"/>
      <protection hidden="1"/>
    </xf>
    <xf numFmtId="0" fontId="15" fillId="2" borderId="0" xfId="1" applyFont="1" applyFill="1" applyBorder="1" applyAlignment="1" applyProtection="1">
      <alignment horizontal="center" vertical="center"/>
      <protection hidden="1"/>
    </xf>
    <xf numFmtId="0" fontId="15" fillId="2" borderId="15" xfId="1" applyFont="1" applyFill="1" applyBorder="1" applyAlignment="1" applyProtection="1">
      <alignment horizontal="center" vertical="center"/>
      <protection hidden="1"/>
    </xf>
    <xf numFmtId="0" fontId="15" fillId="2" borderId="38" xfId="1" applyFont="1" applyFill="1" applyBorder="1" applyAlignment="1" applyProtection="1">
      <alignment horizontal="center" vertical="center"/>
      <protection hidden="1"/>
    </xf>
    <xf numFmtId="0" fontId="15" fillId="2" borderId="16" xfId="1" applyFont="1" applyFill="1" applyBorder="1" applyAlignment="1" applyProtection="1">
      <alignment horizontal="center" vertical="center"/>
      <protection hidden="1"/>
    </xf>
    <xf numFmtId="0" fontId="15" fillId="2" borderId="39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173" fontId="7" fillId="2" borderId="1" xfId="1" applyNumberFormat="1" applyFont="1" applyFill="1" applyBorder="1" applyAlignment="1" applyProtection="1">
      <alignment horizontal="center" vertical="center"/>
      <protection hidden="1"/>
    </xf>
    <xf numFmtId="173" fontId="7" fillId="2" borderId="3" xfId="1" applyNumberFormat="1" applyFont="1" applyFill="1" applyBorder="1" applyAlignment="1" applyProtection="1">
      <alignment horizontal="center" vertical="center"/>
      <protection hidden="1"/>
    </xf>
    <xf numFmtId="0" fontId="27" fillId="3" borderId="1" xfId="1" applyFont="1" applyFill="1" applyBorder="1" applyAlignment="1" applyProtection="1">
      <alignment horizontal="left" vertical="center"/>
    </xf>
    <xf numFmtId="0" fontId="27" fillId="3" borderId="3" xfId="1" applyFont="1" applyFill="1" applyBorder="1" applyAlignment="1" applyProtection="1">
      <alignment horizontal="left" vertical="center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locked="0"/>
    </xf>
    <xf numFmtId="0" fontId="6" fillId="2" borderId="10" xfId="1" applyFont="1" applyFill="1" applyBorder="1" applyAlignment="1" applyProtection="1">
      <alignment horizontal="center" vertical="center" wrapText="1"/>
      <protection locked="0"/>
    </xf>
    <xf numFmtId="0" fontId="6" fillId="2" borderId="36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vertical="center"/>
      <protection hidden="1"/>
    </xf>
    <xf numFmtId="0" fontId="5" fillId="0" borderId="3" xfId="1" applyFont="1" applyBorder="1" applyAlignment="1" applyProtection="1">
      <alignment horizontal="left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2" borderId="5" xfId="1" applyFont="1" applyFill="1" applyBorder="1" applyAlignment="1" applyProtection="1">
      <alignment horizontal="left" vertical="center"/>
      <protection hidden="1"/>
    </xf>
    <xf numFmtId="0" fontId="5" fillId="0" borderId="7" xfId="1" applyFont="1" applyBorder="1" applyAlignment="1" applyProtection="1">
      <alignment vertical="center"/>
      <protection hidden="1"/>
    </xf>
    <xf numFmtId="0" fontId="5" fillId="2" borderId="7" xfId="1" applyFont="1" applyFill="1" applyBorder="1" applyAlignment="1" applyProtection="1">
      <alignment horizontal="left" vertical="center"/>
      <protection hidden="1"/>
    </xf>
    <xf numFmtId="1" fontId="7" fillId="3" borderId="9" xfId="1" applyNumberFormat="1" applyFont="1" applyFill="1" applyBorder="1" applyAlignment="1" applyProtection="1">
      <alignment horizontal="center" vertical="center"/>
      <protection locked="0"/>
    </xf>
    <xf numFmtId="1" fontId="7" fillId="0" borderId="11" xfId="1" applyNumberFormat="1" applyFont="1" applyBorder="1" applyAlignment="1" applyProtection="1">
      <alignment horizontal="center" vertical="center"/>
      <protection locked="0"/>
    </xf>
    <xf numFmtId="1" fontId="7" fillId="0" borderId="14" xfId="1" applyNumberFormat="1" applyFont="1" applyBorder="1" applyAlignment="1" applyProtection="1">
      <alignment horizontal="center" vertical="center"/>
      <protection locked="0"/>
    </xf>
    <xf numFmtId="1" fontId="7" fillId="0" borderId="15" xfId="1" applyNumberFormat="1" applyFont="1" applyBorder="1" applyAlignment="1" applyProtection="1">
      <alignment horizontal="center" vertical="center"/>
      <protection locked="0"/>
    </xf>
    <xf numFmtId="1" fontId="7" fillId="0" borderId="5" xfId="1" applyNumberFormat="1" applyFont="1" applyBorder="1" applyAlignment="1" applyProtection="1">
      <alignment horizontal="center" vertical="center"/>
      <protection locked="0"/>
    </xf>
    <xf numFmtId="1" fontId="7" fillId="0" borderId="6" xfId="1" applyNumberFormat="1" applyFont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15" fontId="27" fillId="3" borderId="40" xfId="1" applyNumberFormat="1" applyFont="1" applyFill="1" applyBorder="1" applyAlignment="1" applyProtection="1">
      <alignment horizontal="center" vertical="center"/>
    </xf>
    <xf numFmtId="15" fontId="27" fillId="3" borderId="42" xfId="1" applyNumberFormat="1" applyFont="1" applyFill="1" applyBorder="1" applyAlignment="1" applyProtection="1">
      <alignment horizontal="center" vertical="center"/>
    </xf>
    <xf numFmtId="0" fontId="7" fillId="2" borderId="2" xfId="1" applyFont="1" applyFill="1" applyBorder="1" applyAlignment="1" applyProtection="1">
      <alignment horizontal="center" vertical="center"/>
      <protection hidden="1"/>
    </xf>
    <xf numFmtId="15" fontId="27" fillId="3" borderId="1" xfId="1" applyNumberFormat="1" applyFont="1" applyFill="1" applyBorder="1" applyAlignment="1" applyProtection="1">
      <alignment horizontal="center" vertical="center"/>
    </xf>
    <xf numFmtId="15" fontId="27" fillId="3" borderId="17" xfId="1" applyNumberFormat="1" applyFont="1" applyFill="1" applyBorder="1" applyAlignment="1" applyProtection="1">
      <alignment horizontal="center" vertical="center"/>
    </xf>
    <xf numFmtId="0" fontId="6" fillId="2" borderId="1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left" vertical="center"/>
      <protection hidden="1"/>
    </xf>
    <xf numFmtId="0" fontId="1" fillId="0" borderId="3" xfId="1" applyBorder="1" applyAlignment="1" applyProtection="1">
      <alignment horizontal="left" vertical="center"/>
      <protection hidden="1"/>
    </xf>
    <xf numFmtId="0" fontId="6" fillId="2" borderId="4" xfId="1" applyFont="1" applyFill="1" applyBorder="1" applyAlignment="1" applyProtection="1">
      <alignment horizontal="left" vertical="center"/>
      <protection hidden="1"/>
    </xf>
    <xf numFmtId="0" fontId="1" fillId="0" borderId="4" xfId="1" applyBorder="1" applyAlignment="1" applyProtection="1">
      <alignment vertical="center"/>
      <protection hidden="1"/>
    </xf>
    <xf numFmtId="0" fontId="7" fillId="0" borderId="11" xfId="1" applyFont="1" applyBorder="1" applyAlignment="1" applyProtection="1">
      <alignment horizontal="left" vertical="center"/>
      <protection hidden="1"/>
    </xf>
    <xf numFmtId="0" fontId="7" fillId="0" borderId="15" xfId="1" applyFont="1" applyBorder="1" applyAlignment="1" applyProtection="1">
      <alignment horizontal="left" vertical="center"/>
      <protection hidden="1"/>
    </xf>
    <xf numFmtId="0" fontId="1" fillId="0" borderId="3" xfId="1" applyFont="1" applyBorder="1" applyAlignment="1" applyProtection="1">
      <alignment horizontal="center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15" fillId="2" borderId="5" xfId="1" applyFont="1" applyFill="1" applyBorder="1" applyAlignment="1" applyProtection="1">
      <alignment horizontal="center" vertical="center"/>
      <protection hidden="1"/>
    </xf>
    <xf numFmtId="0" fontId="15" fillId="2" borderId="7" xfId="1" applyFont="1" applyFill="1" applyBorder="1" applyAlignment="1" applyProtection="1">
      <alignment horizontal="center" vertical="center"/>
      <protection hidden="1"/>
    </xf>
    <xf numFmtId="0" fontId="15" fillId="2" borderId="6" xfId="1" applyFont="1" applyFill="1" applyBorder="1" applyAlignment="1" applyProtection="1">
      <alignment horizontal="center" vertical="center"/>
      <protection hidden="1"/>
    </xf>
    <xf numFmtId="0" fontId="1" fillId="0" borderId="21" xfId="1" applyFont="1" applyBorder="1" applyAlignment="1" applyProtection="1">
      <alignment horizontal="center" vertical="center"/>
      <protection hidden="1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'Element Resistance'!$Q$20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'Element Resistance'!$O$21:$P$31</c:f>
              <c:multiLvlStrCache>
                <c:ptCount val="11"/>
                <c:lvl>
                  <c:pt idx="0">
                    <c:v>25.32</c:v>
                  </c:pt>
                  <c:pt idx="1">
                    <c:v>25.68</c:v>
                  </c:pt>
                  <c:pt idx="2">
                    <c:v>26.04</c:v>
                  </c:pt>
                  <c:pt idx="3">
                    <c:v>26.40</c:v>
                  </c:pt>
                  <c:pt idx="4">
                    <c:v>26.76</c:v>
                  </c:pt>
                  <c:pt idx="5">
                    <c:v>27.12</c:v>
                  </c:pt>
                  <c:pt idx="6">
                    <c:v>27.48</c:v>
                  </c:pt>
                  <c:pt idx="7">
                    <c:v>27.84</c:v>
                  </c:pt>
                  <c:pt idx="8">
                    <c:v>28.20</c:v>
                  </c:pt>
                  <c:pt idx="9">
                    <c:v>28.56</c:v>
                  </c:pt>
                  <c:pt idx="10">
                    <c:v>28.92</c:v>
                  </c:pt>
                </c:lvl>
                <c:lvl>
                  <c:pt idx="0">
                    <c:v>24.96</c:v>
                  </c:pt>
                  <c:pt idx="1">
                    <c:v>25.32</c:v>
                  </c:pt>
                  <c:pt idx="2">
                    <c:v>25.68</c:v>
                  </c:pt>
                  <c:pt idx="3">
                    <c:v>26.04</c:v>
                  </c:pt>
                  <c:pt idx="4">
                    <c:v>26.40</c:v>
                  </c:pt>
                  <c:pt idx="5">
                    <c:v>26.76</c:v>
                  </c:pt>
                  <c:pt idx="6">
                    <c:v>27.12</c:v>
                  </c:pt>
                  <c:pt idx="7">
                    <c:v>27.48</c:v>
                  </c:pt>
                  <c:pt idx="8">
                    <c:v>27.84</c:v>
                  </c:pt>
                  <c:pt idx="9">
                    <c:v>28.20</c:v>
                  </c:pt>
                  <c:pt idx="10">
                    <c:v>28.56</c:v>
                  </c:pt>
                </c:lvl>
              </c:multiLvlStrCache>
            </c:multiLvlStrRef>
          </c:cat>
          <c:val>
            <c:numRef>
              <c:f>'Element Resistance'!$Q$21:$Q$31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14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52154368"/>
        <c:axId val="52156288"/>
        <c:axId val="0"/>
      </c:bar3DChart>
      <c:catAx>
        <c:axId val="521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215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5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5215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'Wattage L2'!$Q$20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'Wattage L2'!$O$21:$P$31</c:f>
              <c:multiLvlStrCache>
                <c:ptCount val="11"/>
                <c:lvl>
                  <c:pt idx="0">
                    <c:v>1815.30</c:v>
                  </c:pt>
                  <c:pt idx="1">
                    <c:v>1837.50</c:v>
                  </c:pt>
                  <c:pt idx="2">
                    <c:v>1859.70</c:v>
                  </c:pt>
                  <c:pt idx="3">
                    <c:v>1881.90</c:v>
                  </c:pt>
                  <c:pt idx="4">
                    <c:v>1904.10</c:v>
                  </c:pt>
                  <c:pt idx="5">
                    <c:v>1926.30</c:v>
                  </c:pt>
                  <c:pt idx="6">
                    <c:v>1948.50</c:v>
                  </c:pt>
                  <c:pt idx="7">
                    <c:v>1970.70</c:v>
                  </c:pt>
                  <c:pt idx="8">
                    <c:v>1992.90</c:v>
                  </c:pt>
                  <c:pt idx="9">
                    <c:v>2015.10</c:v>
                  </c:pt>
                  <c:pt idx="10">
                    <c:v>2037.30</c:v>
                  </c:pt>
                </c:lvl>
                <c:lvl>
                  <c:pt idx="0">
                    <c:v>1793.10</c:v>
                  </c:pt>
                  <c:pt idx="1">
                    <c:v>1815.30</c:v>
                  </c:pt>
                  <c:pt idx="2">
                    <c:v>1837.50</c:v>
                  </c:pt>
                  <c:pt idx="3">
                    <c:v>1859.70</c:v>
                  </c:pt>
                  <c:pt idx="4">
                    <c:v>1881.90</c:v>
                  </c:pt>
                  <c:pt idx="5">
                    <c:v>1904.10</c:v>
                  </c:pt>
                  <c:pt idx="6">
                    <c:v>1926.30</c:v>
                  </c:pt>
                  <c:pt idx="7">
                    <c:v>1948.50</c:v>
                  </c:pt>
                  <c:pt idx="8">
                    <c:v>1970.70</c:v>
                  </c:pt>
                  <c:pt idx="9">
                    <c:v>1992.90</c:v>
                  </c:pt>
                  <c:pt idx="10">
                    <c:v>2015.10</c:v>
                  </c:pt>
                </c:lvl>
              </c:multiLvlStrCache>
            </c:multiLvlStrRef>
          </c:cat>
          <c:val>
            <c:numRef>
              <c:f>'Wattage L2'!$Q$21:$Q$31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52109696"/>
        <c:axId val="52111616"/>
        <c:axId val="0"/>
      </c:bar3DChart>
      <c:catAx>
        <c:axId val="521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21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1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52109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L2'!$A$19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L2'!$B$19:$K$19</c:f>
              <c:numCache>
                <c:formatCode>General</c:formatCode>
                <c:ptCount val="10"/>
                <c:pt idx="0">
                  <c:v>1938.2</c:v>
                </c:pt>
                <c:pt idx="1">
                  <c:v>1931.2</c:v>
                </c:pt>
                <c:pt idx="2">
                  <c:v>1928.4</c:v>
                </c:pt>
                <c:pt idx="3">
                  <c:v>1927.2</c:v>
                </c:pt>
                <c:pt idx="4">
                  <c:v>1940.6</c:v>
                </c:pt>
                <c:pt idx="5">
                  <c:v>1946.6</c:v>
                </c:pt>
                <c:pt idx="6">
                  <c:v>1921.6</c:v>
                </c:pt>
                <c:pt idx="7">
                  <c:v>1926.4</c:v>
                </c:pt>
                <c:pt idx="8">
                  <c:v>1929.6</c:v>
                </c:pt>
                <c:pt idx="9">
                  <c:v>1954.4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L2'!$A$24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L2'!$B$24:$K$24</c:f>
              <c:numCache>
                <c:formatCode>General</c:formatCode>
                <c:ptCount val="10"/>
                <c:pt idx="0">
                  <c:v>1967.047</c:v>
                </c:pt>
                <c:pt idx="1">
                  <c:v>1967.047</c:v>
                </c:pt>
                <c:pt idx="2">
                  <c:v>1967.047</c:v>
                </c:pt>
                <c:pt idx="3">
                  <c:v>1967.047</c:v>
                </c:pt>
                <c:pt idx="4">
                  <c:v>1967.047</c:v>
                </c:pt>
                <c:pt idx="5">
                  <c:v>1967.047</c:v>
                </c:pt>
                <c:pt idx="6">
                  <c:v>1967.047</c:v>
                </c:pt>
                <c:pt idx="7">
                  <c:v>1967.047</c:v>
                </c:pt>
                <c:pt idx="8">
                  <c:v>1967.047</c:v>
                </c:pt>
                <c:pt idx="9" formatCode="0.0000">
                  <c:v>1967.047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L2'!$A$25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L2'!$B$25:$K$25</c:f>
              <c:numCache>
                <c:formatCode>0.0000</c:formatCode>
                <c:ptCount val="10"/>
                <c:pt idx="0">
                  <c:v>1901.7930000000001</c:v>
                </c:pt>
                <c:pt idx="1">
                  <c:v>1901.7930000000001</c:v>
                </c:pt>
                <c:pt idx="2">
                  <c:v>1901.7930000000001</c:v>
                </c:pt>
                <c:pt idx="3">
                  <c:v>1901.7930000000001</c:v>
                </c:pt>
                <c:pt idx="4">
                  <c:v>1901.7930000000001</c:v>
                </c:pt>
                <c:pt idx="5">
                  <c:v>1901.7930000000001</c:v>
                </c:pt>
                <c:pt idx="6">
                  <c:v>1901.7930000000001</c:v>
                </c:pt>
                <c:pt idx="7">
                  <c:v>1901.7930000000001</c:v>
                </c:pt>
                <c:pt idx="8">
                  <c:v>1901.7930000000001</c:v>
                </c:pt>
                <c:pt idx="9">
                  <c:v>1901.7930000000001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L2'!$A$28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L2'!$B$28:$K$28</c:f>
              <c:numCache>
                <c:formatCode>0.0000</c:formatCode>
                <c:ptCount val="10"/>
                <c:pt idx="0">
                  <c:v>1934.42</c:v>
                </c:pt>
                <c:pt idx="1">
                  <c:v>1934.42</c:v>
                </c:pt>
                <c:pt idx="2">
                  <c:v>1934.42</c:v>
                </c:pt>
                <c:pt idx="3">
                  <c:v>1934.42</c:v>
                </c:pt>
                <c:pt idx="4">
                  <c:v>1934.42</c:v>
                </c:pt>
                <c:pt idx="5">
                  <c:v>1934.42</c:v>
                </c:pt>
                <c:pt idx="6">
                  <c:v>1934.42</c:v>
                </c:pt>
                <c:pt idx="7">
                  <c:v>1934.42</c:v>
                </c:pt>
                <c:pt idx="8">
                  <c:v>1934.42</c:v>
                </c:pt>
                <c:pt idx="9">
                  <c:v>1934.42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2368"/>
        <c:axId val="52124288"/>
      </c:lineChart>
      <c:catAx>
        <c:axId val="521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2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2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22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L2'!$A$18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L2'!$B$18:$K$18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25</c:v>
                </c:pt>
                <c:pt idx="3">
                  <c:v>40</c:v>
                </c:pt>
                <c:pt idx="4">
                  <c:v>40</c:v>
                </c:pt>
                <c:pt idx="5">
                  <c:v>70</c:v>
                </c:pt>
                <c:pt idx="6">
                  <c:v>61</c:v>
                </c:pt>
                <c:pt idx="7">
                  <c:v>69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L2'!$A$26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L2'!$B$26:$K$26</c:f>
              <c:numCache>
                <c:formatCode>0.0000</c:formatCode>
                <c:ptCount val="10"/>
                <c:pt idx="0">
                  <c:v>116.68299999999999</c:v>
                </c:pt>
                <c:pt idx="1">
                  <c:v>116.68299999999999</c:v>
                </c:pt>
                <c:pt idx="2">
                  <c:v>116.68299999999999</c:v>
                </c:pt>
                <c:pt idx="3">
                  <c:v>116.68299999999999</c:v>
                </c:pt>
                <c:pt idx="4">
                  <c:v>116.68299999999999</c:v>
                </c:pt>
                <c:pt idx="5">
                  <c:v>116.68299999999999</c:v>
                </c:pt>
                <c:pt idx="6">
                  <c:v>116.68299999999999</c:v>
                </c:pt>
                <c:pt idx="7">
                  <c:v>116.68299999999999</c:v>
                </c:pt>
                <c:pt idx="8">
                  <c:v>116.68299999999999</c:v>
                </c:pt>
                <c:pt idx="9">
                  <c:v>116.68299999999999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L2'!$A$27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L2'!$A$29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L2'!$B$29:$K$29</c:f>
              <c:numCache>
                <c:formatCode>0.0000</c:formatCode>
                <c:ptCount val="10"/>
                <c:pt idx="0">
                  <c:v>55.3</c:v>
                </c:pt>
                <c:pt idx="1">
                  <c:v>55.3</c:v>
                </c:pt>
                <c:pt idx="2">
                  <c:v>55.3</c:v>
                </c:pt>
                <c:pt idx="3">
                  <c:v>55.3</c:v>
                </c:pt>
                <c:pt idx="4">
                  <c:v>55.3</c:v>
                </c:pt>
                <c:pt idx="5">
                  <c:v>55.3</c:v>
                </c:pt>
                <c:pt idx="6">
                  <c:v>55.3</c:v>
                </c:pt>
                <c:pt idx="7">
                  <c:v>55.3</c:v>
                </c:pt>
                <c:pt idx="8">
                  <c:v>55.3</c:v>
                </c:pt>
                <c:pt idx="9">
                  <c:v>55.3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1808"/>
        <c:axId val="52153728"/>
      </c:lineChart>
      <c:catAx>
        <c:axId val="521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5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1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'Element Resistance'!$A$19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Resistance'!$B$19:$K$19</c:f>
              <c:numCache>
                <c:formatCode>General</c:formatCode>
                <c:ptCount val="10"/>
                <c:pt idx="0">
                  <c:v>27.560000000000002</c:v>
                </c:pt>
                <c:pt idx="1">
                  <c:v>27.32</c:v>
                </c:pt>
                <c:pt idx="2">
                  <c:v>27.160000000000004</c:v>
                </c:pt>
                <c:pt idx="3">
                  <c:v>27.339999999999996</c:v>
                </c:pt>
                <c:pt idx="4">
                  <c:v>27.380000000000003</c:v>
                </c:pt>
                <c:pt idx="5">
                  <c:v>27.24</c:v>
                </c:pt>
                <c:pt idx="6">
                  <c:v>27.359999999999996</c:v>
                </c:pt>
                <c:pt idx="7">
                  <c:v>27.46</c:v>
                </c:pt>
                <c:pt idx="8">
                  <c:v>27.559999999999995</c:v>
                </c:pt>
                <c:pt idx="9">
                  <c:v>27.320000000000004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'Element Resistance'!$A$24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Resistance'!$B$24:$K$24</c:f>
              <c:numCache>
                <c:formatCode>General</c:formatCode>
                <c:ptCount val="10"/>
                <c:pt idx="0">
                  <c:v>27.847900000000003</c:v>
                </c:pt>
                <c:pt idx="1">
                  <c:v>27.847900000000003</c:v>
                </c:pt>
                <c:pt idx="2">
                  <c:v>27.847900000000003</c:v>
                </c:pt>
                <c:pt idx="3">
                  <c:v>27.847900000000003</c:v>
                </c:pt>
                <c:pt idx="4">
                  <c:v>27.847900000000003</c:v>
                </c:pt>
                <c:pt idx="5">
                  <c:v>27.847900000000003</c:v>
                </c:pt>
                <c:pt idx="6">
                  <c:v>27.847900000000003</c:v>
                </c:pt>
                <c:pt idx="7">
                  <c:v>27.847900000000003</c:v>
                </c:pt>
                <c:pt idx="8">
                  <c:v>27.847900000000003</c:v>
                </c:pt>
                <c:pt idx="9" formatCode="0.0000">
                  <c:v>27.847900000000003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'Element Resistance'!$A$25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Resistance'!$B$25:$K$25</c:f>
              <c:numCache>
                <c:formatCode>0.0000</c:formatCode>
                <c:ptCount val="10"/>
                <c:pt idx="0">
                  <c:v>26.892099999999999</c:v>
                </c:pt>
                <c:pt idx="1">
                  <c:v>26.892099999999999</c:v>
                </c:pt>
                <c:pt idx="2">
                  <c:v>26.892099999999999</c:v>
                </c:pt>
                <c:pt idx="3">
                  <c:v>26.892099999999999</c:v>
                </c:pt>
                <c:pt idx="4">
                  <c:v>26.892099999999999</c:v>
                </c:pt>
                <c:pt idx="5">
                  <c:v>26.892099999999999</c:v>
                </c:pt>
                <c:pt idx="6">
                  <c:v>26.892099999999999</c:v>
                </c:pt>
                <c:pt idx="7">
                  <c:v>26.892099999999999</c:v>
                </c:pt>
                <c:pt idx="8">
                  <c:v>26.892099999999999</c:v>
                </c:pt>
                <c:pt idx="9">
                  <c:v>26.892099999999999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'Element Resistance'!$A$28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Resistance'!$B$28:$K$28</c:f>
              <c:numCache>
                <c:formatCode>0.0000</c:formatCode>
                <c:ptCount val="10"/>
                <c:pt idx="0">
                  <c:v>27.37</c:v>
                </c:pt>
                <c:pt idx="1">
                  <c:v>27.37</c:v>
                </c:pt>
                <c:pt idx="2">
                  <c:v>27.37</c:v>
                </c:pt>
                <c:pt idx="3">
                  <c:v>27.37</c:v>
                </c:pt>
                <c:pt idx="4">
                  <c:v>27.37</c:v>
                </c:pt>
                <c:pt idx="5">
                  <c:v>27.37</c:v>
                </c:pt>
                <c:pt idx="6">
                  <c:v>27.37</c:v>
                </c:pt>
                <c:pt idx="7">
                  <c:v>27.37</c:v>
                </c:pt>
                <c:pt idx="8">
                  <c:v>27.37</c:v>
                </c:pt>
                <c:pt idx="9">
                  <c:v>27.37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82240"/>
        <c:axId val="143084544"/>
      </c:lineChart>
      <c:catAx>
        <c:axId val="1430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8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8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82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'Element Resistance'!$A$18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Resistance'!$B$18:$K$18</c:f>
              <c:numCache>
                <c:formatCode>General</c:formatCode>
                <c:ptCount val="10"/>
                <c:pt idx="0">
                  <c:v>0.80000000000000071</c:v>
                </c:pt>
                <c:pt idx="1">
                  <c:v>0.90000000000000213</c:v>
                </c:pt>
                <c:pt idx="2">
                  <c:v>1.1000000000000014</c:v>
                </c:pt>
                <c:pt idx="3">
                  <c:v>0.79999999999999716</c:v>
                </c:pt>
                <c:pt idx="4">
                  <c:v>0.60000000000000142</c:v>
                </c:pt>
                <c:pt idx="5">
                  <c:v>0.5</c:v>
                </c:pt>
                <c:pt idx="6">
                  <c:v>1.4000000000000021</c:v>
                </c:pt>
                <c:pt idx="7">
                  <c:v>0.90000000000000213</c:v>
                </c:pt>
                <c:pt idx="8">
                  <c:v>0.69999999999999929</c:v>
                </c:pt>
                <c:pt idx="9">
                  <c:v>0.39999999999999858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'Element Resistance'!$A$26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Resistance'!$B$26:$K$26</c:f>
              <c:numCache>
                <c:formatCode>0.0000</c:formatCode>
                <c:ptCount val="10"/>
                <c:pt idx="0">
                  <c:v>1.709100000000001</c:v>
                </c:pt>
                <c:pt idx="1">
                  <c:v>1.709100000000001</c:v>
                </c:pt>
                <c:pt idx="2">
                  <c:v>1.709100000000001</c:v>
                </c:pt>
                <c:pt idx="3">
                  <c:v>1.709100000000001</c:v>
                </c:pt>
                <c:pt idx="4">
                  <c:v>1.709100000000001</c:v>
                </c:pt>
                <c:pt idx="5">
                  <c:v>1.709100000000001</c:v>
                </c:pt>
                <c:pt idx="6">
                  <c:v>1.709100000000001</c:v>
                </c:pt>
                <c:pt idx="7">
                  <c:v>1.709100000000001</c:v>
                </c:pt>
                <c:pt idx="8">
                  <c:v>1.709100000000001</c:v>
                </c:pt>
                <c:pt idx="9">
                  <c:v>1.709100000000001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'Element Resistance'!$A$27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'Element Resistance'!$A$29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Resistance'!$B$29:$K$29</c:f>
              <c:numCache>
                <c:formatCode>0.0000</c:formatCode>
                <c:ptCount val="10"/>
                <c:pt idx="0">
                  <c:v>0.8100000000000005</c:v>
                </c:pt>
                <c:pt idx="1">
                  <c:v>0.8100000000000005</c:v>
                </c:pt>
                <c:pt idx="2">
                  <c:v>0.8100000000000005</c:v>
                </c:pt>
                <c:pt idx="3">
                  <c:v>0.8100000000000005</c:v>
                </c:pt>
                <c:pt idx="4">
                  <c:v>0.8100000000000005</c:v>
                </c:pt>
                <c:pt idx="5">
                  <c:v>0.8100000000000005</c:v>
                </c:pt>
                <c:pt idx="6">
                  <c:v>0.8100000000000005</c:v>
                </c:pt>
                <c:pt idx="7">
                  <c:v>0.8100000000000005</c:v>
                </c:pt>
                <c:pt idx="8">
                  <c:v>0.8100000000000005</c:v>
                </c:pt>
                <c:pt idx="9">
                  <c:v>0.8100000000000005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9776"/>
        <c:axId val="182656384"/>
      </c:lineChart>
      <c:catAx>
        <c:axId val="1779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5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9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DFT!$Q$20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DFT!$O$21:$P$31</c:f>
              <c:multiLvlStrCache>
                <c:ptCount val="11"/>
                <c:lvl>
                  <c:pt idx="0">
                    <c:v>161.30</c:v>
                  </c:pt>
                  <c:pt idx="1">
                    <c:v>181.50</c:v>
                  </c:pt>
                  <c:pt idx="2">
                    <c:v>201.70</c:v>
                  </c:pt>
                  <c:pt idx="3">
                    <c:v>221.90</c:v>
                  </c:pt>
                  <c:pt idx="4">
                    <c:v>242.10</c:v>
                  </c:pt>
                  <c:pt idx="5">
                    <c:v>262.30</c:v>
                  </c:pt>
                  <c:pt idx="6">
                    <c:v>282.50</c:v>
                  </c:pt>
                  <c:pt idx="7">
                    <c:v>302.70</c:v>
                  </c:pt>
                  <c:pt idx="8">
                    <c:v>322.90</c:v>
                  </c:pt>
                  <c:pt idx="9">
                    <c:v>343.10</c:v>
                  </c:pt>
                  <c:pt idx="10">
                    <c:v>363.30</c:v>
                  </c:pt>
                </c:lvl>
                <c:lvl>
                  <c:pt idx="0">
                    <c:v>141.10</c:v>
                  </c:pt>
                  <c:pt idx="1">
                    <c:v>161.30</c:v>
                  </c:pt>
                  <c:pt idx="2">
                    <c:v>181.50</c:v>
                  </c:pt>
                  <c:pt idx="3">
                    <c:v>201.70</c:v>
                  </c:pt>
                  <c:pt idx="4">
                    <c:v>221.90</c:v>
                  </c:pt>
                  <c:pt idx="5">
                    <c:v>242.10</c:v>
                  </c:pt>
                  <c:pt idx="6">
                    <c:v>262.30</c:v>
                  </c:pt>
                  <c:pt idx="7">
                    <c:v>282.50</c:v>
                  </c:pt>
                  <c:pt idx="8">
                    <c:v>302.70</c:v>
                  </c:pt>
                  <c:pt idx="9">
                    <c:v>322.90</c:v>
                  </c:pt>
                  <c:pt idx="10">
                    <c:v>343.10</c:v>
                  </c:pt>
                </c:lvl>
              </c:multiLvlStrCache>
            </c:multiLvlStrRef>
          </c:cat>
          <c:val>
            <c:numRef>
              <c:f>DFT!$Q$21:$Q$31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23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204954624"/>
        <c:axId val="204981760"/>
        <c:axId val="0"/>
      </c:bar3DChart>
      <c:catAx>
        <c:axId val="2049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0498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204954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DFT!$A$19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DFT!$B$19:$K$19</c:f>
              <c:numCache>
                <c:formatCode>General</c:formatCode>
                <c:ptCount val="10"/>
                <c:pt idx="0">
                  <c:v>268.60000000000002</c:v>
                </c:pt>
                <c:pt idx="1">
                  <c:v>263.39999999999998</c:v>
                </c:pt>
                <c:pt idx="2">
                  <c:v>253.6</c:v>
                </c:pt>
                <c:pt idx="3">
                  <c:v>263.8</c:v>
                </c:pt>
                <c:pt idx="4">
                  <c:v>266.60000000000002</c:v>
                </c:pt>
                <c:pt idx="5">
                  <c:v>244.8</c:v>
                </c:pt>
                <c:pt idx="6">
                  <c:v>250.8</c:v>
                </c:pt>
                <c:pt idx="7">
                  <c:v>273.60000000000002</c:v>
                </c:pt>
                <c:pt idx="8">
                  <c:v>252.2</c:v>
                </c:pt>
                <c:pt idx="9">
                  <c:v>253.2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DFT!$A$24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DFT!$B$24:$K$24</c:f>
              <c:numCache>
                <c:formatCode>General</c:formatCode>
                <c:ptCount val="10"/>
                <c:pt idx="0">
                  <c:v>288.20600000000002</c:v>
                </c:pt>
                <c:pt idx="1">
                  <c:v>288.20600000000002</c:v>
                </c:pt>
                <c:pt idx="2">
                  <c:v>288.20600000000002</c:v>
                </c:pt>
                <c:pt idx="3">
                  <c:v>288.20600000000002</c:v>
                </c:pt>
                <c:pt idx="4">
                  <c:v>288.20600000000002</c:v>
                </c:pt>
                <c:pt idx="5">
                  <c:v>288.20600000000002</c:v>
                </c:pt>
                <c:pt idx="6">
                  <c:v>288.20600000000002</c:v>
                </c:pt>
                <c:pt idx="7">
                  <c:v>288.20600000000002</c:v>
                </c:pt>
                <c:pt idx="8">
                  <c:v>288.20600000000002</c:v>
                </c:pt>
                <c:pt idx="9" formatCode="0.0000">
                  <c:v>288.20600000000002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DFT!$A$25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DFT!$B$25:$K$25</c:f>
              <c:numCache>
                <c:formatCode>0.0000</c:formatCode>
                <c:ptCount val="10"/>
                <c:pt idx="0">
                  <c:v>229.91400000000002</c:v>
                </c:pt>
                <c:pt idx="1">
                  <c:v>229.91400000000002</c:v>
                </c:pt>
                <c:pt idx="2">
                  <c:v>229.91400000000002</c:v>
                </c:pt>
                <c:pt idx="3">
                  <c:v>229.91400000000002</c:v>
                </c:pt>
                <c:pt idx="4">
                  <c:v>229.91400000000002</c:v>
                </c:pt>
                <c:pt idx="5">
                  <c:v>229.91400000000002</c:v>
                </c:pt>
                <c:pt idx="6">
                  <c:v>229.91400000000002</c:v>
                </c:pt>
                <c:pt idx="7">
                  <c:v>229.91400000000002</c:v>
                </c:pt>
                <c:pt idx="8">
                  <c:v>229.91400000000002</c:v>
                </c:pt>
                <c:pt idx="9">
                  <c:v>229.91400000000002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DFT!$A$28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DFT!$B$28:$K$28</c:f>
              <c:numCache>
                <c:formatCode>0.0000</c:formatCode>
                <c:ptCount val="10"/>
                <c:pt idx="0">
                  <c:v>259.06</c:v>
                </c:pt>
                <c:pt idx="1">
                  <c:v>259.06</c:v>
                </c:pt>
                <c:pt idx="2">
                  <c:v>259.06</c:v>
                </c:pt>
                <c:pt idx="3">
                  <c:v>259.06</c:v>
                </c:pt>
                <c:pt idx="4">
                  <c:v>259.06</c:v>
                </c:pt>
                <c:pt idx="5">
                  <c:v>259.06</c:v>
                </c:pt>
                <c:pt idx="6">
                  <c:v>259.06</c:v>
                </c:pt>
                <c:pt idx="7">
                  <c:v>259.06</c:v>
                </c:pt>
                <c:pt idx="8">
                  <c:v>259.06</c:v>
                </c:pt>
                <c:pt idx="9">
                  <c:v>259.06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59232"/>
        <c:axId val="225761152"/>
      </c:lineChart>
      <c:catAx>
        <c:axId val="2257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6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6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59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DFT!$A$18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DFT!$B$18:$K$18</c:f>
              <c:numCache>
                <c:formatCode>General</c:formatCode>
                <c:ptCount val="10"/>
                <c:pt idx="0">
                  <c:v>59</c:v>
                </c:pt>
                <c:pt idx="1">
                  <c:v>46</c:v>
                </c:pt>
                <c:pt idx="2">
                  <c:v>24</c:v>
                </c:pt>
                <c:pt idx="3">
                  <c:v>48</c:v>
                </c:pt>
                <c:pt idx="4">
                  <c:v>73</c:v>
                </c:pt>
                <c:pt idx="5">
                  <c:v>23</c:v>
                </c:pt>
                <c:pt idx="6">
                  <c:v>43</c:v>
                </c:pt>
                <c:pt idx="7">
                  <c:v>82</c:v>
                </c:pt>
                <c:pt idx="8">
                  <c:v>47</c:v>
                </c:pt>
                <c:pt idx="9">
                  <c:v>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DFT!$A$26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DFT!$B$26:$K$26</c:f>
              <c:numCache>
                <c:formatCode>0.0000</c:formatCode>
                <c:ptCount val="10"/>
                <c:pt idx="0">
                  <c:v>104.23399999999999</c:v>
                </c:pt>
                <c:pt idx="1">
                  <c:v>104.23399999999999</c:v>
                </c:pt>
                <c:pt idx="2">
                  <c:v>104.23399999999999</c:v>
                </c:pt>
                <c:pt idx="3">
                  <c:v>104.23399999999999</c:v>
                </c:pt>
                <c:pt idx="4">
                  <c:v>104.23399999999999</c:v>
                </c:pt>
                <c:pt idx="5">
                  <c:v>104.23399999999999</c:v>
                </c:pt>
                <c:pt idx="6">
                  <c:v>104.23399999999999</c:v>
                </c:pt>
                <c:pt idx="7">
                  <c:v>104.23399999999999</c:v>
                </c:pt>
                <c:pt idx="8">
                  <c:v>104.23399999999999</c:v>
                </c:pt>
                <c:pt idx="9">
                  <c:v>104.23399999999999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DFT!$A$27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DFT!$A$29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DFT!$B$29:$K$29</c:f>
              <c:numCache>
                <c:formatCode>0.0000</c:formatCode>
                <c:ptCount val="10"/>
                <c:pt idx="0">
                  <c:v>49.4</c:v>
                </c:pt>
                <c:pt idx="1">
                  <c:v>49.4</c:v>
                </c:pt>
                <c:pt idx="2">
                  <c:v>49.4</c:v>
                </c:pt>
                <c:pt idx="3">
                  <c:v>49.4</c:v>
                </c:pt>
                <c:pt idx="4">
                  <c:v>49.4</c:v>
                </c:pt>
                <c:pt idx="5">
                  <c:v>49.4</c:v>
                </c:pt>
                <c:pt idx="6">
                  <c:v>49.4</c:v>
                </c:pt>
                <c:pt idx="7">
                  <c:v>49.4</c:v>
                </c:pt>
                <c:pt idx="8">
                  <c:v>49.4</c:v>
                </c:pt>
                <c:pt idx="9">
                  <c:v>49.4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51584"/>
        <c:axId val="254751488"/>
      </c:lineChart>
      <c:catAx>
        <c:axId val="2536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7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475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651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'Wattage L1'!$Q$20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'Wattage L1'!$O$21:$P$31</c:f>
              <c:multiLvlStrCache>
                <c:ptCount val="11"/>
                <c:lvl>
                  <c:pt idx="0">
                    <c:v>1820.10</c:v>
                  </c:pt>
                  <c:pt idx="1">
                    <c:v>1841.70</c:v>
                  </c:pt>
                  <c:pt idx="2">
                    <c:v>1863.30</c:v>
                  </c:pt>
                  <c:pt idx="3">
                    <c:v>1884.90</c:v>
                  </c:pt>
                  <c:pt idx="4">
                    <c:v>1906.50</c:v>
                  </c:pt>
                  <c:pt idx="5">
                    <c:v>1928.10</c:v>
                  </c:pt>
                  <c:pt idx="6">
                    <c:v>1949.70</c:v>
                  </c:pt>
                  <c:pt idx="7">
                    <c:v>1971.30</c:v>
                  </c:pt>
                  <c:pt idx="8">
                    <c:v>1992.90</c:v>
                  </c:pt>
                  <c:pt idx="9">
                    <c:v>2014.50</c:v>
                  </c:pt>
                  <c:pt idx="10">
                    <c:v>2036.10</c:v>
                  </c:pt>
                </c:lvl>
                <c:lvl>
                  <c:pt idx="0">
                    <c:v>1798.50</c:v>
                  </c:pt>
                  <c:pt idx="1">
                    <c:v>1820.10</c:v>
                  </c:pt>
                  <c:pt idx="2">
                    <c:v>1841.70</c:v>
                  </c:pt>
                  <c:pt idx="3">
                    <c:v>1863.30</c:v>
                  </c:pt>
                  <c:pt idx="4">
                    <c:v>1884.90</c:v>
                  </c:pt>
                  <c:pt idx="5">
                    <c:v>1906.50</c:v>
                  </c:pt>
                  <c:pt idx="6">
                    <c:v>1928.10</c:v>
                  </c:pt>
                  <c:pt idx="7">
                    <c:v>1949.70</c:v>
                  </c:pt>
                  <c:pt idx="8">
                    <c:v>1971.30</c:v>
                  </c:pt>
                  <c:pt idx="9">
                    <c:v>1992.90</c:v>
                  </c:pt>
                  <c:pt idx="10">
                    <c:v>2014.50</c:v>
                  </c:pt>
                </c:lvl>
              </c:multiLvlStrCache>
            </c:multiLvlStrRef>
          </c:cat>
          <c:val>
            <c:numRef>
              <c:f>'Wattage L1'!$Q$21:$Q$31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18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51974144"/>
        <c:axId val="51976064"/>
        <c:axId val="0"/>
      </c:bar3DChart>
      <c:catAx>
        <c:axId val="519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197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7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5197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L1'!$A$19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L1'!$B$19:$K$19</c:f>
              <c:numCache>
                <c:formatCode>General</c:formatCode>
                <c:ptCount val="10"/>
                <c:pt idx="0">
                  <c:v>1950.2</c:v>
                </c:pt>
                <c:pt idx="1">
                  <c:v>1945.2</c:v>
                </c:pt>
                <c:pt idx="2">
                  <c:v>1943</c:v>
                </c:pt>
                <c:pt idx="3">
                  <c:v>1945.2</c:v>
                </c:pt>
                <c:pt idx="4">
                  <c:v>1940.4</c:v>
                </c:pt>
                <c:pt idx="5">
                  <c:v>1938.2</c:v>
                </c:pt>
                <c:pt idx="6">
                  <c:v>1939.2</c:v>
                </c:pt>
                <c:pt idx="7">
                  <c:v>1935.8</c:v>
                </c:pt>
                <c:pt idx="8">
                  <c:v>1929.6</c:v>
                </c:pt>
                <c:pt idx="9">
                  <c:v>1954.4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L1'!$A$24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L1'!$B$24:$K$24</c:f>
              <c:numCache>
                <c:formatCode>General</c:formatCode>
                <c:ptCount val="10"/>
                <c:pt idx="0">
                  <c:v>1968.4929999999999</c:v>
                </c:pt>
                <c:pt idx="1">
                  <c:v>1968.4929999999999</c:v>
                </c:pt>
                <c:pt idx="2">
                  <c:v>1968.4929999999999</c:v>
                </c:pt>
                <c:pt idx="3">
                  <c:v>1968.4929999999999</c:v>
                </c:pt>
                <c:pt idx="4">
                  <c:v>1968.4929999999999</c:v>
                </c:pt>
                <c:pt idx="5">
                  <c:v>1968.4929999999999</c:v>
                </c:pt>
                <c:pt idx="6">
                  <c:v>1968.4929999999999</c:v>
                </c:pt>
                <c:pt idx="7">
                  <c:v>1968.4929999999999</c:v>
                </c:pt>
                <c:pt idx="8">
                  <c:v>1968.4929999999999</c:v>
                </c:pt>
                <c:pt idx="9" formatCode="0.0000">
                  <c:v>1968.4929999999999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L1'!$A$25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L1'!$B$25:$K$25</c:f>
              <c:numCache>
                <c:formatCode>0.0000</c:formatCode>
                <c:ptCount val="10"/>
                <c:pt idx="0">
                  <c:v>1915.7469999999998</c:v>
                </c:pt>
                <c:pt idx="1">
                  <c:v>1915.7469999999998</c:v>
                </c:pt>
                <c:pt idx="2">
                  <c:v>1915.7469999999998</c:v>
                </c:pt>
                <c:pt idx="3">
                  <c:v>1915.7469999999998</c:v>
                </c:pt>
                <c:pt idx="4">
                  <c:v>1915.7469999999998</c:v>
                </c:pt>
                <c:pt idx="5">
                  <c:v>1915.7469999999998</c:v>
                </c:pt>
                <c:pt idx="6">
                  <c:v>1915.7469999999998</c:v>
                </c:pt>
                <c:pt idx="7">
                  <c:v>1915.7469999999998</c:v>
                </c:pt>
                <c:pt idx="8">
                  <c:v>1915.7469999999998</c:v>
                </c:pt>
                <c:pt idx="9">
                  <c:v>1915.7469999999998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L1'!$A$28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L1'!$B$28:$K$28</c:f>
              <c:numCache>
                <c:formatCode>0.0000</c:formatCode>
                <c:ptCount val="10"/>
                <c:pt idx="0">
                  <c:v>1942.12</c:v>
                </c:pt>
                <c:pt idx="1">
                  <c:v>1942.12</c:v>
                </c:pt>
                <c:pt idx="2">
                  <c:v>1942.12</c:v>
                </c:pt>
                <c:pt idx="3">
                  <c:v>1942.12</c:v>
                </c:pt>
                <c:pt idx="4">
                  <c:v>1942.12</c:v>
                </c:pt>
                <c:pt idx="5">
                  <c:v>1942.12</c:v>
                </c:pt>
                <c:pt idx="6">
                  <c:v>1942.12</c:v>
                </c:pt>
                <c:pt idx="7">
                  <c:v>1942.12</c:v>
                </c:pt>
                <c:pt idx="8">
                  <c:v>1942.12</c:v>
                </c:pt>
                <c:pt idx="9">
                  <c:v>1942.12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5008"/>
        <c:axId val="51996928"/>
      </c:lineChart>
      <c:catAx>
        <c:axId val="519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9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9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95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L1'!$A$18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L1'!$B$18:$K$18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32</c:v>
                </c:pt>
                <c:pt idx="3">
                  <c:v>19</c:v>
                </c:pt>
                <c:pt idx="4">
                  <c:v>35</c:v>
                </c:pt>
                <c:pt idx="5">
                  <c:v>31</c:v>
                </c:pt>
                <c:pt idx="6">
                  <c:v>44</c:v>
                </c:pt>
                <c:pt idx="7">
                  <c:v>69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L1'!$A$26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L1'!$B$26:$K$26</c:f>
              <c:numCache>
                <c:formatCode>0.0000</c:formatCode>
                <c:ptCount val="10"/>
                <c:pt idx="0">
                  <c:v>94.317000000000007</c:v>
                </c:pt>
                <c:pt idx="1">
                  <c:v>94.317000000000007</c:v>
                </c:pt>
                <c:pt idx="2">
                  <c:v>94.317000000000007</c:v>
                </c:pt>
                <c:pt idx="3">
                  <c:v>94.317000000000007</c:v>
                </c:pt>
                <c:pt idx="4">
                  <c:v>94.317000000000007</c:v>
                </c:pt>
                <c:pt idx="5">
                  <c:v>94.317000000000007</c:v>
                </c:pt>
                <c:pt idx="6">
                  <c:v>94.317000000000007</c:v>
                </c:pt>
                <c:pt idx="7">
                  <c:v>94.317000000000007</c:v>
                </c:pt>
                <c:pt idx="8">
                  <c:v>94.317000000000007</c:v>
                </c:pt>
                <c:pt idx="9">
                  <c:v>94.317000000000007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L1'!$A$27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L1'!$A$29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L1'!$B$29:$K$29</c:f>
              <c:numCache>
                <c:formatCode>0.0000</c:formatCode>
                <c:ptCount val="10"/>
                <c:pt idx="0">
                  <c:v>44.7</c:v>
                </c:pt>
                <c:pt idx="1">
                  <c:v>44.7</c:v>
                </c:pt>
                <c:pt idx="2">
                  <c:v>44.7</c:v>
                </c:pt>
                <c:pt idx="3">
                  <c:v>44.7</c:v>
                </c:pt>
                <c:pt idx="4">
                  <c:v>44.7</c:v>
                </c:pt>
                <c:pt idx="5">
                  <c:v>44.7</c:v>
                </c:pt>
                <c:pt idx="6">
                  <c:v>44.7</c:v>
                </c:pt>
                <c:pt idx="7">
                  <c:v>44.7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8064"/>
        <c:axId val="52009984"/>
      </c:lineChart>
      <c:catAx>
        <c:axId val="520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0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08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563408</xdr:colOff>
      <xdr:row>2</xdr:row>
      <xdr:rowOff>247650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100" y="38100"/>
          <a:ext cx="1001558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66675</xdr:rowOff>
    </xdr:from>
    <xdr:to>
      <xdr:col>1</xdr:col>
      <xdr:colOff>506600</xdr:colOff>
      <xdr:row>2</xdr:row>
      <xdr:rowOff>228600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66675"/>
          <a:ext cx="944751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66675</xdr:rowOff>
    </xdr:from>
    <xdr:to>
      <xdr:col>1</xdr:col>
      <xdr:colOff>506600</xdr:colOff>
      <xdr:row>2</xdr:row>
      <xdr:rowOff>228600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66675"/>
          <a:ext cx="944751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66675</xdr:rowOff>
    </xdr:from>
    <xdr:to>
      <xdr:col>1</xdr:col>
      <xdr:colOff>506600</xdr:colOff>
      <xdr:row>2</xdr:row>
      <xdr:rowOff>228600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66675"/>
          <a:ext cx="944751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zoomScaleNormal="100" zoomScaleSheetLayoutView="100" workbookViewId="0">
      <selection activeCell="M50" sqref="M5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5.7109375" style="1" bestFit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11.7109375" style="1" customWidth="1"/>
    <col min="18" max="18" width="11.85546875" style="1" bestFit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2.5" customHeight="1">
      <c r="A1" s="211"/>
      <c r="B1" s="212"/>
      <c r="C1" s="202" t="s">
        <v>90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80" t="s">
        <v>102</v>
      </c>
      <c r="R1" s="81" t="s">
        <v>105</v>
      </c>
    </row>
    <row r="2" spans="1:32" ht="22.5" customHeight="1">
      <c r="A2" s="213"/>
      <c r="B2" s="21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82" t="s">
        <v>103</v>
      </c>
      <c r="R2" s="83" t="s">
        <v>100</v>
      </c>
    </row>
    <row r="3" spans="1:32" s="2" customFormat="1" ht="22.5" customHeight="1" thickBot="1">
      <c r="A3" s="215"/>
      <c r="B3" s="216"/>
      <c r="C3" s="208" t="s">
        <v>0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84" t="s">
        <v>104</v>
      </c>
      <c r="R3" s="85" t="s">
        <v>101</v>
      </c>
    </row>
    <row r="4" spans="1:32" s="4" customFormat="1" ht="15" customHeight="1">
      <c r="A4" s="131" t="s">
        <v>1</v>
      </c>
      <c r="B4" s="132"/>
      <c r="C4" s="133" t="s">
        <v>81</v>
      </c>
      <c r="D4" s="134"/>
      <c r="E4" s="135"/>
      <c r="F4" s="136" t="s">
        <v>2</v>
      </c>
      <c r="G4" s="137"/>
      <c r="H4" s="133" t="s">
        <v>82</v>
      </c>
      <c r="I4" s="134"/>
      <c r="J4" s="135"/>
      <c r="K4" s="138" t="s">
        <v>4</v>
      </c>
      <c r="L4" s="139"/>
      <c r="M4" s="73" t="s">
        <v>83</v>
      </c>
      <c r="N4" s="110"/>
      <c r="O4" s="112"/>
      <c r="P4" s="113"/>
      <c r="Q4" s="113"/>
      <c r="R4" s="114"/>
    </row>
    <row r="5" spans="1:32" s="4" customFormat="1" ht="15" customHeight="1">
      <c r="A5" s="118" t="s">
        <v>5</v>
      </c>
      <c r="B5" s="119"/>
      <c r="C5" s="120" t="s">
        <v>6</v>
      </c>
      <c r="D5" s="121"/>
      <c r="E5" s="122"/>
      <c r="F5" s="123" t="s">
        <v>7</v>
      </c>
      <c r="G5" s="124"/>
      <c r="H5" s="120" t="s">
        <v>84</v>
      </c>
      <c r="I5" s="121"/>
      <c r="J5" s="122"/>
      <c r="K5" s="125" t="s">
        <v>9</v>
      </c>
      <c r="L5" s="126"/>
      <c r="M5" s="72" t="s">
        <v>94</v>
      </c>
      <c r="N5" s="111"/>
      <c r="O5" s="115"/>
      <c r="P5" s="116"/>
      <c r="Q5" s="116"/>
      <c r="R5" s="117"/>
    </row>
    <row r="6" spans="1:32" s="4" customFormat="1" ht="15" customHeight="1">
      <c r="A6" s="118" t="s">
        <v>11</v>
      </c>
      <c r="B6" s="119"/>
      <c r="C6" s="127" t="s">
        <v>12</v>
      </c>
      <c r="D6" s="128"/>
      <c r="E6" s="129"/>
      <c r="F6" s="123" t="s">
        <v>13</v>
      </c>
      <c r="G6" s="124"/>
      <c r="H6" s="120" t="s">
        <v>14</v>
      </c>
      <c r="I6" s="121"/>
      <c r="J6" s="122"/>
      <c r="K6" s="123" t="s">
        <v>15</v>
      </c>
      <c r="L6" s="130"/>
      <c r="M6" s="72">
        <v>1</v>
      </c>
      <c r="N6" s="68"/>
      <c r="O6" s="146"/>
      <c r="P6" s="147"/>
      <c r="Q6" s="68" t="s">
        <v>16</v>
      </c>
      <c r="R6" s="86" t="s">
        <v>91</v>
      </c>
    </row>
    <row r="7" spans="1:32" s="4" customFormat="1" ht="15" customHeight="1">
      <c r="A7" s="148" t="s">
        <v>17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50"/>
      <c r="M7" s="151" t="s">
        <v>18</v>
      </c>
      <c r="N7" s="152"/>
      <c r="O7" s="152"/>
      <c r="P7" s="152"/>
      <c r="Q7" s="153"/>
      <c r="R7" s="87" t="s">
        <v>19</v>
      </c>
    </row>
    <row r="8" spans="1:32" s="4" customFormat="1" ht="15" customHeight="1">
      <c r="A8" s="88" t="s">
        <v>20</v>
      </c>
      <c r="B8" s="68">
        <v>1</v>
      </c>
      <c r="C8" s="68">
        <v>2</v>
      </c>
      <c r="D8" s="68">
        <v>3</v>
      </c>
      <c r="E8" s="68">
        <v>4</v>
      </c>
      <c r="F8" s="68">
        <v>5</v>
      </c>
      <c r="G8" s="68">
        <v>6</v>
      </c>
      <c r="H8" s="68">
        <v>7</v>
      </c>
      <c r="I8" s="68">
        <v>8</v>
      </c>
      <c r="J8" s="68">
        <v>9</v>
      </c>
      <c r="K8" s="68">
        <v>10</v>
      </c>
      <c r="L8" s="154" t="s">
        <v>79</v>
      </c>
      <c r="M8" s="157">
        <v>29.4</v>
      </c>
      <c r="N8" s="158"/>
      <c r="O8" s="10" t="s">
        <v>21</v>
      </c>
      <c r="P8" s="11" t="s">
        <v>22</v>
      </c>
      <c r="Q8" s="11" t="s">
        <v>23</v>
      </c>
      <c r="R8" s="89" t="s">
        <v>24</v>
      </c>
    </row>
    <row r="9" spans="1:32" s="4" customFormat="1" ht="15" customHeight="1">
      <c r="A9" s="88">
        <v>1</v>
      </c>
      <c r="B9" s="65">
        <v>28.1</v>
      </c>
      <c r="C9" s="65">
        <v>27.5</v>
      </c>
      <c r="D9" s="65">
        <v>27.6</v>
      </c>
      <c r="E9" s="65">
        <v>27.9</v>
      </c>
      <c r="F9" s="65">
        <v>27.2</v>
      </c>
      <c r="G9" s="65">
        <v>27.4</v>
      </c>
      <c r="H9" s="65">
        <v>27.4</v>
      </c>
      <c r="I9" s="65">
        <v>27.7</v>
      </c>
      <c r="J9" s="65">
        <v>27.2</v>
      </c>
      <c r="K9" s="65">
        <v>27.1</v>
      </c>
      <c r="L9" s="155"/>
      <c r="M9" s="159"/>
      <c r="N9" s="160"/>
      <c r="O9" s="13" t="s">
        <v>25</v>
      </c>
      <c r="P9" s="68">
        <v>1.123</v>
      </c>
      <c r="Q9" s="13" t="s">
        <v>26</v>
      </c>
      <c r="R9" s="90" t="s">
        <v>27</v>
      </c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88">
        <v>2</v>
      </c>
      <c r="B10" s="65">
        <v>27.8</v>
      </c>
      <c r="C10" s="65">
        <v>27.3</v>
      </c>
      <c r="D10" s="65">
        <v>27.5</v>
      </c>
      <c r="E10" s="65">
        <v>27.2</v>
      </c>
      <c r="F10" s="65">
        <v>27.2</v>
      </c>
      <c r="G10" s="65">
        <v>27.2</v>
      </c>
      <c r="H10" s="65">
        <v>27</v>
      </c>
      <c r="I10" s="65">
        <v>26.9</v>
      </c>
      <c r="J10" s="65">
        <v>27.9</v>
      </c>
      <c r="K10" s="65">
        <v>27.3</v>
      </c>
      <c r="L10" s="156"/>
      <c r="M10" s="161"/>
      <c r="N10" s="162"/>
      <c r="O10" s="13" t="s">
        <v>28</v>
      </c>
      <c r="P10" s="68">
        <v>1.1279999999999999</v>
      </c>
      <c r="Q10" s="13" t="s">
        <v>29</v>
      </c>
      <c r="R10" s="90" t="s">
        <v>27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91">
        <v>3</v>
      </c>
      <c r="B11" s="65">
        <v>27.3</v>
      </c>
      <c r="C11" s="65">
        <v>27.1</v>
      </c>
      <c r="D11" s="65">
        <v>26.9</v>
      </c>
      <c r="E11" s="65">
        <v>27.1</v>
      </c>
      <c r="F11" s="65">
        <v>27.8</v>
      </c>
      <c r="G11" s="65">
        <v>27</v>
      </c>
      <c r="H11" s="65">
        <v>26.9</v>
      </c>
      <c r="I11" s="65">
        <v>27.3</v>
      </c>
      <c r="J11" s="65">
        <v>27.3</v>
      </c>
      <c r="K11" s="65">
        <v>27.4</v>
      </c>
      <c r="L11" s="154" t="s">
        <v>80</v>
      </c>
      <c r="M11" s="157">
        <v>25.2</v>
      </c>
      <c r="N11" s="158"/>
      <c r="O11" s="17" t="s">
        <v>30</v>
      </c>
      <c r="P11" s="74">
        <v>1.6930000000000001</v>
      </c>
      <c r="Q11" s="13" t="s">
        <v>31</v>
      </c>
      <c r="R11" s="90" t="s">
        <v>32</v>
      </c>
      <c r="T11" s="15" t="s">
        <v>33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s="4" customFormat="1" ht="15" customHeight="1">
      <c r="A12" s="92">
        <v>4</v>
      </c>
      <c r="B12" s="65">
        <v>27.3</v>
      </c>
      <c r="C12" s="65">
        <v>27.8</v>
      </c>
      <c r="D12" s="65">
        <v>26.5</v>
      </c>
      <c r="E12" s="65">
        <v>27.1</v>
      </c>
      <c r="F12" s="65">
        <v>27.5</v>
      </c>
      <c r="G12" s="65">
        <v>27.1</v>
      </c>
      <c r="H12" s="65">
        <v>28.3</v>
      </c>
      <c r="I12" s="65">
        <v>27.6</v>
      </c>
      <c r="J12" s="65">
        <v>27.7</v>
      </c>
      <c r="K12" s="65">
        <v>27.5</v>
      </c>
      <c r="L12" s="163"/>
      <c r="M12" s="159"/>
      <c r="N12" s="160"/>
      <c r="O12" s="13" t="s">
        <v>34</v>
      </c>
      <c r="P12" s="68">
        <v>2.0590000000000002</v>
      </c>
      <c r="Q12" s="13" t="s">
        <v>35</v>
      </c>
      <c r="R12" s="90" t="s">
        <v>36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93">
        <v>5</v>
      </c>
      <c r="B13" s="65">
        <v>27.3</v>
      </c>
      <c r="C13" s="65">
        <v>26.9</v>
      </c>
      <c r="D13" s="65">
        <v>27.3</v>
      </c>
      <c r="E13" s="65">
        <v>27.4</v>
      </c>
      <c r="F13" s="65">
        <v>27.2</v>
      </c>
      <c r="G13" s="65">
        <v>27.5</v>
      </c>
      <c r="H13" s="65">
        <v>27.2</v>
      </c>
      <c r="I13" s="65">
        <v>27.8</v>
      </c>
      <c r="J13" s="65">
        <v>27.7</v>
      </c>
      <c r="K13" s="65">
        <v>27.3</v>
      </c>
      <c r="L13" s="164"/>
      <c r="M13" s="161"/>
      <c r="N13" s="162"/>
      <c r="O13" s="22" t="s">
        <v>37</v>
      </c>
      <c r="P13" s="23">
        <v>2.3260000000000001</v>
      </c>
      <c r="Q13" s="13" t="s">
        <v>38</v>
      </c>
      <c r="R13" s="90" t="s">
        <v>39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5"/>
      <c r="AE13" s="15"/>
      <c r="AF13" s="15"/>
    </row>
    <row r="14" spans="1:32" s="4" customFormat="1" ht="15" customHeight="1">
      <c r="A14" s="148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6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167" t="s">
        <v>40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9"/>
      <c r="S15" s="15"/>
      <c r="T15" s="15"/>
      <c r="U15" s="15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4" customFormat="1" ht="15" customHeight="1">
      <c r="A16" s="94" t="s">
        <v>41</v>
      </c>
      <c r="B16" s="25">
        <f t="shared" ref="B16:K16" si="0">MAX(B9:B13)</f>
        <v>28.1</v>
      </c>
      <c r="C16" s="25">
        <f t="shared" si="0"/>
        <v>27.8</v>
      </c>
      <c r="D16" s="25">
        <f t="shared" si="0"/>
        <v>27.6</v>
      </c>
      <c r="E16" s="25">
        <f t="shared" si="0"/>
        <v>27.9</v>
      </c>
      <c r="F16" s="25">
        <f t="shared" si="0"/>
        <v>27.8</v>
      </c>
      <c r="G16" s="25">
        <f t="shared" si="0"/>
        <v>27.5</v>
      </c>
      <c r="H16" s="25">
        <f t="shared" si="0"/>
        <v>28.3</v>
      </c>
      <c r="I16" s="25">
        <f>MAX(I9:I13)</f>
        <v>27.8</v>
      </c>
      <c r="J16" s="25">
        <f t="shared" si="0"/>
        <v>27.9</v>
      </c>
      <c r="K16" s="26">
        <f t="shared" si="0"/>
        <v>27.5</v>
      </c>
      <c r="L16" s="68" t="s">
        <v>42</v>
      </c>
      <c r="M16" s="27">
        <f>(MAX(B16:K16))</f>
        <v>28.3</v>
      </c>
      <c r="N16" s="170" t="s">
        <v>43</v>
      </c>
      <c r="O16" s="171"/>
      <c r="P16" s="172"/>
      <c r="Q16" s="176">
        <f>SUM(Q18:R19)</f>
        <v>0</v>
      </c>
      <c r="R16" s="178" t="s">
        <v>44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5"/>
      <c r="AE16" s="15"/>
      <c r="AF16" s="15"/>
    </row>
    <row r="17" spans="1:32" s="4" customFormat="1" ht="15" customHeight="1">
      <c r="A17" s="95" t="s">
        <v>45</v>
      </c>
      <c r="B17" s="26">
        <f t="shared" ref="B17:J17" si="1">MIN(B9:B13)</f>
        <v>27.3</v>
      </c>
      <c r="C17" s="25">
        <f>MIN(C9:C13)</f>
        <v>26.9</v>
      </c>
      <c r="D17" s="26">
        <f t="shared" si="1"/>
        <v>26.5</v>
      </c>
      <c r="E17" s="26">
        <f t="shared" si="1"/>
        <v>27.1</v>
      </c>
      <c r="F17" s="26">
        <f t="shared" si="1"/>
        <v>27.2</v>
      </c>
      <c r="G17" s="26">
        <f>MIN(G9:G13)</f>
        <v>27</v>
      </c>
      <c r="H17" s="26">
        <f t="shared" si="1"/>
        <v>26.9</v>
      </c>
      <c r="I17" s="25">
        <f>MIN(I9:I13)</f>
        <v>26.9</v>
      </c>
      <c r="J17" s="26">
        <f t="shared" si="1"/>
        <v>27.2</v>
      </c>
      <c r="K17" s="26">
        <f>MIN(K9:K13)</f>
        <v>27.1</v>
      </c>
      <c r="L17" s="68" t="s">
        <v>46</v>
      </c>
      <c r="M17" s="27">
        <f>MIN(B17:K17)</f>
        <v>26.5</v>
      </c>
      <c r="N17" s="173"/>
      <c r="O17" s="174"/>
      <c r="P17" s="175"/>
      <c r="Q17" s="177"/>
      <c r="R17" s="179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s="4" customFormat="1" ht="15" customHeight="1">
      <c r="A18" s="96" t="s">
        <v>47</v>
      </c>
      <c r="B18" s="30">
        <f t="shared" ref="B18:K18" si="2">SUM(MAX(B9:B13)-MIN(B9:B13))</f>
        <v>0.80000000000000071</v>
      </c>
      <c r="C18" s="30">
        <f t="shared" si="2"/>
        <v>0.90000000000000213</v>
      </c>
      <c r="D18" s="30">
        <f t="shared" si="2"/>
        <v>1.1000000000000014</v>
      </c>
      <c r="E18" s="30">
        <f t="shared" si="2"/>
        <v>0.79999999999999716</v>
      </c>
      <c r="F18" s="30">
        <f t="shared" si="2"/>
        <v>0.60000000000000142</v>
      </c>
      <c r="G18" s="30">
        <f>SUM(MAX(G9:G13)-MIN(G9:G13))</f>
        <v>0.5</v>
      </c>
      <c r="H18" s="30">
        <f t="shared" si="2"/>
        <v>1.4000000000000021</v>
      </c>
      <c r="I18" s="30">
        <f t="shared" si="2"/>
        <v>0.90000000000000213</v>
      </c>
      <c r="J18" s="30">
        <f t="shared" si="2"/>
        <v>0.69999999999999929</v>
      </c>
      <c r="K18" s="26">
        <f t="shared" si="2"/>
        <v>0.39999999999999858</v>
      </c>
      <c r="L18" s="31" t="s">
        <v>48</v>
      </c>
      <c r="M18" s="78">
        <f>AVERAGE(B18:K18)</f>
        <v>0.8100000000000005</v>
      </c>
      <c r="N18" s="144" t="s">
        <v>49</v>
      </c>
      <c r="O18" s="145"/>
      <c r="P18" s="145"/>
      <c r="Q18" s="71">
        <f>COUNTIF(B9:K13,"&gt;"&amp;TEXT(M8,"0.000000"))</f>
        <v>0</v>
      </c>
      <c r="R18" s="97" t="s">
        <v>44</v>
      </c>
      <c r="U18" s="35"/>
    </row>
    <row r="19" spans="1:32" s="4" customFormat="1" ht="15" customHeight="1">
      <c r="A19" s="98" t="s">
        <v>50</v>
      </c>
      <c r="B19" s="26">
        <f>(AVERAGE(B9:B13))</f>
        <v>27.560000000000002</v>
      </c>
      <c r="C19" s="26">
        <f t="shared" ref="C19:K19" si="3">AVERAGE(C9:C13)</f>
        <v>27.32</v>
      </c>
      <c r="D19" s="26">
        <f t="shared" si="3"/>
        <v>27.160000000000004</v>
      </c>
      <c r="E19" s="26">
        <f t="shared" si="3"/>
        <v>27.339999999999996</v>
      </c>
      <c r="F19" s="26">
        <f t="shared" si="3"/>
        <v>27.380000000000003</v>
      </c>
      <c r="G19" s="26">
        <f>AVERAGE(G9:G13)</f>
        <v>27.24</v>
      </c>
      <c r="H19" s="26">
        <f t="shared" si="3"/>
        <v>27.359999999999996</v>
      </c>
      <c r="I19" s="26">
        <f t="shared" si="3"/>
        <v>27.46</v>
      </c>
      <c r="J19" s="26">
        <f t="shared" si="3"/>
        <v>27.559999999999995</v>
      </c>
      <c r="K19" s="26">
        <f t="shared" si="3"/>
        <v>27.320000000000004</v>
      </c>
      <c r="L19" s="31" t="s">
        <v>51</v>
      </c>
      <c r="M19" s="36">
        <f>ROUNDUP(AVERAGE(B9:K13),4)</f>
        <v>27.37</v>
      </c>
      <c r="N19" s="144" t="s">
        <v>52</v>
      </c>
      <c r="O19" s="235"/>
      <c r="P19" s="235"/>
      <c r="Q19" s="37">
        <f>COUNTIF(B9:K13,"&lt;"&amp;TEXT(M11,"0.000000"))</f>
        <v>0</v>
      </c>
      <c r="R19" s="99" t="s">
        <v>44</v>
      </c>
    </row>
    <row r="20" spans="1:32" s="4" customFormat="1" ht="15" customHeight="1">
      <c r="A20" s="118" t="s">
        <v>53</v>
      </c>
      <c r="B20" s="141"/>
      <c r="C20" s="141"/>
      <c r="D20" s="183">
        <f>ROUNDUP(SUM(M16-M17),4)</f>
        <v>1.8</v>
      </c>
      <c r="E20" s="184"/>
      <c r="F20" s="140" t="s">
        <v>54</v>
      </c>
      <c r="G20" s="141"/>
      <c r="H20" s="141"/>
      <c r="I20" s="183">
        <f>ROUNDUP(ABS(SUM(M8-M11)),4)</f>
        <v>4.2</v>
      </c>
      <c r="J20" s="184"/>
      <c r="K20" s="140" t="s">
        <v>55</v>
      </c>
      <c r="L20" s="141"/>
      <c r="M20" s="141"/>
      <c r="N20" s="69">
        <f>ROUNDUP(SUM((2*(N22))/I20),4)</f>
        <v>3.3400000000000006E-2</v>
      </c>
      <c r="O20" s="142" t="s">
        <v>56</v>
      </c>
      <c r="P20" s="143"/>
      <c r="Q20" s="40" t="s">
        <v>57</v>
      </c>
      <c r="R20" s="100" t="s">
        <v>58</v>
      </c>
    </row>
    <row r="21" spans="1:32" s="4" customFormat="1" ht="15" customHeight="1">
      <c r="A21" s="118" t="s">
        <v>59</v>
      </c>
      <c r="B21" s="141"/>
      <c r="C21" s="141"/>
      <c r="D21" s="183">
        <f>ROUNDUP(AVERAGE(M8:M11),4)</f>
        <v>27.3</v>
      </c>
      <c r="E21" s="184"/>
      <c r="F21" s="140" t="s">
        <v>60</v>
      </c>
      <c r="G21" s="141"/>
      <c r="H21" s="141"/>
      <c r="I21" s="188">
        <f>ROUNDUP(SUM(D20/N21),4)</f>
        <v>0.36</v>
      </c>
      <c r="J21" s="189"/>
      <c r="K21" s="140" t="s">
        <v>61</v>
      </c>
      <c r="L21" s="141"/>
      <c r="M21" s="141"/>
      <c r="N21" s="75" t="str">
        <f>IF(I22/10&lt;=5,"5",IF(I22/10&lt;=6,"6",IF(I22/10&lt;=7,"7","8")))</f>
        <v>5</v>
      </c>
      <c r="O21" s="42">
        <f>ROUNDUP(SUM(P21-I21),4)</f>
        <v>24.96</v>
      </c>
      <c r="P21" s="42">
        <f>ROUNDUP(SUM(P22-I21),4)</f>
        <v>25.32</v>
      </c>
      <c r="Q21" s="26">
        <f>SUM(R21)</f>
        <v>0</v>
      </c>
      <c r="R21" s="101">
        <f>FREQUENCY(B9:K13,P21:P22)</f>
        <v>0</v>
      </c>
    </row>
    <row r="22" spans="1:32" s="4" customFormat="1" ht="15" customHeight="1">
      <c r="A22" s="118" t="s">
        <v>62</v>
      </c>
      <c r="B22" s="141"/>
      <c r="C22" s="141"/>
      <c r="D22" s="183">
        <f>ROUNDUP(SUM(M17-(IF(M6=M33,J33,IF(M6=M34,J34,IF(M6=M35,J35,IF(M6=M36,J36,IF(M6=M37,J37))))))),4)</f>
        <v>26.4</v>
      </c>
      <c r="E22" s="184"/>
      <c r="F22" s="140" t="s">
        <v>63</v>
      </c>
      <c r="G22" s="141"/>
      <c r="H22" s="141"/>
      <c r="I22" s="183">
        <f>COUNTIF((B9:K13),"&gt;0")</f>
        <v>50</v>
      </c>
      <c r="J22" s="183"/>
      <c r="K22" s="140" t="s">
        <v>64</v>
      </c>
      <c r="L22" s="141"/>
      <c r="M22" s="141"/>
      <c r="N22" s="70">
        <f>(ABS(SUM(M19-D21)))</f>
        <v>7.0000000000000284E-2</v>
      </c>
      <c r="O22" s="42">
        <f>ROUNDUP(SUM(P22-I21),4)</f>
        <v>25.32</v>
      </c>
      <c r="P22" s="42">
        <f>ROUNDUP(SUM(P23-I21),4)</f>
        <v>25.68</v>
      </c>
      <c r="Q22" s="26">
        <f t="shared" ref="Q22:Q32" si="4">SUM(R22-R21)</f>
        <v>0</v>
      </c>
      <c r="R22" s="101">
        <f>FREQUENCY(B9:K13,P22:P23)</f>
        <v>0</v>
      </c>
    </row>
    <row r="23" spans="1:32" s="2" customFormat="1" ht="17.100000000000001" customHeight="1">
      <c r="A23" s="102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2">
        <f>ROUNDUP(SUM(P23-I21),4)</f>
        <v>25.68</v>
      </c>
      <c r="P23" s="42">
        <f>ROUNDUP(SUM(P24-I21),4)</f>
        <v>26.04</v>
      </c>
      <c r="Q23" s="26">
        <f t="shared" si="4"/>
        <v>0</v>
      </c>
      <c r="R23" s="101">
        <f>FREQUENCY(B9:K13,P23:P24)</f>
        <v>0</v>
      </c>
    </row>
    <row r="24" spans="1:32" s="2" customFormat="1" ht="17.100000000000001" customHeight="1">
      <c r="A24" s="103" t="s">
        <v>65</v>
      </c>
      <c r="B24" s="68">
        <f>Q33</f>
        <v>27.847900000000003</v>
      </c>
      <c r="C24" s="68">
        <f>Q33</f>
        <v>27.847900000000003</v>
      </c>
      <c r="D24" s="68">
        <f>Q33</f>
        <v>27.847900000000003</v>
      </c>
      <c r="E24" s="68">
        <f>Q33</f>
        <v>27.847900000000003</v>
      </c>
      <c r="F24" s="46">
        <f>Q33</f>
        <v>27.847900000000003</v>
      </c>
      <c r="G24" s="46">
        <f>Q33</f>
        <v>27.847900000000003</v>
      </c>
      <c r="H24" s="46">
        <f>Q33</f>
        <v>27.847900000000003</v>
      </c>
      <c r="I24" s="68">
        <f>Q33</f>
        <v>27.847900000000003</v>
      </c>
      <c r="J24" s="68">
        <f>Q33</f>
        <v>27.847900000000003</v>
      </c>
      <c r="K24" s="27">
        <f>Q33</f>
        <v>27.847900000000003</v>
      </c>
      <c r="L24" s="49"/>
      <c r="M24" s="47"/>
      <c r="N24" s="47"/>
      <c r="O24" s="42">
        <f>ROUNDUP(SUM(P24-I21),4)</f>
        <v>26.04</v>
      </c>
      <c r="P24" s="42">
        <f>ROUNDUP((D22),4)</f>
        <v>26.4</v>
      </c>
      <c r="Q24" s="26">
        <f t="shared" si="4"/>
        <v>0</v>
      </c>
      <c r="R24" s="101">
        <f>FREQUENCY(B9:K13,P24:P25)</f>
        <v>0</v>
      </c>
    </row>
    <row r="25" spans="1:32" s="2" customFormat="1" ht="17.100000000000001" customHeight="1">
      <c r="A25" s="104" t="s">
        <v>66</v>
      </c>
      <c r="B25" s="27">
        <f>Q34</f>
        <v>26.892099999999999</v>
      </c>
      <c r="C25" s="27">
        <f>Q34</f>
        <v>26.892099999999999</v>
      </c>
      <c r="D25" s="27">
        <f>Q34</f>
        <v>26.892099999999999</v>
      </c>
      <c r="E25" s="27">
        <f>Q34</f>
        <v>26.892099999999999</v>
      </c>
      <c r="F25" s="27">
        <f>Q34</f>
        <v>26.892099999999999</v>
      </c>
      <c r="G25" s="27">
        <f>Q34</f>
        <v>26.892099999999999</v>
      </c>
      <c r="H25" s="27">
        <f>Q34</f>
        <v>26.892099999999999</v>
      </c>
      <c r="I25" s="27">
        <f>Q34</f>
        <v>26.892099999999999</v>
      </c>
      <c r="J25" s="27">
        <f>Q34</f>
        <v>26.892099999999999</v>
      </c>
      <c r="K25" s="27">
        <f>Q34</f>
        <v>26.892099999999999</v>
      </c>
      <c r="L25" s="49"/>
      <c r="M25" s="49"/>
      <c r="N25" s="49"/>
      <c r="O25" s="42">
        <f>ROUNDUP((D22),4)</f>
        <v>26.4</v>
      </c>
      <c r="P25" s="42">
        <f>ROUNDUP(SUM(P24+I21),4)</f>
        <v>26.76</v>
      </c>
      <c r="Q25" s="26">
        <f t="shared" si="4"/>
        <v>1</v>
      </c>
      <c r="R25" s="101">
        <f>FREQUENCY(B9:K13,P25:P26)</f>
        <v>1</v>
      </c>
    </row>
    <row r="26" spans="1:32" s="2" customFormat="1" ht="17.100000000000001" customHeight="1">
      <c r="A26" s="103" t="s">
        <v>67</v>
      </c>
      <c r="B26" s="27">
        <f>Q35</f>
        <v>1.709100000000001</v>
      </c>
      <c r="C26" s="27">
        <f>Q35</f>
        <v>1.709100000000001</v>
      </c>
      <c r="D26" s="27">
        <f>Q35</f>
        <v>1.709100000000001</v>
      </c>
      <c r="E26" s="50">
        <f>Q35</f>
        <v>1.709100000000001</v>
      </c>
      <c r="F26" s="50">
        <f>Q35</f>
        <v>1.709100000000001</v>
      </c>
      <c r="G26" s="50">
        <f>Q35</f>
        <v>1.709100000000001</v>
      </c>
      <c r="H26" s="27">
        <f>Q35</f>
        <v>1.709100000000001</v>
      </c>
      <c r="I26" s="27">
        <f>Q35</f>
        <v>1.709100000000001</v>
      </c>
      <c r="J26" s="27">
        <f>Q35</f>
        <v>1.709100000000001</v>
      </c>
      <c r="K26" s="27">
        <f>Q35</f>
        <v>1.709100000000001</v>
      </c>
      <c r="L26" s="49"/>
      <c r="M26" s="49"/>
      <c r="N26" s="49"/>
      <c r="O26" s="42">
        <f>ROUNDUP(SUM(P24+I21),4)</f>
        <v>26.76</v>
      </c>
      <c r="P26" s="42">
        <f>ROUNDUP(SUM(P25+I21),4)</f>
        <v>27.12</v>
      </c>
      <c r="Q26" s="26">
        <f t="shared" si="4"/>
        <v>11</v>
      </c>
      <c r="R26" s="101">
        <f>FREQUENCY(B9:K13,P26:P27)</f>
        <v>12</v>
      </c>
    </row>
    <row r="27" spans="1:32" s="2" customFormat="1" ht="17.100000000000001" customHeight="1">
      <c r="A27" s="103" t="s">
        <v>66</v>
      </c>
      <c r="B27" s="50">
        <f>Q36</f>
        <v>0</v>
      </c>
      <c r="C27" s="50">
        <f>Q36</f>
        <v>0</v>
      </c>
      <c r="D27" s="50">
        <f>Q36</f>
        <v>0</v>
      </c>
      <c r="E27" s="50">
        <f>Q36</f>
        <v>0</v>
      </c>
      <c r="F27" s="50">
        <f>Q36</f>
        <v>0</v>
      </c>
      <c r="G27" s="50">
        <f>Q36</f>
        <v>0</v>
      </c>
      <c r="H27" s="50">
        <f>Q36</f>
        <v>0</v>
      </c>
      <c r="I27" s="50">
        <f>Q36</f>
        <v>0</v>
      </c>
      <c r="J27" s="50">
        <f>Q36</f>
        <v>0</v>
      </c>
      <c r="K27" s="27">
        <f>Q36</f>
        <v>0</v>
      </c>
      <c r="L27" s="49"/>
      <c r="M27" s="49"/>
      <c r="N27" s="49"/>
      <c r="O27" s="42">
        <f>ROUNDUP(SUM(P25+I21),4)</f>
        <v>27.12</v>
      </c>
      <c r="P27" s="42">
        <f>ROUNDUP(SUM(P26+I21),4)</f>
        <v>27.48</v>
      </c>
      <c r="Q27" s="26">
        <v>0</v>
      </c>
      <c r="R27" s="101">
        <f>FREQUENCY(B9:K13,P27:P28)</f>
        <v>32</v>
      </c>
    </row>
    <row r="28" spans="1:32" s="2" customFormat="1" ht="17.100000000000001" customHeight="1">
      <c r="A28" s="103" t="s">
        <v>68</v>
      </c>
      <c r="B28" s="27">
        <f>ROUNDUP(AVERAGE(B9:K13),4)</f>
        <v>27.37</v>
      </c>
      <c r="C28" s="27">
        <f>ROUNDUP(AVERAGE(B9:K13),4)</f>
        <v>27.37</v>
      </c>
      <c r="D28" s="27">
        <f>ROUNDUP(AVERAGE(B9:K13),4)</f>
        <v>27.37</v>
      </c>
      <c r="E28" s="50">
        <f>ROUNDUP(AVERAGE(B9:K13),4)</f>
        <v>27.37</v>
      </c>
      <c r="F28" s="50">
        <f>ROUNDUP(AVERAGE(B9:K13),4)</f>
        <v>27.37</v>
      </c>
      <c r="G28" s="50">
        <f>ROUNDUP(AVERAGE(B9:K13),4)</f>
        <v>27.37</v>
      </c>
      <c r="H28" s="27">
        <f>ROUNDUP(AVERAGE(B9:K13),4)</f>
        <v>27.37</v>
      </c>
      <c r="I28" s="27">
        <f>ROUNDUP(AVERAGE(B9:K13),4)</f>
        <v>27.37</v>
      </c>
      <c r="J28" s="27">
        <f>ROUNDUP(AVERAGE(B9:K13),4)</f>
        <v>27.37</v>
      </c>
      <c r="K28" s="27">
        <f>ROUNDUP(AVERAGE(B9:K13),4)</f>
        <v>27.37</v>
      </c>
      <c r="L28" s="49"/>
      <c r="M28" s="49"/>
      <c r="N28" s="49"/>
      <c r="O28" s="42">
        <f>ROUNDUP(SUM(P26+I21),4)</f>
        <v>27.48</v>
      </c>
      <c r="P28" s="42">
        <f>ROUNDUP(SUM(P27+I21),4)</f>
        <v>27.84</v>
      </c>
      <c r="Q28" s="68">
        <f t="shared" si="4"/>
        <v>14</v>
      </c>
      <c r="R28" s="101">
        <f>FREQUENCY(B9:K13,P28:P29)</f>
        <v>46</v>
      </c>
    </row>
    <row r="29" spans="1:32" ht="17.100000000000001" customHeight="1">
      <c r="A29" s="103" t="s">
        <v>69</v>
      </c>
      <c r="B29" s="27">
        <f>AVERAGE(B18:K18)</f>
        <v>0.8100000000000005</v>
      </c>
      <c r="C29" s="27">
        <f>AVERAGE(B18:K18)</f>
        <v>0.8100000000000005</v>
      </c>
      <c r="D29" s="27">
        <f>AVERAGE(B18:K18)</f>
        <v>0.8100000000000005</v>
      </c>
      <c r="E29" s="27">
        <f>AVERAGE(B18:K18)</f>
        <v>0.8100000000000005</v>
      </c>
      <c r="F29" s="27">
        <f>AVERAGE(B18:K18)</f>
        <v>0.8100000000000005</v>
      </c>
      <c r="G29" s="27">
        <f>AVERAGE(B18:K18)</f>
        <v>0.8100000000000005</v>
      </c>
      <c r="H29" s="27">
        <f>AVERAGE(B18:K18)</f>
        <v>0.8100000000000005</v>
      </c>
      <c r="I29" s="27">
        <f>AVERAGE(B18:K18)</f>
        <v>0.8100000000000005</v>
      </c>
      <c r="J29" s="27">
        <f>AVERAGE(B18:K18)</f>
        <v>0.8100000000000005</v>
      </c>
      <c r="K29" s="27">
        <f>AVERAGE(B18:K18)</f>
        <v>0.8100000000000005</v>
      </c>
      <c r="L29" s="105"/>
      <c r="M29" s="49"/>
      <c r="N29" s="49"/>
      <c r="O29" s="42">
        <f>ROUNDUP(SUM(P27+I21),4)</f>
        <v>27.84</v>
      </c>
      <c r="P29" s="42">
        <f>ROUNDUP(SUM(P28+I21),4)</f>
        <v>28.2</v>
      </c>
      <c r="Q29" s="68">
        <f t="shared" si="4"/>
        <v>3</v>
      </c>
      <c r="R29" s="101">
        <f>FREQUENCY(B9:K13,P29:P30)</f>
        <v>49</v>
      </c>
    </row>
    <row r="30" spans="1:32" ht="17.100000000000001" customHeight="1">
      <c r="A30" s="10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49"/>
      <c r="M30" s="49"/>
      <c r="N30" s="49"/>
      <c r="O30" s="42">
        <f>ROUNDUP(SUM(P28+I21),4)</f>
        <v>28.2</v>
      </c>
      <c r="P30" s="42">
        <f>ROUNDUP(SUM(P29+I21),4)</f>
        <v>28.56</v>
      </c>
      <c r="Q30" s="68">
        <f t="shared" si="4"/>
        <v>1</v>
      </c>
      <c r="R30" s="101">
        <f>FREQUENCY(B9:K13,P30:P31)</f>
        <v>50</v>
      </c>
    </row>
    <row r="31" spans="1:32" ht="17.100000000000001" customHeight="1">
      <c r="A31" s="102"/>
      <c r="B31" s="44"/>
      <c r="C31" s="20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2">
        <f>ROUNDUP(SUM(P29+I21),4)</f>
        <v>28.56</v>
      </c>
      <c r="P31" s="42">
        <f>ROUNDUP(SUM(P30+I21),4)</f>
        <v>28.92</v>
      </c>
      <c r="Q31" s="68">
        <f t="shared" si="4"/>
        <v>0</v>
      </c>
      <c r="R31" s="101">
        <f>FREQUENCY(B9:K13,P31:P32)</f>
        <v>50</v>
      </c>
    </row>
    <row r="32" spans="1:32" ht="17.100000000000001" customHeight="1">
      <c r="A32" s="106"/>
      <c r="B32" s="15"/>
      <c r="C32" s="15"/>
      <c r="D32" s="15"/>
      <c r="E32" s="15"/>
      <c r="F32" s="52"/>
      <c r="G32" s="52"/>
      <c r="H32" s="52"/>
      <c r="I32" s="15"/>
      <c r="J32" s="182" t="s">
        <v>70</v>
      </c>
      <c r="K32" s="183"/>
      <c r="L32" s="184"/>
      <c r="M32" s="53" t="s">
        <v>71</v>
      </c>
      <c r="N32" s="47"/>
      <c r="O32" s="42">
        <f>ROUNDUP(SUM(P30+I21),4)</f>
        <v>28.92</v>
      </c>
      <c r="P32" s="42">
        <f>ROUNDUP(SUM(P31+I21),4)</f>
        <v>29.28</v>
      </c>
      <c r="Q32" s="68">
        <f t="shared" si="4"/>
        <v>0</v>
      </c>
      <c r="R32" s="101">
        <f>FREQUENCY(B9:K13,P32:P32)</f>
        <v>50</v>
      </c>
    </row>
    <row r="33" spans="1:19" ht="17.100000000000001" customHeight="1">
      <c r="A33" s="106"/>
      <c r="B33" s="20"/>
      <c r="C33" s="20"/>
      <c r="D33" s="20"/>
      <c r="E33" s="20"/>
      <c r="F33" s="20"/>
      <c r="G33" s="20"/>
      <c r="H33" s="20"/>
      <c r="I33" s="20"/>
      <c r="J33" s="182">
        <v>1</v>
      </c>
      <c r="K33" s="183"/>
      <c r="L33" s="184"/>
      <c r="M33" s="53">
        <v>0</v>
      </c>
      <c r="N33" s="49"/>
      <c r="O33" s="140" t="s">
        <v>72</v>
      </c>
      <c r="P33" s="186"/>
      <c r="Q33" s="180">
        <f>(M19+(Q13*M18))</f>
        <v>27.847900000000003</v>
      </c>
      <c r="R33" s="181"/>
      <c r="S33" s="54"/>
    </row>
    <row r="34" spans="1:19" ht="17.100000000000001" customHeight="1">
      <c r="A34" s="106"/>
      <c r="B34" s="20"/>
      <c r="C34" s="20"/>
      <c r="D34" s="20"/>
      <c r="E34" s="20"/>
      <c r="F34" s="20"/>
      <c r="G34" s="20"/>
      <c r="H34" s="20"/>
      <c r="I34" s="20"/>
      <c r="J34" s="182">
        <v>0.1</v>
      </c>
      <c r="K34" s="183"/>
      <c r="L34" s="184"/>
      <c r="M34" s="53">
        <v>1</v>
      </c>
      <c r="N34" s="49"/>
      <c r="O34" s="185" t="s">
        <v>73</v>
      </c>
      <c r="P34" s="186"/>
      <c r="Q34" s="187">
        <f>(M19-(Q13*M18))</f>
        <v>26.892099999999999</v>
      </c>
      <c r="R34" s="181"/>
    </row>
    <row r="35" spans="1:19" ht="17.100000000000001" customHeight="1">
      <c r="A35" s="106"/>
      <c r="B35" s="20"/>
      <c r="C35" s="20"/>
      <c r="D35" s="20"/>
      <c r="E35" s="20"/>
      <c r="F35" s="20"/>
      <c r="G35" s="20"/>
      <c r="H35" s="20"/>
      <c r="I35" s="20"/>
      <c r="J35" s="182">
        <v>0.01</v>
      </c>
      <c r="K35" s="183"/>
      <c r="L35" s="184"/>
      <c r="M35" s="53">
        <v>2</v>
      </c>
      <c r="N35" s="49"/>
      <c r="O35" s="140" t="s">
        <v>74</v>
      </c>
      <c r="P35" s="186"/>
      <c r="Q35" s="196">
        <f>M18*R13</f>
        <v>1.709100000000001</v>
      </c>
      <c r="R35" s="181"/>
    </row>
    <row r="36" spans="1:19" ht="17.100000000000001" customHeight="1">
      <c r="A36" s="106"/>
      <c r="B36" s="20"/>
      <c r="C36" s="20"/>
      <c r="D36" s="20"/>
      <c r="E36" s="20"/>
      <c r="F36" s="20"/>
      <c r="G36" s="20"/>
      <c r="H36" s="20"/>
      <c r="I36" s="20"/>
      <c r="J36" s="182">
        <v>1E-3</v>
      </c>
      <c r="K36" s="183"/>
      <c r="L36" s="184"/>
      <c r="M36" s="79">
        <v>3</v>
      </c>
      <c r="N36" s="49"/>
      <c r="O36" s="140" t="s">
        <v>75</v>
      </c>
      <c r="P36" s="186"/>
      <c r="Q36" s="197">
        <f>M18*0</f>
        <v>0</v>
      </c>
      <c r="R36" s="198"/>
    </row>
    <row r="37" spans="1:19" s="60" customFormat="1" ht="17.100000000000001" customHeight="1">
      <c r="A37" s="107"/>
      <c r="B37" s="58"/>
      <c r="C37" s="57"/>
      <c r="D37" s="59"/>
      <c r="E37" s="59"/>
      <c r="F37" s="59"/>
      <c r="G37" s="59"/>
      <c r="H37" s="59"/>
      <c r="I37" s="59"/>
      <c r="J37" s="230">
        <v>1E-4</v>
      </c>
      <c r="K37" s="230"/>
      <c r="L37" s="230"/>
      <c r="M37" s="79">
        <v>4</v>
      </c>
      <c r="N37" s="59"/>
      <c r="O37" s="231" t="s">
        <v>76</v>
      </c>
      <c r="P37" s="232"/>
      <c r="Q37" s="199">
        <f>STDEV(B9:K13)</f>
        <v>0.34241042326305404</v>
      </c>
      <c r="R37" s="198"/>
    </row>
    <row r="38" spans="1:19" ht="17.100000000000001" customHeight="1">
      <c r="A38" s="108"/>
      <c r="B38" s="58"/>
      <c r="C38" s="59"/>
      <c r="D38" s="59"/>
      <c r="E38" s="59"/>
      <c r="F38" s="59"/>
      <c r="G38" s="59"/>
      <c r="H38" s="59"/>
      <c r="I38" s="59"/>
      <c r="J38" s="61"/>
      <c r="K38" s="59"/>
      <c r="L38" s="59"/>
      <c r="M38" s="105"/>
      <c r="N38" s="59"/>
      <c r="O38" s="200" t="s">
        <v>88</v>
      </c>
      <c r="P38" s="201"/>
      <c r="Q38" s="199">
        <f>ROUNDUP(SUM(I20/(6*Q37)),4)</f>
        <v>2.0444</v>
      </c>
      <c r="R38" s="181"/>
    </row>
    <row r="39" spans="1:19" ht="15.75" customHeight="1">
      <c r="A39" s="217" t="s">
        <v>77</v>
      </c>
      <c r="B39" s="218"/>
      <c r="C39" s="221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3"/>
      <c r="O39" s="200" t="s">
        <v>87</v>
      </c>
      <c r="P39" s="201"/>
      <c r="Q39" s="199">
        <f>ROUNDUP(SUM((1-N20)*Q38),4)</f>
        <v>1.9762</v>
      </c>
      <c r="R39" s="181"/>
    </row>
    <row r="40" spans="1:19" ht="15.75" customHeight="1">
      <c r="A40" s="217"/>
      <c r="B40" s="218"/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6"/>
      <c r="O40" s="233" t="s">
        <v>78</v>
      </c>
      <c r="P40" s="234"/>
      <c r="Q40" s="190" t="s">
        <v>106</v>
      </c>
      <c r="R40" s="191"/>
    </row>
    <row r="41" spans="1:19" ht="15.75" customHeight="1" thickBot="1">
      <c r="A41" s="219"/>
      <c r="B41" s="220"/>
      <c r="C41" s="227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9"/>
      <c r="O41" s="192" t="s">
        <v>86</v>
      </c>
      <c r="P41" s="193"/>
      <c r="Q41" s="194" t="s">
        <v>107</v>
      </c>
      <c r="R41" s="195"/>
    </row>
    <row r="42" spans="1:19">
      <c r="M42" s="63"/>
      <c r="P42" s="64"/>
    </row>
  </sheetData>
  <mergeCells count="76">
    <mergeCell ref="C1:P2"/>
    <mergeCell ref="C3:P3"/>
    <mergeCell ref="A1:B3"/>
    <mergeCell ref="A39:B41"/>
    <mergeCell ref="C39:N41"/>
    <mergeCell ref="J37:L37"/>
    <mergeCell ref="O37:P37"/>
    <mergeCell ref="O40:P40"/>
    <mergeCell ref="J32:L32"/>
    <mergeCell ref="J33:L33"/>
    <mergeCell ref="O33:P33"/>
    <mergeCell ref="N19:P19"/>
    <mergeCell ref="A20:C20"/>
    <mergeCell ref="D20:E20"/>
    <mergeCell ref="F20:H20"/>
    <mergeCell ref="I20:J20"/>
    <mergeCell ref="Q40:R40"/>
    <mergeCell ref="O41:P41"/>
    <mergeCell ref="Q41:R41"/>
    <mergeCell ref="J35:L35"/>
    <mergeCell ref="O35:P35"/>
    <mergeCell ref="Q35:R35"/>
    <mergeCell ref="J36:L36"/>
    <mergeCell ref="O36:P36"/>
    <mergeCell ref="Q36:R36"/>
    <mergeCell ref="Q37:R37"/>
    <mergeCell ref="O38:P38"/>
    <mergeCell ref="Q38:R38"/>
    <mergeCell ref="O39:P39"/>
    <mergeCell ref="Q39:R39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K20:M20"/>
    <mergeCell ref="O20:P20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</mergeCells>
  <printOptions horizontalCentered="1"/>
  <pageMargins left="0.3" right="0.14000000000000001" top="0.43" bottom="0.37" header="0.37" footer="0.28999999999999998"/>
  <pageSetup scale="79" orientation="landscape" horizontalDpi="300" verticalDpi="300" r:id="rId1"/>
  <headerFooter alignWithMargins="0">
    <oddFooter>&amp;CPage &amp;P&amp;R&amp;Z&amp;F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zoomScaleNormal="100" zoomScaleSheetLayoutView="100" workbookViewId="0">
      <selection activeCell="O40" sqref="O40:R41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1" style="1" customWidth="1"/>
    <col min="15" max="15" width="8.5703125" style="1" customWidth="1"/>
    <col min="16" max="16" width="9.28515625" style="1" customWidth="1"/>
    <col min="17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2.5" customHeight="1">
      <c r="A1" s="211"/>
      <c r="B1" s="212"/>
      <c r="C1" s="202" t="s">
        <v>90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80" t="s">
        <v>102</v>
      </c>
      <c r="R1" s="81" t="s">
        <v>105</v>
      </c>
    </row>
    <row r="2" spans="1:32" ht="22.5" customHeight="1">
      <c r="A2" s="213"/>
      <c r="B2" s="21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82" t="s">
        <v>103</v>
      </c>
      <c r="R2" s="83" t="s">
        <v>100</v>
      </c>
    </row>
    <row r="3" spans="1:32" s="2" customFormat="1" ht="22.5" customHeight="1" thickBot="1">
      <c r="A3" s="215"/>
      <c r="B3" s="216"/>
      <c r="C3" s="208" t="s">
        <v>0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84" t="s">
        <v>104</v>
      </c>
      <c r="R3" s="85" t="s">
        <v>101</v>
      </c>
    </row>
    <row r="4" spans="1:32" s="4" customFormat="1" ht="15" customHeight="1">
      <c r="A4" s="131" t="s">
        <v>1</v>
      </c>
      <c r="B4" s="132"/>
      <c r="C4" s="244" t="s">
        <v>95</v>
      </c>
      <c r="D4" s="245"/>
      <c r="E4" s="246"/>
      <c r="F4" s="247" t="s">
        <v>2</v>
      </c>
      <c r="G4" s="248"/>
      <c r="H4" s="244" t="s">
        <v>85</v>
      </c>
      <c r="I4" s="245"/>
      <c r="J4" s="246"/>
      <c r="K4" s="249" t="s">
        <v>4</v>
      </c>
      <c r="L4" s="132"/>
      <c r="M4" s="77" t="s">
        <v>89</v>
      </c>
      <c r="N4" s="110"/>
      <c r="O4" s="236"/>
      <c r="P4" s="237"/>
      <c r="Q4" s="237"/>
      <c r="R4" s="238"/>
    </row>
    <row r="5" spans="1:32" s="4" customFormat="1" ht="15" customHeight="1">
      <c r="A5" s="118" t="s">
        <v>5</v>
      </c>
      <c r="B5" s="119"/>
      <c r="C5" s="239" t="s">
        <v>6</v>
      </c>
      <c r="D5" s="240"/>
      <c r="E5" s="241"/>
      <c r="F5" s="140" t="s">
        <v>7</v>
      </c>
      <c r="G5" s="242"/>
      <c r="H5" s="239" t="s">
        <v>98</v>
      </c>
      <c r="I5" s="240"/>
      <c r="J5" s="241"/>
      <c r="K5" s="141" t="s">
        <v>9</v>
      </c>
      <c r="L5" s="119"/>
      <c r="M5" s="76"/>
      <c r="N5" s="111"/>
      <c r="O5" s="115"/>
      <c r="P5" s="116"/>
      <c r="Q5" s="116"/>
      <c r="R5" s="117"/>
    </row>
    <row r="6" spans="1:32" s="4" customFormat="1" ht="15" customHeight="1">
      <c r="A6" s="118" t="s">
        <v>11</v>
      </c>
      <c r="B6" s="119"/>
      <c r="C6" s="197" t="s">
        <v>12</v>
      </c>
      <c r="D6" s="256"/>
      <c r="E6" s="257"/>
      <c r="F6" s="140" t="s">
        <v>13</v>
      </c>
      <c r="G6" s="242"/>
      <c r="H6" s="239" t="s">
        <v>14</v>
      </c>
      <c r="I6" s="240"/>
      <c r="J6" s="241"/>
      <c r="K6" s="140" t="s">
        <v>15</v>
      </c>
      <c r="L6" s="243"/>
      <c r="M6" s="76">
        <v>1</v>
      </c>
      <c r="N6" s="68"/>
      <c r="O6" s="146"/>
      <c r="P6" s="147"/>
      <c r="Q6" s="68" t="s">
        <v>16</v>
      </c>
      <c r="R6" s="86" t="s">
        <v>108</v>
      </c>
    </row>
    <row r="7" spans="1:32" s="4" customFormat="1" ht="15" customHeight="1">
      <c r="A7" s="148" t="s">
        <v>17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50"/>
      <c r="M7" s="151" t="s">
        <v>18</v>
      </c>
      <c r="N7" s="152"/>
      <c r="O7" s="152"/>
      <c r="P7" s="152"/>
      <c r="Q7" s="153"/>
      <c r="R7" s="87" t="s">
        <v>19</v>
      </c>
    </row>
    <row r="8" spans="1:32" s="4" customFormat="1" ht="15" customHeight="1">
      <c r="A8" s="88" t="s">
        <v>20</v>
      </c>
      <c r="B8" s="68">
        <v>1</v>
      </c>
      <c r="C8" s="68">
        <v>2</v>
      </c>
      <c r="D8" s="68">
        <v>3</v>
      </c>
      <c r="E8" s="68">
        <v>4</v>
      </c>
      <c r="F8" s="68">
        <v>5</v>
      </c>
      <c r="G8" s="68">
        <v>6</v>
      </c>
      <c r="H8" s="68">
        <v>7</v>
      </c>
      <c r="I8" s="68">
        <v>8</v>
      </c>
      <c r="J8" s="68">
        <v>9</v>
      </c>
      <c r="K8" s="68">
        <v>10</v>
      </c>
      <c r="L8" s="154" t="s">
        <v>79</v>
      </c>
      <c r="M8" s="250">
        <v>600</v>
      </c>
      <c r="N8" s="251"/>
      <c r="O8" s="10" t="s">
        <v>21</v>
      </c>
      <c r="P8" s="11" t="s">
        <v>22</v>
      </c>
      <c r="Q8" s="11" t="s">
        <v>23</v>
      </c>
      <c r="R8" s="89" t="s">
        <v>24</v>
      </c>
    </row>
    <row r="9" spans="1:32" s="4" customFormat="1" ht="15" customHeight="1">
      <c r="A9" s="88">
        <v>1</v>
      </c>
      <c r="B9" s="12">
        <v>306</v>
      </c>
      <c r="C9" s="12">
        <v>297</v>
      </c>
      <c r="D9" s="12">
        <v>265</v>
      </c>
      <c r="E9" s="12">
        <v>239</v>
      </c>
      <c r="F9" s="12">
        <v>245</v>
      </c>
      <c r="G9" s="12">
        <v>238</v>
      </c>
      <c r="H9" s="12">
        <v>241</v>
      </c>
      <c r="I9" s="12">
        <v>259</v>
      </c>
      <c r="J9" s="12">
        <v>274</v>
      </c>
      <c r="K9" s="12">
        <v>247</v>
      </c>
      <c r="L9" s="155"/>
      <c r="M9" s="252"/>
      <c r="N9" s="253"/>
      <c r="O9" s="13" t="s">
        <v>25</v>
      </c>
      <c r="P9" s="68">
        <v>1.123</v>
      </c>
      <c r="Q9" s="13" t="s">
        <v>26</v>
      </c>
      <c r="R9" s="90" t="s">
        <v>27</v>
      </c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88">
        <v>2</v>
      </c>
      <c r="B10" s="12">
        <v>248</v>
      </c>
      <c r="C10" s="12">
        <v>256</v>
      </c>
      <c r="D10" s="12">
        <v>241</v>
      </c>
      <c r="E10" s="12">
        <v>258</v>
      </c>
      <c r="F10" s="12">
        <v>246</v>
      </c>
      <c r="G10" s="12">
        <v>241</v>
      </c>
      <c r="H10" s="12">
        <v>284</v>
      </c>
      <c r="I10" s="12">
        <v>241</v>
      </c>
      <c r="J10" s="12">
        <v>257</v>
      </c>
      <c r="K10" s="12">
        <v>222</v>
      </c>
      <c r="L10" s="156"/>
      <c r="M10" s="254"/>
      <c r="N10" s="255"/>
      <c r="O10" s="13" t="s">
        <v>28</v>
      </c>
      <c r="P10" s="68">
        <v>1.1279999999999999</v>
      </c>
      <c r="Q10" s="13" t="s">
        <v>29</v>
      </c>
      <c r="R10" s="90" t="s">
        <v>27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91">
        <v>3</v>
      </c>
      <c r="B11" s="12">
        <v>268</v>
      </c>
      <c r="C11" s="12">
        <v>251</v>
      </c>
      <c r="D11" s="12">
        <v>255</v>
      </c>
      <c r="E11" s="12">
        <v>284</v>
      </c>
      <c r="F11" s="12">
        <v>318</v>
      </c>
      <c r="G11" s="12">
        <v>258</v>
      </c>
      <c r="H11" s="12">
        <v>241</v>
      </c>
      <c r="I11" s="12">
        <v>257</v>
      </c>
      <c r="J11" s="12">
        <v>256</v>
      </c>
      <c r="K11" s="12">
        <v>262</v>
      </c>
      <c r="L11" s="154" t="s">
        <v>80</v>
      </c>
      <c r="M11" s="250">
        <v>150</v>
      </c>
      <c r="N11" s="251"/>
      <c r="O11" s="17" t="s">
        <v>30</v>
      </c>
      <c r="P11" s="74">
        <v>1.6930000000000001</v>
      </c>
      <c r="Q11" s="13" t="s">
        <v>31</v>
      </c>
      <c r="R11" s="90" t="s">
        <v>32</v>
      </c>
      <c r="T11" s="15" t="s">
        <v>33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s="4" customFormat="1" ht="15" customHeight="1">
      <c r="A12" s="92">
        <v>4</v>
      </c>
      <c r="B12" s="12">
        <v>274</v>
      </c>
      <c r="C12" s="12">
        <v>254</v>
      </c>
      <c r="D12" s="12">
        <v>263</v>
      </c>
      <c r="E12" s="12">
        <v>251</v>
      </c>
      <c r="F12" s="12">
        <v>258</v>
      </c>
      <c r="G12" s="12">
        <v>252</v>
      </c>
      <c r="H12" s="12">
        <v>247</v>
      </c>
      <c r="I12" s="12">
        <v>323</v>
      </c>
      <c r="J12" s="12">
        <v>227</v>
      </c>
      <c r="K12" s="12">
        <v>271</v>
      </c>
      <c r="L12" s="163"/>
      <c r="M12" s="252"/>
      <c r="N12" s="253"/>
      <c r="O12" s="13" t="s">
        <v>34</v>
      </c>
      <c r="P12" s="68">
        <v>2.0590000000000002</v>
      </c>
      <c r="Q12" s="13" t="s">
        <v>35</v>
      </c>
      <c r="R12" s="90" t="s">
        <v>36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93">
        <v>5</v>
      </c>
      <c r="B13" s="12">
        <v>247</v>
      </c>
      <c r="C13" s="12">
        <v>259</v>
      </c>
      <c r="D13" s="12">
        <v>244</v>
      </c>
      <c r="E13" s="12">
        <v>287</v>
      </c>
      <c r="F13" s="12">
        <v>266</v>
      </c>
      <c r="G13" s="12">
        <v>235</v>
      </c>
      <c r="H13" s="12">
        <v>241</v>
      </c>
      <c r="I13" s="12">
        <v>288</v>
      </c>
      <c r="J13" s="12">
        <v>247</v>
      </c>
      <c r="K13" s="12">
        <v>264</v>
      </c>
      <c r="L13" s="164"/>
      <c r="M13" s="254"/>
      <c r="N13" s="255"/>
      <c r="O13" s="22" t="s">
        <v>37</v>
      </c>
      <c r="P13" s="23">
        <v>2.3260000000000001</v>
      </c>
      <c r="Q13" s="13" t="s">
        <v>38</v>
      </c>
      <c r="R13" s="90" t="s">
        <v>39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5"/>
      <c r="AE13" s="15"/>
      <c r="AF13" s="15"/>
    </row>
    <row r="14" spans="1:32" s="4" customFormat="1" ht="15" customHeight="1">
      <c r="A14" s="148">
        <v>11.99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6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167" t="s">
        <v>40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9"/>
      <c r="S15" s="15"/>
      <c r="T15" s="15"/>
      <c r="U15" s="15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4" customFormat="1" ht="15" customHeight="1">
      <c r="A16" s="94" t="s">
        <v>41</v>
      </c>
      <c r="B16" s="67">
        <f>MAX(B9:B13)</f>
        <v>306</v>
      </c>
      <c r="C16" s="25">
        <f t="shared" ref="C16:K16" si="0">MAX(C9:C13)</f>
        <v>297</v>
      </c>
      <c r="D16" s="25">
        <f t="shared" si="0"/>
        <v>265</v>
      </c>
      <c r="E16" s="25">
        <f t="shared" si="0"/>
        <v>287</v>
      </c>
      <c r="F16" s="25">
        <f t="shared" si="0"/>
        <v>318</v>
      </c>
      <c r="G16" s="25">
        <f t="shared" si="0"/>
        <v>258</v>
      </c>
      <c r="H16" s="25">
        <f t="shared" si="0"/>
        <v>284</v>
      </c>
      <c r="I16" s="25">
        <f>MAX(I9:I13)</f>
        <v>323</v>
      </c>
      <c r="J16" s="25">
        <f t="shared" si="0"/>
        <v>274</v>
      </c>
      <c r="K16" s="26">
        <f t="shared" si="0"/>
        <v>271</v>
      </c>
      <c r="L16" s="68" t="s">
        <v>42</v>
      </c>
      <c r="M16" s="27">
        <f>(MAX(B16:K16))</f>
        <v>323</v>
      </c>
      <c r="N16" s="170" t="s">
        <v>43</v>
      </c>
      <c r="O16" s="171"/>
      <c r="P16" s="172"/>
      <c r="Q16" s="176">
        <f>SUM(Q18:R19)</f>
        <v>0</v>
      </c>
      <c r="R16" s="178" t="s">
        <v>44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5"/>
      <c r="AE16" s="15"/>
      <c r="AF16" s="15"/>
    </row>
    <row r="17" spans="1:32" s="4" customFormat="1" ht="15" customHeight="1">
      <c r="A17" s="95" t="s">
        <v>45</v>
      </c>
      <c r="B17" s="26">
        <f t="shared" ref="B17:J17" si="1">MIN(B9:B13)</f>
        <v>247</v>
      </c>
      <c r="C17" s="25">
        <f>MIN(C9:C13)</f>
        <v>251</v>
      </c>
      <c r="D17" s="26">
        <f t="shared" si="1"/>
        <v>241</v>
      </c>
      <c r="E17" s="26">
        <f t="shared" si="1"/>
        <v>239</v>
      </c>
      <c r="F17" s="26">
        <f t="shared" si="1"/>
        <v>245</v>
      </c>
      <c r="G17" s="26">
        <f>MIN(G9:G13)</f>
        <v>235</v>
      </c>
      <c r="H17" s="26">
        <f t="shared" si="1"/>
        <v>241</v>
      </c>
      <c r="I17" s="25">
        <f>MIN(I9:I13)</f>
        <v>241</v>
      </c>
      <c r="J17" s="26">
        <f t="shared" si="1"/>
        <v>227</v>
      </c>
      <c r="K17" s="26">
        <f>MIN(K9:K13)</f>
        <v>222</v>
      </c>
      <c r="L17" s="68" t="s">
        <v>46</v>
      </c>
      <c r="M17" s="27">
        <f>MIN(B17:K17)</f>
        <v>222</v>
      </c>
      <c r="N17" s="173"/>
      <c r="O17" s="174"/>
      <c r="P17" s="175"/>
      <c r="Q17" s="177"/>
      <c r="R17" s="179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s="4" customFormat="1" ht="15" customHeight="1">
      <c r="A18" s="96" t="s">
        <v>47</v>
      </c>
      <c r="B18" s="30">
        <f t="shared" ref="B18:K18" si="2">SUM(MAX(B9:B13)-MIN(B9:B13))</f>
        <v>59</v>
      </c>
      <c r="C18" s="30">
        <f t="shared" si="2"/>
        <v>46</v>
      </c>
      <c r="D18" s="30">
        <f t="shared" si="2"/>
        <v>24</v>
      </c>
      <c r="E18" s="30">
        <f t="shared" si="2"/>
        <v>48</v>
      </c>
      <c r="F18" s="30">
        <f t="shared" si="2"/>
        <v>73</v>
      </c>
      <c r="G18" s="30">
        <f>SUM(MAX(G9:G13)-MIN(G9:G13))</f>
        <v>23</v>
      </c>
      <c r="H18" s="30">
        <f t="shared" si="2"/>
        <v>43</v>
      </c>
      <c r="I18" s="30">
        <f t="shared" si="2"/>
        <v>82</v>
      </c>
      <c r="J18" s="30">
        <f t="shared" si="2"/>
        <v>47</v>
      </c>
      <c r="K18" s="26">
        <f t="shared" si="2"/>
        <v>49</v>
      </c>
      <c r="L18" s="31" t="s">
        <v>48</v>
      </c>
      <c r="M18" s="78">
        <f>AVERAGE(B18:K18)</f>
        <v>49.4</v>
      </c>
      <c r="N18" s="144" t="s">
        <v>49</v>
      </c>
      <c r="O18" s="145"/>
      <c r="P18" s="145"/>
      <c r="Q18" s="71">
        <f>COUNTIF(B9:K13,"&gt;"&amp;TEXT(M8,"0.000000"))</f>
        <v>0</v>
      </c>
      <c r="R18" s="97" t="s">
        <v>44</v>
      </c>
      <c r="U18" s="35"/>
    </row>
    <row r="19" spans="1:32" s="4" customFormat="1" ht="15" customHeight="1">
      <c r="A19" s="98" t="s">
        <v>50</v>
      </c>
      <c r="B19" s="26">
        <f>(AVERAGE(B9:B13))</f>
        <v>268.60000000000002</v>
      </c>
      <c r="C19" s="26">
        <f t="shared" ref="C19:K19" si="3">AVERAGE(C9:C13)</f>
        <v>263.39999999999998</v>
      </c>
      <c r="D19" s="26">
        <f t="shared" si="3"/>
        <v>253.6</v>
      </c>
      <c r="E19" s="26">
        <f t="shared" si="3"/>
        <v>263.8</v>
      </c>
      <c r="F19" s="26">
        <f t="shared" si="3"/>
        <v>266.60000000000002</v>
      </c>
      <c r="G19" s="26">
        <f>AVERAGE(G9:G13)</f>
        <v>244.8</v>
      </c>
      <c r="H19" s="26">
        <f t="shared" si="3"/>
        <v>250.8</v>
      </c>
      <c r="I19" s="26">
        <f t="shared" si="3"/>
        <v>273.60000000000002</v>
      </c>
      <c r="J19" s="26">
        <f t="shared" si="3"/>
        <v>252.2</v>
      </c>
      <c r="K19" s="26">
        <f t="shared" si="3"/>
        <v>253.2</v>
      </c>
      <c r="L19" s="31" t="s">
        <v>51</v>
      </c>
      <c r="M19" s="36">
        <f>ROUNDUP(AVERAGE(B9:K13),4)</f>
        <v>259.06</v>
      </c>
      <c r="N19" s="144" t="s">
        <v>52</v>
      </c>
      <c r="O19" s="235"/>
      <c r="P19" s="235"/>
      <c r="Q19" s="37">
        <f>COUNTIF(B9:K13,"&lt;"&amp;TEXT(M11,"0.000000"))</f>
        <v>0</v>
      </c>
      <c r="R19" s="99" t="s">
        <v>44</v>
      </c>
    </row>
    <row r="20" spans="1:32" s="4" customFormat="1" ht="15" customHeight="1">
      <c r="A20" s="118" t="s">
        <v>53</v>
      </c>
      <c r="B20" s="141"/>
      <c r="C20" s="141"/>
      <c r="D20" s="183">
        <f>ROUNDUP(SUM(M16-M17),4)</f>
        <v>101</v>
      </c>
      <c r="E20" s="184"/>
      <c r="F20" s="140" t="s">
        <v>54</v>
      </c>
      <c r="G20" s="141"/>
      <c r="H20" s="141"/>
      <c r="I20" s="183">
        <f>ROUNDUP(ABS(SUM(M8-M11)),4)</f>
        <v>450</v>
      </c>
      <c r="J20" s="184"/>
      <c r="K20" s="140" t="s">
        <v>55</v>
      </c>
      <c r="L20" s="141"/>
      <c r="M20" s="141"/>
      <c r="N20" s="69">
        <f>ROUNDUP(SUM((2*(N22))/I20),4)</f>
        <v>0.51529999999999998</v>
      </c>
      <c r="O20" s="142" t="s">
        <v>56</v>
      </c>
      <c r="P20" s="143"/>
      <c r="Q20" s="40" t="s">
        <v>57</v>
      </c>
      <c r="R20" s="100" t="s">
        <v>58</v>
      </c>
    </row>
    <row r="21" spans="1:32" s="4" customFormat="1" ht="15" customHeight="1">
      <c r="A21" s="118" t="s">
        <v>59</v>
      </c>
      <c r="B21" s="141"/>
      <c r="C21" s="141"/>
      <c r="D21" s="183">
        <f>ROUNDUP(AVERAGE(M8:M11),4)</f>
        <v>375</v>
      </c>
      <c r="E21" s="184"/>
      <c r="F21" s="140" t="s">
        <v>60</v>
      </c>
      <c r="G21" s="141"/>
      <c r="H21" s="141"/>
      <c r="I21" s="188">
        <f>ROUNDUP(SUM(D20/N21),4)</f>
        <v>20.2</v>
      </c>
      <c r="J21" s="189"/>
      <c r="K21" s="140" t="s">
        <v>61</v>
      </c>
      <c r="L21" s="141"/>
      <c r="M21" s="141"/>
      <c r="N21" s="75" t="str">
        <f>IF(I22/10&lt;=5,"5",IF(I22/10&lt;=6,"6",IF(I22/10&lt;=7,"7","8")))</f>
        <v>5</v>
      </c>
      <c r="O21" s="42">
        <f>ROUNDUP(SUM(P21-I21),4)</f>
        <v>141.1</v>
      </c>
      <c r="P21" s="42">
        <f>ROUNDUP(SUM(P22-I21),4)</f>
        <v>161.30000000000001</v>
      </c>
      <c r="Q21" s="26">
        <f>SUM(R21)</f>
        <v>0</v>
      </c>
      <c r="R21" s="101">
        <f>FREQUENCY(B9:K13,P21:P22)</f>
        <v>0</v>
      </c>
    </row>
    <row r="22" spans="1:32" s="4" customFormat="1" ht="15" customHeight="1">
      <c r="A22" s="118" t="s">
        <v>62</v>
      </c>
      <c r="B22" s="141"/>
      <c r="C22" s="141"/>
      <c r="D22" s="183">
        <f>ROUNDUP(SUM(M17-(IF(M6=M33,J33,IF(M6=M34,J34,IF(M6=M35,J35,IF(M6=M36,J36,IF(M6=M37,J37))))))),4)</f>
        <v>221.9</v>
      </c>
      <c r="E22" s="184"/>
      <c r="F22" s="140" t="s">
        <v>63</v>
      </c>
      <c r="G22" s="141"/>
      <c r="H22" s="141"/>
      <c r="I22" s="183">
        <f>COUNTIF((B9:K13),"&gt;0")</f>
        <v>50</v>
      </c>
      <c r="J22" s="183"/>
      <c r="K22" s="140" t="s">
        <v>64</v>
      </c>
      <c r="L22" s="141"/>
      <c r="M22" s="141"/>
      <c r="N22" s="66">
        <f>(ABS(SUM(M19-D21)))</f>
        <v>115.94</v>
      </c>
      <c r="O22" s="42">
        <f>ROUNDUP(SUM(P22-I21),4)</f>
        <v>161.30000000000001</v>
      </c>
      <c r="P22" s="42">
        <f>ROUNDUP(SUM(P23-I21),4)</f>
        <v>181.5</v>
      </c>
      <c r="Q22" s="26">
        <f t="shared" ref="Q22:Q32" si="4">SUM(R22-R21)</f>
        <v>0</v>
      </c>
      <c r="R22" s="101">
        <f>FREQUENCY(B9:K13,P22:P23)</f>
        <v>0</v>
      </c>
    </row>
    <row r="23" spans="1:32" s="2" customFormat="1" ht="17.100000000000001" customHeight="1">
      <c r="A23" s="102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2">
        <f>ROUNDUP(SUM(P23-I21),4)</f>
        <v>181.5</v>
      </c>
      <c r="P23" s="42">
        <f>ROUNDUP(SUM(P24-I21),4)</f>
        <v>201.7</v>
      </c>
      <c r="Q23" s="26">
        <f t="shared" si="4"/>
        <v>0</v>
      </c>
      <c r="R23" s="101">
        <f>FREQUENCY(B9:K13,P23:P24)</f>
        <v>0</v>
      </c>
    </row>
    <row r="24" spans="1:32" s="2" customFormat="1" ht="17.100000000000001" customHeight="1">
      <c r="A24" s="103" t="s">
        <v>65</v>
      </c>
      <c r="B24" s="68">
        <f>Q33</f>
        <v>288.20600000000002</v>
      </c>
      <c r="C24" s="68">
        <f>Q33</f>
        <v>288.20600000000002</v>
      </c>
      <c r="D24" s="68">
        <f>Q33</f>
        <v>288.20600000000002</v>
      </c>
      <c r="E24" s="68">
        <f>Q33</f>
        <v>288.20600000000002</v>
      </c>
      <c r="F24" s="46">
        <f>Q33</f>
        <v>288.20600000000002</v>
      </c>
      <c r="G24" s="46">
        <f>Q33</f>
        <v>288.20600000000002</v>
      </c>
      <c r="H24" s="46">
        <f>Q33</f>
        <v>288.20600000000002</v>
      </c>
      <c r="I24" s="68">
        <f>Q33</f>
        <v>288.20600000000002</v>
      </c>
      <c r="J24" s="68">
        <f>Q33</f>
        <v>288.20600000000002</v>
      </c>
      <c r="K24" s="27">
        <f>Q33</f>
        <v>288.20600000000002</v>
      </c>
      <c r="L24" s="49"/>
      <c r="M24" s="47"/>
      <c r="N24" s="47"/>
      <c r="O24" s="42">
        <f>ROUNDUP(SUM(P24-I21),4)</f>
        <v>201.7</v>
      </c>
      <c r="P24" s="42">
        <f>ROUNDUP((D22),4)</f>
        <v>221.9</v>
      </c>
      <c r="Q24" s="26">
        <f t="shared" si="4"/>
        <v>0</v>
      </c>
      <c r="R24" s="101">
        <f>FREQUENCY(B9:K13,P24:P25)</f>
        <v>0</v>
      </c>
    </row>
    <row r="25" spans="1:32" s="2" customFormat="1" ht="17.100000000000001" customHeight="1">
      <c r="A25" s="104" t="s">
        <v>66</v>
      </c>
      <c r="B25" s="27">
        <f>Q34</f>
        <v>229.91400000000002</v>
      </c>
      <c r="C25" s="27">
        <f>Q34</f>
        <v>229.91400000000002</v>
      </c>
      <c r="D25" s="27">
        <f>Q34</f>
        <v>229.91400000000002</v>
      </c>
      <c r="E25" s="27">
        <f>Q34</f>
        <v>229.91400000000002</v>
      </c>
      <c r="F25" s="27">
        <f>Q34</f>
        <v>229.91400000000002</v>
      </c>
      <c r="G25" s="27">
        <f>Q34</f>
        <v>229.91400000000002</v>
      </c>
      <c r="H25" s="27">
        <f>Q34</f>
        <v>229.91400000000002</v>
      </c>
      <c r="I25" s="27">
        <f>Q34</f>
        <v>229.91400000000002</v>
      </c>
      <c r="J25" s="27">
        <f>Q34</f>
        <v>229.91400000000002</v>
      </c>
      <c r="K25" s="27">
        <f>Q34</f>
        <v>229.91400000000002</v>
      </c>
      <c r="L25" s="49"/>
      <c r="M25" s="49"/>
      <c r="N25" s="49"/>
      <c r="O25" s="42">
        <f>ROUNDUP((D22),4)</f>
        <v>221.9</v>
      </c>
      <c r="P25" s="42">
        <f>ROUNDUP(SUM(P24+I21),4)</f>
        <v>242.1</v>
      </c>
      <c r="Q25" s="26">
        <f t="shared" si="4"/>
        <v>11</v>
      </c>
      <c r="R25" s="101">
        <f>FREQUENCY(B9:K13,P25:P26)</f>
        <v>11</v>
      </c>
    </row>
    <row r="26" spans="1:32" s="2" customFormat="1" ht="17.100000000000001" customHeight="1">
      <c r="A26" s="103" t="s">
        <v>67</v>
      </c>
      <c r="B26" s="27">
        <f>Q35</f>
        <v>104.23399999999999</v>
      </c>
      <c r="C26" s="27">
        <f>Q35</f>
        <v>104.23399999999999</v>
      </c>
      <c r="D26" s="27">
        <f>Q35</f>
        <v>104.23399999999999</v>
      </c>
      <c r="E26" s="50">
        <f>Q35</f>
        <v>104.23399999999999</v>
      </c>
      <c r="F26" s="50">
        <f>Q35</f>
        <v>104.23399999999999</v>
      </c>
      <c r="G26" s="50">
        <f>Q35</f>
        <v>104.23399999999999</v>
      </c>
      <c r="H26" s="27">
        <f>Q35</f>
        <v>104.23399999999999</v>
      </c>
      <c r="I26" s="27">
        <f>Q35</f>
        <v>104.23399999999999</v>
      </c>
      <c r="J26" s="27">
        <f>Q35</f>
        <v>104.23399999999999</v>
      </c>
      <c r="K26" s="27">
        <f>Q35</f>
        <v>104.23399999999999</v>
      </c>
      <c r="L26" s="49"/>
      <c r="M26" s="49"/>
      <c r="N26" s="49"/>
      <c r="O26" s="42">
        <f>ROUNDUP(SUM(P24+I21),4)</f>
        <v>242.1</v>
      </c>
      <c r="P26" s="42">
        <f>ROUNDUP(SUM(P25+I21),4)</f>
        <v>262.3</v>
      </c>
      <c r="Q26" s="26">
        <f t="shared" si="4"/>
        <v>23</v>
      </c>
      <c r="R26" s="101">
        <f>FREQUENCY(B9:K13,P26:P27)</f>
        <v>34</v>
      </c>
    </row>
    <row r="27" spans="1:32" s="2" customFormat="1" ht="17.100000000000001" customHeight="1">
      <c r="A27" s="103" t="s">
        <v>66</v>
      </c>
      <c r="B27" s="50">
        <f>Q36</f>
        <v>0</v>
      </c>
      <c r="C27" s="50">
        <f>Q36</f>
        <v>0</v>
      </c>
      <c r="D27" s="50">
        <f>Q36</f>
        <v>0</v>
      </c>
      <c r="E27" s="50">
        <f>Q36</f>
        <v>0</v>
      </c>
      <c r="F27" s="50">
        <f>Q36</f>
        <v>0</v>
      </c>
      <c r="G27" s="50">
        <f>Q36</f>
        <v>0</v>
      </c>
      <c r="H27" s="50">
        <f>Q36</f>
        <v>0</v>
      </c>
      <c r="I27" s="50">
        <f>Q36</f>
        <v>0</v>
      </c>
      <c r="J27" s="50">
        <f>Q36</f>
        <v>0</v>
      </c>
      <c r="K27" s="27">
        <f>Q36</f>
        <v>0</v>
      </c>
      <c r="L27" s="49"/>
      <c r="M27" s="49"/>
      <c r="N27" s="49"/>
      <c r="O27" s="42">
        <f>ROUNDUP(SUM(P25+I21),4)</f>
        <v>262.3</v>
      </c>
      <c r="P27" s="42">
        <f>ROUNDUP(SUM(P26+I21),4)</f>
        <v>282.5</v>
      </c>
      <c r="Q27" s="26">
        <v>0</v>
      </c>
      <c r="R27" s="101">
        <f>FREQUENCY(B9:K13,P27:P28)</f>
        <v>42</v>
      </c>
      <c r="T27" s="51"/>
    </row>
    <row r="28" spans="1:32" s="2" customFormat="1" ht="17.100000000000001" customHeight="1">
      <c r="A28" s="103" t="s">
        <v>68</v>
      </c>
      <c r="B28" s="27">
        <f>ROUNDUP(AVERAGE(B9:K13),4)</f>
        <v>259.06</v>
      </c>
      <c r="C28" s="27">
        <f>ROUNDUP(AVERAGE(B9:K13),4)</f>
        <v>259.06</v>
      </c>
      <c r="D28" s="27">
        <f>ROUNDUP(AVERAGE(B9:K13),4)</f>
        <v>259.06</v>
      </c>
      <c r="E28" s="50">
        <f>ROUNDUP(AVERAGE(B9:K13),4)</f>
        <v>259.06</v>
      </c>
      <c r="F28" s="50">
        <f>ROUNDUP(AVERAGE(B9:K13),4)</f>
        <v>259.06</v>
      </c>
      <c r="G28" s="50">
        <f>ROUNDUP(AVERAGE(B9:K13),4)</f>
        <v>259.06</v>
      </c>
      <c r="H28" s="27">
        <f>ROUNDUP(AVERAGE(B9:K13),4)</f>
        <v>259.06</v>
      </c>
      <c r="I28" s="27">
        <f>ROUNDUP(AVERAGE(B9:K13),4)</f>
        <v>259.06</v>
      </c>
      <c r="J28" s="27">
        <f>ROUNDUP(AVERAGE(B9:K13),4)</f>
        <v>259.06</v>
      </c>
      <c r="K28" s="27">
        <f>ROUNDUP(AVERAGE(B9:K13),4)</f>
        <v>259.06</v>
      </c>
      <c r="L28" s="49"/>
      <c r="M28" s="49"/>
      <c r="N28" s="49"/>
      <c r="O28" s="42">
        <f>ROUNDUP(SUM(P26+I21),4)</f>
        <v>282.5</v>
      </c>
      <c r="P28" s="42">
        <f>ROUNDUP(SUM(P27+I21),4)</f>
        <v>302.7</v>
      </c>
      <c r="Q28" s="68">
        <f t="shared" si="4"/>
        <v>5</v>
      </c>
      <c r="R28" s="101">
        <f>FREQUENCY(B9:K13,P28:P29)</f>
        <v>47</v>
      </c>
    </row>
    <row r="29" spans="1:32" ht="17.100000000000001" customHeight="1">
      <c r="A29" s="103" t="s">
        <v>69</v>
      </c>
      <c r="B29" s="27">
        <f>AVERAGE(B18:K18)</f>
        <v>49.4</v>
      </c>
      <c r="C29" s="27">
        <f>AVERAGE(B18:K18)</f>
        <v>49.4</v>
      </c>
      <c r="D29" s="27">
        <f>AVERAGE(B18:K18)</f>
        <v>49.4</v>
      </c>
      <c r="E29" s="27">
        <f>AVERAGE(B18:K18)</f>
        <v>49.4</v>
      </c>
      <c r="F29" s="27">
        <f>AVERAGE(B18:K18)</f>
        <v>49.4</v>
      </c>
      <c r="G29" s="27">
        <f>AVERAGE(B18:K18)</f>
        <v>49.4</v>
      </c>
      <c r="H29" s="27">
        <f>AVERAGE(B18:K18)</f>
        <v>49.4</v>
      </c>
      <c r="I29" s="27">
        <f>AVERAGE(B18:K18)</f>
        <v>49.4</v>
      </c>
      <c r="J29" s="27">
        <f>AVERAGE(B18:K18)</f>
        <v>49.4</v>
      </c>
      <c r="K29" s="27">
        <f>AVERAGE(B18:K18)</f>
        <v>49.4</v>
      </c>
      <c r="L29" s="105"/>
      <c r="M29" s="49"/>
      <c r="N29" s="49"/>
      <c r="O29" s="42">
        <f>ROUNDUP(SUM(P27+I21),4)</f>
        <v>302.7</v>
      </c>
      <c r="P29" s="42">
        <f>ROUNDUP(SUM(P28+I21),4)</f>
        <v>322.89999999999998</v>
      </c>
      <c r="Q29" s="68">
        <f t="shared" si="4"/>
        <v>2</v>
      </c>
      <c r="R29" s="101">
        <f>FREQUENCY(B9:K13,P29:P30)</f>
        <v>49</v>
      </c>
    </row>
    <row r="30" spans="1:32" ht="17.100000000000001" customHeight="1">
      <c r="A30" s="10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49"/>
      <c r="M30" s="49"/>
      <c r="N30" s="49"/>
      <c r="O30" s="42">
        <f>ROUNDUP(SUM(P28+I21),4)</f>
        <v>322.89999999999998</v>
      </c>
      <c r="P30" s="42">
        <f>ROUNDUP(SUM(P29+I21),4)</f>
        <v>343.1</v>
      </c>
      <c r="Q30" s="68">
        <f t="shared" si="4"/>
        <v>1</v>
      </c>
      <c r="R30" s="101">
        <f>FREQUENCY(B9:K13,P30:P31)</f>
        <v>50</v>
      </c>
    </row>
    <row r="31" spans="1:32" ht="17.100000000000001" customHeight="1">
      <c r="A31" s="102"/>
      <c r="B31" s="44"/>
      <c r="C31" s="20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2">
        <f>ROUNDUP(SUM(P29+I21),4)</f>
        <v>343.1</v>
      </c>
      <c r="P31" s="42">
        <f>ROUNDUP(SUM(P30+I21),4)</f>
        <v>363.3</v>
      </c>
      <c r="Q31" s="68">
        <f t="shared" si="4"/>
        <v>0</v>
      </c>
      <c r="R31" s="101">
        <f>FREQUENCY(B9:K13,P31:P32)</f>
        <v>50</v>
      </c>
    </row>
    <row r="32" spans="1:32" ht="17.100000000000001" customHeight="1">
      <c r="A32" s="106"/>
      <c r="B32" s="15"/>
      <c r="C32" s="15"/>
      <c r="D32" s="15"/>
      <c r="E32" s="15"/>
      <c r="F32" s="52"/>
      <c r="G32" s="52"/>
      <c r="H32" s="52"/>
      <c r="I32" s="15"/>
      <c r="J32" s="182" t="s">
        <v>70</v>
      </c>
      <c r="K32" s="183"/>
      <c r="L32" s="184"/>
      <c r="M32" s="53" t="s">
        <v>71</v>
      </c>
      <c r="N32" s="47"/>
      <c r="O32" s="42">
        <f>ROUNDUP(SUM(P30+I21),4)</f>
        <v>363.3</v>
      </c>
      <c r="P32" s="42">
        <f>ROUNDUP(SUM(P31+I21),4)</f>
        <v>383.5</v>
      </c>
      <c r="Q32" s="68">
        <f t="shared" si="4"/>
        <v>0</v>
      </c>
      <c r="R32" s="101">
        <f>FREQUENCY(B9:K13,P32:P32)</f>
        <v>50</v>
      </c>
    </row>
    <row r="33" spans="1:20" ht="17.100000000000001" customHeight="1">
      <c r="A33" s="106"/>
      <c r="B33" s="20"/>
      <c r="C33" s="20"/>
      <c r="D33" s="20"/>
      <c r="E33" s="20"/>
      <c r="F33" s="20"/>
      <c r="G33" s="20"/>
      <c r="H33" s="20"/>
      <c r="I33" s="20"/>
      <c r="J33" s="182">
        <v>1</v>
      </c>
      <c r="K33" s="183"/>
      <c r="L33" s="184"/>
      <c r="M33" s="53">
        <v>0</v>
      </c>
      <c r="N33" s="49"/>
      <c r="O33" s="140" t="s">
        <v>72</v>
      </c>
      <c r="P33" s="186"/>
      <c r="Q33" s="180">
        <f>(M19+(Q13*M18))</f>
        <v>288.20600000000002</v>
      </c>
      <c r="R33" s="181"/>
      <c r="S33" s="54"/>
    </row>
    <row r="34" spans="1:20" ht="17.100000000000001" customHeight="1">
      <c r="A34" s="106"/>
      <c r="B34" s="20"/>
      <c r="C34" s="20"/>
      <c r="D34" s="20"/>
      <c r="E34" s="20"/>
      <c r="F34" s="20"/>
      <c r="G34" s="20"/>
      <c r="H34" s="20"/>
      <c r="I34" s="20"/>
      <c r="J34" s="182">
        <v>0.1</v>
      </c>
      <c r="K34" s="183"/>
      <c r="L34" s="184"/>
      <c r="M34" s="53">
        <v>1</v>
      </c>
      <c r="N34" s="49"/>
      <c r="O34" s="185" t="s">
        <v>73</v>
      </c>
      <c r="P34" s="186"/>
      <c r="Q34" s="187">
        <f>(M19-(Q13*M18))</f>
        <v>229.91400000000002</v>
      </c>
      <c r="R34" s="181"/>
      <c r="T34" s="55"/>
    </row>
    <row r="35" spans="1:20" ht="17.100000000000001" customHeight="1">
      <c r="A35" s="106"/>
      <c r="B35" s="20"/>
      <c r="C35" s="20"/>
      <c r="D35" s="20"/>
      <c r="E35" s="20"/>
      <c r="F35" s="20"/>
      <c r="G35" s="20"/>
      <c r="H35" s="20"/>
      <c r="I35" s="20"/>
      <c r="J35" s="182">
        <v>0.01</v>
      </c>
      <c r="K35" s="183"/>
      <c r="L35" s="184"/>
      <c r="M35" s="53">
        <v>2</v>
      </c>
      <c r="N35" s="49"/>
      <c r="O35" s="140" t="s">
        <v>74</v>
      </c>
      <c r="P35" s="186"/>
      <c r="Q35" s="196">
        <f>M18*R13</f>
        <v>104.23399999999999</v>
      </c>
      <c r="R35" s="181"/>
    </row>
    <row r="36" spans="1:20" ht="17.100000000000001" customHeight="1">
      <c r="A36" s="106"/>
      <c r="B36" s="20"/>
      <c r="C36" s="20"/>
      <c r="D36" s="20"/>
      <c r="E36" s="20"/>
      <c r="F36" s="20"/>
      <c r="G36" s="20"/>
      <c r="H36" s="20"/>
      <c r="I36" s="20"/>
      <c r="J36" s="182">
        <v>1E-3</v>
      </c>
      <c r="K36" s="183"/>
      <c r="L36" s="184"/>
      <c r="M36" s="79">
        <v>3</v>
      </c>
      <c r="N36" s="49"/>
      <c r="O36" s="140" t="s">
        <v>75</v>
      </c>
      <c r="P36" s="186"/>
      <c r="Q36" s="197">
        <f>M18*0</f>
        <v>0</v>
      </c>
      <c r="R36" s="198"/>
    </row>
    <row r="37" spans="1:20" s="60" customFormat="1" ht="17.100000000000001" customHeight="1">
      <c r="A37" s="107"/>
      <c r="B37" s="58"/>
      <c r="C37" s="57"/>
      <c r="D37" s="59"/>
      <c r="E37" s="59"/>
      <c r="F37" s="59"/>
      <c r="G37" s="59"/>
      <c r="H37" s="59"/>
      <c r="I37" s="59"/>
      <c r="J37" s="230">
        <v>1E-4</v>
      </c>
      <c r="K37" s="230"/>
      <c r="L37" s="230"/>
      <c r="M37" s="79">
        <v>4</v>
      </c>
      <c r="N37" s="59"/>
      <c r="O37" s="231" t="s">
        <v>76</v>
      </c>
      <c r="P37" s="232"/>
      <c r="Q37" s="199">
        <f>STDEV(B9:K13)</f>
        <v>21.286586751055324</v>
      </c>
      <c r="R37" s="198"/>
    </row>
    <row r="38" spans="1:20" ht="17.100000000000001" customHeight="1">
      <c r="A38" s="108"/>
      <c r="B38" s="58"/>
      <c r="C38" s="59"/>
      <c r="D38" s="59"/>
      <c r="E38" s="59"/>
      <c r="F38" s="59"/>
      <c r="G38" s="59"/>
      <c r="H38" s="59"/>
      <c r="I38" s="59"/>
      <c r="J38" s="61"/>
      <c r="K38" s="59"/>
      <c r="L38" s="59"/>
      <c r="M38" s="105"/>
      <c r="N38" s="59"/>
      <c r="O38" s="200" t="s">
        <v>88</v>
      </c>
      <c r="P38" s="201"/>
      <c r="Q38" s="199">
        <f>ROUNDUP(SUM(I20/(6*Q37)),4)</f>
        <v>3.5234000000000001</v>
      </c>
      <c r="R38" s="181"/>
    </row>
    <row r="39" spans="1:20" ht="15" customHeight="1">
      <c r="A39" s="217" t="s">
        <v>77</v>
      </c>
      <c r="B39" s="218"/>
      <c r="C39" s="221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3"/>
      <c r="O39" s="260" t="s">
        <v>87</v>
      </c>
      <c r="P39" s="201"/>
      <c r="Q39" s="199">
        <f>ROUNDUP(SUM((1-N20)*Q38),4)</f>
        <v>1.7078</v>
      </c>
      <c r="R39" s="181"/>
    </row>
    <row r="40" spans="1:20" ht="15" customHeight="1">
      <c r="A40" s="217"/>
      <c r="B40" s="218"/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6"/>
      <c r="O40" s="233" t="s">
        <v>78</v>
      </c>
      <c r="P40" s="234"/>
      <c r="Q40" s="261" t="s">
        <v>106</v>
      </c>
      <c r="R40" s="262"/>
    </row>
    <row r="41" spans="1:20" ht="15" customHeight="1" thickBot="1">
      <c r="A41" s="219"/>
      <c r="B41" s="220"/>
      <c r="C41" s="227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9"/>
      <c r="O41" s="192" t="s">
        <v>86</v>
      </c>
      <c r="P41" s="193"/>
      <c r="Q41" s="258" t="s">
        <v>107</v>
      </c>
      <c r="R41" s="259"/>
    </row>
    <row r="42" spans="1:20" ht="15.75" customHeight="1">
      <c r="M42" s="63"/>
      <c r="P42" s="64"/>
    </row>
  </sheetData>
  <mergeCells count="76">
    <mergeCell ref="A1:B3"/>
    <mergeCell ref="C1:P2"/>
    <mergeCell ref="C3:P3"/>
    <mergeCell ref="O41:P41"/>
    <mergeCell ref="Q41:R41"/>
    <mergeCell ref="C39:N41"/>
    <mergeCell ref="A39:B41"/>
    <mergeCell ref="O39:P39"/>
    <mergeCell ref="Q39:R39"/>
    <mergeCell ref="Q40:R40"/>
    <mergeCell ref="O40:P40"/>
    <mergeCell ref="J35:L35"/>
    <mergeCell ref="O35:P35"/>
    <mergeCell ref="Q35:R35"/>
    <mergeCell ref="J36:L36"/>
    <mergeCell ref="O36:P36"/>
    <mergeCell ref="Q36:R36"/>
    <mergeCell ref="J37:L37"/>
    <mergeCell ref="O37:P37"/>
    <mergeCell ref="Q37:R37"/>
    <mergeCell ref="O38:P38"/>
    <mergeCell ref="Q38:R38"/>
    <mergeCell ref="J32:L32"/>
    <mergeCell ref="J33:L33"/>
    <mergeCell ref="O33:P33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N19:P19"/>
    <mergeCell ref="A20:C20"/>
    <mergeCell ref="D20:E20"/>
    <mergeCell ref="F20:H20"/>
    <mergeCell ref="I20:J20"/>
    <mergeCell ref="K20:M20"/>
    <mergeCell ref="O20:P20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zoomScaleNormal="115" zoomScaleSheetLayoutView="100" workbookViewId="0">
      <selection activeCell="C10" sqref="C1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71093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4" customHeight="1">
      <c r="A1" s="211"/>
      <c r="B1" s="212"/>
      <c r="C1" s="202" t="s">
        <v>90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80" t="s">
        <v>102</v>
      </c>
      <c r="R1" s="81" t="s">
        <v>105</v>
      </c>
    </row>
    <row r="2" spans="1:32" ht="24" customHeight="1">
      <c r="A2" s="213"/>
      <c r="B2" s="21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82" t="s">
        <v>103</v>
      </c>
      <c r="R2" s="83" t="s">
        <v>100</v>
      </c>
    </row>
    <row r="3" spans="1:32" s="2" customFormat="1" ht="24" customHeight="1" thickBot="1">
      <c r="A3" s="215"/>
      <c r="B3" s="216"/>
      <c r="C3" s="208" t="s">
        <v>0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84" t="s">
        <v>104</v>
      </c>
      <c r="R3" s="85" t="s">
        <v>101</v>
      </c>
    </row>
    <row r="4" spans="1:32" s="4" customFormat="1" ht="15" customHeight="1">
      <c r="A4" s="247" t="s">
        <v>1</v>
      </c>
      <c r="B4" s="132"/>
      <c r="C4" s="244" t="s">
        <v>96</v>
      </c>
      <c r="D4" s="245"/>
      <c r="E4" s="246"/>
      <c r="F4" s="247" t="s">
        <v>2</v>
      </c>
      <c r="G4" s="248"/>
      <c r="H4" s="244" t="s">
        <v>3</v>
      </c>
      <c r="I4" s="245"/>
      <c r="J4" s="246"/>
      <c r="K4" s="249" t="s">
        <v>4</v>
      </c>
      <c r="L4" s="132"/>
      <c r="M4" s="3" t="s">
        <v>99</v>
      </c>
      <c r="N4" s="110"/>
      <c r="O4" s="236"/>
      <c r="P4" s="237"/>
      <c r="Q4" s="237"/>
      <c r="R4" s="263"/>
    </row>
    <row r="5" spans="1:32" s="4" customFormat="1" ht="15" customHeight="1">
      <c r="A5" s="140" t="s">
        <v>5</v>
      </c>
      <c r="B5" s="119"/>
      <c r="C5" s="239" t="s">
        <v>6</v>
      </c>
      <c r="D5" s="240"/>
      <c r="E5" s="241"/>
      <c r="F5" s="140" t="s">
        <v>7</v>
      </c>
      <c r="G5" s="242"/>
      <c r="H5" s="239" t="s">
        <v>8</v>
      </c>
      <c r="I5" s="240"/>
      <c r="J5" s="241"/>
      <c r="K5" s="141" t="s">
        <v>9</v>
      </c>
      <c r="L5" s="119"/>
      <c r="M5" s="5" t="s">
        <v>10</v>
      </c>
      <c r="N5" s="111"/>
      <c r="O5" s="115"/>
      <c r="P5" s="116"/>
      <c r="Q5" s="116"/>
      <c r="R5" s="264"/>
    </row>
    <row r="6" spans="1:32" s="4" customFormat="1" ht="15" customHeight="1">
      <c r="A6" s="140" t="s">
        <v>11</v>
      </c>
      <c r="B6" s="119"/>
      <c r="C6" s="197" t="s">
        <v>12</v>
      </c>
      <c r="D6" s="256"/>
      <c r="E6" s="257"/>
      <c r="F6" s="140" t="s">
        <v>13</v>
      </c>
      <c r="G6" s="242"/>
      <c r="H6" s="239" t="s">
        <v>14</v>
      </c>
      <c r="I6" s="240"/>
      <c r="J6" s="241"/>
      <c r="K6" s="140" t="s">
        <v>15</v>
      </c>
      <c r="L6" s="243"/>
      <c r="M6" s="5">
        <v>1</v>
      </c>
      <c r="N6" s="6"/>
      <c r="O6" s="146"/>
      <c r="P6" s="147"/>
      <c r="Q6" s="6" t="s">
        <v>16</v>
      </c>
      <c r="R6" s="7" t="s">
        <v>109</v>
      </c>
    </row>
    <row r="7" spans="1:32" s="4" customFormat="1" ht="15" customHeight="1">
      <c r="A7" s="265" t="s">
        <v>17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50"/>
      <c r="M7" s="151" t="s">
        <v>92</v>
      </c>
      <c r="N7" s="152"/>
      <c r="O7" s="152"/>
      <c r="P7" s="152"/>
      <c r="Q7" s="153"/>
      <c r="R7" s="8" t="s">
        <v>93</v>
      </c>
    </row>
    <row r="8" spans="1:32" s="4" customFormat="1" ht="15" customHeight="1">
      <c r="A8" s="9" t="s">
        <v>20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54" t="s">
        <v>79</v>
      </c>
      <c r="M8" s="250">
        <v>2100</v>
      </c>
      <c r="N8" s="251"/>
      <c r="O8" s="10" t="s">
        <v>21</v>
      </c>
      <c r="P8" s="11" t="s">
        <v>22</v>
      </c>
      <c r="Q8" s="11" t="s">
        <v>23</v>
      </c>
      <c r="R8" s="11" t="s">
        <v>24</v>
      </c>
    </row>
    <row r="9" spans="1:32" s="4" customFormat="1" ht="15" customHeight="1">
      <c r="A9" s="9">
        <v>1</v>
      </c>
      <c r="B9" s="12">
        <v>1938</v>
      </c>
      <c r="C9" s="12">
        <v>1960</v>
      </c>
      <c r="D9" s="12">
        <v>1927</v>
      </c>
      <c r="E9" s="12">
        <v>1939</v>
      </c>
      <c r="F9" s="12">
        <v>1961</v>
      </c>
      <c r="G9" s="12">
        <v>1922</v>
      </c>
      <c r="H9" s="12">
        <v>1922</v>
      </c>
      <c r="I9" s="12">
        <v>1947</v>
      </c>
      <c r="J9" s="12">
        <v>1928</v>
      </c>
      <c r="K9" s="12">
        <v>1927</v>
      </c>
      <c r="L9" s="155"/>
      <c r="M9" s="252"/>
      <c r="N9" s="253"/>
      <c r="O9" s="13" t="s">
        <v>25</v>
      </c>
      <c r="P9" s="6">
        <v>1.123</v>
      </c>
      <c r="Q9" s="13" t="s">
        <v>26</v>
      </c>
      <c r="R9" s="13" t="s">
        <v>27</v>
      </c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9">
        <v>2</v>
      </c>
      <c r="B10" s="12">
        <v>1974</v>
      </c>
      <c r="C10" s="12">
        <v>1947</v>
      </c>
      <c r="D10" s="12">
        <v>1947</v>
      </c>
      <c r="E10" s="12">
        <v>1952</v>
      </c>
      <c r="F10" s="12">
        <v>1945</v>
      </c>
      <c r="G10" s="12">
        <v>1953</v>
      </c>
      <c r="H10" s="12">
        <v>1935</v>
      </c>
      <c r="I10" s="12">
        <v>1895</v>
      </c>
      <c r="J10" s="12">
        <v>1885</v>
      </c>
      <c r="K10" s="12">
        <v>1974</v>
      </c>
      <c r="L10" s="156"/>
      <c r="M10" s="254"/>
      <c r="N10" s="255"/>
      <c r="O10" s="13" t="s">
        <v>28</v>
      </c>
      <c r="P10" s="6">
        <v>1.1279999999999999</v>
      </c>
      <c r="Q10" s="13" t="s">
        <v>29</v>
      </c>
      <c r="R10" s="13" t="s">
        <v>27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6">
        <v>3</v>
      </c>
      <c r="B11" s="12">
        <v>1953</v>
      </c>
      <c r="C11" s="12">
        <v>1925</v>
      </c>
      <c r="D11" s="12">
        <v>1959</v>
      </c>
      <c r="E11" s="12">
        <v>1946</v>
      </c>
      <c r="F11" s="12">
        <v>1941</v>
      </c>
      <c r="G11" s="12">
        <v>1950</v>
      </c>
      <c r="H11" s="12">
        <v>1922</v>
      </c>
      <c r="I11" s="12">
        <v>1952</v>
      </c>
      <c r="J11" s="12">
        <v>1952</v>
      </c>
      <c r="K11" s="12">
        <v>1918</v>
      </c>
      <c r="L11" s="154" t="s">
        <v>80</v>
      </c>
      <c r="M11" s="250">
        <v>1800</v>
      </c>
      <c r="N11" s="251"/>
      <c r="O11" s="17" t="s">
        <v>30</v>
      </c>
      <c r="P11" s="18">
        <v>1.6930000000000001</v>
      </c>
      <c r="Q11" s="13" t="s">
        <v>31</v>
      </c>
      <c r="R11" s="13" t="s">
        <v>32</v>
      </c>
      <c r="T11" s="15" t="s">
        <v>33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s="4" customFormat="1" ht="15" customHeight="1">
      <c r="A12" s="19">
        <v>4</v>
      </c>
      <c r="B12" s="12">
        <v>1934</v>
      </c>
      <c r="C12" s="12">
        <v>1941</v>
      </c>
      <c r="D12" s="12">
        <v>1929</v>
      </c>
      <c r="E12" s="12">
        <v>1954</v>
      </c>
      <c r="F12" s="12">
        <v>1926</v>
      </c>
      <c r="G12" s="12">
        <v>1925</v>
      </c>
      <c r="H12" s="12">
        <v>1966</v>
      </c>
      <c r="I12" s="12">
        <v>1921</v>
      </c>
      <c r="J12" s="12">
        <v>1931</v>
      </c>
      <c r="K12" s="12">
        <v>1960</v>
      </c>
      <c r="L12" s="163"/>
      <c r="M12" s="252"/>
      <c r="N12" s="253"/>
      <c r="O12" s="13" t="s">
        <v>34</v>
      </c>
      <c r="P12" s="6">
        <v>2.0590000000000002</v>
      </c>
      <c r="Q12" s="13" t="s">
        <v>35</v>
      </c>
      <c r="R12" s="13" t="s">
        <v>36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21">
        <v>5</v>
      </c>
      <c r="B13" s="12">
        <v>1952</v>
      </c>
      <c r="C13" s="12">
        <v>1953</v>
      </c>
      <c r="D13" s="12">
        <v>1953</v>
      </c>
      <c r="E13" s="12">
        <v>1935</v>
      </c>
      <c r="F13" s="12">
        <v>1929</v>
      </c>
      <c r="G13" s="12">
        <v>1941</v>
      </c>
      <c r="H13" s="12">
        <v>1951</v>
      </c>
      <c r="I13" s="12">
        <v>1964</v>
      </c>
      <c r="J13" s="12">
        <v>1952</v>
      </c>
      <c r="K13" s="12">
        <v>1993</v>
      </c>
      <c r="L13" s="164"/>
      <c r="M13" s="254"/>
      <c r="N13" s="255"/>
      <c r="O13" s="22" t="s">
        <v>37</v>
      </c>
      <c r="P13" s="23">
        <v>2.3260000000000001</v>
      </c>
      <c r="Q13" s="13" t="s">
        <v>38</v>
      </c>
      <c r="R13" s="13" t="s">
        <v>39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5"/>
      <c r="AE13" s="15"/>
      <c r="AF13" s="15"/>
    </row>
    <row r="14" spans="1:32" s="4" customFormat="1" ht="15" customHeight="1">
      <c r="A14" s="265">
        <v>11.99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266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67" t="s">
        <v>40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268"/>
      <c r="S15" s="15"/>
      <c r="T15" s="15"/>
      <c r="U15" s="15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4" customFormat="1" ht="15" customHeight="1">
      <c r="A16" s="24" t="s">
        <v>41</v>
      </c>
      <c r="B16" s="25">
        <f t="shared" ref="B16:K16" si="0">MAX(B9:B13)</f>
        <v>1974</v>
      </c>
      <c r="C16" s="25">
        <f t="shared" si="0"/>
        <v>1960</v>
      </c>
      <c r="D16" s="25">
        <f t="shared" si="0"/>
        <v>1959</v>
      </c>
      <c r="E16" s="25">
        <f t="shared" si="0"/>
        <v>1954</v>
      </c>
      <c r="F16" s="25">
        <f t="shared" si="0"/>
        <v>1961</v>
      </c>
      <c r="G16" s="25">
        <f t="shared" si="0"/>
        <v>1953</v>
      </c>
      <c r="H16" s="25">
        <f t="shared" si="0"/>
        <v>1966</v>
      </c>
      <c r="I16" s="25">
        <f>MAX(I9:I13)</f>
        <v>1964</v>
      </c>
      <c r="J16" s="25">
        <f t="shared" si="0"/>
        <v>1952</v>
      </c>
      <c r="K16" s="26">
        <f t="shared" si="0"/>
        <v>1993</v>
      </c>
      <c r="L16" s="6" t="s">
        <v>42</v>
      </c>
      <c r="M16" s="27">
        <f>(MAX(B16:K16))</f>
        <v>1993</v>
      </c>
      <c r="N16" s="170" t="s">
        <v>43</v>
      </c>
      <c r="O16" s="171"/>
      <c r="P16" s="172"/>
      <c r="Q16" s="176">
        <f>SUM(Q18:R19)</f>
        <v>0</v>
      </c>
      <c r="R16" s="269" t="s">
        <v>44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5"/>
      <c r="AE16" s="15"/>
      <c r="AF16" s="15"/>
    </row>
    <row r="17" spans="1:32" s="4" customFormat="1" ht="15" customHeight="1">
      <c r="A17" s="28" t="s">
        <v>45</v>
      </c>
      <c r="B17" s="26">
        <f t="shared" ref="B17:J17" si="1">MIN(B9:B13)</f>
        <v>1934</v>
      </c>
      <c r="C17" s="25">
        <f>MIN(C9:C13)</f>
        <v>1925</v>
      </c>
      <c r="D17" s="26">
        <f t="shared" si="1"/>
        <v>1927</v>
      </c>
      <c r="E17" s="26">
        <f t="shared" si="1"/>
        <v>1935</v>
      </c>
      <c r="F17" s="26">
        <f t="shared" si="1"/>
        <v>1926</v>
      </c>
      <c r="G17" s="26">
        <f>MIN(G9:G13)</f>
        <v>1922</v>
      </c>
      <c r="H17" s="26">
        <f t="shared" si="1"/>
        <v>1922</v>
      </c>
      <c r="I17" s="25">
        <f>MIN(I9:I13)</f>
        <v>1895</v>
      </c>
      <c r="J17" s="26">
        <f t="shared" si="1"/>
        <v>1885</v>
      </c>
      <c r="K17" s="26">
        <f>MIN(K9:K13)</f>
        <v>1918</v>
      </c>
      <c r="L17" s="6" t="s">
        <v>46</v>
      </c>
      <c r="M17" s="27">
        <f>MIN(B17:K17)</f>
        <v>1885</v>
      </c>
      <c r="N17" s="173"/>
      <c r="O17" s="174"/>
      <c r="P17" s="175"/>
      <c r="Q17" s="177"/>
      <c r="R17" s="270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s="4" customFormat="1" ht="15" customHeight="1">
      <c r="A18" s="29" t="s">
        <v>47</v>
      </c>
      <c r="B18" s="30">
        <f t="shared" ref="B18:K18" si="2">SUM(MAX(B9:B13)-MIN(B9:B13))</f>
        <v>40</v>
      </c>
      <c r="C18" s="30">
        <f t="shared" si="2"/>
        <v>35</v>
      </c>
      <c r="D18" s="30">
        <f t="shared" si="2"/>
        <v>32</v>
      </c>
      <c r="E18" s="30">
        <f t="shared" si="2"/>
        <v>19</v>
      </c>
      <c r="F18" s="30">
        <f t="shared" si="2"/>
        <v>35</v>
      </c>
      <c r="G18" s="30">
        <f>SUM(MAX(G9:G13)-MIN(G9:G13))</f>
        <v>31</v>
      </c>
      <c r="H18" s="30">
        <f t="shared" si="2"/>
        <v>44</v>
      </c>
      <c r="I18" s="30">
        <f t="shared" si="2"/>
        <v>69</v>
      </c>
      <c r="J18" s="30">
        <f t="shared" si="2"/>
        <v>67</v>
      </c>
      <c r="K18" s="26">
        <f t="shared" si="2"/>
        <v>75</v>
      </c>
      <c r="L18" s="31" t="s">
        <v>48</v>
      </c>
      <c r="M18" s="32">
        <f>AVERAGE(B18:K18)</f>
        <v>44.7</v>
      </c>
      <c r="N18" s="144" t="s">
        <v>49</v>
      </c>
      <c r="O18" s="145"/>
      <c r="P18" s="145"/>
      <c r="Q18" s="33">
        <f>COUNTIF(B9:K13,"&gt;"&amp;TEXT(M8,"0.000000"))</f>
        <v>0</v>
      </c>
      <c r="R18" s="34" t="s">
        <v>44</v>
      </c>
      <c r="U18" s="35"/>
    </row>
    <row r="19" spans="1:32" s="4" customFormat="1" ht="15" customHeight="1">
      <c r="A19" s="6" t="s">
        <v>50</v>
      </c>
      <c r="B19" s="26">
        <f>(AVERAGE(B9:B13))</f>
        <v>1950.2</v>
      </c>
      <c r="C19" s="26">
        <f t="shared" ref="C19:K19" si="3">AVERAGE(C9:C13)</f>
        <v>1945.2</v>
      </c>
      <c r="D19" s="26">
        <f t="shared" si="3"/>
        <v>1943</v>
      </c>
      <c r="E19" s="26">
        <f t="shared" si="3"/>
        <v>1945.2</v>
      </c>
      <c r="F19" s="26">
        <f t="shared" si="3"/>
        <v>1940.4</v>
      </c>
      <c r="G19" s="26">
        <f>AVERAGE(G9:G13)</f>
        <v>1938.2</v>
      </c>
      <c r="H19" s="26">
        <f t="shared" si="3"/>
        <v>1939.2</v>
      </c>
      <c r="I19" s="26">
        <f t="shared" si="3"/>
        <v>1935.8</v>
      </c>
      <c r="J19" s="26">
        <f t="shared" si="3"/>
        <v>1929.6</v>
      </c>
      <c r="K19" s="26">
        <f t="shared" si="3"/>
        <v>1954.4</v>
      </c>
      <c r="L19" s="31" t="s">
        <v>51</v>
      </c>
      <c r="M19" s="36">
        <f>ROUNDUP(AVERAGE(B9:K13),4)</f>
        <v>1942.12</v>
      </c>
      <c r="N19" s="144" t="s">
        <v>52</v>
      </c>
      <c r="O19" s="235"/>
      <c r="P19" s="235"/>
      <c r="Q19" s="37">
        <f>COUNTIF(B9:K13,"&lt;"&amp;TEXT(M11,"0.000000"))</f>
        <v>0</v>
      </c>
      <c r="R19" s="38" t="s">
        <v>44</v>
      </c>
    </row>
    <row r="20" spans="1:32" s="4" customFormat="1" ht="15" customHeight="1">
      <c r="A20" s="140" t="s">
        <v>53</v>
      </c>
      <c r="B20" s="141"/>
      <c r="C20" s="141"/>
      <c r="D20" s="183">
        <f>ROUNDUP(SUM(M16-M17),4)</f>
        <v>108</v>
      </c>
      <c r="E20" s="184"/>
      <c r="F20" s="140" t="s">
        <v>54</v>
      </c>
      <c r="G20" s="141"/>
      <c r="H20" s="141"/>
      <c r="I20" s="183">
        <f>ROUNDUP(ABS(SUM(M8-M11)),4)</f>
        <v>300</v>
      </c>
      <c r="J20" s="184"/>
      <c r="K20" s="140" t="s">
        <v>55</v>
      </c>
      <c r="L20" s="141"/>
      <c r="M20" s="141"/>
      <c r="N20" s="39">
        <f>ROUNDUP(SUM((2*(N22))/I20),4)</f>
        <v>5.2600000000000001E-2</v>
      </c>
      <c r="O20" s="142" t="s">
        <v>56</v>
      </c>
      <c r="P20" s="143"/>
      <c r="Q20" s="40" t="s">
        <v>57</v>
      </c>
      <c r="R20" s="40" t="s">
        <v>58</v>
      </c>
    </row>
    <row r="21" spans="1:32" s="4" customFormat="1" ht="15" customHeight="1">
      <c r="A21" s="140" t="s">
        <v>59</v>
      </c>
      <c r="B21" s="141"/>
      <c r="C21" s="141"/>
      <c r="D21" s="183">
        <f>ROUNDUP(AVERAGE(M8:M11),4)</f>
        <v>1950</v>
      </c>
      <c r="E21" s="184"/>
      <c r="F21" s="140" t="s">
        <v>60</v>
      </c>
      <c r="G21" s="141"/>
      <c r="H21" s="141"/>
      <c r="I21" s="188">
        <f>ROUNDUP(SUM(D20/N21),4)</f>
        <v>21.6</v>
      </c>
      <c r="J21" s="189"/>
      <c r="K21" s="140" t="s">
        <v>61</v>
      </c>
      <c r="L21" s="141"/>
      <c r="M21" s="141"/>
      <c r="N21" s="41" t="str">
        <f>IF(I22/10&lt;=5,"5",IF(I22/10&lt;=6,"6",IF(I22/10&lt;=7,"7","8")))</f>
        <v>5</v>
      </c>
      <c r="O21" s="42">
        <f>ROUNDUP(SUM(P21-I21),4)</f>
        <v>1798.5</v>
      </c>
      <c r="P21" s="42">
        <f>ROUNDUP(SUM(P22-I21),4)</f>
        <v>1820.1</v>
      </c>
      <c r="Q21" s="26">
        <f>SUM(R21)</f>
        <v>0</v>
      </c>
      <c r="R21" s="26">
        <f>FREQUENCY(B9:K13,P21:P22)</f>
        <v>0</v>
      </c>
    </row>
    <row r="22" spans="1:32" s="4" customFormat="1" ht="15" customHeight="1">
      <c r="A22" s="140" t="s">
        <v>62</v>
      </c>
      <c r="B22" s="141"/>
      <c r="C22" s="141"/>
      <c r="D22" s="183">
        <f>ROUNDUP(SUM(M17-(IF(M6=M33,J33,IF(M6=M34,J34,IF(M6=M35,J35,IF(M6=M36,J36,IF(M6=M37,J37))))))),4)</f>
        <v>1884.9</v>
      </c>
      <c r="E22" s="184"/>
      <c r="F22" s="140" t="s">
        <v>63</v>
      </c>
      <c r="G22" s="141"/>
      <c r="H22" s="141"/>
      <c r="I22" s="183">
        <f>COUNTIF((B9:K13),"&gt;0")</f>
        <v>50</v>
      </c>
      <c r="J22" s="183"/>
      <c r="K22" s="140" t="s">
        <v>64</v>
      </c>
      <c r="L22" s="141"/>
      <c r="M22" s="141"/>
      <c r="N22" s="43">
        <f>(ABS(SUM(M19-D21)))</f>
        <v>7.8800000000001091</v>
      </c>
      <c r="O22" s="42">
        <f>ROUNDUP(SUM(P22-I21),4)</f>
        <v>1820.1</v>
      </c>
      <c r="P22" s="42">
        <f>ROUNDUP(SUM(P23-I21),4)</f>
        <v>1841.7</v>
      </c>
      <c r="Q22" s="26">
        <f t="shared" ref="Q22:Q32" si="4">SUM(R22-R21)</f>
        <v>0</v>
      </c>
      <c r="R22" s="26">
        <f>FREQUENCY(B9:K13,P22:P23)</f>
        <v>0</v>
      </c>
    </row>
    <row r="23" spans="1:32" s="2" customFormat="1" ht="17.100000000000001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2">
        <f>ROUNDUP(SUM(P23-I21),4)</f>
        <v>1841.7</v>
      </c>
      <c r="P23" s="42">
        <f>ROUNDUP(SUM(P24-I21),4)</f>
        <v>1863.3</v>
      </c>
      <c r="Q23" s="26">
        <f t="shared" si="4"/>
        <v>0</v>
      </c>
      <c r="R23" s="26">
        <f>FREQUENCY(B9:K13,P23:P24)</f>
        <v>0</v>
      </c>
    </row>
    <row r="24" spans="1:32" s="2" customFormat="1" ht="17.100000000000001" customHeight="1">
      <c r="A24" s="45" t="s">
        <v>65</v>
      </c>
      <c r="B24" s="6">
        <f>Q33</f>
        <v>1968.4929999999999</v>
      </c>
      <c r="C24" s="6">
        <f>Q33</f>
        <v>1968.4929999999999</v>
      </c>
      <c r="D24" s="6">
        <f>Q33</f>
        <v>1968.4929999999999</v>
      </c>
      <c r="E24" s="6">
        <f>Q33</f>
        <v>1968.4929999999999</v>
      </c>
      <c r="F24" s="46">
        <f>Q33</f>
        <v>1968.4929999999999</v>
      </c>
      <c r="G24" s="46">
        <f>Q33</f>
        <v>1968.4929999999999</v>
      </c>
      <c r="H24" s="46">
        <f>Q33</f>
        <v>1968.4929999999999</v>
      </c>
      <c r="I24" s="6">
        <f>Q33</f>
        <v>1968.4929999999999</v>
      </c>
      <c r="J24" s="6">
        <f>Q33</f>
        <v>1968.4929999999999</v>
      </c>
      <c r="K24" s="27">
        <f>Q33</f>
        <v>1968.4929999999999</v>
      </c>
      <c r="M24" s="47"/>
      <c r="N24" s="47"/>
      <c r="O24" s="42">
        <f>ROUNDUP(SUM(P24-I21),4)</f>
        <v>1863.3</v>
      </c>
      <c r="P24" s="42">
        <f>ROUNDUP((D22),4)</f>
        <v>1884.9</v>
      </c>
      <c r="Q24" s="26">
        <f t="shared" si="4"/>
        <v>0</v>
      </c>
      <c r="R24" s="26">
        <f>FREQUENCY(B9:K13,P24:P25)</f>
        <v>0</v>
      </c>
    </row>
    <row r="25" spans="1:32" s="2" customFormat="1" ht="17.100000000000001" customHeight="1">
      <c r="A25" s="48" t="s">
        <v>66</v>
      </c>
      <c r="B25" s="27">
        <f>Q34</f>
        <v>1915.7469999999998</v>
      </c>
      <c r="C25" s="27">
        <f>Q34</f>
        <v>1915.7469999999998</v>
      </c>
      <c r="D25" s="27">
        <f>Q34</f>
        <v>1915.7469999999998</v>
      </c>
      <c r="E25" s="27">
        <f>Q34</f>
        <v>1915.7469999999998</v>
      </c>
      <c r="F25" s="27">
        <f>Q34</f>
        <v>1915.7469999999998</v>
      </c>
      <c r="G25" s="27">
        <f>Q34</f>
        <v>1915.7469999999998</v>
      </c>
      <c r="H25" s="27">
        <f>Q34</f>
        <v>1915.7469999999998</v>
      </c>
      <c r="I25" s="27">
        <f>Q34</f>
        <v>1915.7469999999998</v>
      </c>
      <c r="J25" s="27">
        <f>Q34</f>
        <v>1915.7469999999998</v>
      </c>
      <c r="K25" s="27">
        <f>Q34</f>
        <v>1915.7469999999998</v>
      </c>
      <c r="M25" s="49"/>
      <c r="N25" s="49"/>
      <c r="O25" s="42">
        <f>ROUNDUP((D22),4)</f>
        <v>1884.9</v>
      </c>
      <c r="P25" s="42">
        <f>ROUNDUP(SUM(P24+I21),4)</f>
        <v>1906.5</v>
      </c>
      <c r="Q25" s="26">
        <f t="shared" si="4"/>
        <v>2</v>
      </c>
      <c r="R25" s="26">
        <f>FREQUENCY(B9:K13,P25:P26)</f>
        <v>2</v>
      </c>
    </row>
    <row r="26" spans="1:32" s="2" customFormat="1" ht="17.100000000000001" customHeight="1">
      <c r="A26" s="45" t="s">
        <v>67</v>
      </c>
      <c r="B26" s="27">
        <f>Q35</f>
        <v>94.317000000000007</v>
      </c>
      <c r="C26" s="27">
        <f>Q35</f>
        <v>94.317000000000007</v>
      </c>
      <c r="D26" s="27">
        <f>Q35</f>
        <v>94.317000000000007</v>
      </c>
      <c r="E26" s="50">
        <f>Q35</f>
        <v>94.317000000000007</v>
      </c>
      <c r="F26" s="50">
        <f>Q35</f>
        <v>94.317000000000007</v>
      </c>
      <c r="G26" s="50">
        <f>Q35</f>
        <v>94.317000000000007</v>
      </c>
      <c r="H26" s="27">
        <f>Q35</f>
        <v>94.317000000000007</v>
      </c>
      <c r="I26" s="27">
        <f>Q35</f>
        <v>94.317000000000007</v>
      </c>
      <c r="J26" s="27">
        <f>Q35</f>
        <v>94.317000000000007</v>
      </c>
      <c r="K26" s="27">
        <f>Q35</f>
        <v>94.317000000000007</v>
      </c>
      <c r="M26" s="49"/>
      <c r="N26" s="49"/>
      <c r="O26" s="42">
        <f>ROUNDUP(SUM(P24+I21),4)</f>
        <v>1906.5</v>
      </c>
      <c r="P26" s="42">
        <f>ROUNDUP(SUM(P25+I21),4)</f>
        <v>1928.1</v>
      </c>
      <c r="Q26" s="26">
        <f t="shared" si="4"/>
        <v>11</v>
      </c>
      <c r="R26" s="26">
        <f>FREQUENCY(B9:K13,P26:P27)</f>
        <v>13</v>
      </c>
    </row>
    <row r="27" spans="1:32" s="2" customFormat="1" ht="17.100000000000001" customHeight="1">
      <c r="A27" s="45" t="s">
        <v>66</v>
      </c>
      <c r="B27" s="50">
        <f>Q36</f>
        <v>0</v>
      </c>
      <c r="C27" s="50">
        <f>Q36</f>
        <v>0</v>
      </c>
      <c r="D27" s="50">
        <f>Q36</f>
        <v>0</v>
      </c>
      <c r="E27" s="50">
        <f>Q36</f>
        <v>0</v>
      </c>
      <c r="F27" s="50">
        <f>Q36</f>
        <v>0</v>
      </c>
      <c r="G27" s="50">
        <f>Q36</f>
        <v>0</v>
      </c>
      <c r="H27" s="50">
        <f>Q36</f>
        <v>0</v>
      </c>
      <c r="I27" s="50">
        <f>Q36</f>
        <v>0</v>
      </c>
      <c r="J27" s="50">
        <f>Q36</f>
        <v>0</v>
      </c>
      <c r="K27" s="27">
        <f>Q36</f>
        <v>0</v>
      </c>
      <c r="M27" s="49"/>
      <c r="N27" s="49"/>
      <c r="O27" s="42">
        <f>ROUNDUP(SUM(P25+I21),4)</f>
        <v>1928.1</v>
      </c>
      <c r="P27" s="42">
        <f>ROUNDUP(SUM(P26+I21),4)</f>
        <v>1949.7</v>
      </c>
      <c r="Q27" s="26">
        <v>0</v>
      </c>
      <c r="R27" s="26">
        <f>FREQUENCY(B9:K13,P27:P28)</f>
        <v>29</v>
      </c>
    </row>
    <row r="28" spans="1:32" s="2" customFormat="1" ht="17.100000000000001" customHeight="1">
      <c r="A28" s="45" t="s">
        <v>68</v>
      </c>
      <c r="B28" s="27">
        <f>ROUNDUP(AVERAGE(B9:K13),4)</f>
        <v>1942.12</v>
      </c>
      <c r="C28" s="27">
        <f>ROUNDUP(AVERAGE(B9:K13),4)</f>
        <v>1942.12</v>
      </c>
      <c r="D28" s="27">
        <f>ROUNDUP(AVERAGE(B9:K13),4)</f>
        <v>1942.12</v>
      </c>
      <c r="E28" s="50">
        <f>ROUNDUP(AVERAGE(B9:K13),4)</f>
        <v>1942.12</v>
      </c>
      <c r="F28" s="50">
        <f>ROUNDUP(AVERAGE(B9:K13),4)</f>
        <v>1942.12</v>
      </c>
      <c r="G28" s="50">
        <f>ROUNDUP(AVERAGE(B9:K13),4)</f>
        <v>1942.12</v>
      </c>
      <c r="H28" s="27">
        <f>ROUNDUP(AVERAGE(B9:K13),4)</f>
        <v>1942.12</v>
      </c>
      <c r="I28" s="27">
        <f>ROUNDUP(AVERAGE(B9:K13),4)</f>
        <v>1942.12</v>
      </c>
      <c r="J28" s="27">
        <f>ROUNDUP(AVERAGE(B9:K13),4)</f>
        <v>1942.12</v>
      </c>
      <c r="K28" s="27">
        <f>ROUNDUP(AVERAGE(B9:K13),4)</f>
        <v>1942.12</v>
      </c>
      <c r="M28" s="49"/>
      <c r="N28" s="49"/>
      <c r="O28" s="42">
        <f>ROUNDUP(SUM(P26+I21),4)</f>
        <v>1949.7</v>
      </c>
      <c r="P28" s="42">
        <f>ROUNDUP(SUM(P27+I21),4)</f>
        <v>1971.3</v>
      </c>
      <c r="Q28" s="6">
        <f t="shared" si="4"/>
        <v>18</v>
      </c>
      <c r="R28" s="26">
        <f>FREQUENCY(B9:K13,P28:P29)</f>
        <v>47</v>
      </c>
    </row>
    <row r="29" spans="1:32" ht="17.100000000000001" customHeight="1">
      <c r="A29" s="45" t="s">
        <v>69</v>
      </c>
      <c r="B29" s="27">
        <f>AVERAGE(B18:K18)</f>
        <v>44.7</v>
      </c>
      <c r="C29" s="27">
        <f>AVERAGE(B18:K18)</f>
        <v>44.7</v>
      </c>
      <c r="D29" s="27">
        <f>AVERAGE(B18:K18)</f>
        <v>44.7</v>
      </c>
      <c r="E29" s="27">
        <f>AVERAGE(B18:K18)</f>
        <v>44.7</v>
      </c>
      <c r="F29" s="27">
        <f>AVERAGE(B18:K18)</f>
        <v>44.7</v>
      </c>
      <c r="G29" s="27">
        <f>AVERAGE(B18:K18)</f>
        <v>44.7</v>
      </c>
      <c r="H29" s="27">
        <f>AVERAGE(B18:K18)</f>
        <v>44.7</v>
      </c>
      <c r="I29" s="27">
        <f>AVERAGE(B18:K18)</f>
        <v>44.7</v>
      </c>
      <c r="J29" s="27">
        <f>AVERAGE(B18:K18)</f>
        <v>44.7</v>
      </c>
      <c r="K29" s="27">
        <f>AVERAGE(B18:K18)</f>
        <v>44.7</v>
      </c>
      <c r="M29" s="49"/>
      <c r="N29" s="49"/>
      <c r="O29" s="42">
        <f>ROUNDUP(SUM(P27+I21),4)</f>
        <v>1971.3</v>
      </c>
      <c r="P29" s="42">
        <f>ROUNDUP(SUM(P28+I21),4)</f>
        <v>1992.9</v>
      </c>
      <c r="Q29" s="6">
        <f t="shared" si="4"/>
        <v>2</v>
      </c>
      <c r="R29" s="26">
        <f>FREQUENCY(B9:K13,P29:P30)</f>
        <v>49</v>
      </c>
    </row>
    <row r="30" spans="1:32" ht="17.100000000000001" customHeight="1">
      <c r="A30" s="1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49"/>
      <c r="M30" s="49"/>
      <c r="N30" s="49"/>
      <c r="O30" s="42">
        <f>ROUNDUP(SUM(P28+I21),4)</f>
        <v>1992.9</v>
      </c>
      <c r="P30" s="42">
        <f>ROUNDUP(SUM(P29+I21),4)</f>
        <v>2014.5</v>
      </c>
      <c r="Q30" s="6">
        <f t="shared" si="4"/>
        <v>1</v>
      </c>
      <c r="R30" s="26">
        <f>FREQUENCY(B9:K13,P30:P31)</f>
        <v>50</v>
      </c>
    </row>
    <row r="31" spans="1:32" ht="17.100000000000001" customHeight="1">
      <c r="A31" s="44"/>
      <c r="B31" s="44"/>
      <c r="C31" s="20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2">
        <f>ROUNDUP(SUM(P29+I21),4)</f>
        <v>2014.5</v>
      </c>
      <c r="P31" s="42">
        <f>ROUNDUP(SUM(P30+I21),4)</f>
        <v>2036.1</v>
      </c>
      <c r="Q31" s="6">
        <f t="shared" si="4"/>
        <v>0</v>
      </c>
      <c r="R31" s="26">
        <f>FREQUENCY(B9:K13,P31:P32)</f>
        <v>50</v>
      </c>
    </row>
    <row r="32" spans="1:32" ht="17.100000000000001" customHeight="1">
      <c r="A32" s="15"/>
      <c r="B32" s="15"/>
      <c r="C32" s="15"/>
      <c r="D32" s="15"/>
      <c r="E32" s="15"/>
      <c r="F32" s="52"/>
      <c r="G32" s="52"/>
      <c r="H32" s="52"/>
      <c r="I32" s="15"/>
      <c r="J32" s="182" t="s">
        <v>70</v>
      </c>
      <c r="K32" s="183"/>
      <c r="L32" s="184"/>
      <c r="M32" s="53" t="s">
        <v>71</v>
      </c>
      <c r="N32" s="47"/>
      <c r="O32" s="42">
        <f>ROUNDUP(SUM(P30+I21),4)</f>
        <v>2036.1</v>
      </c>
      <c r="P32" s="42">
        <f>ROUNDUP(SUM(P31+I21),4)</f>
        <v>2057.6999999999998</v>
      </c>
      <c r="Q32" s="6">
        <f t="shared" si="4"/>
        <v>0</v>
      </c>
      <c r="R32" s="26">
        <f>FREQUENCY(B9:K13,P32:P32)</f>
        <v>50</v>
      </c>
    </row>
    <row r="33" spans="1:19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182">
        <v>1</v>
      </c>
      <c r="K33" s="183"/>
      <c r="L33" s="184"/>
      <c r="M33" s="53">
        <v>0</v>
      </c>
      <c r="N33" s="49"/>
      <c r="O33" s="140" t="s">
        <v>72</v>
      </c>
      <c r="P33" s="186"/>
      <c r="Q33" s="180">
        <f>(M19+(Q13*M18))</f>
        <v>1968.4929999999999</v>
      </c>
      <c r="R33" s="271"/>
      <c r="S33" s="54"/>
    </row>
    <row r="34" spans="1:19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182">
        <v>0.1</v>
      </c>
      <c r="K34" s="183"/>
      <c r="L34" s="184"/>
      <c r="M34" s="53">
        <v>1</v>
      </c>
      <c r="N34" s="49"/>
      <c r="O34" s="185" t="s">
        <v>73</v>
      </c>
      <c r="P34" s="186"/>
      <c r="Q34" s="187">
        <f>(M19-(Q13*M18))</f>
        <v>1915.7469999999998</v>
      </c>
      <c r="R34" s="271"/>
    </row>
    <row r="35" spans="1:19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182">
        <v>0.01</v>
      </c>
      <c r="K35" s="183"/>
      <c r="L35" s="184"/>
      <c r="M35" s="53">
        <v>2</v>
      </c>
      <c r="N35" s="49"/>
      <c r="O35" s="140" t="s">
        <v>74</v>
      </c>
      <c r="P35" s="186"/>
      <c r="Q35" s="196">
        <f>M18*R13</f>
        <v>94.317000000000007</v>
      </c>
      <c r="R35" s="271"/>
    </row>
    <row r="36" spans="1:19" ht="17.100000000000001" customHeight="1">
      <c r="A36" s="15"/>
      <c r="B36" s="20"/>
      <c r="C36" s="20"/>
      <c r="D36" s="20"/>
      <c r="E36" s="20"/>
      <c r="F36" s="20"/>
      <c r="G36" s="20"/>
      <c r="H36" s="20"/>
      <c r="I36" s="20"/>
      <c r="J36" s="182">
        <v>1E-3</v>
      </c>
      <c r="K36" s="183"/>
      <c r="L36" s="184"/>
      <c r="M36" s="56">
        <v>3</v>
      </c>
      <c r="N36" s="49"/>
      <c r="O36" s="140" t="s">
        <v>75</v>
      </c>
      <c r="P36" s="186"/>
      <c r="Q36" s="197">
        <f>M18*0</f>
        <v>0</v>
      </c>
      <c r="R36" s="153"/>
    </row>
    <row r="37" spans="1:19" s="60" customFormat="1" ht="17.100000000000001" customHeight="1">
      <c r="A37" s="57"/>
      <c r="B37" s="58"/>
      <c r="C37" s="57"/>
      <c r="D37" s="59"/>
      <c r="E37" s="59"/>
      <c r="F37" s="59"/>
      <c r="G37" s="59"/>
      <c r="H37" s="59"/>
      <c r="I37" s="59"/>
      <c r="J37" s="230">
        <v>1E-4</v>
      </c>
      <c r="K37" s="230"/>
      <c r="L37" s="230"/>
      <c r="M37" s="56">
        <v>4</v>
      </c>
      <c r="N37" s="59"/>
      <c r="O37" s="231" t="s">
        <v>76</v>
      </c>
      <c r="P37" s="232"/>
      <c r="Q37" s="199">
        <f>STDEV(B9:K13)</f>
        <v>19.263627564370516</v>
      </c>
      <c r="R37" s="153"/>
    </row>
    <row r="38" spans="1:19" ht="17.100000000000001" customHeight="1">
      <c r="A38" s="58"/>
      <c r="B38" s="58"/>
      <c r="C38" s="59"/>
      <c r="D38" s="59"/>
      <c r="E38" s="59"/>
      <c r="F38" s="59"/>
      <c r="G38" s="59"/>
      <c r="H38" s="59"/>
      <c r="I38" s="59"/>
      <c r="J38" s="61"/>
      <c r="K38" s="59"/>
      <c r="L38" s="59"/>
      <c r="N38" s="59"/>
      <c r="O38" s="200" t="s">
        <v>88</v>
      </c>
      <c r="P38" s="201"/>
      <c r="Q38" s="199">
        <f>ROUNDUP(SUM(I20/(6*Q37)),4)</f>
        <v>2.5956000000000001</v>
      </c>
      <c r="R38" s="271"/>
    </row>
    <row r="39" spans="1:19" ht="14.25" customHeight="1">
      <c r="A39" s="218" t="s">
        <v>77</v>
      </c>
      <c r="B39" s="218"/>
      <c r="C39" s="221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3"/>
      <c r="O39" s="272" t="s">
        <v>87</v>
      </c>
      <c r="P39" s="272"/>
      <c r="Q39" s="273">
        <f>ROUNDUP(SUM((1-N20)*Q38),4)</f>
        <v>2.4591000000000003</v>
      </c>
      <c r="R39" s="274"/>
    </row>
    <row r="40" spans="1:19" ht="14.25" customHeight="1">
      <c r="A40" s="218"/>
      <c r="B40" s="218"/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6"/>
      <c r="O40" s="233" t="s">
        <v>78</v>
      </c>
      <c r="P40" s="234"/>
      <c r="Q40" s="261" t="s">
        <v>106</v>
      </c>
      <c r="R40" s="262"/>
    </row>
    <row r="41" spans="1:19" ht="14.25" customHeight="1" thickBot="1">
      <c r="A41" s="218"/>
      <c r="B41" s="218"/>
      <c r="C41" s="275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7"/>
      <c r="O41" s="192" t="s">
        <v>86</v>
      </c>
      <c r="P41" s="193"/>
      <c r="Q41" s="258" t="s">
        <v>107</v>
      </c>
      <c r="R41" s="259"/>
    </row>
    <row r="42" spans="1:19">
      <c r="M42" s="63"/>
      <c r="P42" s="64"/>
    </row>
  </sheetData>
  <mergeCells count="76">
    <mergeCell ref="A1:B3"/>
    <mergeCell ref="C1:P2"/>
    <mergeCell ref="C3:P3"/>
    <mergeCell ref="A39:B41"/>
    <mergeCell ref="C39:N41"/>
    <mergeCell ref="J37:L37"/>
    <mergeCell ref="O37:P37"/>
    <mergeCell ref="O40:P40"/>
    <mergeCell ref="J32:L32"/>
    <mergeCell ref="J33:L33"/>
    <mergeCell ref="O33:P33"/>
    <mergeCell ref="N19:P19"/>
    <mergeCell ref="A20:C20"/>
    <mergeCell ref="D20:E20"/>
    <mergeCell ref="F20:H20"/>
    <mergeCell ref="I20:J20"/>
    <mergeCell ref="Q40:R40"/>
    <mergeCell ref="O41:P41"/>
    <mergeCell ref="Q41:R41"/>
    <mergeCell ref="J35:L35"/>
    <mergeCell ref="O35:P35"/>
    <mergeCell ref="Q35:R35"/>
    <mergeCell ref="J36:L36"/>
    <mergeCell ref="O36:P36"/>
    <mergeCell ref="Q36:R36"/>
    <mergeCell ref="Q37:R37"/>
    <mergeCell ref="O38:P38"/>
    <mergeCell ref="Q38:R38"/>
    <mergeCell ref="O39:P39"/>
    <mergeCell ref="Q39:R39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K20:M20"/>
    <mergeCell ref="O20:P20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tabSelected="1" view="pageBreakPreview" zoomScaleNormal="115" zoomScaleSheetLayoutView="100" workbookViewId="0">
      <selection activeCell="M11" sqref="M11:N13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71093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24" customHeight="1">
      <c r="A1" s="211"/>
      <c r="B1" s="212"/>
      <c r="C1" s="202" t="s">
        <v>90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80" t="s">
        <v>102</v>
      </c>
      <c r="R1" s="81" t="s">
        <v>105</v>
      </c>
    </row>
    <row r="2" spans="1:32" ht="24" customHeight="1">
      <c r="A2" s="213"/>
      <c r="B2" s="214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82" t="s">
        <v>103</v>
      </c>
      <c r="R2" s="83" t="s">
        <v>100</v>
      </c>
    </row>
    <row r="3" spans="1:32" s="2" customFormat="1" ht="24" customHeight="1" thickBot="1">
      <c r="A3" s="215"/>
      <c r="B3" s="216"/>
      <c r="C3" s="208" t="s">
        <v>0</v>
      </c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84" t="s">
        <v>104</v>
      </c>
      <c r="R3" s="85" t="s">
        <v>101</v>
      </c>
    </row>
    <row r="4" spans="1:32" s="4" customFormat="1" ht="15" customHeight="1">
      <c r="A4" s="131" t="s">
        <v>1</v>
      </c>
      <c r="B4" s="132"/>
      <c r="C4" s="244" t="s">
        <v>97</v>
      </c>
      <c r="D4" s="245"/>
      <c r="E4" s="246"/>
      <c r="F4" s="247" t="s">
        <v>2</v>
      </c>
      <c r="G4" s="248"/>
      <c r="H4" s="244" t="s">
        <v>3</v>
      </c>
      <c r="I4" s="245"/>
      <c r="J4" s="246"/>
      <c r="K4" s="249" t="s">
        <v>4</v>
      </c>
      <c r="L4" s="132"/>
      <c r="M4" s="77" t="s">
        <v>99</v>
      </c>
      <c r="N4" s="110"/>
      <c r="O4" s="236"/>
      <c r="P4" s="237"/>
      <c r="Q4" s="237"/>
      <c r="R4" s="238"/>
    </row>
    <row r="5" spans="1:32" s="4" customFormat="1" ht="15" customHeight="1">
      <c r="A5" s="118" t="s">
        <v>5</v>
      </c>
      <c r="B5" s="119"/>
      <c r="C5" s="239" t="s">
        <v>6</v>
      </c>
      <c r="D5" s="240"/>
      <c r="E5" s="241"/>
      <c r="F5" s="140" t="s">
        <v>7</v>
      </c>
      <c r="G5" s="242"/>
      <c r="H5" s="239" t="s">
        <v>8</v>
      </c>
      <c r="I5" s="240"/>
      <c r="J5" s="241"/>
      <c r="K5" s="141" t="s">
        <v>9</v>
      </c>
      <c r="L5" s="119"/>
      <c r="M5" s="76" t="s">
        <v>10</v>
      </c>
      <c r="N5" s="111"/>
      <c r="O5" s="115"/>
      <c r="P5" s="116"/>
      <c r="Q5" s="116"/>
      <c r="R5" s="117"/>
    </row>
    <row r="6" spans="1:32" s="4" customFormat="1" ht="15" customHeight="1">
      <c r="A6" s="118" t="s">
        <v>11</v>
      </c>
      <c r="B6" s="119"/>
      <c r="C6" s="197" t="s">
        <v>12</v>
      </c>
      <c r="D6" s="256"/>
      <c r="E6" s="257"/>
      <c r="F6" s="140" t="s">
        <v>13</v>
      </c>
      <c r="G6" s="242"/>
      <c r="H6" s="239" t="s">
        <v>14</v>
      </c>
      <c r="I6" s="240"/>
      <c r="J6" s="241"/>
      <c r="K6" s="140" t="s">
        <v>15</v>
      </c>
      <c r="L6" s="243"/>
      <c r="M6" s="76">
        <v>1</v>
      </c>
      <c r="N6" s="68"/>
      <c r="O6" s="146"/>
      <c r="P6" s="147"/>
      <c r="Q6" s="68" t="s">
        <v>16</v>
      </c>
      <c r="R6" s="109" t="s">
        <v>110</v>
      </c>
    </row>
    <row r="7" spans="1:32" s="4" customFormat="1" ht="15" customHeight="1">
      <c r="A7" s="148" t="s">
        <v>17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50"/>
      <c r="M7" s="151" t="s">
        <v>92</v>
      </c>
      <c r="N7" s="152"/>
      <c r="O7" s="152"/>
      <c r="P7" s="152"/>
      <c r="Q7" s="153"/>
      <c r="R7" s="87" t="s">
        <v>93</v>
      </c>
    </row>
    <row r="8" spans="1:32" s="4" customFormat="1" ht="15" customHeight="1">
      <c r="A8" s="88" t="s">
        <v>20</v>
      </c>
      <c r="B8" s="68">
        <v>1</v>
      </c>
      <c r="C8" s="68">
        <v>2</v>
      </c>
      <c r="D8" s="68">
        <v>3</v>
      </c>
      <c r="E8" s="68">
        <v>4</v>
      </c>
      <c r="F8" s="68">
        <v>5</v>
      </c>
      <c r="G8" s="68">
        <v>6</v>
      </c>
      <c r="H8" s="68">
        <v>7</v>
      </c>
      <c r="I8" s="68">
        <v>8</v>
      </c>
      <c r="J8" s="68">
        <v>9</v>
      </c>
      <c r="K8" s="68">
        <v>10</v>
      </c>
      <c r="L8" s="154" t="s">
        <v>79</v>
      </c>
      <c r="M8" s="250">
        <v>2100</v>
      </c>
      <c r="N8" s="251"/>
      <c r="O8" s="10" t="s">
        <v>21</v>
      </c>
      <c r="P8" s="11" t="s">
        <v>22</v>
      </c>
      <c r="Q8" s="11" t="s">
        <v>23</v>
      </c>
      <c r="R8" s="89" t="s">
        <v>24</v>
      </c>
    </row>
    <row r="9" spans="1:32" s="4" customFormat="1" ht="15" customHeight="1">
      <c r="A9" s="88">
        <v>1</v>
      </c>
      <c r="B9" s="12">
        <v>1934</v>
      </c>
      <c r="C9" s="12">
        <v>1954</v>
      </c>
      <c r="D9" s="12">
        <v>1920</v>
      </c>
      <c r="E9" s="12">
        <v>1908</v>
      </c>
      <c r="F9" s="12">
        <v>1961</v>
      </c>
      <c r="G9" s="12">
        <v>1922</v>
      </c>
      <c r="H9" s="12">
        <v>1910</v>
      </c>
      <c r="I9" s="12">
        <v>1900</v>
      </c>
      <c r="J9" s="12">
        <v>1928</v>
      </c>
      <c r="K9" s="12">
        <v>1927</v>
      </c>
      <c r="L9" s="155"/>
      <c r="M9" s="252"/>
      <c r="N9" s="253"/>
      <c r="O9" s="13" t="s">
        <v>25</v>
      </c>
      <c r="P9" s="68">
        <v>1.123</v>
      </c>
      <c r="Q9" s="13" t="s">
        <v>26</v>
      </c>
      <c r="R9" s="90" t="s">
        <v>27</v>
      </c>
      <c r="S9" s="14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88">
        <v>2</v>
      </c>
      <c r="B10" s="12">
        <v>1945</v>
      </c>
      <c r="C10" s="12">
        <v>1882</v>
      </c>
      <c r="D10" s="12">
        <v>1926</v>
      </c>
      <c r="E10" s="12">
        <v>1919</v>
      </c>
      <c r="F10" s="12">
        <v>1945</v>
      </c>
      <c r="G10" s="12">
        <v>1953</v>
      </c>
      <c r="H10" s="12">
        <v>1935</v>
      </c>
      <c r="I10" s="12">
        <v>1895</v>
      </c>
      <c r="J10" s="12">
        <v>1885</v>
      </c>
      <c r="K10" s="12">
        <v>1974</v>
      </c>
      <c r="L10" s="156"/>
      <c r="M10" s="254"/>
      <c r="N10" s="255"/>
      <c r="O10" s="13" t="s">
        <v>28</v>
      </c>
      <c r="P10" s="68">
        <v>1.1279999999999999</v>
      </c>
      <c r="Q10" s="13" t="s">
        <v>29</v>
      </c>
      <c r="R10" s="90" t="s">
        <v>27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91">
        <v>3</v>
      </c>
      <c r="B11" s="12">
        <v>1952</v>
      </c>
      <c r="C11" s="12">
        <v>1925</v>
      </c>
      <c r="D11" s="12">
        <v>1928</v>
      </c>
      <c r="E11" s="12">
        <v>1948</v>
      </c>
      <c r="F11" s="12">
        <v>1921</v>
      </c>
      <c r="G11" s="12">
        <v>1992</v>
      </c>
      <c r="H11" s="12">
        <v>1922</v>
      </c>
      <c r="I11" s="12">
        <v>1952</v>
      </c>
      <c r="J11" s="12">
        <v>1952</v>
      </c>
      <c r="K11" s="12">
        <v>1918</v>
      </c>
      <c r="L11" s="154" t="s">
        <v>80</v>
      </c>
      <c r="M11" s="250">
        <v>1800</v>
      </c>
      <c r="N11" s="251"/>
      <c r="O11" s="17" t="s">
        <v>30</v>
      </c>
      <c r="P11" s="74">
        <v>1.6930000000000001</v>
      </c>
      <c r="Q11" s="13" t="s">
        <v>31</v>
      </c>
      <c r="R11" s="90" t="s">
        <v>32</v>
      </c>
      <c r="T11" s="15" t="s">
        <v>33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s="4" customFormat="1" ht="15" customHeight="1">
      <c r="A12" s="92">
        <v>4</v>
      </c>
      <c r="B12" s="12">
        <v>1942</v>
      </c>
      <c r="C12" s="12">
        <v>1942</v>
      </c>
      <c r="D12" s="12">
        <v>1945</v>
      </c>
      <c r="E12" s="12">
        <v>1926</v>
      </c>
      <c r="F12" s="12">
        <v>1947</v>
      </c>
      <c r="G12" s="12">
        <v>1925</v>
      </c>
      <c r="H12" s="12">
        <v>1890</v>
      </c>
      <c r="I12" s="12">
        <v>1921</v>
      </c>
      <c r="J12" s="12">
        <v>1931</v>
      </c>
      <c r="K12" s="12">
        <v>1960</v>
      </c>
      <c r="L12" s="163"/>
      <c r="M12" s="252"/>
      <c r="N12" s="253"/>
      <c r="O12" s="13" t="s">
        <v>34</v>
      </c>
      <c r="P12" s="68">
        <v>2.0590000000000002</v>
      </c>
      <c r="Q12" s="13" t="s">
        <v>35</v>
      </c>
      <c r="R12" s="90" t="s">
        <v>36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93">
        <v>5</v>
      </c>
      <c r="B13" s="12">
        <v>1918</v>
      </c>
      <c r="C13" s="12">
        <v>1953</v>
      </c>
      <c r="D13" s="12">
        <v>1923</v>
      </c>
      <c r="E13" s="12">
        <v>1935</v>
      </c>
      <c r="F13" s="12">
        <v>1929</v>
      </c>
      <c r="G13" s="12">
        <v>1941</v>
      </c>
      <c r="H13" s="12">
        <v>1951</v>
      </c>
      <c r="I13" s="12">
        <v>1964</v>
      </c>
      <c r="J13" s="12">
        <v>1952</v>
      </c>
      <c r="K13" s="12">
        <v>1993</v>
      </c>
      <c r="L13" s="164"/>
      <c r="M13" s="254"/>
      <c r="N13" s="255"/>
      <c r="O13" s="22" t="s">
        <v>37</v>
      </c>
      <c r="P13" s="23">
        <v>2.3260000000000001</v>
      </c>
      <c r="Q13" s="13" t="s">
        <v>38</v>
      </c>
      <c r="R13" s="90" t="s">
        <v>39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5"/>
      <c r="AE13" s="15"/>
      <c r="AF13" s="15"/>
    </row>
    <row r="14" spans="1:32" s="4" customFormat="1" ht="15" customHeight="1">
      <c r="A14" s="148">
        <v>11.99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6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167" t="s">
        <v>40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9"/>
      <c r="S15" s="15"/>
      <c r="T15" s="15"/>
      <c r="U15" s="15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s="4" customFormat="1" ht="15" customHeight="1">
      <c r="A16" s="94" t="s">
        <v>41</v>
      </c>
      <c r="B16" s="25">
        <f t="shared" ref="B16:K16" si="0">MAX(B9:B13)</f>
        <v>1952</v>
      </c>
      <c r="C16" s="25">
        <f t="shared" si="0"/>
        <v>1954</v>
      </c>
      <c r="D16" s="25">
        <f t="shared" si="0"/>
        <v>1945</v>
      </c>
      <c r="E16" s="25">
        <f t="shared" si="0"/>
        <v>1948</v>
      </c>
      <c r="F16" s="25">
        <f t="shared" si="0"/>
        <v>1961</v>
      </c>
      <c r="G16" s="25">
        <f t="shared" si="0"/>
        <v>1992</v>
      </c>
      <c r="H16" s="25">
        <f t="shared" si="0"/>
        <v>1951</v>
      </c>
      <c r="I16" s="25">
        <f>MAX(I9:I13)</f>
        <v>1964</v>
      </c>
      <c r="J16" s="25">
        <f t="shared" si="0"/>
        <v>1952</v>
      </c>
      <c r="K16" s="26">
        <f t="shared" si="0"/>
        <v>1993</v>
      </c>
      <c r="L16" s="68" t="s">
        <v>42</v>
      </c>
      <c r="M16" s="27">
        <f>(MAX(B16:K16))</f>
        <v>1993</v>
      </c>
      <c r="N16" s="170" t="s">
        <v>43</v>
      </c>
      <c r="O16" s="171"/>
      <c r="P16" s="172"/>
      <c r="Q16" s="176">
        <f>SUM(Q18:R19)</f>
        <v>0</v>
      </c>
      <c r="R16" s="178" t="s">
        <v>44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5"/>
      <c r="AE16" s="15"/>
      <c r="AF16" s="15"/>
    </row>
    <row r="17" spans="1:32" s="4" customFormat="1" ht="15" customHeight="1">
      <c r="A17" s="95" t="s">
        <v>45</v>
      </c>
      <c r="B17" s="26">
        <f t="shared" ref="B17:J17" si="1">MIN(B9:B13)</f>
        <v>1918</v>
      </c>
      <c r="C17" s="25">
        <f>MIN(C9:C13)</f>
        <v>1882</v>
      </c>
      <c r="D17" s="26">
        <f t="shared" si="1"/>
        <v>1920</v>
      </c>
      <c r="E17" s="26">
        <f t="shared" si="1"/>
        <v>1908</v>
      </c>
      <c r="F17" s="26">
        <f t="shared" si="1"/>
        <v>1921</v>
      </c>
      <c r="G17" s="26">
        <f>MIN(G9:G13)</f>
        <v>1922</v>
      </c>
      <c r="H17" s="26">
        <f t="shared" si="1"/>
        <v>1890</v>
      </c>
      <c r="I17" s="25">
        <f>MIN(I9:I13)</f>
        <v>1895</v>
      </c>
      <c r="J17" s="26">
        <f t="shared" si="1"/>
        <v>1885</v>
      </c>
      <c r="K17" s="26">
        <f>MIN(K9:K13)</f>
        <v>1918</v>
      </c>
      <c r="L17" s="68" t="s">
        <v>46</v>
      </c>
      <c r="M17" s="27">
        <f>MIN(B17:K17)</f>
        <v>1882</v>
      </c>
      <c r="N17" s="173"/>
      <c r="O17" s="174"/>
      <c r="P17" s="175"/>
      <c r="Q17" s="177"/>
      <c r="R17" s="179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s="4" customFormat="1" ht="15" customHeight="1">
      <c r="A18" s="96" t="s">
        <v>47</v>
      </c>
      <c r="B18" s="30">
        <f t="shared" ref="B18:K18" si="2">SUM(MAX(B9:B13)-MIN(B9:B13))</f>
        <v>34</v>
      </c>
      <c r="C18" s="30">
        <f t="shared" si="2"/>
        <v>72</v>
      </c>
      <c r="D18" s="30">
        <f t="shared" si="2"/>
        <v>25</v>
      </c>
      <c r="E18" s="30">
        <f t="shared" si="2"/>
        <v>40</v>
      </c>
      <c r="F18" s="30">
        <f t="shared" si="2"/>
        <v>40</v>
      </c>
      <c r="G18" s="30">
        <f>SUM(MAX(G9:G13)-MIN(G9:G13))</f>
        <v>70</v>
      </c>
      <c r="H18" s="30">
        <f t="shared" si="2"/>
        <v>61</v>
      </c>
      <c r="I18" s="30">
        <f t="shared" si="2"/>
        <v>69</v>
      </c>
      <c r="J18" s="30">
        <f t="shared" si="2"/>
        <v>67</v>
      </c>
      <c r="K18" s="26">
        <f t="shared" si="2"/>
        <v>75</v>
      </c>
      <c r="L18" s="31" t="s">
        <v>48</v>
      </c>
      <c r="M18" s="78">
        <f>AVERAGE(B18:K18)</f>
        <v>55.3</v>
      </c>
      <c r="N18" s="144" t="s">
        <v>49</v>
      </c>
      <c r="O18" s="145"/>
      <c r="P18" s="145"/>
      <c r="Q18" s="71">
        <f>COUNTIF(B9:K13,"&gt;"&amp;TEXT(M8,"0.000000"))</f>
        <v>0</v>
      </c>
      <c r="R18" s="97" t="s">
        <v>44</v>
      </c>
      <c r="U18" s="35"/>
    </row>
    <row r="19" spans="1:32" s="4" customFormat="1" ht="15" customHeight="1">
      <c r="A19" s="98" t="s">
        <v>50</v>
      </c>
      <c r="B19" s="26">
        <f>(AVERAGE(B9:B13))</f>
        <v>1938.2</v>
      </c>
      <c r="C19" s="26">
        <f t="shared" ref="C19:K19" si="3">AVERAGE(C9:C13)</f>
        <v>1931.2</v>
      </c>
      <c r="D19" s="26">
        <f t="shared" si="3"/>
        <v>1928.4</v>
      </c>
      <c r="E19" s="26">
        <f t="shared" si="3"/>
        <v>1927.2</v>
      </c>
      <c r="F19" s="26">
        <f t="shared" si="3"/>
        <v>1940.6</v>
      </c>
      <c r="G19" s="26">
        <f>AVERAGE(G9:G13)</f>
        <v>1946.6</v>
      </c>
      <c r="H19" s="26">
        <f t="shared" si="3"/>
        <v>1921.6</v>
      </c>
      <c r="I19" s="26">
        <f t="shared" si="3"/>
        <v>1926.4</v>
      </c>
      <c r="J19" s="26">
        <f t="shared" si="3"/>
        <v>1929.6</v>
      </c>
      <c r="K19" s="26">
        <f t="shared" si="3"/>
        <v>1954.4</v>
      </c>
      <c r="L19" s="31" t="s">
        <v>51</v>
      </c>
      <c r="M19" s="36">
        <f>ROUNDUP(AVERAGE(B9:K13),4)</f>
        <v>1934.42</v>
      </c>
      <c r="N19" s="144" t="s">
        <v>52</v>
      </c>
      <c r="O19" s="235"/>
      <c r="P19" s="235"/>
      <c r="Q19" s="37">
        <f>COUNTIF(B9:K13,"&lt;"&amp;TEXT(M11,"0.000000"))</f>
        <v>0</v>
      </c>
      <c r="R19" s="99" t="s">
        <v>44</v>
      </c>
    </row>
    <row r="20" spans="1:32" s="4" customFormat="1" ht="15" customHeight="1">
      <c r="A20" s="118" t="s">
        <v>53</v>
      </c>
      <c r="B20" s="141"/>
      <c r="C20" s="141"/>
      <c r="D20" s="183">
        <f>ROUNDUP(SUM(M16-M17),4)</f>
        <v>111</v>
      </c>
      <c r="E20" s="184"/>
      <c r="F20" s="140" t="s">
        <v>54</v>
      </c>
      <c r="G20" s="141"/>
      <c r="H20" s="141"/>
      <c r="I20" s="183">
        <f>ROUNDUP(ABS(SUM(M8-M11)),4)</f>
        <v>300</v>
      </c>
      <c r="J20" s="184"/>
      <c r="K20" s="140" t="s">
        <v>55</v>
      </c>
      <c r="L20" s="141"/>
      <c r="M20" s="141"/>
      <c r="N20" s="69">
        <f>ROUNDUP(SUM((2*(N22))/I20),4)</f>
        <v>0.10390000000000001</v>
      </c>
      <c r="O20" s="142" t="s">
        <v>56</v>
      </c>
      <c r="P20" s="143"/>
      <c r="Q20" s="40" t="s">
        <v>57</v>
      </c>
      <c r="R20" s="100" t="s">
        <v>58</v>
      </c>
    </row>
    <row r="21" spans="1:32" s="4" customFormat="1" ht="15" customHeight="1">
      <c r="A21" s="118" t="s">
        <v>59</v>
      </c>
      <c r="B21" s="141"/>
      <c r="C21" s="141"/>
      <c r="D21" s="183">
        <f>ROUNDUP(AVERAGE(M8:M11),4)</f>
        <v>1950</v>
      </c>
      <c r="E21" s="184"/>
      <c r="F21" s="140" t="s">
        <v>60</v>
      </c>
      <c r="G21" s="141"/>
      <c r="H21" s="141"/>
      <c r="I21" s="188">
        <f>ROUNDUP(SUM(D20/N21),4)</f>
        <v>22.2</v>
      </c>
      <c r="J21" s="189"/>
      <c r="K21" s="140" t="s">
        <v>61</v>
      </c>
      <c r="L21" s="141"/>
      <c r="M21" s="141"/>
      <c r="N21" s="75" t="str">
        <f>IF(I22/10&lt;=5,"5",IF(I22/10&lt;=6,"6",IF(I22/10&lt;=7,"7","8")))</f>
        <v>5</v>
      </c>
      <c r="O21" s="42">
        <f>ROUNDUP(SUM(P21-I21),4)</f>
        <v>1793.1</v>
      </c>
      <c r="P21" s="42">
        <f>ROUNDUP(SUM(P22-I21),4)</f>
        <v>1815.3</v>
      </c>
      <c r="Q21" s="26">
        <f>SUM(R21)</f>
        <v>0</v>
      </c>
      <c r="R21" s="101">
        <f>FREQUENCY(B9:K13,P21:P22)</f>
        <v>0</v>
      </c>
    </row>
    <row r="22" spans="1:32" s="4" customFormat="1" ht="15" customHeight="1">
      <c r="A22" s="118" t="s">
        <v>62</v>
      </c>
      <c r="B22" s="141"/>
      <c r="C22" s="141"/>
      <c r="D22" s="183">
        <f>ROUNDUP(SUM(M17-(IF(M6=M33,J33,IF(M6=M34,J34,IF(M6=M35,J35,IF(M6=M36,J36,IF(M6=M37,J37))))))),4)</f>
        <v>1881.9</v>
      </c>
      <c r="E22" s="184"/>
      <c r="F22" s="140" t="s">
        <v>63</v>
      </c>
      <c r="G22" s="141"/>
      <c r="H22" s="141"/>
      <c r="I22" s="183">
        <f>COUNTIF((B9:K13),"&gt;0")</f>
        <v>50</v>
      </c>
      <c r="J22" s="183"/>
      <c r="K22" s="140" t="s">
        <v>64</v>
      </c>
      <c r="L22" s="141"/>
      <c r="M22" s="141"/>
      <c r="N22" s="70">
        <f>(ABS(SUM(M19-D21)))</f>
        <v>15.579999999999927</v>
      </c>
      <c r="O22" s="42">
        <f>ROUNDUP(SUM(P22-I21),4)</f>
        <v>1815.3</v>
      </c>
      <c r="P22" s="42">
        <f>ROUNDUP(SUM(P23-I21),4)</f>
        <v>1837.5</v>
      </c>
      <c r="Q22" s="26">
        <f t="shared" ref="Q22:Q32" si="4">SUM(R22-R21)</f>
        <v>0</v>
      </c>
      <c r="R22" s="101">
        <f>FREQUENCY(B9:K13,P22:P23)</f>
        <v>0</v>
      </c>
    </row>
    <row r="23" spans="1:32" s="2" customFormat="1" ht="17.100000000000001" customHeight="1">
      <c r="A23" s="102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2">
        <f>ROUNDUP(SUM(P23-I21),4)</f>
        <v>1837.5</v>
      </c>
      <c r="P23" s="42">
        <f>ROUNDUP(SUM(P24-I21),4)</f>
        <v>1859.7</v>
      </c>
      <c r="Q23" s="26">
        <f t="shared" si="4"/>
        <v>0</v>
      </c>
      <c r="R23" s="101">
        <f>FREQUENCY(B9:K13,P23:P24)</f>
        <v>0</v>
      </c>
    </row>
    <row r="24" spans="1:32" s="2" customFormat="1" ht="17.100000000000001" customHeight="1">
      <c r="A24" s="103" t="s">
        <v>65</v>
      </c>
      <c r="B24" s="68">
        <f>Q33</f>
        <v>1967.047</v>
      </c>
      <c r="C24" s="68">
        <f>Q33</f>
        <v>1967.047</v>
      </c>
      <c r="D24" s="68">
        <f>Q33</f>
        <v>1967.047</v>
      </c>
      <c r="E24" s="68">
        <f>Q33</f>
        <v>1967.047</v>
      </c>
      <c r="F24" s="46">
        <f>Q33</f>
        <v>1967.047</v>
      </c>
      <c r="G24" s="46">
        <f>Q33</f>
        <v>1967.047</v>
      </c>
      <c r="H24" s="46">
        <f>Q33</f>
        <v>1967.047</v>
      </c>
      <c r="I24" s="68">
        <f>Q33</f>
        <v>1967.047</v>
      </c>
      <c r="J24" s="68">
        <f>Q33</f>
        <v>1967.047</v>
      </c>
      <c r="K24" s="27">
        <f>Q33</f>
        <v>1967.047</v>
      </c>
      <c r="L24" s="49"/>
      <c r="M24" s="47"/>
      <c r="N24" s="47"/>
      <c r="O24" s="42">
        <f>ROUNDUP(SUM(P24-I21),4)</f>
        <v>1859.7</v>
      </c>
      <c r="P24" s="42">
        <f>ROUNDUP((D22),4)</f>
        <v>1881.9</v>
      </c>
      <c r="Q24" s="26">
        <f t="shared" si="4"/>
        <v>0</v>
      </c>
      <c r="R24" s="101">
        <f>FREQUENCY(B9:K13,P24:P25)</f>
        <v>0</v>
      </c>
    </row>
    <row r="25" spans="1:32" s="2" customFormat="1" ht="17.100000000000001" customHeight="1">
      <c r="A25" s="104" t="s">
        <v>66</v>
      </c>
      <c r="B25" s="27">
        <f>Q34</f>
        <v>1901.7930000000001</v>
      </c>
      <c r="C25" s="27">
        <f>Q34</f>
        <v>1901.7930000000001</v>
      </c>
      <c r="D25" s="27">
        <f>Q34</f>
        <v>1901.7930000000001</v>
      </c>
      <c r="E25" s="27">
        <f>Q34</f>
        <v>1901.7930000000001</v>
      </c>
      <c r="F25" s="27">
        <f>Q34</f>
        <v>1901.7930000000001</v>
      </c>
      <c r="G25" s="27">
        <f>Q34</f>
        <v>1901.7930000000001</v>
      </c>
      <c r="H25" s="27">
        <f>Q34</f>
        <v>1901.7930000000001</v>
      </c>
      <c r="I25" s="27">
        <f>Q34</f>
        <v>1901.7930000000001</v>
      </c>
      <c r="J25" s="27">
        <f>Q34</f>
        <v>1901.7930000000001</v>
      </c>
      <c r="K25" s="27">
        <f>Q34</f>
        <v>1901.7930000000001</v>
      </c>
      <c r="L25" s="49"/>
      <c r="M25" s="49"/>
      <c r="N25" s="49"/>
      <c r="O25" s="42">
        <f>ROUNDUP((D22),4)</f>
        <v>1881.9</v>
      </c>
      <c r="P25" s="42">
        <f>ROUNDUP(SUM(P24+I21),4)</f>
        <v>1904.1</v>
      </c>
      <c r="Q25" s="26">
        <f t="shared" si="4"/>
        <v>5</v>
      </c>
      <c r="R25" s="101">
        <f>FREQUENCY(B9:K13,P25:P26)</f>
        <v>5</v>
      </c>
    </row>
    <row r="26" spans="1:32" s="2" customFormat="1" ht="17.100000000000001" customHeight="1">
      <c r="A26" s="103" t="s">
        <v>67</v>
      </c>
      <c r="B26" s="27">
        <f>Q35</f>
        <v>116.68299999999999</v>
      </c>
      <c r="C26" s="27">
        <f>Q35</f>
        <v>116.68299999999999</v>
      </c>
      <c r="D26" s="27">
        <f>Q35</f>
        <v>116.68299999999999</v>
      </c>
      <c r="E26" s="50">
        <f>Q35</f>
        <v>116.68299999999999</v>
      </c>
      <c r="F26" s="50">
        <f>Q35</f>
        <v>116.68299999999999</v>
      </c>
      <c r="G26" s="50">
        <f>Q35</f>
        <v>116.68299999999999</v>
      </c>
      <c r="H26" s="27">
        <f>Q35</f>
        <v>116.68299999999999</v>
      </c>
      <c r="I26" s="27">
        <f>Q35</f>
        <v>116.68299999999999</v>
      </c>
      <c r="J26" s="27">
        <f>Q35</f>
        <v>116.68299999999999</v>
      </c>
      <c r="K26" s="27">
        <f>Q35</f>
        <v>116.68299999999999</v>
      </c>
      <c r="L26" s="49"/>
      <c r="M26" s="49"/>
      <c r="N26" s="49"/>
      <c r="O26" s="42">
        <f>ROUNDUP(SUM(P24+I21),4)</f>
        <v>1904.1</v>
      </c>
      <c r="P26" s="42">
        <f>ROUNDUP(SUM(P25+I21),4)</f>
        <v>1926.3</v>
      </c>
      <c r="Q26" s="26">
        <f t="shared" si="4"/>
        <v>15</v>
      </c>
      <c r="R26" s="101">
        <f>FREQUENCY(B9:K13,P26:P27)</f>
        <v>20</v>
      </c>
    </row>
    <row r="27" spans="1:32" s="2" customFormat="1" ht="17.100000000000001" customHeight="1">
      <c r="A27" s="103" t="s">
        <v>66</v>
      </c>
      <c r="B27" s="50">
        <f>Q36</f>
        <v>0</v>
      </c>
      <c r="C27" s="50">
        <f>Q36</f>
        <v>0</v>
      </c>
      <c r="D27" s="50">
        <f>Q36</f>
        <v>0</v>
      </c>
      <c r="E27" s="50">
        <f>Q36</f>
        <v>0</v>
      </c>
      <c r="F27" s="50">
        <f>Q36</f>
        <v>0</v>
      </c>
      <c r="G27" s="50">
        <f>Q36</f>
        <v>0</v>
      </c>
      <c r="H27" s="50">
        <f>Q36</f>
        <v>0</v>
      </c>
      <c r="I27" s="50">
        <f>Q36</f>
        <v>0</v>
      </c>
      <c r="J27" s="50">
        <f>Q36</f>
        <v>0</v>
      </c>
      <c r="K27" s="27">
        <f>Q36</f>
        <v>0</v>
      </c>
      <c r="L27" s="49"/>
      <c r="M27" s="49"/>
      <c r="N27" s="49"/>
      <c r="O27" s="42">
        <f>ROUNDUP(SUM(P25+I21),4)</f>
        <v>1926.3</v>
      </c>
      <c r="P27" s="42">
        <f>ROUNDUP(SUM(P26+I21),4)</f>
        <v>1948.5</v>
      </c>
      <c r="Q27" s="26">
        <v>0</v>
      </c>
      <c r="R27" s="101">
        <f>FREQUENCY(B9:K13,P27:P28)</f>
        <v>36</v>
      </c>
    </row>
    <row r="28" spans="1:32" s="2" customFormat="1" ht="17.100000000000001" customHeight="1">
      <c r="A28" s="103" t="s">
        <v>68</v>
      </c>
      <c r="B28" s="27">
        <f>ROUNDUP(AVERAGE(B9:K13),4)</f>
        <v>1934.42</v>
      </c>
      <c r="C28" s="27">
        <f>ROUNDUP(AVERAGE(B9:K13),4)</f>
        <v>1934.42</v>
      </c>
      <c r="D28" s="27">
        <f>ROUNDUP(AVERAGE(B9:K13),4)</f>
        <v>1934.42</v>
      </c>
      <c r="E28" s="50">
        <f>ROUNDUP(AVERAGE(B9:K13),4)</f>
        <v>1934.42</v>
      </c>
      <c r="F28" s="50">
        <f>ROUNDUP(AVERAGE(B9:K13),4)</f>
        <v>1934.42</v>
      </c>
      <c r="G28" s="50">
        <f>ROUNDUP(AVERAGE(B9:K13),4)</f>
        <v>1934.42</v>
      </c>
      <c r="H28" s="27">
        <f>ROUNDUP(AVERAGE(B9:K13),4)</f>
        <v>1934.42</v>
      </c>
      <c r="I28" s="27">
        <f>ROUNDUP(AVERAGE(B9:K13),4)</f>
        <v>1934.42</v>
      </c>
      <c r="J28" s="27">
        <f>ROUNDUP(AVERAGE(B9:K13),4)</f>
        <v>1934.42</v>
      </c>
      <c r="K28" s="27">
        <f>ROUNDUP(AVERAGE(B9:K13),4)</f>
        <v>1934.42</v>
      </c>
      <c r="L28" s="49"/>
      <c r="M28" s="49"/>
      <c r="N28" s="49"/>
      <c r="O28" s="42">
        <f>ROUNDUP(SUM(P26+I21),4)</f>
        <v>1948.5</v>
      </c>
      <c r="P28" s="42">
        <f>ROUNDUP(SUM(P27+I21),4)</f>
        <v>1970.7</v>
      </c>
      <c r="Q28" s="68">
        <f t="shared" si="4"/>
        <v>11</v>
      </c>
      <c r="R28" s="101">
        <f>FREQUENCY(B9:K13,P28:P29)</f>
        <v>47</v>
      </c>
    </row>
    <row r="29" spans="1:32" ht="17.100000000000001" customHeight="1">
      <c r="A29" s="103" t="s">
        <v>69</v>
      </c>
      <c r="B29" s="27">
        <f>AVERAGE(B18:K18)</f>
        <v>55.3</v>
      </c>
      <c r="C29" s="27">
        <f>AVERAGE(B18:K18)</f>
        <v>55.3</v>
      </c>
      <c r="D29" s="27">
        <f>AVERAGE(B18:K18)</f>
        <v>55.3</v>
      </c>
      <c r="E29" s="27">
        <f>AVERAGE(B18:K18)</f>
        <v>55.3</v>
      </c>
      <c r="F29" s="27">
        <f>AVERAGE(B18:K18)</f>
        <v>55.3</v>
      </c>
      <c r="G29" s="27">
        <f>AVERAGE(B18:K18)</f>
        <v>55.3</v>
      </c>
      <c r="H29" s="27">
        <f>AVERAGE(B18:K18)</f>
        <v>55.3</v>
      </c>
      <c r="I29" s="27">
        <f>AVERAGE(B18:K18)</f>
        <v>55.3</v>
      </c>
      <c r="J29" s="27">
        <f>AVERAGE(B18:K18)</f>
        <v>55.3</v>
      </c>
      <c r="K29" s="27">
        <f>AVERAGE(B18:K18)</f>
        <v>55.3</v>
      </c>
      <c r="L29" s="105"/>
      <c r="M29" s="49"/>
      <c r="N29" s="49"/>
      <c r="O29" s="42">
        <f>ROUNDUP(SUM(P27+I21),4)</f>
        <v>1970.7</v>
      </c>
      <c r="P29" s="42">
        <f>ROUNDUP(SUM(P28+I21),4)</f>
        <v>1992.9</v>
      </c>
      <c r="Q29" s="68">
        <f t="shared" si="4"/>
        <v>2</v>
      </c>
      <c r="R29" s="101">
        <f>FREQUENCY(B9:K13,P29:P30)</f>
        <v>49</v>
      </c>
    </row>
    <row r="30" spans="1:32" ht="17.100000000000001" customHeight="1">
      <c r="A30" s="10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49"/>
      <c r="M30" s="49"/>
      <c r="N30" s="49"/>
      <c r="O30" s="42">
        <f>ROUNDUP(SUM(P28+I21),4)</f>
        <v>1992.9</v>
      </c>
      <c r="P30" s="42">
        <f>ROUNDUP(SUM(P29+I21),4)</f>
        <v>2015.1</v>
      </c>
      <c r="Q30" s="68">
        <f t="shared" si="4"/>
        <v>1</v>
      </c>
      <c r="R30" s="101">
        <f>FREQUENCY(B9:K13,P30:P31)</f>
        <v>50</v>
      </c>
    </row>
    <row r="31" spans="1:32" ht="17.100000000000001" customHeight="1">
      <c r="A31" s="102"/>
      <c r="B31" s="44"/>
      <c r="C31" s="20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2">
        <f>ROUNDUP(SUM(P29+I21),4)</f>
        <v>2015.1</v>
      </c>
      <c r="P31" s="42">
        <f>ROUNDUP(SUM(P30+I21),4)</f>
        <v>2037.3</v>
      </c>
      <c r="Q31" s="68">
        <f t="shared" si="4"/>
        <v>0</v>
      </c>
      <c r="R31" s="101">
        <f>FREQUENCY(B9:K13,P31:P32)</f>
        <v>50</v>
      </c>
    </row>
    <row r="32" spans="1:32" ht="17.100000000000001" customHeight="1">
      <c r="A32" s="106"/>
      <c r="B32" s="15"/>
      <c r="C32" s="15"/>
      <c r="D32" s="15"/>
      <c r="E32" s="15"/>
      <c r="F32" s="52"/>
      <c r="G32" s="52"/>
      <c r="H32" s="52"/>
      <c r="I32" s="15"/>
      <c r="J32" s="182" t="s">
        <v>70</v>
      </c>
      <c r="K32" s="183"/>
      <c r="L32" s="184"/>
      <c r="M32" s="53" t="s">
        <v>71</v>
      </c>
      <c r="N32" s="47"/>
      <c r="O32" s="42">
        <f>ROUNDUP(SUM(P30+I21),4)</f>
        <v>2037.3</v>
      </c>
      <c r="P32" s="42">
        <f>ROUNDUP(SUM(P31+I21),4)</f>
        <v>2059.5</v>
      </c>
      <c r="Q32" s="68">
        <f t="shared" si="4"/>
        <v>0</v>
      </c>
      <c r="R32" s="101">
        <f>FREQUENCY(B9:K13,P32:P32)</f>
        <v>50</v>
      </c>
    </row>
    <row r="33" spans="1:19" ht="17.100000000000001" customHeight="1">
      <c r="A33" s="106"/>
      <c r="B33" s="20"/>
      <c r="C33" s="20"/>
      <c r="D33" s="20"/>
      <c r="E33" s="20"/>
      <c r="F33" s="20"/>
      <c r="G33" s="20"/>
      <c r="H33" s="20"/>
      <c r="I33" s="20"/>
      <c r="J33" s="182">
        <v>1</v>
      </c>
      <c r="K33" s="183"/>
      <c r="L33" s="184"/>
      <c r="M33" s="53">
        <v>0</v>
      </c>
      <c r="N33" s="49"/>
      <c r="O33" s="140" t="s">
        <v>72</v>
      </c>
      <c r="P33" s="186"/>
      <c r="Q33" s="180">
        <f>(M19+(Q13*M18))</f>
        <v>1967.047</v>
      </c>
      <c r="R33" s="181"/>
      <c r="S33" s="54"/>
    </row>
    <row r="34" spans="1:19" ht="17.100000000000001" customHeight="1">
      <c r="A34" s="106"/>
      <c r="B34" s="20"/>
      <c r="C34" s="20"/>
      <c r="D34" s="20"/>
      <c r="E34" s="20"/>
      <c r="F34" s="20"/>
      <c r="G34" s="20"/>
      <c r="H34" s="20"/>
      <c r="I34" s="20"/>
      <c r="J34" s="182">
        <v>0.1</v>
      </c>
      <c r="K34" s="183"/>
      <c r="L34" s="184"/>
      <c r="M34" s="53">
        <v>1</v>
      </c>
      <c r="N34" s="49"/>
      <c r="O34" s="185" t="s">
        <v>73</v>
      </c>
      <c r="P34" s="186"/>
      <c r="Q34" s="187">
        <f>(M19-(Q13*M18))</f>
        <v>1901.7930000000001</v>
      </c>
      <c r="R34" s="181"/>
    </row>
    <row r="35" spans="1:19" ht="17.100000000000001" customHeight="1">
      <c r="A35" s="106"/>
      <c r="B35" s="20"/>
      <c r="C35" s="20"/>
      <c r="D35" s="20"/>
      <c r="E35" s="20"/>
      <c r="F35" s="20"/>
      <c r="G35" s="20"/>
      <c r="H35" s="20"/>
      <c r="I35" s="20"/>
      <c r="J35" s="182">
        <v>0.01</v>
      </c>
      <c r="K35" s="183"/>
      <c r="L35" s="184"/>
      <c r="M35" s="53">
        <v>2</v>
      </c>
      <c r="N35" s="49"/>
      <c r="O35" s="140" t="s">
        <v>74</v>
      </c>
      <c r="P35" s="186"/>
      <c r="Q35" s="196">
        <f>M18*R13</f>
        <v>116.68299999999999</v>
      </c>
      <c r="R35" s="181"/>
    </row>
    <row r="36" spans="1:19" ht="17.100000000000001" customHeight="1">
      <c r="A36" s="106"/>
      <c r="B36" s="20"/>
      <c r="C36" s="20"/>
      <c r="D36" s="20"/>
      <c r="E36" s="20"/>
      <c r="F36" s="20"/>
      <c r="G36" s="20"/>
      <c r="H36" s="20"/>
      <c r="I36" s="20"/>
      <c r="J36" s="182">
        <v>1E-3</v>
      </c>
      <c r="K36" s="183"/>
      <c r="L36" s="184"/>
      <c r="M36" s="79">
        <v>3</v>
      </c>
      <c r="N36" s="49"/>
      <c r="O36" s="140" t="s">
        <v>75</v>
      </c>
      <c r="P36" s="186"/>
      <c r="Q36" s="197">
        <f>M18*0</f>
        <v>0</v>
      </c>
      <c r="R36" s="198"/>
    </row>
    <row r="37" spans="1:19" s="60" customFormat="1" ht="17.100000000000001" customHeight="1">
      <c r="A37" s="107"/>
      <c r="B37" s="58"/>
      <c r="C37" s="57"/>
      <c r="D37" s="59"/>
      <c r="E37" s="59"/>
      <c r="F37" s="59"/>
      <c r="G37" s="59"/>
      <c r="H37" s="59"/>
      <c r="I37" s="59"/>
      <c r="J37" s="230">
        <v>1E-4</v>
      </c>
      <c r="K37" s="230"/>
      <c r="L37" s="230"/>
      <c r="M37" s="79">
        <v>4</v>
      </c>
      <c r="N37" s="59"/>
      <c r="O37" s="231" t="s">
        <v>76</v>
      </c>
      <c r="P37" s="232"/>
      <c r="Q37" s="199">
        <f>STDEV(B9:K13)</f>
        <v>23.668708353056385</v>
      </c>
      <c r="R37" s="198"/>
    </row>
    <row r="38" spans="1:19" ht="17.100000000000001" customHeight="1">
      <c r="A38" s="108"/>
      <c r="B38" s="58"/>
      <c r="C38" s="59"/>
      <c r="D38" s="59"/>
      <c r="E38" s="59"/>
      <c r="F38" s="59"/>
      <c r="G38" s="59"/>
      <c r="H38" s="59"/>
      <c r="I38" s="59"/>
      <c r="J38" s="61"/>
      <c r="K38" s="59"/>
      <c r="L38" s="59"/>
      <c r="M38" s="105"/>
      <c r="N38" s="59"/>
      <c r="O38" s="200" t="s">
        <v>88</v>
      </c>
      <c r="P38" s="201"/>
      <c r="Q38" s="199">
        <f>ROUNDUP(SUM(I20/(6*Q37)),4)</f>
        <v>2.1125000000000003</v>
      </c>
      <c r="R38" s="181"/>
    </row>
    <row r="39" spans="1:19" ht="15" customHeight="1">
      <c r="A39" s="217" t="s">
        <v>77</v>
      </c>
      <c r="B39" s="218"/>
      <c r="C39" s="221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3"/>
      <c r="O39" s="272" t="s">
        <v>87</v>
      </c>
      <c r="P39" s="272"/>
      <c r="Q39" s="273">
        <f>ROUNDUP(SUM((1-N20)*Q38),4)</f>
        <v>1.8931</v>
      </c>
      <c r="R39" s="278"/>
    </row>
    <row r="40" spans="1:19" ht="23.25" customHeight="1">
      <c r="A40" s="217"/>
      <c r="B40" s="218"/>
      <c r="C40" s="224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6"/>
      <c r="O40" s="233" t="s">
        <v>78</v>
      </c>
      <c r="P40" s="234"/>
      <c r="Q40" s="261" t="s">
        <v>106</v>
      </c>
      <c r="R40" s="262"/>
    </row>
    <row r="41" spans="1:19" ht="12.75" customHeight="1" thickBot="1">
      <c r="A41" s="219"/>
      <c r="B41" s="220"/>
      <c r="C41" s="227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9"/>
      <c r="O41" s="192" t="s">
        <v>86</v>
      </c>
      <c r="P41" s="193"/>
      <c r="Q41" s="258" t="s">
        <v>107</v>
      </c>
      <c r="R41" s="259"/>
    </row>
    <row r="42" spans="1:19">
      <c r="M42" s="63"/>
      <c r="P42" s="64"/>
    </row>
  </sheetData>
  <mergeCells count="76">
    <mergeCell ref="A1:B3"/>
    <mergeCell ref="C1:P2"/>
    <mergeCell ref="C3:P3"/>
    <mergeCell ref="A39:B41"/>
    <mergeCell ref="C39:N41"/>
    <mergeCell ref="J37:L37"/>
    <mergeCell ref="O37:P37"/>
    <mergeCell ref="O40:P40"/>
    <mergeCell ref="J32:L32"/>
    <mergeCell ref="J33:L33"/>
    <mergeCell ref="O33:P33"/>
    <mergeCell ref="N19:P19"/>
    <mergeCell ref="A20:C20"/>
    <mergeCell ref="D20:E20"/>
    <mergeCell ref="F20:H20"/>
    <mergeCell ref="I20:J20"/>
    <mergeCell ref="Q40:R40"/>
    <mergeCell ref="O41:P41"/>
    <mergeCell ref="Q41:R41"/>
    <mergeCell ref="J35:L35"/>
    <mergeCell ref="O35:P35"/>
    <mergeCell ref="Q35:R35"/>
    <mergeCell ref="J36:L36"/>
    <mergeCell ref="O36:P36"/>
    <mergeCell ref="Q36:R36"/>
    <mergeCell ref="Q37:R37"/>
    <mergeCell ref="O38:P38"/>
    <mergeCell ref="Q38:R38"/>
    <mergeCell ref="O39:P39"/>
    <mergeCell ref="Q39:R39"/>
    <mergeCell ref="Q33:R33"/>
    <mergeCell ref="J34:L34"/>
    <mergeCell ref="O34:P34"/>
    <mergeCell ref="Q34:R34"/>
    <mergeCell ref="A21:C21"/>
    <mergeCell ref="D21:E21"/>
    <mergeCell ref="F21:H21"/>
    <mergeCell ref="I21:J21"/>
    <mergeCell ref="K21:M21"/>
    <mergeCell ref="A22:C22"/>
    <mergeCell ref="D22:E22"/>
    <mergeCell ref="F22:H22"/>
    <mergeCell ref="I22:J22"/>
    <mergeCell ref="K22:M22"/>
    <mergeCell ref="K20:M20"/>
    <mergeCell ref="O20:P20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Element Resistance</vt:lpstr>
      <vt:lpstr>DFT</vt:lpstr>
      <vt:lpstr>Wattage L1</vt:lpstr>
      <vt:lpstr>Wattage L2</vt:lpstr>
      <vt:lpstr>DFT!Print_Area</vt:lpstr>
      <vt:lpstr>'Element Resistance'!Print_Area</vt:lpstr>
      <vt:lpstr>'Wattage L1'!Print_Area</vt:lpstr>
      <vt:lpstr>'Wattage L2'!Print_Area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2022-12-12T05:04:40Z</dcterms:modified>
</cp:coreProperties>
</file>