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SGGW\"/>
    </mc:Choice>
  </mc:AlternateContent>
  <xr:revisionPtr revIDLastSave="0" documentId="8_{056F65E6-CEB4-4DF7-AFCB-2E8AA16F0BA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4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AE35" i="1"/>
  <c r="AE40" i="1"/>
  <c r="AF35" i="1" s="1"/>
  <c r="AF40" i="1" s="1"/>
  <c r="AG35" i="1" s="1"/>
  <c r="AG40" i="1" s="1"/>
  <c r="AH35" i="1" s="1"/>
  <c r="AD40" i="1"/>
  <c r="AL51" i="2"/>
  <c r="AM44" i="2"/>
  <c r="AM45" i="2"/>
  <c r="AL43" i="2"/>
  <c r="AL47" i="2" s="1"/>
  <c r="AJ43" i="2"/>
  <c r="T22" i="4"/>
  <c r="R14" i="4"/>
  <c r="R17" i="4" s="1"/>
  <c r="AD18" i="2"/>
  <c r="O22" i="2"/>
  <c r="AQ18" i="2"/>
  <c r="AQ20" i="2" s="1"/>
  <c r="AT20" i="2" s="1"/>
  <c r="AT32" i="2" s="1"/>
  <c r="AF20" i="1"/>
  <c r="AF21" i="1"/>
  <c r="AF19" i="1"/>
  <c r="AH20" i="1"/>
  <c r="AH21" i="1"/>
  <c r="AH19" i="1"/>
  <c r="G39" i="2"/>
  <c r="AZ19" i="2"/>
  <c r="AZ23" i="2" s="1"/>
  <c r="AY19" i="2"/>
  <c r="AY23" i="2"/>
  <c r="AX19" i="2"/>
  <c r="AX23" i="2" s="1"/>
  <c r="AZ18" i="2"/>
  <c r="AZ20" i="2" s="1"/>
  <c r="AY18" i="2"/>
  <c r="AY20" i="2" s="1"/>
  <c r="AX18" i="2"/>
  <c r="AX20" i="2"/>
  <c r="BA20" i="2" s="1"/>
  <c r="AS18" i="2"/>
  <c r="AS20" i="2"/>
  <c r="AS19" i="2"/>
  <c r="AS23" i="2" s="1"/>
  <c r="AR18" i="2"/>
  <c r="AK15" i="2"/>
  <c r="AO39" i="2"/>
  <c r="AM39" i="2"/>
  <c r="AR21" i="2" s="1"/>
  <c r="AK39" i="2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Q75" i="4" s="1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S22" i="4" s="1"/>
  <c r="G13" i="4"/>
  <c r="L10" i="4"/>
  <c r="G16" i="4" s="1"/>
  <c r="H10" i="4"/>
  <c r="G10" i="4"/>
  <c r="H7" i="4"/>
  <c r="G7" i="4"/>
  <c r="H6" i="4"/>
  <c r="G6" i="4"/>
  <c r="I5" i="4"/>
  <c r="H5" i="4"/>
  <c r="P4" i="4" s="1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9" i="2" s="1"/>
  <c r="M28" i="2"/>
  <c r="G25" i="2"/>
  <c r="Y24" i="2"/>
  <c r="AN45" i="2" s="1"/>
  <c r="W24" i="2"/>
  <c r="AL45" i="2" s="1"/>
  <c r="U24" i="2"/>
  <c r="AJ45" i="2" s="1"/>
  <c r="H24" i="2"/>
  <c r="G24" i="2"/>
  <c r="Y23" i="2"/>
  <c r="AN44" i="2" s="1"/>
  <c r="W23" i="2"/>
  <c r="AL44" i="2" s="1"/>
  <c r="U23" i="2"/>
  <c r="G23" i="2"/>
  <c r="F23" i="2" s="1"/>
  <c r="Y22" i="2"/>
  <c r="Y25" i="2" s="1"/>
  <c r="W22" i="2"/>
  <c r="W25" i="2" s="1"/>
  <c r="U22" i="2"/>
  <c r="U25" i="2" s="1"/>
  <c r="G21" i="2"/>
  <c r="O20" i="2"/>
  <c r="G20" i="2"/>
  <c r="Y19" i="2"/>
  <c r="AN52" i="2" s="1"/>
  <c r="AL16" i="2"/>
  <c r="W19" i="2"/>
  <c r="AK16" i="2" s="1"/>
  <c r="U19" i="2"/>
  <c r="AJ52" i="2" s="1"/>
  <c r="AJ16" i="2"/>
  <c r="G19" i="2"/>
  <c r="G26" i="2" s="1"/>
  <c r="Y18" i="2"/>
  <c r="AN51" i="2" s="1"/>
  <c r="W18" i="2"/>
  <c r="U18" i="2"/>
  <c r="AJ15" i="2" s="1"/>
  <c r="AJ19" i="2" s="1"/>
  <c r="AJ23" i="2" s="1"/>
  <c r="O18" i="2"/>
  <c r="N44" i="2"/>
  <c r="G18" i="2"/>
  <c r="Y17" i="2"/>
  <c r="AB17" i="2" s="1"/>
  <c r="AL14" i="2"/>
  <c r="W17" i="2"/>
  <c r="AL50" i="2" s="1"/>
  <c r="U17" i="2"/>
  <c r="U20" i="2" s="1"/>
  <c r="AJ14" i="2"/>
  <c r="AJ18" i="2" s="1"/>
  <c r="P17" i="2"/>
  <c r="O17" i="2"/>
  <c r="N17" i="2" s="1"/>
  <c r="O16" i="2"/>
  <c r="O15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AD4" i="2" s="1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AM52" i="2" s="1"/>
  <c r="H21" i="1"/>
  <c r="G21" i="1"/>
  <c r="AK45" i="2" s="1"/>
  <c r="F21" i="1"/>
  <c r="W20" i="1"/>
  <c r="P20" i="1"/>
  <c r="K20" i="1"/>
  <c r="J20" i="1"/>
  <c r="I20" i="1"/>
  <c r="AM51" i="2" s="1"/>
  <c r="H20" i="1"/>
  <c r="G20" i="1"/>
  <c r="AK44" i="2" s="1"/>
  <c r="F20" i="1"/>
  <c r="AJ44" i="2" s="1"/>
  <c r="W19" i="1"/>
  <c r="T19" i="1"/>
  <c r="P19" i="1"/>
  <c r="K19" i="1"/>
  <c r="J19" i="1"/>
  <c r="I19" i="1"/>
  <c r="AM43" i="2" s="1"/>
  <c r="H19" i="1"/>
  <c r="G19" i="1"/>
  <c r="AK50" i="2" s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24" i="3"/>
  <c r="L27" i="3" s="1"/>
  <c r="F27" i="3" s="1"/>
  <c r="L33" i="3"/>
  <c r="L35" i="3" s="1"/>
  <c r="G17" i="4"/>
  <c r="H17" i="4"/>
  <c r="N29" i="2"/>
  <c r="AS21" i="2"/>
  <c r="AR20" i="2"/>
  <c r="AQ19" i="2"/>
  <c r="AQ23" i="2" s="1"/>
  <c r="AR19" i="2"/>
  <c r="AR23" i="2"/>
  <c r="O14" i="2"/>
  <c r="AZ21" i="2"/>
  <c r="AY21" i="2"/>
  <c r="AX21" i="2"/>
  <c r="BA21" i="2" s="1"/>
  <c r="AT23" i="2" l="1"/>
  <c r="AJ20" i="2"/>
  <c r="AJ21" i="2"/>
  <c r="AL53" i="2"/>
  <c r="R23" i="4"/>
  <c r="AL18" i="2"/>
  <c r="AJ4" i="2"/>
  <c r="AD7" i="2"/>
  <c r="G22" i="2"/>
  <c r="AD10" i="2"/>
  <c r="AD13" i="2" s="1"/>
  <c r="AX10" i="2"/>
  <c r="BA23" i="2"/>
  <c r="BA24" i="2" s="1"/>
  <c r="AJ47" i="2"/>
  <c r="AP47" i="2" s="1"/>
  <c r="Y20" i="2"/>
  <c r="AK43" i="2"/>
  <c r="AK51" i="2"/>
  <c r="W20" i="2"/>
  <c r="AB29" i="2" s="1"/>
  <c r="AJ51" i="2"/>
  <c r="H16" i="4"/>
  <c r="S23" i="4" s="1"/>
  <c r="AL15" i="2"/>
  <c r="AL19" i="2" s="1"/>
  <c r="AL23" i="2" s="1"/>
  <c r="I16" i="4"/>
  <c r="T23" i="4" s="1"/>
  <c r="AN50" i="2"/>
  <c r="AN53" i="2" s="1"/>
  <c r="N43" i="2"/>
  <c r="N45" i="2" s="1"/>
  <c r="AL52" i="2"/>
  <c r="AM50" i="2"/>
  <c r="G15" i="2"/>
  <c r="AK14" i="2"/>
  <c r="AQ21" i="2"/>
  <c r="AT21" i="2" s="1"/>
  <c r="R22" i="4"/>
  <c r="U22" i="4" s="1"/>
  <c r="AK52" i="2"/>
  <c r="AN43" i="2"/>
  <c r="AN47" i="2" s="1"/>
  <c r="I17" i="4"/>
  <c r="AJ50" i="2"/>
  <c r="AJ53" i="2" s="1"/>
  <c r="T14" i="4" l="1"/>
  <c r="T17" i="4" s="1"/>
  <c r="U23" i="4"/>
  <c r="AK19" i="2"/>
  <c r="AK23" i="2" s="1"/>
  <c r="AM23" i="2" s="1"/>
  <c r="AK18" i="2"/>
  <c r="AL21" i="2"/>
  <c r="AL20" i="2"/>
  <c r="AP53" i="2"/>
  <c r="AP56" i="2" s="1"/>
  <c r="AT25" i="2"/>
  <c r="AT24" i="2"/>
  <c r="AK21" i="2" l="1"/>
  <c r="AM21" i="2" s="1"/>
  <c r="AK20" i="2"/>
  <c r="AM20" i="2" s="1"/>
</calcChain>
</file>

<file path=xl/connections.xml><?xml version="1.0" encoding="utf-8"?>
<connections xmlns="http://schemas.openxmlformats.org/spreadsheetml/2006/main">
  <connection id="1" name="W064174" type="6" refreshedVersion="4" background="1" saveData="1">
    <textPr prompt="0" codePage="850" sourceFile="C:\2019_GMC\2ETAP_17C1\RUN_17C1\Wfiles\174\W064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<sst xmlns="http://schemas.openxmlformats.org/spreadsheetml/2006/main" count="642" uniqueCount="400">
  <si>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</si>
  <si>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</si>
  <si>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</si>
  <si>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</si>
  <si>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</si>
  <si>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</si>
  <si>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</si>
  <si>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</si>
  <si>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</si>
  <si>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</si>
  <si>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</si>
  <si>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</si>
  <si>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</si>
  <si>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</si>
  <si>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</si>
  <si>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</si>
  <si>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</si>
  <si>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</si>
  <si>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</si>
  <si>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</si>
  <si>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</si>
  <si>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</si>
  <si>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</si>
  <si>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</si>
  <si>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</si>
  <si>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</si>
  <si>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</si>
  <si>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</si>
  <si>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</si>
  <si>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</si>
  <si>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</si>
  <si>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</si>
  <si>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</si>
  <si>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</si>
  <si>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</si>
  <si>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</si>
  <si>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</si>
  <si>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</si>
  <si>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</si>
  <si>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</si>
  <si>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</si>
  <si>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</si>
  <si>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</si>
  <si>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</si>
  <si>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</si>
  <si>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</si>
  <si>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</si>
  <si>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</si>
  <si>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</si>
  <si>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</si>
  <si>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</si>
  <si>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</si>
  <si>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</si>
  <si>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</si>
  <si>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</si>
  <si>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</si>
  <si>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</si>
  <si>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</si>
  <si>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</si>
  <si>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</si>
  <si>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</si>
  <si>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</si>
  <si>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</si>
  <si>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</si>
  <si>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</si>
  <si>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</si>
  <si>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</si>
  <si>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</si>
  <si>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</si>
  <si>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</si>
  <si>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</si>
  <si>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</si>
  <si>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</si>
  <si>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</si>
  <si>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</si>
  <si>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</si>
  <si>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</si>
  <si>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</si>
  <si>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</si>
  <si>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</si>
  <si>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</si>
  <si>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</si>
  <si>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</si>
  <si>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</si>
  <si>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</si>
  <si>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</si>
  <si>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</si>
  <si>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</si>
  <si>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</si>
  <si>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</si>
  <si>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</si>
  <si>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</si>
  <si>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</si>
  <si>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</si>
  <si>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</si>
  <si>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</si>
  <si>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</si>
  <si>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</si>
  <si>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</si>
  <si>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</si>
  <si>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</si>
  <si>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</si>
  <si>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</si>
  <si>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</si>
  <si>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</si>
  <si>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</si>
  <si>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</si>
  <si>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</si>
  <si>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</si>
  <si>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</si>
  <si>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</si>
  <si>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</si>
  <si>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</si>
  <si>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</si>
  <si>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</si>
  <si>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</si>
  <si>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</si>
  <si>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</si>
  <si>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</si>
  <si>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</si>
  <si>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</si>
  <si>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</si>
  <si>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</si>
  <si>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</si>
  <si>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</si>
  <si>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</si>
  <si>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</si>
  <si>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</si>
  <si>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</si>
  <si>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</si>
  <si>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</si>
  <si>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</si>
  <si>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</si>
  <si>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</si>
  <si>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</si>
  <si>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</si>
  <si>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</si>
  <si>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</si>
  <si>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</si>
  <si>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</si>
  <si>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</si>
  <si>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</si>
  <si>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</si>
  <si>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</si>
  <si>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</si>
  <si>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</si>
  <si>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</si>
  <si>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</si>
  <si>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</si>
  <si>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</si>
  <si>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</si>
  <si>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</si>
  <si>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</si>
  <si>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</si>
  <si>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</si>
  <si>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</si>
  <si>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</si>
  <si>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</si>
  <si>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</si>
  <si>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</si>
  <si>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</si>
  <si>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</si>
  <si>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</si>
  <si>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</si>
  <si>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</si>
  <si>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</si>
  <si>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</si>
  <si>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</si>
  <si>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</si>
  <si>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</si>
  <si>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</si>
  <si>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</si>
  <si>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</si>
  <si>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</si>
  <si>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</si>
  <si>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</si>
  <si>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</si>
  <si>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</si>
  <si>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</si>
  <si>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</si>
  <si>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</si>
  <si>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</si>
  <si>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</si>
  <si>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</si>
  <si>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</si>
  <si>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</si>
  <si>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</si>
  <si>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</si>
  <si>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</si>
  <si>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</si>
  <si>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</si>
  <si>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</si>
  <si>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</si>
  <si>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</si>
  <si>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</si>
  <si>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</si>
  <si>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</si>
  <si>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</si>
  <si>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</si>
  <si>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</si>
  <si>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</si>
  <si>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</si>
  <si>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</si>
  <si>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</si>
  <si>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</si>
  <si>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</si>
  <si>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</si>
  <si>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</si>
  <si>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</si>
  <si>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</si>
  <si>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</si>
  <si>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</si>
  <si>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</si>
  <si>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</si>
  <si>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</si>
  <si>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</si>
  <si>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</si>
  <si>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</si>
  <si>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</si>
  <si>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</si>
  <si>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</si>
  <si>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</si>
  <si>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</si>
  <si>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</si>
  <si>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</si>
  <si>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</si>
  <si>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</si>
  <si>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</si>
  <si>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</si>
  <si>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</si>
  <si>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</si>
  <si>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</si>
  <si>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</si>
  <si>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</si>
  <si>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</si>
  <si>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</si>
  <si>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</si>
  <si>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</si>
  <si>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</si>
  <si>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</si>
  <si>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</si>
  <si>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</si>
  <si>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</si>
  <si>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</si>
  <si>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</si>
  <si>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</si>
  <si>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</si>
  <si>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</si>
  <si>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</si>
  <si>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</si>
  <si>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</si>
  <si>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</si>
  <si>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</si>
  <si>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</si>
  <si>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</si>
  <si>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</si>
  <si>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</si>
  <si>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</si>
  <si>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</si>
  <si>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</si>
  <si>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</si>
  <si>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</si>
  <si>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</si>
  <si>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</si>
  <si>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</si>
  <si>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</si>
  <si>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</si>
  <si>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</si>
  <si>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</si>
  <si>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</si>
  <si>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</si>
  <si>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</si>
  <si>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</si>
  <si>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</si>
  <si>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</si>
  <si>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</si>
  <si>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</si>
  <si>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</si>
  <si>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</si>
  <si>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</si>
  <si>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</si>
  <si>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</si>
  <si>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</si>
  <si>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</si>
  <si>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</si>
  <si>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</si>
  <si>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</si>
  <si>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</si>
  <si>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</si>
  <si>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</si>
  <si>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</si>
  <si>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</si>
  <si>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</si>
  <si>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</si>
  <si>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</si>
  <si>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</si>
  <si>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</si>
  <si>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</si>
  <si>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</si>
  <si>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</si>
  <si>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</si>
  <si>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</si>
  <si>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</si>
  <si>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</si>
  <si>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</si>
  <si>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</si>
  <si>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</si>
  <si>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</si>
  <si>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</si>
  <si>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</si>
  <si>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</si>
  <si>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</si>
  <si>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</si>
  <si>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</si>
  <si>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</si>
  <si>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</si>
  <si>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</si>
  <si>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</si>
  <si>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</si>
  <si>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</si>
  <si>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</si>
  <si>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</si>
  <si>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</si>
  <si>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</si>
  <si>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</si>
  <si>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</si>
  <si>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</si>
  <si>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</si>
  <si>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</si>
  <si>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</si>
  <si>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</si>
  <si>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</si>
  <si>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</si>
  <si>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</si>
  <si>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</si>
  <si>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</si>
  <si>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</si>
  <si>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</si>
  <si>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</si>
  <si>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</si>
  <si>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</si>
  <si>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</si>
  <si>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</si>
  <si>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</si>
  <si>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2.48</t>
  </si>
  <si>
    <t xml:space="preserve">   2.65</t>
  </si>
  <si>
    <t xml:space="preserve">   1.79</t>
  </si>
  <si>
    <t>!</t>
  </si>
  <si>
    <t>Minor</t>
  </si>
  <si>
    <t>Major</t>
  </si>
  <si>
    <t xml:space="preserve"> 93.9</t>
  </si>
  <si>
    <t>Not requested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</si>
  <si>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</si>
  <si>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</si>
  <si>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</si>
  <si>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</si>
  <si>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</si>
  <si>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</si>
  <si>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</si>
  <si>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</si>
  <si>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</si>
  <si>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</si>
  <si>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200130122525</t>
  </si>
  <si>
    <t>Karol Pogorzelski</t>
  </si>
  <si>
    <t>Enactus/Enactus SGGW 1</t>
  </si>
  <si>
    <t>MAX CZAS MONTAŻU</t>
  </si>
  <si>
    <t>P1</t>
  </si>
  <si>
    <t>P2</t>
  </si>
  <si>
    <t>P3</t>
  </si>
  <si>
    <t>SUMA</t>
  </si>
  <si>
    <t>Materiał</t>
  </si>
  <si>
    <t>Czas produkcji</t>
  </si>
  <si>
    <t>x</t>
  </si>
  <si>
    <t>x=</t>
  </si>
  <si>
    <t>MAX CZAS MASZYN TEORETYCZNIE</t>
  </si>
  <si>
    <t>MAX CZAS MASZYN PRAKTYCZNY</t>
  </si>
  <si>
    <t>Czas montażu na 1</t>
  </si>
  <si>
    <t>Czas montażu suma</t>
  </si>
  <si>
    <t>Komponenty</t>
  </si>
  <si>
    <t>Wielkość produkcji</t>
  </si>
  <si>
    <t>MAX CZAS MONTAŻU PRAKTYCZNY</t>
  </si>
  <si>
    <t>Przeliczenia z arkusza</t>
  </si>
  <si>
    <t>MAX CZAS MONTAŻU W RAZIE CZEGO</t>
  </si>
  <si>
    <t>Przeliczenia moje</t>
  </si>
  <si>
    <t>Przyszli monterzy</t>
  </si>
  <si>
    <t>Cena</t>
  </si>
  <si>
    <t>8 maszyn MAX</t>
  </si>
  <si>
    <t>1000 prod 1</t>
  </si>
  <si>
    <t>1000 prod 2</t>
  </si>
  <si>
    <t>1000 prod 3</t>
  </si>
  <si>
    <t>HAAAJS ZAROBIONY</t>
  </si>
  <si>
    <t>HAAAJS który moglem zarobic</t>
  </si>
  <si>
    <t>Rozpiska dostaw</t>
  </si>
  <si>
    <t>kwartal</t>
  </si>
  <si>
    <t>spot</t>
  </si>
  <si>
    <t>3miech</t>
  </si>
  <si>
    <t>6miech</t>
  </si>
  <si>
    <t>zuzycie ?</t>
  </si>
  <si>
    <t>start</t>
  </si>
  <si>
    <t>koniec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</si>
</sst>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26" fillId="0" borderId="0" xfId="0" applyFont="1"/>
    <xf numFmtId="0" fontId="10" fillId="3" borderId="0" xfId="0" applyFont="1" applyFill="1" applyBorder="1"/>
    <xf numFmtId="0" fontId="8" fillId="0" borderId="16" xfId="0" applyFont="1" applyBorder="1"/>
    <xf numFmtId="0" fontId="8" fillId="0" borderId="16" xfId="0" applyFont="1" applyBorder="1" applyAlignment="1">
      <alignment horizontal="left"/>
    </xf>
    <xf numFmtId="0" fontId="8" fillId="0" borderId="17" xfId="0" applyFont="1" applyBorder="1"/>
    <xf numFmtId="0" fontId="8" fillId="0" borderId="18" xfId="0" applyFont="1" applyBorder="1"/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right"/>
    </xf>
    <xf numFmtId="0" fontId="8" fillId="3" borderId="0" xfId="0" applyFont="1" applyFill="1" applyBorder="1"/>
    <xf numFmtId="0" fontId="8" fillId="0" borderId="20" xfId="0" applyFont="1" applyBorder="1"/>
    <xf numFmtId="0" fontId="8" fillId="3" borderId="0" xfId="0" applyFont="1" applyFill="1"/>
    <xf numFmtId="0" fontId="8" fillId="3" borderId="0" xfId="0" applyFont="1" applyFill="1" applyBorder="1" applyAlignment="1">
      <alignment horizontal="left"/>
    </xf>
    <xf numFmtId="0" fontId="28" fillId="0" borderId="0" xfId="0" applyFont="1"/>
    <xf numFmtId="0" fontId="0" fillId="4" borderId="0" xfId="0" applyFill="1"/>
    <xf numFmtId="0" fontId="0" fillId="3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4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5"/>
  <sheetViews>
    <sheetView showGridLines="0" tabSelected="1" topLeftCell="B13" workbookViewId="0">
      <selection activeCell="G36" sqref="G36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9">
      <c r="V1" t="str">
        <f>LEFT(TRIM(W!A699),4)</f>
        <v xml:space="preserve">032 </v>
      </c>
      <c r="W1" t="str">
        <f>RIGHT(TRIM(W!A699),10)</f>
        <v>20/10/2017</v>
      </c>
    </row>
    <row r="2" spans="2:29" ht="33">
      <c r="G2" s="1" t="s">
        <v>283</v>
      </c>
      <c r="H2" s="140"/>
    </row>
    <row r="3" spans="2:29">
      <c r="B3" t="str">
        <f>W!A861</f>
        <v>Karol Pogorzelski</v>
      </c>
      <c r="V3" s="2" t="s">
        <v>284</v>
      </c>
      <c r="W3" s="3" t="str">
        <f>W!A6</f>
        <v xml:space="preserve">  17C1</v>
      </c>
    </row>
    <row r="4" spans="2:29">
      <c r="B4" t="str">
        <f>W!A862</f>
        <v>Enactus/Enactus SGGW 1</v>
      </c>
    </row>
    <row r="5" spans="2:29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9">
      <c r="B6">
        <f>W!A864</f>
        <v>0</v>
      </c>
    </row>
    <row r="8" spans="2:29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9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9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9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9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9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9">
      <c r="B14" s="11"/>
      <c r="C14" s="19"/>
      <c r="D14" s="19" t="s">
        <v>27</v>
      </c>
      <c r="E14" s="43">
        <f>W!A7</f>
        <v>17</v>
      </c>
      <c r="F14" s="44">
        <f>W!A11</f>
        <v>13</v>
      </c>
      <c r="G14" s="45"/>
      <c r="H14" s="44">
        <f>W!A14</f>
        <v>11</v>
      </c>
      <c r="I14" s="46"/>
      <c r="J14" s="44">
        <f>W!A17</f>
        <v>11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9">
      <c r="B15" s="11"/>
      <c r="C15" s="19"/>
      <c r="D15" s="19" t="s">
        <v>2</v>
      </c>
      <c r="E15" s="50">
        <f>W!A8</f>
        <v>14</v>
      </c>
      <c r="F15" s="44">
        <f>W!A12</f>
        <v>11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9">
      <c r="B16" s="11"/>
      <c r="C16" s="19"/>
      <c r="D16" s="19" t="s">
        <v>3</v>
      </c>
      <c r="E16" s="56">
        <f>W!A9</f>
        <v>16</v>
      </c>
      <c r="F16" s="57">
        <f>W!A13</f>
        <v>12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14</v>
      </c>
      <c r="U16" s="59">
        <f>W!B68</f>
        <v>0</v>
      </c>
      <c r="V16" s="18"/>
      <c r="W16" s="60">
        <f>W!A69</f>
        <v>5</v>
      </c>
      <c r="X16" s="59"/>
      <c r="Y16" s="24"/>
      <c r="AC16">
        <v>1.0264348654441533</v>
      </c>
    </row>
    <row r="17" spans="2:34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34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  <c r="AC18" s="219" t="s">
        <v>385</v>
      </c>
    </row>
    <row r="19" spans="2:34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10</v>
      </c>
      <c r="X19" s="69"/>
      <c r="Y19" s="24"/>
      <c r="AC19" s="47">
        <v>325</v>
      </c>
      <c r="AD19" s="54">
        <v>0</v>
      </c>
      <c r="AE19" s="63">
        <v>490</v>
      </c>
      <c r="AF19" s="48">
        <f>AE19*103%</f>
        <v>504.7</v>
      </c>
      <c r="AG19" s="63">
        <v>700</v>
      </c>
      <c r="AH19" s="48">
        <f>AG19*110%</f>
        <v>770.00000000000011</v>
      </c>
    </row>
    <row r="20" spans="2:34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  <c r="AC20" s="53">
        <v>335</v>
      </c>
      <c r="AD20" s="54">
        <v>0</v>
      </c>
      <c r="AE20" s="44">
        <v>500</v>
      </c>
      <c r="AF20" s="48">
        <f>AE20*103%</f>
        <v>515</v>
      </c>
      <c r="AG20" s="44">
        <v>725</v>
      </c>
      <c r="AH20" s="48">
        <f>AG20*110%</f>
        <v>797.50000000000011</v>
      </c>
    </row>
    <row r="21" spans="2:34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28</v>
      </c>
      <c r="X21" s="76"/>
      <c r="Y21" s="24"/>
      <c r="AC21" s="41">
        <v>375</v>
      </c>
      <c r="AD21" s="59">
        <v>0</v>
      </c>
      <c r="AE21" s="57">
        <v>590</v>
      </c>
      <c r="AF21" s="48">
        <f>AE21*103%</f>
        <v>607.70000000000005</v>
      </c>
      <c r="AG21" s="57">
        <v>825</v>
      </c>
      <c r="AH21" s="48">
        <f>AG21*110%</f>
        <v>907.50000000000011</v>
      </c>
    </row>
    <row r="22" spans="2:34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34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34">
      <c r="B24" s="11"/>
      <c r="C24" s="19"/>
      <c r="D24" s="19" t="s">
        <v>307</v>
      </c>
      <c r="E24" s="19"/>
      <c r="F24" s="47">
        <f>W!A31</f>
        <v>1060</v>
      </c>
      <c r="G24" s="48" t="str">
        <f>W!B31</f>
        <v>*</v>
      </c>
      <c r="H24" s="63">
        <f>W!A34</f>
        <v>740</v>
      </c>
      <c r="I24" s="48" t="str">
        <f>W!B34</f>
        <v>*</v>
      </c>
      <c r="J24" s="63">
        <f>W!A37</f>
        <v>430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34">
      <c r="B25" s="11"/>
      <c r="C25" s="203" t="s">
        <v>310</v>
      </c>
      <c r="D25" s="19" t="s">
        <v>311</v>
      </c>
      <c r="E25" s="19"/>
      <c r="F25" s="53">
        <f>W!A32</f>
        <v>360</v>
      </c>
      <c r="G25" s="54" t="str">
        <f>W!B32</f>
        <v>*</v>
      </c>
      <c r="H25" s="44">
        <f>W!A35</f>
        <v>310</v>
      </c>
      <c r="I25" s="54" t="str">
        <f>W!B35</f>
        <v>*</v>
      </c>
      <c r="J25" s="44">
        <f>W!A38</f>
        <v>180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34">
      <c r="B26" s="11"/>
      <c r="C26" s="204" t="s">
        <v>313</v>
      </c>
      <c r="D26" s="19" t="s">
        <v>314</v>
      </c>
      <c r="E26" s="19"/>
      <c r="F26" s="41">
        <f>W!A33</f>
        <v>550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260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34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34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34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34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34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34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80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34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  <c r="AC33" t="s">
        <v>392</v>
      </c>
    </row>
    <row r="34" spans="2:34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  <c r="AC34" t="s">
        <v>393</v>
      </c>
      <c r="AD34">
        <v>1</v>
      </c>
      <c r="AE34">
        <v>2</v>
      </c>
      <c r="AF34">
        <v>3</v>
      </c>
      <c r="AG34">
        <v>4</v>
      </c>
      <c r="AH34">
        <v>5</v>
      </c>
    </row>
    <row r="35" spans="2:34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  <c r="AC35" t="s">
        <v>398</v>
      </c>
      <c r="AD35">
        <v>1720</v>
      </c>
      <c r="AE35">
        <f>AD40</f>
        <v>428</v>
      </c>
      <c r="AF35" s="220">
        <f>AE40+AF36+AD38+AE37</f>
        <v>15274</v>
      </c>
      <c r="AG35" s="222">
        <f>AF40+AG36+AE38+AF37</f>
        <v>17174</v>
      </c>
      <c r="AH35" s="222">
        <f>AG40+AH36+AF38+AG37</f>
        <v>12774</v>
      </c>
    </row>
    <row r="36" spans="2:34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  <c r="AC36" t="s">
        <v>394</v>
      </c>
      <c r="AD36">
        <v>4000</v>
      </c>
      <c r="AE36">
        <v>7000</v>
      </c>
      <c r="AF36">
        <v>0</v>
      </c>
    </row>
    <row r="37" spans="2:34">
      <c r="C37" s="91" t="s">
        <v>20</v>
      </c>
      <c r="L37" s="12"/>
      <c r="Y37" s="12"/>
      <c r="AC37" t="s">
        <v>395</v>
      </c>
      <c r="AE37" s="220">
        <v>6000</v>
      </c>
    </row>
    <row r="38" spans="2:34">
      <c r="E38" s="12"/>
      <c r="L38" s="12"/>
      <c r="M38" s="139" t="s">
        <v>17</v>
      </c>
      <c r="Y38" s="12"/>
      <c r="AC38" t="s">
        <v>396</v>
      </c>
      <c r="AD38" s="220">
        <v>7000</v>
      </c>
      <c r="AE38" s="221">
        <v>10000</v>
      </c>
      <c r="AF38">
        <v>6000</v>
      </c>
    </row>
    <row r="39" spans="2:34">
      <c r="L39" s="12"/>
      <c r="AC39" t="s">
        <v>397</v>
      </c>
      <c r="AD39">
        <v>5292</v>
      </c>
      <c r="AE39">
        <v>5154</v>
      </c>
      <c r="AF39">
        <v>8100</v>
      </c>
      <c r="AG39">
        <v>10400</v>
      </c>
    </row>
    <row r="40" spans="2:34">
      <c r="L40" s="12"/>
      <c r="M40" t="s">
        <v>5</v>
      </c>
      <c r="AC40" t="s">
        <v>399</v>
      </c>
      <c r="AD40">
        <f>AD35+AD36-AD39</f>
        <v>428</v>
      </c>
      <c r="AE40">
        <f>AE35+AE36-AE39</f>
        <v>2274</v>
      </c>
      <c r="AF40">
        <f>AF35+AF36-AF39</f>
        <v>7174</v>
      </c>
      <c r="AG40">
        <f>AG35-AG39</f>
        <v>6774</v>
      </c>
    </row>
    <row r="41" spans="2:34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34">
      <c r="F42" s="12"/>
      <c r="G42" s="12"/>
      <c r="H42" s="12"/>
      <c r="I42" s="12"/>
      <c r="J42" s="12"/>
      <c r="K42" s="12"/>
      <c r="L42" s="12"/>
    </row>
    <row r="43" spans="2:34">
      <c r="J43">
        <f>45*8</f>
        <v>360</v>
      </c>
      <c r="K43" s="12"/>
      <c r="L43" s="12"/>
    </row>
    <row r="44" spans="2:34">
      <c r="K44" s="12"/>
      <c r="L44" s="12"/>
    </row>
    <row r="45" spans="2:34">
      <c r="K45" s="12"/>
      <c r="L45" s="12"/>
    </row>
    <row r="46" spans="2:34">
      <c r="K46" s="12"/>
      <c r="L46" s="12"/>
    </row>
    <row r="47" spans="2:34">
      <c r="K47" s="12"/>
      <c r="L47" s="12"/>
      <c r="M47" t="s">
        <v>5</v>
      </c>
    </row>
    <row r="48" spans="2:34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5"/>
  <sheetViews>
    <sheetView showGridLines="0" topLeftCell="G1" workbookViewId="0">
      <selection activeCell="AF26" sqref="AF2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52" ht="15.6">
      <c r="D1" s="14" t="s">
        <v>23</v>
      </c>
      <c r="E1" s="15">
        <f>W!A1</f>
        <v>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52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  <c r="AD2" s="207" t="s">
        <v>365</v>
      </c>
      <c r="AJ2" s="207" t="s">
        <v>382</v>
      </c>
    </row>
    <row r="3" spans="2:52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52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208">
        <f>N12*576</f>
        <v>16704</v>
      </c>
      <c r="AE4" s="19"/>
      <c r="AF4" s="28"/>
      <c r="AG4" s="28"/>
      <c r="AH4" s="28"/>
      <c r="AI4" s="28"/>
      <c r="AJ4" s="218">
        <f>AD4-(N12*16)</f>
        <v>16240</v>
      </c>
      <c r="AK4" s="28"/>
      <c r="AL4" s="19"/>
    </row>
    <row r="5" spans="2:52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52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1506</v>
      </c>
      <c r="V6" s="188"/>
      <c r="W6" s="44">
        <f>W!A109</f>
        <v>1120</v>
      </c>
      <c r="X6" s="28"/>
      <c r="Y6" s="53">
        <f>W!A110</f>
        <v>691</v>
      </c>
      <c r="Z6" s="28"/>
      <c r="AA6" s="24"/>
      <c r="AC6" s="19"/>
      <c r="AD6" s="207" t="s">
        <v>380</v>
      </c>
      <c r="AE6" s="19"/>
      <c r="AF6" s="44"/>
      <c r="AG6" s="28"/>
      <c r="AH6" s="44"/>
      <c r="AI6" s="28"/>
      <c r="AJ6" s="44"/>
      <c r="AK6" s="28"/>
      <c r="AL6" s="19"/>
    </row>
    <row r="7" spans="2:52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1609</v>
      </c>
      <c r="V7" s="188"/>
      <c r="W7" s="44">
        <f>W!A112</f>
        <v>1203</v>
      </c>
      <c r="X7" s="28"/>
      <c r="Y7" s="53">
        <f>W!A113</f>
        <v>713</v>
      </c>
      <c r="Z7" s="28"/>
      <c r="AA7" s="24"/>
      <c r="AC7" s="19"/>
      <c r="AD7" s="217">
        <f>AD4-N12*12</f>
        <v>16356</v>
      </c>
      <c r="AE7" s="19"/>
      <c r="AF7" s="44"/>
      <c r="AG7" s="28"/>
      <c r="AH7" s="44"/>
      <c r="AI7" s="28"/>
      <c r="AJ7" s="44"/>
      <c r="AK7" s="28"/>
      <c r="AL7" s="19"/>
    </row>
    <row r="8" spans="2:52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44</v>
      </c>
      <c r="V8" s="188"/>
      <c r="W8" s="44">
        <f>W!A115</f>
        <v>35</v>
      </c>
      <c r="X8" s="28"/>
      <c r="Y8" s="53">
        <f>W!A116</f>
        <v>22</v>
      </c>
      <c r="Z8" s="28"/>
      <c r="AA8" s="24"/>
      <c r="AC8" s="19"/>
      <c r="AE8" s="19"/>
      <c r="AF8" s="44"/>
      <c r="AG8" s="28"/>
      <c r="AH8" s="44"/>
      <c r="AI8" s="28"/>
      <c r="AJ8" s="44"/>
      <c r="AK8" s="28"/>
      <c r="AL8" s="19"/>
    </row>
    <row r="9" spans="2:52" ht="12">
      <c r="B9" s="129"/>
      <c r="C9" s="18" t="s">
        <v>214</v>
      </c>
      <c r="F9" s="19"/>
      <c r="G9" s="156">
        <f>G7-G8-G10</f>
        <v>180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9" t="s">
        <v>374</v>
      </c>
      <c r="AE9" s="19"/>
      <c r="AF9" s="44"/>
      <c r="AG9" s="31"/>
      <c r="AH9" s="44"/>
      <c r="AI9" s="31"/>
      <c r="AJ9" s="44"/>
      <c r="AK9" s="31"/>
      <c r="AL9" s="19"/>
    </row>
    <row r="10" spans="2:52">
      <c r="B10" s="129"/>
      <c r="C10" s="18" t="s">
        <v>217</v>
      </c>
      <c r="F10" s="19"/>
      <c r="G10" s="156">
        <f>W!A284</f>
        <v>620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215">
        <f>F23*G21</f>
        <v>7476</v>
      </c>
      <c r="AE10" s="19"/>
      <c r="AF10" s="19"/>
      <c r="AG10" s="28"/>
      <c r="AH10" s="19"/>
      <c r="AI10" s="28"/>
      <c r="AJ10" s="19"/>
      <c r="AK10" s="28"/>
      <c r="AL10" s="19"/>
      <c r="AV10" s="18" t="s">
        <v>386</v>
      </c>
      <c r="AX10" s="18">
        <f>8*F23</f>
        <v>8544</v>
      </c>
    </row>
    <row r="11" spans="2:52" ht="12">
      <c r="B11" s="129"/>
      <c r="C11" s="18" t="s">
        <v>219</v>
      </c>
      <c r="F11" s="19"/>
      <c r="G11" s="156">
        <f>0.25*G10</f>
        <v>155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19"/>
      <c r="AE11" s="96"/>
      <c r="AF11" s="19"/>
      <c r="AG11" s="28"/>
      <c r="AH11" s="19"/>
      <c r="AI11" s="28"/>
      <c r="AJ11" s="19"/>
      <c r="AK11" s="28"/>
      <c r="AL11" s="19"/>
    </row>
    <row r="12" spans="2:52" ht="12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29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810</v>
      </c>
      <c r="V12" s="188"/>
      <c r="W12" s="53">
        <f>W!A124</f>
        <v>563</v>
      </c>
      <c r="X12" s="28"/>
      <c r="Y12" s="53">
        <f>W!A127</f>
        <v>341</v>
      </c>
      <c r="Z12" s="28"/>
      <c r="AA12" s="24"/>
      <c r="AC12" s="19"/>
      <c r="AD12" s="199" t="s">
        <v>375</v>
      </c>
      <c r="AE12" s="19"/>
      <c r="AF12" s="44"/>
      <c r="AG12" s="28"/>
      <c r="AH12" s="44"/>
      <c r="AI12" s="28"/>
      <c r="AJ12" s="44" t="s">
        <v>381</v>
      </c>
      <c r="AK12" s="28"/>
      <c r="AL12" s="19"/>
      <c r="AO12" s="18" t="s">
        <v>383</v>
      </c>
      <c r="AV12" s="18" t="s">
        <v>384</v>
      </c>
    </row>
    <row r="13" spans="2:52">
      <c r="B13" s="129"/>
      <c r="C13" s="18" t="s">
        <v>225</v>
      </c>
      <c r="F13" s="19"/>
      <c r="G13" s="156">
        <f>W!A286</f>
        <v>290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275</v>
      </c>
      <c r="V13" s="188"/>
      <c r="W13" s="53">
        <f>W!A125</f>
        <v>236</v>
      </c>
      <c r="X13" s="28"/>
      <c r="Y13" s="53">
        <f>W!A128</f>
        <v>143</v>
      </c>
      <c r="Z13" s="28"/>
      <c r="AA13" s="24"/>
      <c r="AC13" s="19"/>
      <c r="AD13" s="215">
        <f>AD10*0.939</f>
        <v>7019.9639999999999</v>
      </c>
      <c r="AE13" s="19"/>
      <c r="AF13" s="44"/>
      <c r="AG13" s="28"/>
      <c r="AH13" s="44"/>
      <c r="AI13" s="28"/>
      <c r="AJ13" s="18" t="s">
        <v>366</v>
      </c>
      <c r="AK13" s="28" t="s">
        <v>367</v>
      </c>
      <c r="AL13" s="19" t="s">
        <v>368</v>
      </c>
    </row>
    <row r="14" spans="2:52">
      <c r="B14" s="129"/>
      <c r="C14" s="18" t="s">
        <v>227</v>
      </c>
      <c r="F14" s="19"/>
      <c r="G14" s="192">
        <f>W!A287</f>
        <v>55</v>
      </c>
      <c r="H14" s="24"/>
      <c r="I14" s="19"/>
      <c r="J14" s="129"/>
      <c r="K14" s="19"/>
      <c r="L14" s="19"/>
      <c r="M14" s="19"/>
      <c r="N14" s="19"/>
      <c r="O14" s="61">
        <f>N7*576</f>
        <v>12096</v>
      </c>
      <c r="P14" s="24"/>
      <c r="R14" s="129"/>
      <c r="S14" s="28" t="s">
        <v>228</v>
      </c>
      <c r="T14" s="19"/>
      <c r="U14" s="53">
        <f>W!A123</f>
        <v>421</v>
      </c>
      <c r="V14" s="188"/>
      <c r="W14" s="53">
        <f>W!A126</f>
        <v>321</v>
      </c>
      <c r="X14" s="28"/>
      <c r="Y14" s="53">
        <f>W!A129</f>
        <v>207</v>
      </c>
      <c r="Z14" s="28"/>
      <c r="AA14" s="24"/>
      <c r="AC14" s="19"/>
      <c r="AD14" s="28"/>
      <c r="AE14" s="19"/>
      <c r="AF14" s="44"/>
      <c r="AG14" s="28"/>
      <c r="AH14" s="19"/>
      <c r="AI14" s="28"/>
      <c r="AJ14" s="209">
        <f>U17+U27</f>
        <v>1482</v>
      </c>
      <c r="AK14" s="210">
        <f>W17+W27</f>
        <v>786</v>
      </c>
      <c r="AL14" s="209">
        <f>Y17+Y27</f>
        <v>435</v>
      </c>
      <c r="AO14" s="19"/>
      <c r="AP14" s="28"/>
      <c r="AQ14" s="209">
        <v>1535</v>
      </c>
      <c r="AR14" s="210">
        <v>825</v>
      </c>
      <c r="AS14" s="209">
        <v>475</v>
      </c>
      <c r="AV14" s="19"/>
      <c r="AW14" s="28"/>
      <c r="AX14" s="209">
        <v>1600</v>
      </c>
      <c r="AY14" s="210">
        <v>900</v>
      </c>
      <c r="AZ14" s="209">
        <v>500</v>
      </c>
    </row>
    <row r="15" spans="2:52" ht="12">
      <c r="B15" s="129"/>
      <c r="C15" s="28" t="s">
        <v>229</v>
      </c>
      <c r="D15" s="19"/>
      <c r="E15" s="19"/>
      <c r="F15" s="19"/>
      <c r="G15" s="193">
        <f>G10-SUM(G11:G14)</f>
        <v>-55</v>
      </c>
      <c r="H15" s="24"/>
      <c r="I15" s="19"/>
      <c r="J15" s="129"/>
      <c r="K15" s="96" t="s">
        <v>336</v>
      </c>
      <c r="L15" s="19"/>
      <c r="M15" s="19"/>
      <c r="N15" s="19"/>
      <c r="O15" s="19">
        <f>O16/N7</f>
        <v>528</v>
      </c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209">
        <f>U18+U28</f>
        <v>530</v>
      </c>
      <c r="AK15" s="210">
        <f>W18+W28</f>
        <v>291</v>
      </c>
      <c r="AL15" s="209">
        <f>Y18+Y28</f>
        <v>169</v>
      </c>
      <c r="AO15" s="19"/>
      <c r="AP15" s="28"/>
      <c r="AQ15" s="209">
        <v>595</v>
      </c>
      <c r="AR15" s="210">
        <v>335</v>
      </c>
      <c r="AS15" s="209">
        <v>215</v>
      </c>
      <c r="AV15" s="19"/>
      <c r="AW15" s="28"/>
      <c r="AX15" s="209">
        <v>700</v>
      </c>
      <c r="AY15" s="210">
        <v>400</v>
      </c>
      <c r="AZ15" s="209">
        <v>300</v>
      </c>
    </row>
    <row r="16" spans="2:52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44"/>
      <c r="AI16" s="28"/>
      <c r="AJ16" s="211">
        <f>U19+U29</f>
        <v>727</v>
      </c>
      <c r="AK16" s="210">
        <f>W19+W29</f>
        <v>422</v>
      </c>
      <c r="AL16" s="211">
        <f>Y19+Y29</f>
        <v>253</v>
      </c>
      <c r="AO16" s="44"/>
      <c r="AP16" s="28"/>
      <c r="AQ16" s="211">
        <v>775</v>
      </c>
      <c r="AR16" s="210">
        <v>465</v>
      </c>
      <c r="AS16" s="211">
        <v>295</v>
      </c>
      <c r="AV16" s="44"/>
      <c r="AW16" s="28"/>
      <c r="AX16" s="211">
        <v>900</v>
      </c>
      <c r="AY16" s="210">
        <v>500</v>
      </c>
      <c r="AZ16" s="211">
        <v>400</v>
      </c>
    </row>
    <row r="17" spans="2:55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>
        <f>O17/N7</f>
        <v>11.666666666666666</v>
      </c>
      <c r="O17" s="156">
        <f>W!A306</f>
        <v>245</v>
      </c>
      <c r="P17" s="190">
        <f>W!B307</f>
        <v>0</v>
      </c>
      <c r="R17" s="129"/>
      <c r="S17" s="19" t="s">
        <v>235</v>
      </c>
      <c r="T17" s="19"/>
      <c r="U17" s="53">
        <f>W!A131</f>
        <v>1258</v>
      </c>
      <c r="V17" s="188"/>
      <c r="W17" s="53">
        <f>W!A134</f>
        <v>712</v>
      </c>
      <c r="X17" s="28"/>
      <c r="Y17" s="53">
        <f>W!A137</f>
        <v>409</v>
      </c>
      <c r="Z17" s="28"/>
      <c r="AA17" s="24"/>
      <c r="AB17" s="18">
        <f>Y17*'Your decisions'!J19</f>
        <v>286300</v>
      </c>
      <c r="AC17" s="19"/>
      <c r="AD17" s="19"/>
      <c r="AE17" s="19"/>
      <c r="AF17" s="44"/>
      <c r="AG17" s="28"/>
      <c r="AH17" s="44" t="s">
        <v>378</v>
      </c>
      <c r="AI17" s="28"/>
      <c r="AJ17" s="209">
        <v>300</v>
      </c>
      <c r="AK17" s="209">
        <v>200</v>
      </c>
      <c r="AL17" s="209">
        <v>100</v>
      </c>
      <c r="AO17" s="44" t="s">
        <v>378</v>
      </c>
      <c r="AP17" s="28"/>
      <c r="AQ17" s="209">
        <v>300</v>
      </c>
      <c r="AR17" s="209">
        <v>200</v>
      </c>
      <c r="AS17" s="209">
        <v>100</v>
      </c>
      <c r="AV17" s="44" t="s">
        <v>378</v>
      </c>
      <c r="AW17" s="28"/>
      <c r="AX17" s="209"/>
      <c r="AY17" s="209"/>
      <c r="AZ17" s="209"/>
    </row>
    <row r="18" spans="2:55" ht="12" thickBot="1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10840</v>
      </c>
      <c r="P18" s="24"/>
      <c r="R18" s="129"/>
      <c r="S18" s="101" t="s">
        <v>238</v>
      </c>
      <c r="T18" s="19"/>
      <c r="U18" s="53">
        <f>W!A132</f>
        <v>445</v>
      </c>
      <c r="V18" s="188"/>
      <c r="W18" s="53">
        <f>W!A135</f>
        <v>273</v>
      </c>
      <c r="X18" s="28"/>
      <c r="Y18" s="53">
        <f>W!A138</f>
        <v>164</v>
      </c>
      <c r="Z18" s="28"/>
      <c r="AA18" s="24"/>
      <c r="AC18" s="19"/>
      <c r="AD18" s="101">
        <f>W17+W27</f>
        <v>786</v>
      </c>
      <c r="AE18" s="19"/>
      <c r="AF18" s="44"/>
      <c r="AG18" s="28"/>
      <c r="AH18" s="130" t="s">
        <v>379</v>
      </c>
      <c r="AJ18" s="216">
        <f>AJ14+AJ15+AJ16-AJ17</f>
        <v>2439</v>
      </c>
      <c r="AK18" s="216">
        <f>AK14+AK15+AK16-AK17</f>
        <v>1299</v>
      </c>
      <c r="AL18" s="216">
        <f>AL14+AL15+AL16-AL17</f>
        <v>757</v>
      </c>
      <c r="AO18" s="130" t="s">
        <v>379</v>
      </c>
      <c r="AQ18" s="216">
        <f>AQ14+AQ15+AQ16-AQ17</f>
        <v>2605</v>
      </c>
      <c r="AR18" s="216">
        <f>AR14+AR15+AR16-AR17</f>
        <v>1425</v>
      </c>
      <c r="AS18" s="216">
        <f>AS14+AS15+AS16-AS17</f>
        <v>885</v>
      </c>
      <c r="AV18" s="130" t="s">
        <v>379</v>
      </c>
      <c r="AX18" s="216">
        <f>AX14+AX15+AX16-AX17</f>
        <v>3200</v>
      </c>
      <c r="AY18" s="216">
        <f>AY14+AY15+AY16-AY17</f>
        <v>1800</v>
      </c>
      <c r="AZ18" s="216">
        <f>AZ14+AZ15+AZ16-AZ17</f>
        <v>1200</v>
      </c>
    </row>
    <row r="19" spans="2:55" ht="12" thickBot="1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727</v>
      </c>
      <c r="V19" s="188"/>
      <c r="W19" s="53">
        <f>W!A136</f>
        <v>422</v>
      </c>
      <c r="X19" s="28"/>
      <c r="Y19" s="53">
        <f>W!A139</f>
        <v>253</v>
      </c>
      <c r="Z19" s="28"/>
      <c r="AA19" s="24"/>
      <c r="AC19" s="19"/>
      <c r="AD19" s="19"/>
      <c r="AE19" s="19"/>
      <c r="AF19" s="44"/>
      <c r="AG19" s="28"/>
      <c r="AH19" s="44" t="s">
        <v>369</v>
      </c>
      <c r="AI19" s="28"/>
      <c r="AJ19" s="214">
        <f>SUM(AJ14:AJ16)</f>
        <v>2739</v>
      </c>
      <c r="AK19" s="214">
        <f>SUM(AK14:AK16)</f>
        <v>1499</v>
      </c>
      <c r="AL19" s="214">
        <f>SUM(AL14:AL16)</f>
        <v>857</v>
      </c>
      <c r="AM19" s="18" t="s">
        <v>369</v>
      </c>
      <c r="AO19" s="44" t="s">
        <v>369</v>
      </c>
      <c r="AP19" s="28"/>
      <c r="AQ19" s="214">
        <f>SUM(AQ14:AQ16)</f>
        <v>2905</v>
      </c>
      <c r="AR19" s="214">
        <f>SUM(AR14:AR16)</f>
        <v>1625</v>
      </c>
      <c r="AS19" s="214">
        <f>SUM(AS14:AS16)</f>
        <v>985</v>
      </c>
      <c r="AT19" s="18" t="s">
        <v>369</v>
      </c>
      <c r="AV19" s="44" t="s">
        <v>369</v>
      </c>
      <c r="AW19" s="28"/>
      <c r="AX19" s="214">
        <f>SUM(AX14:AX16)</f>
        <v>3200</v>
      </c>
      <c r="AY19" s="214">
        <f>SUM(AY14:AY16)</f>
        <v>1800</v>
      </c>
      <c r="AZ19" s="214">
        <f>SUM(AZ14:AZ16)</f>
        <v>1200</v>
      </c>
      <c r="BA19" s="18" t="s">
        <v>369</v>
      </c>
    </row>
    <row r="20" spans="2:55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>
        <f>SUM(U17:U19)</f>
        <v>2430</v>
      </c>
      <c r="V20" s="42"/>
      <c r="W20" s="62">
        <f>SUM(W17:W19)</f>
        <v>1407</v>
      </c>
      <c r="X20" s="83"/>
      <c r="Y20" s="132">
        <f>SUM(Y17:Y19)</f>
        <v>826</v>
      </c>
      <c r="Z20" s="83"/>
      <c r="AA20" s="76"/>
      <c r="AC20" s="19"/>
      <c r="AD20" s="19"/>
      <c r="AE20" s="19"/>
      <c r="AF20" s="19"/>
      <c r="AG20" s="28"/>
      <c r="AH20" s="19" t="s">
        <v>370</v>
      </c>
      <c r="AI20" s="28"/>
      <c r="AJ20" s="212">
        <f>AJ18</f>
        <v>2439</v>
      </c>
      <c r="AK20" s="213">
        <f>AK18*2</f>
        <v>2598</v>
      </c>
      <c r="AL20" s="212">
        <f>AL18*3</f>
        <v>2271</v>
      </c>
      <c r="AM20" s="18">
        <f>SUM(AJ20:AL20)</f>
        <v>7308</v>
      </c>
      <c r="AO20" s="19" t="s">
        <v>370</v>
      </c>
      <c r="AP20" s="28"/>
      <c r="AQ20" s="212">
        <f>AQ18</f>
        <v>2605</v>
      </c>
      <c r="AR20" s="213">
        <f>AR18*2</f>
        <v>2850</v>
      </c>
      <c r="AS20" s="212">
        <f>AS18*3</f>
        <v>2655</v>
      </c>
      <c r="AT20" s="18">
        <f>SUM(AQ20:AS20)</f>
        <v>8110</v>
      </c>
      <c r="AV20" s="19" t="s">
        <v>370</v>
      </c>
      <c r="AW20" s="28"/>
      <c r="AX20" s="212">
        <f>AX18</f>
        <v>3200</v>
      </c>
      <c r="AY20" s="213">
        <f>AY18*2</f>
        <v>3600</v>
      </c>
      <c r="AZ20" s="212">
        <f>AZ18*3</f>
        <v>3600</v>
      </c>
      <c r="BA20" s="18">
        <f>SUM(AX20:AZ20)</f>
        <v>10400</v>
      </c>
    </row>
    <row r="21" spans="2:55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 t="s">
        <v>371</v>
      </c>
      <c r="AI21" s="28"/>
      <c r="AJ21" s="209">
        <f>AJ18*AK39</f>
        <v>155846.64536741216</v>
      </c>
      <c r="AK21" s="210">
        <f>AK18*AM39</f>
        <v>103753.99361022364</v>
      </c>
      <c r="AL21" s="209">
        <f>AL18*AO39</f>
        <v>96741.214057507997</v>
      </c>
      <c r="AM21" s="18">
        <f>SUM(AJ21:AL21)/60</f>
        <v>5939.0308839190639</v>
      </c>
      <c r="AO21" s="19" t="s">
        <v>371</v>
      </c>
      <c r="AP21" s="28"/>
      <c r="AQ21" s="209">
        <f>AQ18*$AK$39</f>
        <v>166453.67412140575</v>
      </c>
      <c r="AR21" s="210">
        <f>AR18*$AM$39</f>
        <v>113817.89137380192</v>
      </c>
      <c r="AS21" s="209">
        <f>AS18*$AO$39</f>
        <v>113099.04153354633</v>
      </c>
      <c r="AT21" s="18">
        <f>SUM(AQ21:AS21)/60</f>
        <v>6556.176783812567</v>
      </c>
      <c r="AV21" s="19" t="s">
        <v>371</v>
      </c>
      <c r="AW21" s="28"/>
      <c r="AX21" s="209">
        <f>AX18*$AK$39</f>
        <v>204472.84345047924</v>
      </c>
      <c r="AY21" s="210">
        <f>AY18*$AM$39</f>
        <v>143769.96805111822</v>
      </c>
      <c r="AZ21" s="209">
        <f>AZ18*$AO$39</f>
        <v>153354.63258785944</v>
      </c>
      <c r="BA21" s="18">
        <f>SUM(AX21:AZ21)/60</f>
        <v>8359.9574014909485</v>
      </c>
      <c r="BC21" s="18">
        <v>1300</v>
      </c>
    </row>
    <row r="22" spans="2:55" ht="12">
      <c r="B22" s="129"/>
      <c r="C22" s="96"/>
      <c r="D22" s="96"/>
      <c r="E22" s="96"/>
      <c r="F22" s="96"/>
      <c r="G22" s="96">
        <f>F23*G21</f>
        <v>7476</v>
      </c>
      <c r="H22" s="24"/>
      <c r="I22" s="19"/>
      <c r="O22" s="18">
        <f>37*576</f>
        <v>21312</v>
      </c>
      <c r="Q22" s="19"/>
      <c r="R22" s="129"/>
      <c r="S22" s="19" t="s">
        <v>235</v>
      </c>
      <c r="T22" s="19"/>
      <c r="U22" s="53">
        <f>W!A141</f>
        <v>810</v>
      </c>
      <c r="V22" s="188"/>
      <c r="W22" s="53">
        <f>W!A144</f>
        <v>563</v>
      </c>
      <c r="X22" s="28"/>
      <c r="Y22" s="53">
        <f>W!A147</f>
        <v>357</v>
      </c>
      <c r="Z22" s="28"/>
      <c r="AA22" s="24"/>
      <c r="AC22" s="19"/>
      <c r="AD22" s="19"/>
      <c r="AE22" s="19"/>
      <c r="AF22" s="44"/>
      <c r="AG22" s="28"/>
      <c r="AH22" s="44" t="s">
        <v>376</v>
      </c>
      <c r="AI22" s="28"/>
      <c r="AJ22" s="44">
        <v>125</v>
      </c>
      <c r="AK22" s="28">
        <v>175</v>
      </c>
      <c r="AL22" s="19">
        <v>335</v>
      </c>
      <c r="AO22" s="44" t="s">
        <v>376</v>
      </c>
      <c r="AP22" s="28"/>
      <c r="AQ22" s="44">
        <v>125</v>
      </c>
      <c r="AR22" s="28">
        <v>175</v>
      </c>
      <c r="AS22" s="19">
        <v>335</v>
      </c>
      <c r="AV22" s="44" t="s">
        <v>376</v>
      </c>
      <c r="AW22" s="28"/>
      <c r="AX22" s="44">
        <v>140</v>
      </c>
      <c r="AY22" s="28">
        <v>190</v>
      </c>
      <c r="AZ22" s="19">
        <v>380</v>
      </c>
    </row>
    <row r="23" spans="2:55">
      <c r="B23" s="129"/>
      <c r="C23" s="19" t="s">
        <v>244</v>
      </c>
      <c r="D23" s="19"/>
      <c r="E23" s="19"/>
      <c r="F23" s="44">
        <f>G23/G19</f>
        <v>1068</v>
      </c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275</v>
      </c>
      <c r="V23" s="188"/>
      <c r="W23" s="53">
        <f>W!A145</f>
        <v>236</v>
      </c>
      <c r="X23" s="28"/>
      <c r="Y23" s="53">
        <f>W!A148</f>
        <v>154</v>
      </c>
      <c r="Z23" s="28"/>
      <c r="AA23" s="24"/>
      <c r="AC23" s="19"/>
      <c r="AD23" s="101"/>
      <c r="AE23" s="19"/>
      <c r="AF23" s="44"/>
      <c r="AG23" s="28"/>
      <c r="AH23" s="44" t="s">
        <v>377</v>
      </c>
      <c r="AI23" s="28"/>
      <c r="AJ23" s="44">
        <f>AJ19*AJ22</f>
        <v>342375</v>
      </c>
      <c r="AK23" s="44">
        <f>AK19*AK22</f>
        <v>262325</v>
      </c>
      <c r="AL23" s="44">
        <f>AL19*AL22</f>
        <v>287095</v>
      </c>
      <c r="AM23" s="18">
        <f>SUM(AJ23:AL23)/60</f>
        <v>14863.25</v>
      </c>
      <c r="AO23" s="44" t="s">
        <v>377</v>
      </c>
      <c r="AP23" s="28"/>
      <c r="AQ23" s="44">
        <f>AQ19*AQ22</f>
        <v>363125</v>
      </c>
      <c r="AR23" s="44">
        <f>AR19*AR22</f>
        <v>284375</v>
      </c>
      <c r="AS23" s="44">
        <f>AS19*AS22</f>
        <v>329975</v>
      </c>
      <c r="AT23" s="18">
        <f>SUM(AQ23:AS23)/60</f>
        <v>16291.25</v>
      </c>
      <c r="AV23" s="44" t="s">
        <v>377</v>
      </c>
      <c r="AW23" s="28"/>
      <c r="AX23" s="44">
        <f>AX19*AX22</f>
        <v>448000</v>
      </c>
      <c r="AY23" s="44">
        <f>AY19*AY22</f>
        <v>342000</v>
      </c>
      <c r="AZ23" s="44">
        <f>AZ19*AZ22</f>
        <v>456000</v>
      </c>
      <c r="BA23" s="18">
        <f>SUM(AX23:AZ23)/60</f>
        <v>20766.666666666668</v>
      </c>
    </row>
    <row r="24" spans="2:55">
      <c r="B24" s="129"/>
      <c r="C24" s="19" t="s">
        <v>245</v>
      </c>
      <c r="D24" s="19"/>
      <c r="E24" s="19"/>
      <c r="F24" s="19"/>
      <c r="G24" s="44">
        <f>W!A302</f>
        <v>56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421</v>
      </c>
      <c r="V24" s="188"/>
      <c r="W24" s="53">
        <f>W!A146</f>
        <v>321</v>
      </c>
      <c r="X24" s="28"/>
      <c r="Y24" s="53">
        <f>W!A149</f>
        <v>207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  <c r="AT24" s="18" t="b">
        <f>AJ4&lt;AT23</f>
        <v>1</v>
      </c>
      <c r="BA24" s="18">
        <f>BA23/576</f>
        <v>36.05324074074074</v>
      </c>
    </row>
    <row r="25" spans="2:55" ht="12">
      <c r="B25" s="129"/>
      <c r="C25" s="28" t="s">
        <v>237</v>
      </c>
      <c r="G25" s="44">
        <f>W!A303</f>
        <v>4035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>
        <f>SUM(U22:U24)</f>
        <v>1506</v>
      </c>
      <c r="V25" s="42"/>
      <c r="W25" s="62">
        <f>SUM(W22:W24)</f>
        <v>1120</v>
      </c>
      <c r="X25" s="83"/>
      <c r="Y25" s="132">
        <f>SUM(Y22:Y24)</f>
        <v>718</v>
      </c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  <c r="AT25" s="18" t="b">
        <f>AT23&lt;AD7</f>
        <v>1</v>
      </c>
    </row>
    <row r="26" spans="2:55" ht="12">
      <c r="B26" s="129"/>
      <c r="C26" s="19" t="s">
        <v>247</v>
      </c>
      <c r="D26" s="19"/>
      <c r="E26" s="19"/>
      <c r="F26" s="19"/>
      <c r="G26" s="44">
        <f>G19*W!A75-G24</f>
        <v>119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55">
      <c r="B27" s="129"/>
      <c r="C27" s="19" t="s">
        <v>250</v>
      </c>
      <c r="D27" s="19"/>
      <c r="E27" s="19"/>
      <c r="F27" s="19"/>
      <c r="G27" s="196" t="str">
        <f>W!A304</f>
        <v xml:space="preserve"> 93.9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224</v>
      </c>
      <c r="V27" s="188"/>
      <c r="W27" s="53">
        <f>W!A154</f>
        <v>74</v>
      </c>
      <c r="X27" s="28"/>
      <c r="Y27" s="53">
        <f>W!A157</f>
        <v>26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55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85</v>
      </c>
      <c r="V28" s="188"/>
      <c r="W28" s="53">
        <f>W!A155</f>
        <v>18</v>
      </c>
      <c r="X28" s="28"/>
      <c r="Y28" s="53">
        <f>W!A158</f>
        <v>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55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B29" s="18">
        <f>W20+92</f>
        <v>1499</v>
      </c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55" ht="12">
      <c r="B30" s="129"/>
      <c r="C30" s="19" t="s">
        <v>110</v>
      </c>
      <c r="D30" s="19"/>
      <c r="E30" s="19"/>
      <c r="F30" s="44"/>
      <c r="G30" s="44">
        <f>W!A311</f>
        <v>428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55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55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  <c r="AT32" s="18">
        <f>G35+13000-AT20</f>
        <v>7164</v>
      </c>
    </row>
    <row r="33" spans="2:42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42">
      <c r="B34" s="129"/>
      <c r="C34" s="19" t="s">
        <v>259</v>
      </c>
      <c r="D34" s="19"/>
      <c r="E34" s="19"/>
      <c r="F34" s="19"/>
      <c r="G34" s="44">
        <f>W!A315</f>
        <v>5154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</row>
    <row r="35" spans="2:42" ht="12">
      <c r="B35" s="129"/>
      <c r="C35" s="19" t="s">
        <v>260</v>
      </c>
      <c r="D35" s="19"/>
      <c r="E35" s="19"/>
      <c r="F35" s="19"/>
      <c r="G35" s="44">
        <f>W!A316</f>
        <v>2274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J35" s="19" t="s">
        <v>371</v>
      </c>
      <c r="AK35" s="28"/>
      <c r="AL35" s="19"/>
    </row>
    <row r="36" spans="2:42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J36" s="44">
        <v>60</v>
      </c>
      <c r="AK36" s="28">
        <v>1</v>
      </c>
      <c r="AL36" s="44">
        <v>75</v>
      </c>
      <c r="AM36" s="28">
        <v>1</v>
      </c>
      <c r="AN36" s="44">
        <v>120</v>
      </c>
      <c r="AO36" s="28">
        <v>1</v>
      </c>
    </row>
    <row r="37" spans="2:42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J37" s="44" t="s">
        <v>372</v>
      </c>
      <c r="AK37" s="28">
        <v>0.93899999999999995</v>
      </c>
      <c r="AL37" s="44" t="s">
        <v>372</v>
      </c>
      <c r="AM37" s="28">
        <v>0.93899999999999995</v>
      </c>
      <c r="AN37" s="44" t="s">
        <v>372</v>
      </c>
      <c r="AO37" s="28">
        <v>0.93899999999999995</v>
      </c>
    </row>
    <row r="38" spans="2:42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J38" s="19"/>
      <c r="AK38" s="28"/>
      <c r="AL38" s="19"/>
      <c r="AM38" s="28"/>
      <c r="AN38" s="19"/>
      <c r="AO38" s="28"/>
    </row>
    <row r="39" spans="2:42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J39" s="19" t="s">
        <v>373</v>
      </c>
      <c r="AK39" s="28">
        <f>AJ36/AK37</f>
        <v>63.897763578274763</v>
      </c>
      <c r="AL39" s="19" t="s">
        <v>373</v>
      </c>
      <c r="AM39" s="28">
        <f>AL36/AM37</f>
        <v>79.87220447284345</v>
      </c>
      <c r="AN39" s="19" t="s">
        <v>373</v>
      </c>
      <c r="AO39" s="28">
        <f>AN36/AO37</f>
        <v>127.79552715654953</v>
      </c>
    </row>
    <row r="40" spans="2:42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42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42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200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 t="s">
        <v>390</v>
      </c>
      <c r="AK42" s="28"/>
      <c r="AL42" s="19"/>
    </row>
    <row r="43" spans="2:42">
      <c r="B43" s="129"/>
      <c r="C43" s="28" t="s">
        <v>274</v>
      </c>
      <c r="D43" s="19"/>
      <c r="E43" s="19"/>
      <c r="F43" s="19"/>
      <c r="G43" s="200">
        <f>W!A319</f>
        <v>16370</v>
      </c>
      <c r="H43" s="24"/>
      <c r="I43" s="19"/>
      <c r="J43" s="129"/>
      <c r="K43" s="18" t="s">
        <v>275</v>
      </c>
      <c r="N43" s="201">
        <f>0.00019*50*G10</f>
        <v>5.89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>
        <f>U22*'Your decisions'!F19</f>
        <v>263250</v>
      </c>
      <c r="AK43" s="44">
        <f>V22*'Your decisions'!G19</f>
        <v>0</v>
      </c>
      <c r="AL43" s="44">
        <f>W22*'Your decisions'!H19</f>
        <v>275870</v>
      </c>
      <c r="AM43" s="44">
        <f>X22*'Your decisions'!I19</f>
        <v>0</v>
      </c>
      <c r="AN43" s="44">
        <f>Y22*'Your decisions'!J19</f>
        <v>249900</v>
      </c>
      <c r="AO43" s="44"/>
      <c r="AP43" s="44"/>
    </row>
    <row r="44" spans="2:42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18.225999999999999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>
        <f>U23*'Your decisions'!F20</f>
        <v>92125</v>
      </c>
      <c r="AK44" s="44">
        <f>V23*'Your decisions'!G20</f>
        <v>0</v>
      </c>
      <c r="AL44" s="44">
        <f>W23*'Your decisions'!H20</f>
        <v>118000</v>
      </c>
      <c r="AM44" s="44">
        <f>X23*'Your decisions'!I20</f>
        <v>0</v>
      </c>
      <c r="AN44" s="44">
        <f>Y23*'Your decisions'!J20</f>
        <v>111650</v>
      </c>
    </row>
    <row r="45" spans="2:42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24.116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>
        <f>U24*'Your decisions'!F21</f>
        <v>157875</v>
      </c>
      <c r="AK45" s="44">
        <f>V24*'Your decisions'!G21</f>
        <v>0</v>
      </c>
      <c r="AL45" s="44">
        <f>W24*'Your decisions'!H21</f>
        <v>189390</v>
      </c>
      <c r="AM45" s="44">
        <f>X24*'Your decisions'!I21</f>
        <v>0</v>
      </c>
      <c r="AN45" s="44">
        <f>Y24*'Your decisions'!J21</f>
        <v>170775</v>
      </c>
    </row>
    <row r="46" spans="2:42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44"/>
      <c r="AK46" s="44"/>
      <c r="AL46" s="44"/>
      <c r="AM46" s="44"/>
      <c r="AN46" s="44"/>
    </row>
    <row r="47" spans="2:42">
      <c r="C47" s="120" t="s">
        <v>196</v>
      </c>
      <c r="I47" s="19"/>
      <c r="AJ47" s="44">
        <f>SUM(AJ43:AJ46)</f>
        <v>513250</v>
      </c>
      <c r="AK47" s="44"/>
      <c r="AL47" s="44">
        <f>SUM(AL43:AL46)</f>
        <v>583260</v>
      </c>
      <c r="AM47" s="44"/>
      <c r="AN47" s="44">
        <f>SUM(AN43:AN46)</f>
        <v>532325</v>
      </c>
      <c r="AP47" s="18">
        <f>SUM(AJ47:AN47)</f>
        <v>1628835</v>
      </c>
    </row>
    <row r="48" spans="2:42">
      <c r="D48" s="112"/>
      <c r="I48" s="19"/>
      <c r="M48" s="139" t="s">
        <v>17</v>
      </c>
    </row>
    <row r="49" spans="1:42">
      <c r="I49" s="19"/>
      <c r="AH49" s="18" t="s">
        <v>391</v>
      </c>
    </row>
    <row r="50" spans="1:42">
      <c r="A50" s="19"/>
      <c r="B50" s="19"/>
      <c r="D50" s="19"/>
      <c r="E50" s="19"/>
      <c r="F50" s="19"/>
      <c r="I50" s="19"/>
      <c r="AJ50" s="18">
        <f>U17*'Your decisions'!F19</f>
        <v>408850</v>
      </c>
      <c r="AK50" s="18">
        <f>V17*'Your decisions'!G19</f>
        <v>0</v>
      </c>
      <c r="AL50" s="18">
        <f>W17*'Your decisions'!H19</f>
        <v>348880</v>
      </c>
      <c r="AM50" s="18">
        <f>X17*'Your decisions'!I19</f>
        <v>0</v>
      </c>
      <c r="AN50" s="18">
        <f>Y17*'Your decisions'!J19</f>
        <v>286300</v>
      </c>
    </row>
    <row r="51" spans="1:42">
      <c r="B51" s="19"/>
      <c r="I51" s="19" t="s">
        <v>5</v>
      </c>
      <c r="AJ51" s="18">
        <f>U18*'Your decisions'!F20</f>
        <v>149075</v>
      </c>
      <c r="AK51" s="18">
        <f>V18*'Your decisions'!G20</f>
        <v>0</v>
      </c>
      <c r="AL51" s="18">
        <f>W18*'Your decisions'!H20</f>
        <v>136500</v>
      </c>
      <c r="AM51" s="18">
        <f>X18*'Your decisions'!I20</f>
        <v>0</v>
      </c>
      <c r="AN51" s="18">
        <f>Y18*'Your decisions'!J20</f>
        <v>118900</v>
      </c>
    </row>
    <row r="52" spans="1:42">
      <c r="B52" s="19"/>
      <c r="I52" s="19"/>
      <c r="AJ52" s="18">
        <f>U19*'Your decisions'!F21</f>
        <v>272625</v>
      </c>
      <c r="AK52" s="18">
        <f>V19*'Your decisions'!G21</f>
        <v>0</v>
      </c>
      <c r="AL52" s="18">
        <f>W19*'Your decisions'!H21</f>
        <v>248980</v>
      </c>
      <c r="AM52" s="18">
        <f>X19*'Your decisions'!I21</f>
        <v>0</v>
      </c>
      <c r="AN52" s="18">
        <f>Y19*'Your decisions'!J21</f>
        <v>208725</v>
      </c>
    </row>
    <row r="53" spans="1:42">
      <c r="B53" s="19"/>
      <c r="I53" s="19"/>
      <c r="AJ53" s="18">
        <f>SUM(AJ50:AJ52)</f>
        <v>830550</v>
      </c>
      <c r="AL53" s="18">
        <f>SUM(AL50:AL52)</f>
        <v>734360</v>
      </c>
      <c r="AN53" s="18">
        <f>SUM(AN50:AN52)</f>
        <v>613925</v>
      </c>
      <c r="AP53" s="18">
        <f>SUM(AJ53:AN53)</f>
        <v>2178835</v>
      </c>
    </row>
    <row r="54" spans="1:42">
      <c r="B54" s="19"/>
      <c r="I54" s="19"/>
    </row>
    <row r="55" spans="1:42">
      <c r="B55" s="19"/>
      <c r="I55" s="19"/>
    </row>
    <row r="56" spans="1:42">
      <c r="B56" s="19"/>
      <c r="I56" s="19"/>
      <c r="AP56" s="18">
        <f>AP53-AP47</f>
        <v>550000</v>
      </c>
    </row>
    <row r="57" spans="1:42">
      <c r="B57" s="19"/>
      <c r="I57" s="19"/>
    </row>
    <row r="58" spans="1:42">
      <c r="B58" s="19"/>
      <c r="I58" s="19"/>
    </row>
    <row r="59" spans="1:42">
      <c r="B59" s="19"/>
      <c r="C59" s="19"/>
      <c r="D59" s="19"/>
      <c r="E59" s="19"/>
      <c r="F59" s="19"/>
      <c r="G59" s="19"/>
      <c r="H59" s="19"/>
      <c r="I59" s="19"/>
    </row>
    <row r="60" spans="1:42">
      <c r="J60" s="19"/>
      <c r="K60" s="19"/>
      <c r="L60" s="19"/>
      <c r="M60" s="19"/>
    </row>
    <row r="61" spans="1:42">
      <c r="H61" s="19"/>
      <c r="I61" s="19"/>
      <c r="J61" s="19"/>
      <c r="K61" s="19"/>
      <c r="L61" s="19"/>
      <c r="M61" s="19"/>
    </row>
    <row r="62" spans="1:42">
      <c r="H62" s="19"/>
      <c r="I62" s="19"/>
      <c r="J62" s="19"/>
      <c r="L62" s="19"/>
      <c r="M62" s="19"/>
    </row>
    <row r="63" spans="1:42">
      <c r="H63" s="19"/>
      <c r="I63" s="19"/>
      <c r="J63" s="19"/>
      <c r="L63" s="19"/>
      <c r="M63" s="19"/>
    </row>
    <row r="64" spans="1:42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L12" sqref="L1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1646518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39900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1594921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23540</v>
      </c>
      <c r="G10" s="171"/>
      <c r="H10" s="112"/>
      <c r="I10" s="112" t="s">
        <v>110</v>
      </c>
      <c r="J10" s="112"/>
      <c r="K10" s="112"/>
      <c r="L10" s="173">
        <f>W!A242</f>
        <v>527033</v>
      </c>
      <c r="M10" s="171"/>
      <c r="N10" s="112"/>
      <c r="O10" s="112" t="s">
        <v>111</v>
      </c>
      <c r="P10" s="112"/>
      <c r="Q10" s="174"/>
      <c r="R10" s="174">
        <f>W!A262</f>
        <v>310000</v>
      </c>
      <c r="S10" s="171"/>
      <c r="T10" s="112"/>
      <c r="U10" s="112" t="s">
        <v>112</v>
      </c>
      <c r="V10" s="112"/>
      <c r="W10" s="112"/>
      <c r="X10" s="173">
        <f>W!A222</f>
        <v>38328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148387</v>
      </c>
      <c r="G11" s="171"/>
      <c r="H11" s="112"/>
      <c r="I11" s="175" t="s">
        <v>114</v>
      </c>
      <c r="L11" s="173">
        <f>W!A243</f>
        <v>111000</v>
      </c>
      <c r="M11" s="171"/>
      <c r="N11" s="112"/>
      <c r="O11" s="112" t="s">
        <v>115</v>
      </c>
      <c r="P11" s="112"/>
      <c r="Q11" s="112"/>
      <c r="R11" s="176">
        <f>W!A263</f>
        <v>1888186</v>
      </c>
      <c r="S11" s="171"/>
      <c r="T11" s="112"/>
      <c r="U11" s="112" t="s">
        <v>116</v>
      </c>
      <c r="V11" s="112"/>
      <c r="W11" s="112"/>
      <c r="X11" s="173">
        <f>W!A223</f>
        <v>2266326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21788</v>
      </c>
      <c r="G12" s="171"/>
      <c r="H12" s="112"/>
      <c r="I12" s="112" t="s">
        <v>118</v>
      </c>
      <c r="J12" s="112"/>
      <c r="K12" s="112"/>
      <c r="L12" s="173">
        <f>W!A244</f>
        <v>1431111</v>
      </c>
      <c r="M12" s="171"/>
      <c r="N12" s="112"/>
      <c r="O12" s="112" t="s">
        <v>119</v>
      </c>
      <c r="P12" s="112"/>
      <c r="Q12" s="112"/>
      <c r="R12" s="173">
        <f>SUM(R9:R11)</f>
        <v>2248186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11550</v>
      </c>
      <c r="G13" s="171"/>
      <c r="H13" s="112"/>
      <c r="I13" s="112" t="s">
        <v>122</v>
      </c>
      <c r="J13" s="112"/>
      <c r="K13" s="112"/>
      <c r="L13" s="173">
        <f>W!A245</f>
        <v>79090</v>
      </c>
      <c r="M13" s="171"/>
      <c r="N13" s="112"/>
      <c r="S13" s="171"/>
      <c r="T13" s="112"/>
      <c r="U13" s="175" t="s">
        <v>123</v>
      </c>
      <c r="X13" s="174">
        <f>X9+X10-X11-X12</f>
        <v>-633077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171615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28000</v>
      </c>
      <c r="G15" s="171"/>
      <c r="H15" s="112"/>
      <c r="I15" s="112" t="s">
        <v>128</v>
      </c>
      <c r="J15" s="112"/>
      <c r="K15" s="112"/>
      <c r="L15" s="173">
        <f>W!A247</f>
        <v>154716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3525</v>
      </c>
      <c r="M16" s="171"/>
      <c r="N16" s="112"/>
      <c r="O16" s="175" t="s">
        <v>133</v>
      </c>
      <c r="R16" s="173">
        <f>W!A266</f>
        <v>111000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14875</v>
      </c>
      <c r="G17" s="171"/>
      <c r="H17" s="112"/>
      <c r="I17" s="112" t="s">
        <v>136</v>
      </c>
      <c r="L17" s="173">
        <f>W!A249</f>
        <v>48700</v>
      </c>
      <c r="M17" s="171"/>
      <c r="N17" s="112"/>
      <c r="O17" s="112" t="s">
        <v>137</v>
      </c>
      <c r="P17" s="112"/>
      <c r="Q17" s="112"/>
      <c r="R17" s="173">
        <f>W!A267</f>
        <v>1331823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7655</v>
      </c>
      <c r="G18" s="171"/>
      <c r="H18" s="112"/>
      <c r="I18" s="118" t="s">
        <v>140</v>
      </c>
      <c r="J18" s="112"/>
      <c r="K18" s="112"/>
      <c r="L18" s="177">
        <f>W!A250</f>
        <v>1442823</v>
      </c>
      <c r="M18" s="171"/>
      <c r="N18" s="112"/>
      <c r="O18" s="112" t="s">
        <v>141</v>
      </c>
      <c r="P18" s="112"/>
      <c r="Q18" s="112"/>
      <c r="R18" s="173">
        <f>W!A268</f>
        <v>908000</v>
      </c>
      <c r="S18" s="171"/>
      <c r="T18" s="112"/>
      <c r="U18" s="112" t="s">
        <v>142</v>
      </c>
      <c r="V18" s="112"/>
      <c r="W18" s="112"/>
      <c r="X18" s="177">
        <f>W!A227</f>
        <v>640000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1083967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-638563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3344</v>
      </c>
      <c r="G20" s="171"/>
      <c r="H20" s="112"/>
      <c r="I20" s="112" t="s">
        <v>148</v>
      </c>
      <c r="J20" s="112"/>
      <c r="K20" s="112"/>
      <c r="L20" s="173">
        <f>W!A252</f>
        <v>562551</v>
      </c>
      <c r="M20" s="171"/>
      <c r="N20" s="112"/>
      <c r="O20" s="175" t="s">
        <v>149</v>
      </c>
      <c r="R20" s="180">
        <f>SUM(R15:R19)</f>
        <v>3500823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7642</v>
      </c>
      <c r="G21" s="171"/>
      <c r="H21" s="112"/>
      <c r="I21" s="112" t="s">
        <v>151</v>
      </c>
      <c r="J21" s="112"/>
      <c r="K21" s="112"/>
      <c r="L21" s="173">
        <f>W!A217</f>
        <v>671945</v>
      </c>
      <c r="M21" s="171"/>
      <c r="N21" s="112"/>
      <c r="O21" s="112" t="s">
        <v>152</v>
      </c>
      <c r="P21" s="112"/>
      <c r="Q21" s="112"/>
      <c r="R21" s="173">
        <f>R12+R20</f>
        <v>5749009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38328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11764</v>
      </c>
      <c r="G23" s="171"/>
      <c r="H23" s="112"/>
      <c r="I23" s="112" t="s">
        <v>157</v>
      </c>
      <c r="J23" s="112"/>
      <c r="K23" s="112"/>
      <c r="L23" s="176">
        <f>W!A254</f>
        <v>48414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671945</v>
      </c>
      <c r="G24" s="171"/>
      <c r="H24" s="112"/>
      <c r="I24" s="175" t="s">
        <v>160</v>
      </c>
      <c r="L24" s="173">
        <f>L20-L21+L22-L23</f>
        <v>-119480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1026835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13569</v>
      </c>
      <c r="M26" s="171"/>
      <c r="N26" s="112"/>
      <c r="O26" s="112" t="s">
        <v>167</v>
      </c>
      <c r="P26" s="112"/>
      <c r="Q26" s="112"/>
      <c r="R26" s="177">
        <f>W!A273</f>
        <v>1045964</v>
      </c>
      <c r="S26" s="171"/>
      <c r="T26" s="112"/>
      <c r="U26" s="112" t="s">
        <v>168</v>
      </c>
      <c r="V26" s="112"/>
      <c r="W26" s="112"/>
      <c r="X26" s="177">
        <f>W!A232</f>
        <v>13569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-131612</v>
      </c>
      <c r="G27" s="171"/>
      <c r="H27" s="112"/>
      <c r="I27" s="175" t="s">
        <v>170</v>
      </c>
      <c r="J27" s="112"/>
      <c r="K27" s="112"/>
      <c r="L27" s="174">
        <f>L24+L25-L26</f>
        <v>-131612</v>
      </c>
      <c r="M27" s="171"/>
      <c r="N27" s="112"/>
      <c r="O27" s="118" t="s">
        <v>171</v>
      </c>
      <c r="P27" s="112"/>
      <c r="Q27" s="112"/>
      <c r="R27" s="173">
        <f>SUM(R24:R26)</f>
        <v>2072799</v>
      </c>
      <c r="S27" s="171"/>
      <c r="T27" s="112"/>
      <c r="U27" s="175" t="s">
        <v>172</v>
      </c>
      <c r="X27" s="174">
        <f>X22-X23-X24+X25-X26</f>
        <v>-13569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-192178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-323790</v>
      </c>
      <c r="G29" s="171"/>
      <c r="H29" s="112"/>
      <c r="I29" s="112" t="s">
        <v>177</v>
      </c>
      <c r="J29" s="112"/>
      <c r="K29" s="112"/>
      <c r="L29" s="173">
        <f>W!A256</f>
        <v>-131612</v>
      </c>
      <c r="M29" s="171"/>
      <c r="N29" s="112"/>
      <c r="S29" s="171"/>
      <c r="U29" s="181" t="s">
        <v>178</v>
      </c>
      <c r="V29" s="112"/>
      <c r="W29" s="112"/>
      <c r="X29" s="174">
        <f>W!A233</f>
        <v>-1285209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-3.2902999999999998</v>
      </c>
      <c r="M30" s="171"/>
      <c r="N30" s="112"/>
      <c r="O30" s="112" t="s">
        <v>180</v>
      </c>
      <c r="P30" s="112"/>
      <c r="Q30" s="112"/>
      <c r="R30" s="173">
        <f>R21-R27-R28</f>
        <v>3676210</v>
      </c>
      <c r="S30" s="171"/>
      <c r="U30" s="181" t="s">
        <v>181</v>
      </c>
      <c r="V30" s="112"/>
      <c r="W30" s="112"/>
      <c r="X30" s="176">
        <f>W!A234</f>
        <v>1389245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104036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42695</v>
      </c>
      <c r="G33" s="171"/>
      <c r="H33" s="112"/>
      <c r="I33" s="112" t="s">
        <v>187</v>
      </c>
      <c r="J33" s="112"/>
      <c r="K33" s="112"/>
      <c r="L33" s="173">
        <f>L29-L32</f>
        <v>-131612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4367</v>
      </c>
      <c r="G34" s="171"/>
      <c r="H34" s="112"/>
      <c r="I34" s="91" t="s">
        <v>190</v>
      </c>
      <c r="J34" s="112"/>
      <c r="K34" s="112"/>
      <c r="L34" s="177">
        <f>W!A260</f>
        <v>-192178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692000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-323790</v>
      </c>
      <c r="M35" s="171"/>
      <c r="O35" s="112" t="s">
        <v>194</v>
      </c>
      <c r="P35" s="112"/>
      <c r="Q35" s="112"/>
      <c r="R35" s="177">
        <f>R36-R33-R34</f>
        <v>-323790</v>
      </c>
      <c r="S35" s="171"/>
      <c r="U35" s="112" t="s">
        <v>195</v>
      </c>
      <c r="V35" s="112"/>
      <c r="W35" s="112"/>
      <c r="X35" s="174">
        <f>W!A239</f>
        <v>1075000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3676210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4"/>
  <sheetViews>
    <sheetView showGridLines="0" workbookViewId="0">
      <selection activeCell="U24" sqref="U2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20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20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20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  <c r="P4" s="18">
        <f>H5/G5</f>
        <v>1.0264348654441533</v>
      </c>
    </row>
    <row r="5" spans="2:20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20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20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20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20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20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20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20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20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20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  <c r="R14" s="18">
        <f>1.3*G20</f>
        <v>103136.8</v>
      </c>
      <c r="T14" s="18">
        <f>G16*300+H16*200+I16*100</f>
        <v>110000</v>
      </c>
    </row>
    <row r="15" spans="2:20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  <c r="R15" s="18">
        <v>103136.8</v>
      </c>
      <c r="T15" s="18">
        <v>110000</v>
      </c>
    </row>
    <row r="16" spans="2:20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  <c r="R16" s="18">
        <v>103136.8</v>
      </c>
      <c r="T16" s="18">
        <v>110000</v>
      </c>
    </row>
    <row r="17" spans="2:21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  <c r="R17" s="18">
        <f>SUM(R14:R16)</f>
        <v>309410.40000000002</v>
      </c>
      <c r="T17" s="18">
        <f>SUM(T14:T16)</f>
        <v>330000</v>
      </c>
    </row>
    <row r="18" spans="2:21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21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21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21">
      <c r="B21" s="129"/>
      <c r="C21" s="19"/>
      <c r="D21" s="19"/>
      <c r="H21" s="44"/>
      <c r="I21" s="28"/>
      <c r="J21" s="44"/>
      <c r="K21" s="44"/>
      <c r="L21" s="44"/>
      <c r="M21" s="19"/>
      <c r="N21" s="24"/>
      <c r="R21" s="18" t="s">
        <v>387</v>
      </c>
      <c r="S21" s="18" t="s">
        <v>388</v>
      </c>
      <c r="T21" s="18" t="s">
        <v>389</v>
      </c>
    </row>
    <row r="22" spans="2:21">
      <c r="B22" s="129"/>
      <c r="C22" s="19"/>
      <c r="D22" s="19"/>
      <c r="H22" s="44"/>
      <c r="I22" s="28"/>
      <c r="J22" s="44"/>
      <c r="K22" s="44"/>
      <c r="L22" s="44"/>
      <c r="M22" s="19"/>
      <c r="N22" s="24"/>
      <c r="R22" s="192">
        <f>G20</f>
        <v>79336</v>
      </c>
      <c r="S22" s="18">
        <f>G20*2</f>
        <v>158672</v>
      </c>
      <c r="T22" s="18">
        <f>G20*3</f>
        <v>238008</v>
      </c>
      <c r="U22" s="192">
        <f>SUM(R22:T22)</f>
        <v>476016</v>
      </c>
    </row>
    <row r="23" spans="2:21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  <c r="R23" s="18">
        <f>1000*G16</f>
        <v>125000</v>
      </c>
      <c r="S23" s="18">
        <f>1000*H16</f>
        <v>205000</v>
      </c>
      <c r="T23" s="18">
        <f>I16*1000</f>
        <v>315000</v>
      </c>
      <c r="U23" s="18">
        <f>SUM(R23:T23)</f>
        <v>645000</v>
      </c>
    </row>
    <row r="24" spans="2:21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21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21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21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21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21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21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21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21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98.83</v>
      </c>
      <c r="G35" s="138">
        <f>W!A542/100</f>
        <v>99.38</v>
      </c>
      <c r="H35" s="138">
        <f>W!A562/100</f>
        <v>108.33</v>
      </c>
      <c r="I35" s="138">
        <f>W!A582/100</f>
        <v>88.34</v>
      </c>
      <c r="J35" s="138">
        <f>W!A602/100</f>
        <v>91.92</v>
      </c>
      <c r="K35" s="138">
        <f>W!A622/100</f>
        <v>99.5</v>
      </c>
      <c r="L35" s="138">
        <f>W!A642/100</f>
        <v>91.63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3953200</v>
      </c>
      <c r="G36" s="138">
        <f>W!A543</f>
        <v>3975200</v>
      </c>
      <c r="H36" s="138">
        <f>W!A563</f>
        <v>4766520</v>
      </c>
      <c r="I36" s="138">
        <f>W!A583</f>
        <v>3533600</v>
      </c>
      <c r="J36" s="138">
        <f>W!A603</f>
        <v>4044480</v>
      </c>
      <c r="K36" s="138">
        <f>W!A623</f>
        <v>4378000</v>
      </c>
      <c r="L36" s="138">
        <f>W!A643</f>
        <v>3665200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3953200</v>
      </c>
      <c r="G39" s="138">
        <f>W!A545</f>
        <v>3975200</v>
      </c>
      <c r="H39" s="138">
        <f>W!A565</f>
        <v>4347474</v>
      </c>
      <c r="I39" s="138">
        <f>W!A585</f>
        <v>3533600</v>
      </c>
      <c r="J39" s="138">
        <f>W!A605</f>
        <v>3625434</v>
      </c>
      <c r="K39" s="138">
        <f>W!A625</f>
        <v>3958954</v>
      </c>
      <c r="L39" s="138">
        <f>W!A645</f>
        <v>3665200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335</v>
      </c>
      <c r="K43" s="138">
        <f>W!A626</f>
        <v>334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335</v>
      </c>
      <c r="H44" s="138">
        <f>W!A567</f>
        <v>330</v>
      </c>
      <c r="I44" s="138">
        <f>W!A587</f>
        <v>335</v>
      </c>
      <c r="J44" s="138">
        <f>W!A607</f>
        <v>340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535</v>
      </c>
      <c r="K46" s="138">
        <f>W!A629</f>
        <v>525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535</v>
      </c>
      <c r="K47" s="138">
        <f>W!A630</f>
        <v>519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575</v>
      </c>
      <c r="G48" s="138">
        <f>W!A551</f>
        <v>590</v>
      </c>
      <c r="H48" s="138">
        <f>W!A571</f>
        <v>580</v>
      </c>
      <c r="I48" s="138">
        <f>W!A591</f>
        <v>590</v>
      </c>
      <c r="J48" s="138">
        <f>W!A611</f>
        <v>595</v>
      </c>
      <c r="K48" s="138">
        <f>W!A631</f>
        <v>603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850</v>
      </c>
      <c r="K49" s="138">
        <f>W!A632</f>
        <v>739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900</v>
      </c>
      <c r="K50" s="138">
        <f>W!A633</f>
        <v>747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870</v>
      </c>
      <c r="K51" s="138">
        <f>W!A634</f>
        <v>879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54</v>
      </c>
      <c r="H53" s="138">
        <f>W!A575</f>
        <v>88</v>
      </c>
      <c r="I53" s="138">
        <f>W!A595</f>
        <v>61</v>
      </c>
      <c r="J53" s="138">
        <f>W!A615</f>
        <v>63</v>
      </c>
      <c r="K53" s="138">
        <f>W!A635</f>
        <v>61</v>
      </c>
      <c r="L53" s="138">
        <f>W!A655</f>
        <v>46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1210</v>
      </c>
      <c r="H54" s="138">
        <f>W!A576</f>
        <v>1210</v>
      </c>
      <c r="I54" s="138">
        <f>W!A596</f>
        <v>1210</v>
      </c>
      <c r="J54" s="138">
        <f>W!A616</f>
        <v>1211</v>
      </c>
      <c r="K54" s="138">
        <f>W!A636</f>
        <v>1209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8</v>
      </c>
      <c r="H55" s="138">
        <f>W!A577</f>
        <v>13</v>
      </c>
      <c r="I55" s="138">
        <f>W!A597</f>
        <v>5</v>
      </c>
      <c r="J55" s="138">
        <f>W!A617</f>
        <v>8</v>
      </c>
      <c r="K55" s="138">
        <f>W!A637</f>
        <v>6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7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7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7">
      <c r="B67" s="129"/>
      <c r="C67" s="19" t="s">
        <v>67</v>
      </c>
      <c r="D67" s="19"/>
      <c r="E67" s="19"/>
      <c r="F67" s="138">
        <f>W!A702</f>
        <v>1703186</v>
      </c>
      <c r="G67" s="138">
        <f>W!A722</f>
        <v>1387998</v>
      </c>
      <c r="H67" s="138">
        <f>W!A742</f>
        <v>1442998</v>
      </c>
      <c r="I67" s="138">
        <f>W!A762</f>
        <v>2248186</v>
      </c>
      <c r="J67" s="138">
        <f>W!A782</f>
        <v>1623186</v>
      </c>
      <c r="K67" s="138">
        <f>W!A802</f>
        <v>1995686</v>
      </c>
      <c r="L67" s="138">
        <f>W!A822</f>
        <v>1317998</v>
      </c>
      <c r="M67" s="138" t="str">
        <f>W!A842</f>
        <v xml:space="preserve"> </v>
      </c>
      <c r="N67" s="24"/>
    </row>
    <row r="68" spans="2:17">
      <c r="B68" s="129"/>
      <c r="C68" s="19" t="s">
        <v>68</v>
      </c>
      <c r="D68" s="19"/>
      <c r="E68" s="19"/>
      <c r="F68" s="138">
        <f>W!A703</f>
        <v>1441756</v>
      </c>
      <c r="G68" s="138">
        <f>W!A723</f>
        <v>866963</v>
      </c>
      <c r="H68" s="138">
        <f>W!A743</f>
        <v>1531690</v>
      </c>
      <c r="I68" s="138">
        <f>W!A763</f>
        <v>1442823</v>
      </c>
      <c r="J68" s="138">
        <f>W!A783</f>
        <v>1366007</v>
      </c>
      <c r="K68" s="138">
        <f>W!A803</f>
        <v>1056815</v>
      </c>
      <c r="L68" s="138">
        <f>W!A823</f>
        <v>25074</v>
      </c>
      <c r="M68" s="138" t="str">
        <f>W!A843</f>
        <v xml:space="preserve"> </v>
      </c>
      <c r="N68" s="24"/>
    </row>
    <row r="69" spans="2:17">
      <c r="B69" s="129"/>
      <c r="C69" s="19" t="s">
        <v>69</v>
      </c>
      <c r="D69" s="19"/>
      <c r="E69" s="19"/>
      <c r="F69" s="138">
        <f>W!A704</f>
        <v>1000435</v>
      </c>
      <c r="G69" s="138">
        <f>W!A724</f>
        <v>950834</v>
      </c>
      <c r="H69" s="138">
        <f>W!A744</f>
        <v>1878715</v>
      </c>
      <c r="I69" s="138">
        <f>W!A764</f>
        <v>908000</v>
      </c>
      <c r="J69" s="138">
        <f>W!A784</f>
        <v>737691</v>
      </c>
      <c r="K69" s="138">
        <f>W!A804</f>
        <v>947356</v>
      </c>
      <c r="L69" s="138">
        <f>W!A824</f>
        <v>617977</v>
      </c>
      <c r="M69" s="138" t="str">
        <f>W!A844</f>
        <v xml:space="preserve"> </v>
      </c>
      <c r="N69" s="24"/>
    </row>
    <row r="70" spans="2:17">
      <c r="B70" s="129"/>
      <c r="C70" s="19" t="s">
        <v>70</v>
      </c>
      <c r="D70" s="19"/>
      <c r="E70" s="19"/>
      <c r="F70" s="138">
        <f>W!A705</f>
        <v>649119</v>
      </c>
      <c r="G70" s="138">
        <f>W!A725</f>
        <v>1070000</v>
      </c>
      <c r="H70" s="138">
        <f>W!A745</f>
        <v>540526</v>
      </c>
      <c r="I70" s="138">
        <f>W!A765</f>
        <v>1150000</v>
      </c>
      <c r="J70" s="138">
        <f>W!A785</f>
        <v>986270</v>
      </c>
      <c r="K70" s="138">
        <f>W!A805</f>
        <v>562263</v>
      </c>
      <c r="L70" s="138">
        <f>W!A825</f>
        <v>2175687</v>
      </c>
      <c r="M70" s="138" t="str">
        <f>W!A845</f>
        <v xml:space="preserve"> </v>
      </c>
      <c r="N70" s="24"/>
    </row>
    <row r="71" spans="2:17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7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7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7">
      <c r="B74" s="129"/>
      <c r="C74" s="126" t="s">
        <v>73</v>
      </c>
      <c r="D74" s="19"/>
      <c r="E74" s="19"/>
      <c r="F74" s="138">
        <f>W!A709</f>
        <v>962615</v>
      </c>
      <c r="G74" s="138">
        <f>W!A729</f>
        <v>485371</v>
      </c>
      <c r="H74" s="138">
        <f>W!A749</f>
        <v>1206681</v>
      </c>
      <c r="I74" s="138">
        <f>W!A769</f>
        <v>1026835</v>
      </c>
      <c r="J74" s="138">
        <f>W!A789</f>
        <v>549918</v>
      </c>
      <c r="K74" s="138">
        <f>W!A809</f>
        <v>346450</v>
      </c>
      <c r="L74" s="138">
        <f>W!A829</f>
        <v>266263</v>
      </c>
      <c r="M74" s="138" t="str">
        <f>W!A849</f>
        <v xml:space="preserve"> </v>
      </c>
      <c r="N74" s="24"/>
    </row>
    <row r="75" spans="2:17">
      <c r="B75" s="129"/>
      <c r="C75" s="19" t="s">
        <v>74</v>
      </c>
      <c r="D75" s="19"/>
      <c r="E75" s="19"/>
      <c r="F75" s="138">
        <f>W!A710</f>
        <v>0</v>
      </c>
      <c r="G75" s="138">
        <f>W!A730</f>
        <v>33268</v>
      </c>
      <c r="H75" s="138">
        <f>W!A750</f>
        <v>0</v>
      </c>
      <c r="I75" s="138">
        <f>W!A770</f>
        <v>1045964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  <c r="Q75" s="18">
        <f>I70-500000</f>
        <v>650000</v>
      </c>
    </row>
    <row r="76" spans="2:17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7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7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7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7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-168119</v>
      </c>
      <c r="G82" s="138">
        <f>W!A736</f>
        <v>-242844</v>
      </c>
      <c r="H82" s="138">
        <f>W!A756</f>
        <v>-230232</v>
      </c>
      <c r="I82" s="138">
        <f>W!A776</f>
        <v>-323790</v>
      </c>
      <c r="J82" s="138">
        <f>W!A796</f>
        <v>-254244</v>
      </c>
      <c r="K82" s="138">
        <f>W!A816</f>
        <v>-201810</v>
      </c>
      <c r="L82" s="138">
        <f>W!A836</f>
        <v>-129527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3831881</v>
      </c>
      <c r="G83" s="138">
        <f t="shared" si="0"/>
        <v>3757156</v>
      </c>
      <c r="H83" s="138">
        <f t="shared" si="0"/>
        <v>4187248</v>
      </c>
      <c r="I83" s="138">
        <f t="shared" si="0"/>
        <v>3676210</v>
      </c>
      <c r="J83" s="138">
        <f t="shared" si="0"/>
        <v>4163236</v>
      </c>
      <c r="K83" s="138">
        <f t="shared" si="0"/>
        <v>4215670</v>
      </c>
      <c r="L83" s="138">
        <f t="shared" si="0"/>
        <v>3870473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220000</v>
      </c>
      <c r="G104" s="138">
        <f>W!A429</f>
        <v>221000</v>
      </c>
      <c r="H104" s="138">
        <f>W!A436</f>
        <v>363000</v>
      </c>
      <c r="I104" s="138">
        <f>W!A443</f>
        <v>145000</v>
      </c>
      <c r="J104" s="138">
        <f>W!A450</f>
        <v>106000</v>
      </c>
      <c r="K104" s="138">
        <f>W!A457</f>
        <v>117000</v>
      </c>
      <c r="L104" s="138">
        <f>W!A464</f>
        <v>66000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78000</v>
      </c>
      <c r="H105" s="138">
        <f>W!A437</f>
        <v>90000</v>
      </c>
      <c r="I105" s="138">
        <f>W!A444</f>
        <v>75000</v>
      </c>
      <c r="J105" s="138">
        <f>W!A451</f>
        <v>55000</v>
      </c>
      <c r="K105" s="138">
        <f>W!A458</f>
        <v>105000</v>
      </c>
      <c r="L105" s="138">
        <f>W!A465</f>
        <v>55000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  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43" workbookViewId="0">
      <selection activeCell="A59" sqref="A59"/>
    </sheetView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17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13</v>
      </c>
    </row>
    <row r="12" spans="1:1">
      <c r="A12">
        <v>11</v>
      </c>
    </row>
    <row r="13" spans="1:1">
      <c r="A13">
        <v>12</v>
      </c>
    </row>
    <row r="14" spans="1:1">
      <c r="A14">
        <v>11</v>
      </c>
    </row>
    <row r="15" spans="1:1">
      <c r="A15">
        <v>10</v>
      </c>
    </row>
    <row r="16" spans="1:1">
      <c r="A16">
        <v>10</v>
      </c>
    </row>
    <row r="17" spans="1:2">
      <c r="A17">
        <v>11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375</v>
      </c>
    </row>
    <row r="24" spans="1:2">
      <c r="A24">
        <v>490</v>
      </c>
    </row>
    <row r="25" spans="1:2">
      <c r="A25">
        <v>500</v>
      </c>
    </row>
    <row r="26" spans="1:2">
      <c r="A26">
        <v>590</v>
      </c>
    </row>
    <row r="27" spans="1:2">
      <c r="A27">
        <v>700</v>
      </c>
    </row>
    <row r="28" spans="1:2">
      <c r="A28">
        <v>725</v>
      </c>
    </row>
    <row r="29" spans="1:2">
      <c r="A29">
        <v>825</v>
      </c>
    </row>
    <row r="30" spans="1:2">
      <c r="A30">
        <v>0</v>
      </c>
    </row>
    <row r="31" spans="1:2">
      <c r="A31">
        <v>1060</v>
      </c>
      <c r="B31" s="133" t="s">
        <v>343</v>
      </c>
    </row>
    <row r="32" spans="1:2">
      <c r="A32">
        <v>360</v>
      </c>
      <c r="B32" s="133" t="s">
        <v>343</v>
      </c>
    </row>
    <row r="33" spans="1:2">
      <c r="A33">
        <v>550</v>
      </c>
      <c r="B33" s="133" t="s">
        <v>343</v>
      </c>
    </row>
    <row r="34" spans="1:2">
      <c r="A34">
        <v>740</v>
      </c>
      <c r="B34" s="133" t="s">
        <v>343</v>
      </c>
    </row>
    <row r="35" spans="1:2">
      <c r="A35">
        <v>310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430</v>
      </c>
      <c r="B37" s="133" t="s">
        <v>343</v>
      </c>
    </row>
    <row r="38" spans="1:2">
      <c r="A38">
        <v>180</v>
      </c>
      <c r="B38" s="133" t="s">
        <v>343</v>
      </c>
    </row>
    <row r="39" spans="1:2">
      <c r="A39">
        <v>260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</v>
      </c>
    </row>
    <row r="55" spans="1:1">
      <c r="A55">
        <v>200</v>
      </c>
    </row>
    <row r="56" spans="1:1">
      <c r="A56">
        <v>100</v>
      </c>
    </row>
    <row r="57" spans="1:1">
      <c r="A57">
        <v>7</v>
      </c>
    </row>
    <row r="58" spans="1:1">
      <c r="A58">
        <v>6</v>
      </c>
    </row>
    <row r="59" spans="1:1">
      <c r="A59">
        <v>10</v>
      </c>
    </row>
    <row r="60" spans="1:1">
      <c r="A60">
        <v>0</v>
      </c>
    </row>
    <row r="61" spans="1:1">
      <c r="A61">
        <v>3</v>
      </c>
    </row>
    <row r="62" spans="1:1">
      <c r="A62">
        <v>12</v>
      </c>
    </row>
    <row r="63" spans="1:1">
      <c r="A63">
        <v>7</v>
      </c>
    </row>
    <row r="64" spans="1:1">
      <c r="A64">
        <v>2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14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80</v>
      </c>
    </row>
    <row r="73" spans="1:1">
      <c r="A73">
        <v>2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8</v>
      </c>
    </row>
    <row r="78" spans="1:1">
      <c r="A78">
        <v>28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4</v>
      </c>
    </row>
    <row r="83" spans="1:2">
      <c r="A83">
        <v>1210</v>
      </c>
    </row>
    <row r="84" spans="1:2">
      <c r="A84">
        <v>0</v>
      </c>
    </row>
    <row r="85" spans="1:2">
      <c r="A85">
        <v>70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1506</v>
      </c>
    </row>
    <row r="109" spans="1:1">
      <c r="A109">
        <v>1120</v>
      </c>
    </row>
    <row r="110" spans="1:1">
      <c r="A110">
        <v>691</v>
      </c>
    </row>
    <row r="111" spans="1:1">
      <c r="A111">
        <v>1609</v>
      </c>
    </row>
    <row r="112" spans="1:1">
      <c r="A112">
        <v>1203</v>
      </c>
    </row>
    <row r="113" spans="1:2">
      <c r="A113">
        <v>713</v>
      </c>
    </row>
    <row r="114" spans="1:2">
      <c r="A114">
        <v>44</v>
      </c>
    </row>
    <row r="115" spans="1:2">
      <c r="A115">
        <v>35</v>
      </c>
    </row>
    <row r="116" spans="1:2">
      <c r="A116">
        <v>22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810</v>
      </c>
    </row>
    <row r="122" spans="1:2">
      <c r="A122">
        <v>275</v>
      </c>
    </row>
    <row r="123" spans="1:2">
      <c r="A123">
        <v>421</v>
      </c>
    </row>
    <row r="124" spans="1:2">
      <c r="A124">
        <v>563</v>
      </c>
    </row>
    <row r="125" spans="1:2">
      <c r="A125">
        <v>236</v>
      </c>
    </row>
    <row r="126" spans="1:2">
      <c r="A126">
        <v>321</v>
      </c>
    </row>
    <row r="127" spans="1:2">
      <c r="A127">
        <v>341</v>
      </c>
    </row>
    <row r="128" spans="1:2">
      <c r="A128">
        <v>143</v>
      </c>
    </row>
    <row r="129" spans="1:1">
      <c r="A129">
        <v>207</v>
      </c>
    </row>
    <row r="130" spans="1:1">
      <c r="A130">
        <v>999</v>
      </c>
    </row>
    <row r="131" spans="1:1">
      <c r="A131">
        <v>1258</v>
      </c>
    </row>
    <row r="132" spans="1:1">
      <c r="A132">
        <v>445</v>
      </c>
    </row>
    <row r="133" spans="1:1">
      <c r="A133">
        <v>727</v>
      </c>
    </row>
    <row r="134" spans="1:1">
      <c r="A134">
        <v>712</v>
      </c>
    </row>
    <row r="135" spans="1:1">
      <c r="A135">
        <v>273</v>
      </c>
    </row>
    <row r="136" spans="1:1">
      <c r="A136">
        <v>422</v>
      </c>
    </row>
    <row r="137" spans="1:1">
      <c r="A137">
        <v>409</v>
      </c>
    </row>
    <row r="138" spans="1:1">
      <c r="A138">
        <v>164</v>
      </c>
    </row>
    <row r="139" spans="1:1">
      <c r="A139">
        <v>253</v>
      </c>
    </row>
    <row r="140" spans="1:1">
      <c r="A140">
        <v>999</v>
      </c>
    </row>
    <row r="141" spans="1:1">
      <c r="A141">
        <v>810</v>
      </c>
    </row>
    <row r="142" spans="1:1">
      <c r="A142">
        <v>275</v>
      </c>
    </row>
    <row r="143" spans="1:1">
      <c r="A143">
        <v>421</v>
      </c>
    </row>
    <row r="144" spans="1:1">
      <c r="A144">
        <v>563</v>
      </c>
    </row>
    <row r="145" spans="1:1">
      <c r="A145">
        <v>236</v>
      </c>
    </row>
    <row r="146" spans="1:1">
      <c r="A146">
        <v>321</v>
      </c>
    </row>
    <row r="147" spans="1:1">
      <c r="A147">
        <v>357</v>
      </c>
    </row>
    <row r="148" spans="1:1">
      <c r="A148">
        <v>154</v>
      </c>
    </row>
    <row r="149" spans="1:1">
      <c r="A149">
        <v>207</v>
      </c>
    </row>
    <row r="150" spans="1:1">
      <c r="A150">
        <v>999</v>
      </c>
    </row>
    <row r="151" spans="1:1">
      <c r="A151">
        <v>224</v>
      </c>
    </row>
    <row r="152" spans="1:1">
      <c r="A152">
        <v>85</v>
      </c>
    </row>
    <row r="153" spans="1:1">
      <c r="A153">
        <v>0</v>
      </c>
    </row>
    <row r="154" spans="1:1">
      <c r="A154">
        <v>74</v>
      </c>
    </row>
    <row r="155" spans="1:1">
      <c r="A155">
        <v>18</v>
      </c>
    </row>
    <row r="156" spans="1:1">
      <c r="A156">
        <v>0</v>
      </c>
    </row>
    <row r="157" spans="1:1">
      <c r="A157">
        <v>26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40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200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100</v>
      </c>
    </row>
    <row r="190" spans="1:1">
      <c r="A190">
        <v>999</v>
      </c>
    </row>
    <row r="191" spans="1:1">
      <c r="A191">
        <v>21</v>
      </c>
    </row>
    <row r="192" spans="1:1">
      <c r="A192">
        <v>28</v>
      </c>
    </row>
    <row r="193" spans="1:1">
      <c r="A193">
        <v>4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29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39900</v>
      </c>
    </row>
    <row r="203" spans="1:1">
      <c r="A203">
        <v>23540</v>
      </c>
    </row>
    <row r="204" spans="1:1">
      <c r="A204">
        <v>148387</v>
      </c>
    </row>
    <row r="205" spans="1:1">
      <c r="A205">
        <v>21788</v>
      </c>
    </row>
    <row r="206" spans="1:1">
      <c r="A206">
        <v>11550</v>
      </c>
    </row>
    <row r="207" spans="1:1">
      <c r="A207">
        <v>75000</v>
      </c>
    </row>
    <row r="208" spans="1:1">
      <c r="A208">
        <v>28000</v>
      </c>
    </row>
    <row r="209" spans="1:1">
      <c r="A209">
        <v>56000</v>
      </c>
    </row>
    <row r="210" spans="1:1">
      <c r="A210">
        <v>14875</v>
      </c>
    </row>
    <row r="211" spans="1:1">
      <c r="A211">
        <v>7655</v>
      </c>
    </row>
    <row r="212" spans="1:1">
      <c r="A212">
        <v>7500</v>
      </c>
    </row>
    <row r="213" spans="1:1">
      <c r="A213">
        <v>3344</v>
      </c>
    </row>
    <row r="214" spans="1:1">
      <c r="A214">
        <v>7642</v>
      </c>
    </row>
    <row r="215" spans="1:1">
      <c r="A215">
        <v>70000</v>
      </c>
    </row>
    <row r="216" spans="1:1">
      <c r="A216">
        <v>11764</v>
      </c>
    </row>
    <row r="217" spans="1:1">
      <c r="A217">
        <v>671945</v>
      </c>
    </row>
    <row r="218" spans="1:1">
      <c r="A218">
        <v>1594921</v>
      </c>
    </row>
    <row r="219" spans="1:1">
      <c r="A219">
        <v>42695</v>
      </c>
    </row>
    <row r="220" spans="1:1">
      <c r="A220">
        <v>4367</v>
      </c>
    </row>
    <row r="221" spans="1:1">
      <c r="A221">
        <v>1594921</v>
      </c>
    </row>
    <row r="222" spans="1:1">
      <c r="A222">
        <v>38328</v>
      </c>
    </row>
    <row r="223" spans="1:1">
      <c r="A223">
        <v>2266326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640000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13569</v>
      </c>
    </row>
    <row r="233" spans="1:1">
      <c r="A233">
        <v>-1285209</v>
      </c>
    </row>
    <row r="234" spans="1:1">
      <c r="A234">
        <v>1389245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692000</v>
      </c>
    </row>
    <row r="239" spans="1:1">
      <c r="A239">
        <v>1075000</v>
      </c>
    </row>
    <row r="240" spans="1:1">
      <c r="A240">
        <v>-192178</v>
      </c>
    </row>
    <row r="241" spans="1:1">
      <c r="A241">
        <v>1646518</v>
      </c>
    </row>
    <row r="242" spans="1:1">
      <c r="A242">
        <v>527033</v>
      </c>
    </row>
    <row r="243" spans="1:1">
      <c r="A243">
        <v>111000</v>
      </c>
    </row>
    <row r="244" spans="1:1">
      <c r="A244">
        <v>1431111</v>
      </c>
    </row>
    <row r="245" spans="1:1">
      <c r="A245">
        <v>79090</v>
      </c>
    </row>
    <row r="246" spans="1:1">
      <c r="A246">
        <v>171615</v>
      </c>
    </row>
    <row r="247" spans="1:1">
      <c r="A247">
        <v>154716</v>
      </c>
    </row>
    <row r="248" spans="1:1">
      <c r="A248">
        <v>3525</v>
      </c>
    </row>
    <row r="249" spans="1:1">
      <c r="A249">
        <v>48700</v>
      </c>
    </row>
    <row r="250" spans="1:1">
      <c r="A250">
        <v>1442823</v>
      </c>
    </row>
    <row r="251" spans="1:1">
      <c r="A251">
        <v>1083967</v>
      </c>
    </row>
    <row r="252" spans="1:1">
      <c r="A252">
        <v>562551</v>
      </c>
    </row>
    <row r="253" spans="1:1">
      <c r="A253">
        <v>0</v>
      </c>
    </row>
    <row r="254" spans="1:1">
      <c r="A254">
        <v>48414</v>
      </c>
    </row>
    <row r="255" spans="1:1">
      <c r="A255">
        <v>0</v>
      </c>
    </row>
    <row r="256" spans="1:1">
      <c r="A256">
        <v>-131612</v>
      </c>
    </row>
    <row r="257" spans="1:1">
      <c r="A257">
        <v>-323790</v>
      </c>
    </row>
    <row r="258" spans="1:1">
      <c r="A258">
        <v>999</v>
      </c>
    </row>
    <row r="259" spans="1:1">
      <c r="A259">
        <v>999</v>
      </c>
    </row>
    <row r="260" spans="1:1">
      <c r="A260">
        <v>-192178</v>
      </c>
    </row>
    <row r="261" spans="1:1">
      <c r="A261">
        <v>50000</v>
      </c>
    </row>
    <row r="262" spans="1:1">
      <c r="A262">
        <v>310000</v>
      </c>
    </row>
    <row r="263" spans="1:1">
      <c r="A263">
        <v>1888186</v>
      </c>
    </row>
    <row r="264" spans="1:1">
      <c r="A264">
        <v>0</v>
      </c>
    </row>
    <row r="265" spans="1:1">
      <c r="A265">
        <v>0</v>
      </c>
    </row>
    <row r="266" spans="1:1">
      <c r="A266">
        <v>111000</v>
      </c>
    </row>
    <row r="267" spans="1:1">
      <c r="A267">
        <v>1331823</v>
      </c>
    </row>
    <row r="268" spans="1:1">
      <c r="A268">
        <v>908000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1026835</v>
      </c>
    </row>
    <row r="273" spans="1:1">
      <c r="A273">
        <v>1045964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3676210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620</v>
      </c>
    </row>
    <row r="285" spans="1:1">
      <c r="A285">
        <v>175</v>
      </c>
    </row>
    <row r="286" spans="1:1">
      <c r="A286">
        <v>290</v>
      </c>
    </row>
    <row r="287" spans="1:1">
      <c r="A287">
        <v>55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2</v>
      </c>
    </row>
    <row r="294" spans="1:1">
      <c r="A294">
        <v>7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56</v>
      </c>
    </row>
    <row r="303" spans="1:1">
      <c r="A303">
        <v>4035</v>
      </c>
    </row>
    <row r="304" spans="1:1">
      <c r="A304" t="s">
        <v>350</v>
      </c>
    </row>
    <row r="305" spans="1:1">
      <c r="A305">
        <v>11088</v>
      </c>
    </row>
    <row r="306" spans="1:1">
      <c r="A306">
        <v>245</v>
      </c>
    </row>
    <row r="307" spans="1:1">
      <c r="A307">
        <v>10840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428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5154</v>
      </c>
    </row>
    <row r="316" spans="1:1">
      <c r="A316">
        <v>2274</v>
      </c>
    </row>
    <row r="317" spans="1:1">
      <c r="A317">
        <v>7000</v>
      </c>
    </row>
    <row r="318" spans="1:1">
      <c r="A318">
        <v>8</v>
      </c>
    </row>
    <row r="319" spans="1:1">
      <c r="A319">
        <v>16370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8</v>
      </c>
    </row>
    <row r="328" spans="1:1">
      <c r="A328">
        <v>8</v>
      </c>
    </row>
    <row r="329" spans="1:1">
      <c r="A329">
        <v>78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220000</v>
      </c>
    </row>
    <row r="423" spans="1:1">
      <c r="A423">
        <v>90000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354</v>
      </c>
    </row>
    <row r="428" spans="1:1">
      <c r="A428">
        <v>2</v>
      </c>
    </row>
    <row r="429" spans="1:1">
      <c r="A429">
        <v>221000</v>
      </c>
    </row>
    <row r="430" spans="1:1">
      <c r="A430">
        <v>78000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363000</v>
      </c>
    </row>
    <row r="437" spans="1:1">
      <c r="A437">
        <v>90000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145000</v>
      </c>
    </row>
    <row r="444" spans="1:1">
      <c r="A444">
        <v>75000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106000</v>
      </c>
    </row>
    <row r="451" spans="1:1">
      <c r="A451">
        <v>55000</v>
      </c>
    </row>
    <row r="452" spans="1:1">
      <c r="A452" s="134" t="s">
        <v>352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117000</v>
      </c>
    </row>
    <row r="458" spans="1:1">
      <c r="A458">
        <v>105000</v>
      </c>
    </row>
    <row r="459" spans="1:1">
      <c r="A459" s="134" t="s">
        <v>353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66000</v>
      </c>
    </row>
    <row r="465" spans="1:1">
      <c r="A465">
        <v>55000</v>
      </c>
    </row>
    <row r="466" spans="1:1">
      <c r="A466" s="134" t="s">
        <v>355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9883</v>
      </c>
    </row>
    <row r="523" spans="1:1">
      <c r="A523">
        <v>3953200</v>
      </c>
    </row>
    <row r="524" spans="1:1">
      <c r="A524">
        <v>0</v>
      </c>
    </row>
    <row r="525" spans="1:1">
      <c r="A525">
        <v>3953200</v>
      </c>
    </row>
    <row r="526" spans="1:1">
      <c r="A526">
        <v>345</v>
      </c>
    </row>
    <row r="527" spans="1:1">
      <c r="A527">
        <v>360</v>
      </c>
    </row>
    <row r="528" spans="1:1">
      <c r="A528">
        <v>380</v>
      </c>
    </row>
    <row r="529" spans="1:1">
      <c r="A529">
        <v>505</v>
      </c>
    </row>
    <row r="530" spans="1:1">
      <c r="A530">
        <v>510</v>
      </c>
    </row>
    <row r="531" spans="1:1">
      <c r="A531">
        <v>575</v>
      </c>
    </row>
    <row r="532" spans="1:1">
      <c r="A532">
        <v>720</v>
      </c>
    </row>
    <row r="533" spans="1:1">
      <c r="A533">
        <v>745</v>
      </c>
    </row>
    <row r="534" spans="1:1">
      <c r="A534">
        <v>845</v>
      </c>
    </row>
    <row r="535" spans="1:1">
      <c r="A535">
        <v>65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9938</v>
      </c>
    </row>
    <row r="543" spans="1:1">
      <c r="A543">
        <v>3975200</v>
      </c>
    </row>
    <row r="544" spans="1:1">
      <c r="A544">
        <v>0</v>
      </c>
    </row>
    <row r="545" spans="1:2">
      <c r="A545">
        <v>3975200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54</v>
      </c>
      <c r="B555"/>
    </row>
    <row r="556" spans="1:2">
      <c r="A556">
        <v>1210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10833</v>
      </c>
    </row>
    <row r="563" spans="1:1">
      <c r="A563">
        <v>4766520</v>
      </c>
    </row>
    <row r="564" spans="1:1">
      <c r="A564">
        <v>0</v>
      </c>
    </row>
    <row r="565" spans="1:1">
      <c r="A565">
        <v>4347474</v>
      </c>
    </row>
    <row r="566" spans="1:1">
      <c r="A566">
        <v>325</v>
      </c>
    </row>
    <row r="567" spans="1:1">
      <c r="A567">
        <v>330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88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8834</v>
      </c>
    </row>
    <row r="583" spans="1:1">
      <c r="A583">
        <v>3533600</v>
      </c>
    </row>
    <row r="584" spans="1:1">
      <c r="A584">
        <v>0</v>
      </c>
    </row>
    <row r="585" spans="1:1">
      <c r="A585">
        <v>3533600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61</v>
      </c>
    </row>
    <row r="596" spans="1:1">
      <c r="A596">
        <v>1210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9192</v>
      </c>
    </row>
    <row r="603" spans="1:1">
      <c r="A603">
        <v>4044480</v>
      </c>
    </row>
    <row r="604" spans="1:1">
      <c r="A604">
        <v>0</v>
      </c>
    </row>
    <row r="605" spans="1:1">
      <c r="A605">
        <v>3625434</v>
      </c>
    </row>
    <row r="606" spans="1:1">
      <c r="A606">
        <v>335</v>
      </c>
    </row>
    <row r="607" spans="1:1">
      <c r="A607">
        <v>340</v>
      </c>
    </row>
    <row r="608" spans="1:1">
      <c r="A608">
        <v>380</v>
      </c>
    </row>
    <row r="609" spans="1:1">
      <c r="A609">
        <v>535</v>
      </c>
    </row>
    <row r="610" spans="1:1">
      <c r="A610">
        <v>535</v>
      </c>
    </row>
    <row r="611" spans="1:1">
      <c r="A611">
        <v>595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63</v>
      </c>
    </row>
    <row r="616" spans="1:1">
      <c r="A616">
        <v>1211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9950</v>
      </c>
    </row>
    <row r="623" spans="1:1">
      <c r="A623">
        <v>4378000</v>
      </c>
    </row>
    <row r="624" spans="1:1">
      <c r="A624">
        <v>0</v>
      </c>
    </row>
    <row r="625" spans="1:1">
      <c r="A625">
        <v>3958954</v>
      </c>
    </row>
    <row r="626" spans="1:1">
      <c r="A626">
        <v>334</v>
      </c>
    </row>
    <row r="627" spans="1:1">
      <c r="A627">
        <v>342</v>
      </c>
    </row>
    <row r="628" spans="1:1">
      <c r="A628">
        <v>386</v>
      </c>
    </row>
    <row r="629" spans="1:1">
      <c r="A629">
        <v>525</v>
      </c>
    </row>
    <row r="630" spans="1:1">
      <c r="A630">
        <v>519</v>
      </c>
    </row>
    <row r="631" spans="1:1">
      <c r="A631">
        <v>603</v>
      </c>
    </row>
    <row r="632" spans="1:1">
      <c r="A632">
        <v>739</v>
      </c>
    </row>
    <row r="633" spans="1:1">
      <c r="A633">
        <v>747</v>
      </c>
    </row>
    <row r="634" spans="1:1">
      <c r="A634">
        <v>879</v>
      </c>
    </row>
    <row r="635" spans="1:1">
      <c r="A635">
        <v>61</v>
      </c>
    </row>
    <row r="636" spans="1:1">
      <c r="A636">
        <v>1209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9163</v>
      </c>
    </row>
    <row r="643" spans="1:1">
      <c r="A643">
        <v>3665200</v>
      </c>
    </row>
    <row r="644" spans="1:1">
      <c r="A644">
        <v>0</v>
      </c>
    </row>
    <row r="645" spans="1:1">
      <c r="A645">
        <v>3665200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360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361</v>
      </c>
    </row>
    <row r="700" spans="1:1">
      <c r="A700" t="s">
        <v>362</v>
      </c>
    </row>
    <row r="701" spans="1:1">
      <c r="A701">
        <v>1</v>
      </c>
    </row>
    <row r="702" spans="1:1">
      <c r="A702">
        <v>1703186</v>
      </c>
    </row>
    <row r="703" spans="1:1">
      <c r="A703">
        <v>1441756</v>
      </c>
    </row>
    <row r="704" spans="1:1">
      <c r="A704">
        <v>1000435</v>
      </c>
    </row>
    <row r="705" spans="1:1">
      <c r="A705">
        <v>649119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962615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-168119</v>
      </c>
    </row>
    <row r="717" spans="1:1">
      <c r="A717">
        <v>3831881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1387998</v>
      </c>
    </row>
    <row r="723" spans="1:1">
      <c r="A723">
        <v>866963</v>
      </c>
    </row>
    <row r="724" spans="1:1">
      <c r="A724">
        <v>950834</v>
      </c>
    </row>
    <row r="725" spans="1:1">
      <c r="A725">
        <v>1070000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485371</v>
      </c>
    </row>
    <row r="730" spans="1:1">
      <c r="A730">
        <v>33268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-242844</v>
      </c>
    </row>
    <row r="737" spans="1:1">
      <c r="A737">
        <v>3757156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1442998</v>
      </c>
    </row>
    <row r="743" spans="1:1">
      <c r="A743">
        <v>1531690</v>
      </c>
    </row>
    <row r="744" spans="1:1">
      <c r="A744">
        <v>1878715</v>
      </c>
    </row>
    <row r="745" spans="1:1">
      <c r="A745">
        <v>540526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1206681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-230232</v>
      </c>
    </row>
    <row r="757" spans="1:1">
      <c r="A757">
        <v>4187248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2248186</v>
      </c>
    </row>
    <row r="763" spans="1:1">
      <c r="A763">
        <v>1442823</v>
      </c>
    </row>
    <row r="764" spans="1:1">
      <c r="A764">
        <v>908000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1026835</v>
      </c>
    </row>
    <row r="770" spans="1:1">
      <c r="A770">
        <v>1045964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-323790</v>
      </c>
    </row>
    <row r="777" spans="1:1">
      <c r="A777">
        <v>3676210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1623186</v>
      </c>
    </row>
    <row r="783" spans="1:1">
      <c r="A783">
        <v>1366007</v>
      </c>
    </row>
    <row r="784" spans="1:1">
      <c r="A784">
        <v>737691</v>
      </c>
    </row>
    <row r="785" spans="1:1">
      <c r="A785">
        <v>986270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549918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-254244</v>
      </c>
    </row>
    <row r="797" spans="1:1">
      <c r="A797">
        <v>4163236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1995686</v>
      </c>
    </row>
    <row r="803" spans="1:1">
      <c r="A803">
        <v>1056815</v>
      </c>
    </row>
    <row r="804" spans="1:1">
      <c r="A804">
        <v>947356</v>
      </c>
    </row>
    <row r="805" spans="1:1">
      <c r="A805">
        <v>562263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346450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-201810</v>
      </c>
    </row>
    <row r="817" spans="1:1">
      <c r="A817">
        <v>4215670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25074</v>
      </c>
    </row>
    <row r="824" spans="1:1">
      <c r="A824">
        <v>617977</v>
      </c>
    </row>
    <row r="825" spans="1:1">
      <c r="A825">
        <v>2175687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266263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-129527</v>
      </c>
    </row>
    <row r="837" spans="1:1">
      <c r="A837">
        <v>3870473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363</v>
      </c>
    </row>
    <row r="862" spans="1:1">
      <c r="A862" t="s">
        <v>364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'W'!W064174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2020-03-21T16:05:24Z</dcterms:modified>
</cp:coreProperties>
</file>