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_SGGW\"/>
    </mc:Choice>
  </mc:AlternateContent>
  <xr:revisionPtr revIDLastSave="0" documentId="8_{205057A6-4F76-45C4-88AF-F8DE2292B5B4}" xr6:coauthVersionLast="45" xr6:coauthVersionMax="45" xr10:uidLastSave="{00000000-0000-0000-0000-000000000000}"/>
  <bookViews>
    <workbookView xWindow="-108" yWindow="-108" windowWidth="23256" windowHeight="12576" tabRatio="612" firstSheet="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externalReferences>
    <externalReference r:id="rId6"/>
  </externalReference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418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38" i="2" l="1"/>
  <c r="AJ21" i="2"/>
  <c r="AJ25" i="2" s="1"/>
  <c r="AM25" i="2" s="1"/>
  <c r="AS18" i="2"/>
  <c r="AZ44" i="2" s="1"/>
  <c r="AS16" i="2"/>
  <c r="AZ42" i="2" s="1"/>
  <c r="AR16" i="2"/>
  <c r="AL20" i="2"/>
  <c r="AL22" i="2" s="1"/>
  <c r="AN54" i="2"/>
  <c r="AM54" i="2"/>
  <c r="AL54" i="2"/>
  <c r="AK54" i="2"/>
  <c r="AJ54" i="2"/>
  <c r="AN53" i="2"/>
  <c r="AM53" i="2"/>
  <c r="AL53" i="2"/>
  <c r="AK53" i="2"/>
  <c r="AJ53" i="2"/>
  <c r="AM52" i="2"/>
  <c r="AL52" i="2"/>
  <c r="AL55" i="2" s="1"/>
  <c r="AK52" i="2"/>
  <c r="AN47" i="2"/>
  <c r="AM47" i="2"/>
  <c r="AL47" i="2"/>
  <c r="AK47" i="2"/>
  <c r="AJ47" i="2"/>
  <c r="AN46" i="2"/>
  <c r="AM46" i="2"/>
  <c r="AL46" i="2"/>
  <c r="AK46" i="2"/>
  <c r="AJ46" i="2"/>
  <c r="AM45" i="2"/>
  <c r="AK45" i="2"/>
  <c r="AO41" i="2"/>
  <c r="AZ23" i="2" s="1"/>
  <c r="AM41" i="2"/>
  <c r="AK41" i="2"/>
  <c r="AK21" i="2"/>
  <c r="AK25" i="2"/>
  <c r="AJ20" i="2"/>
  <c r="AJ22" i="2"/>
  <c r="O15" i="2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G83" i="4" s="1"/>
  <c r="F81" i="4"/>
  <c r="M80" i="4"/>
  <c r="M83" i="4"/>
  <c r="L80" i="4"/>
  <c r="K80" i="4"/>
  <c r="J80" i="4"/>
  <c r="J83" i="4"/>
  <c r="I80" i="4"/>
  <c r="I83" i="4" s="1"/>
  <c r="H80" i="4"/>
  <c r="H83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R21" i="3" s="1"/>
  <c r="R30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AR18" i="2" s="1"/>
  <c r="AY44" i="2" s="1"/>
  <c r="U33" i="2"/>
  <c r="AQ18" i="2" s="1"/>
  <c r="AX44" i="2" s="1"/>
  <c r="H33" i="2"/>
  <c r="G33" i="2"/>
  <c r="Y32" i="2"/>
  <c r="AS17" i="2" s="1"/>
  <c r="AZ43" i="2" s="1"/>
  <c r="W32" i="2"/>
  <c r="AR17" i="2" s="1"/>
  <c r="AY43" i="2" s="1"/>
  <c r="U32" i="2"/>
  <c r="AQ17" i="2" s="1"/>
  <c r="AX43" i="2" s="1"/>
  <c r="G32" i="2"/>
  <c r="Y31" i="2"/>
  <c r="W31" i="2"/>
  <c r="U31" i="2"/>
  <c r="AQ16" i="2" s="1"/>
  <c r="G31" i="2"/>
  <c r="O30" i="2"/>
  <c r="O29" i="2"/>
  <c r="N30" i="2"/>
  <c r="N29" i="2" s="1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/>
  <c r="G25" i="2"/>
  <c r="Y24" i="2"/>
  <c r="AN45" i="2" s="1"/>
  <c r="AN49" i="2" s="1"/>
  <c r="W24" i="2"/>
  <c r="AL45" i="2" s="1"/>
  <c r="AL49" i="2" s="1"/>
  <c r="U24" i="2"/>
  <c r="AJ45" i="2" s="1"/>
  <c r="AJ49" i="2" s="1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AN52" i="2" s="1"/>
  <c r="AN55" i="2" s="1"/>
  <c r="W19" i="2"/>
  <c r="AD20" i="2" s="1"/>
  <c r="U19" i="2"/>
  <c r="AJ52" i="2" s="1"/>
  <c r="AJ55" i="2" s="1"/>
  <c r="AP55" i="2" s="1"/>
  <c r="G19" i="2"/>
  <c r="G26" i="2" s="1"/>
  <c r="Y18" i="2"/>
  <c r="W18" i="2"/>
  <c r="U18" i="2"/>
  <c r="O18" i="2"/>
  <c r="N44" i="2" s="1"/>
  <c r="G18" i="2"/>
  <c r="Y17" i="2"/>
  <c r="AB17" i="2" s="1"/>
  <c r="W17" i="2"/>
  <c r="AY42" i="2" s="1"/>
  <c r="U17" i="2"/>
  <c r="P17" i="2"/>
  <c r="O17" i="2"/>
  <c r="N17" i="2" s="1"/>
  <c r="O16" i="2"/>
  <c r="N16" i="2" s="1"/>
  <c r="N13" i="2" s="1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AD6" i="2" s="1"/>
  <c r="AD9" i="2" s="1"/>
  <c r="AJ6" i="2" s="1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L33" i="3"/>
  <c r="L35" i="3" s="1"/>
  <c r="G16" i="4"/>
  <c r="I16" i="4"/>
  <c r="AZ21" i="2"/>
  <c r="AZ25" i="2" s="1"/>
  <c r="AZ20" i="2"/>
  <c r="AY21" i="2"/>
  <c r="AY25" i="2"/>
  <c r="AY20" i="2"/>
  <c r="AY23" i="2"/>
  <c r="AX21" i="2"/>
  <c r="AX25" i="2" s="1"/>
  <c r="BA25" i="2" s="1"/>
  <c r="AX20" i="2"/>
  <c r="AK20" i="2"/>
  <c r="AK23" i="2" s="1"/>
  <c r="AJ23" i="2"/>
  <c r="AL23" i="2"/>
  <c r="AL21" i="2"/>
  <c r="AL25" i="2"/>
  <c r="AX22" i="2"/>
  <c r="AX23" i="2"/>
  <c r="AZ22" i="2"/>
  <c r="AY22" i="2"/>
  <c r="BA22" i="2" s="1"/>
  <c r="AR20" i="2" l="1"/>
  <c r="AX42" i="2"/>
  <c r="AQ20" i="2"/>
  <c r="AQ21" i="2"/>
  <c r="AQ25" i="2" s="1"/>
  <c r="AM23" i="2"/>
  <c r="AZ47" i="2"/>
  <c r="AZ51" i="2" s="1"/>
  <c r="AZ46" i="2"/>
  <c r="AY47" i="2"/>
  <c r="AY51" i="2" s="1"/>
  <c r="AY46" i="2"/>
  <c r="BA23" i="2"/>
  <c r="BA26" i="2"/>
  <c r="AY34" i="2"/>
  <c r="AP49" i="2"/>
  <c r="H16" i="4"/>
  <c r="G17" i="4"/>
  <c r="G22" i="2"/>
  <c r="AS21" i="2"/>
  <c r="AS25" i="2" s="1"/>
  <c r="AK22" i="2"/>
  <c r="AM22" i="2" s="1"/>
  <c r="AR21" i="2"/>
  <c r="AR25" i="2" s="1"/>
  <c r="G9" i="2"/>
  <c r="N43" i="2"/>
  <c r="N45" i="2" s="1"/>
  <c r="AS20" i="2"/>
  <c r="AT25" i="2" l="1"/>
  <c r="AZ48" i="2"/>
  <c r="AZ49" i="2"/>
  <c r="AD12" i="2"/>
  <c r="AD15" i="2" s="1"/>
  <c r="AX12" i="2"/>
  <c r="AQ22" i="2"/>
  <c r="AQ23" i="2"/>
  <c r="AT23" i="2" s="1"/>
  <c r="AY48" i="2"/>
  <c r="AY49" i="2"/>
  <c r="AX46" i="2"/>
  <c r="AX47" i="2"/>
  <c r="AX51" i="2" s="1"/>
  <c r="BA51" i="2" s="1"/>
  <c r="BA52" i="2" s="1"/>
  <c r="AS23" i="2"/>
  <c r="AS22" i="2"/>
  <c r="AR23" i="2"/>
  <c r="AR22" i="2"/>
  <c r="AT22" i="2" l="1"/>
  <c r="AT34" i="2" s="1"/>
  <c r="AX49" i="2"/>
  <c r="BA49" i="2" s="1"/>
  <c r="AX48" i="2"/>
  <c r="BA48" i="2" s="1"/>
  <c r="AT27" i="2"/>
  <c r="AT26" i="2"/>
</calcChain>
</file>

<file path=xl/connections.xml><?xml version="1.0" encoding="utf-8"?>
<connections xmlns="http://schemas.openxmlformats.org/spreadsheetml/2006/main">
  <connection id="1" name="W064181" type="6" refreshedVersion="4" background="1" saveData="1">
    <textPr prompt="0" codePage="850" sourceFile="C:\2019_GMC\2ETAP_17C1\RUN_17C1\Wfiles\181\W06418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<sst xmlns="http://schemas.openxmlformats.org/spreadsheetml/2006/main" count="670" uniqueCount="384">
  <si>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</si>
  <si>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</si>
  <si>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</si>
  <si>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</si>
  <si>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</si>
  <si>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</si>
  <si>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</si>
  <si>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</si>
  <si>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</si>
  <si>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</si>
  <si>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</si>
  <si>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</si>
  <si>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</si>
  <si>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</si>
  <si>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</si>
  <si>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</si>
  <si>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</si>
  <si>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</si>
  <si>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</si>
  <si>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</si>
  <si>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</si>
  <si>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</si>
  <si>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</si>
  <si>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</si>
  <si>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</si>
  <si>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</si>
  <si>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</si>
  <si>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</si>
  <si>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</si>
  <si>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</si>
  <si>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</si>
  <si>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</si>
  <si>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</si>
  <si>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</si>
  <si>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</si>
  <si>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</si>
  <si>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</si>
  <si>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</si>
  <si>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</si>
  <si>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</si>
  <si>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</si>
  <si>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</si>
  <si>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</si>
  <si>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</si>
  <si>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</si>
  <si>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</si>
  <si>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</si>
  <si>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</si>
  <si>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</si>
  <si>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</si>
  <si>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</si>
  <si>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</si>
  <si>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</si>
  <si>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</si>
  <si>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</si>
  <si>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</si>
  <si>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</si>
  <si>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</si>
  <si>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</si>
  <si>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</si>
  <si>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</si>
  <si>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</si>
  <si>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</si>
  <si>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</si>
  <si>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</si>
  <si>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</si>
  <si>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</si>
  <si>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</si>
  <si>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</si>
  <si>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</si>
  <si>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</si>
  <si>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</si>
  <si>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</si>
  <si>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</si>
  <si>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</si>
  <si>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</si>
  <si>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</si>
  <si>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</si>
  <si>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</si>
  <si>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</si>
  <si>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</si>
  <si>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</si>
  <si>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</si>
  <si>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</si>
  <si>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</si>
  <si>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</si>
  <si>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</si>
  <si>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</si>
  <si>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</si>
  <si>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</si>
  <si>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</si>
  <si>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</si>
  <si>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</si>
  <si>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</si>
  <si>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</si>
  <si>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</si>
  <si>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</si>
  <si>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</si>
  <si>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</si>
  <si>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</si>
  <si>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</si>
  <si>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</si>
  <si>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</si>
  <si>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</si>
  <si>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</si>
  <si>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</si>
  <si>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</si>
  <si>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</si>
  <si>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</si>
  <si>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</si>
  <si>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</si>
  <si>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</si>
  <si>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</si>
  <si>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</si>
  <si>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</si>
  <si>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</si>
  <si>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</si>
  <si>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</si>
  <si>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</si>
  <si>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</si>
  <si>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</si>
  <si>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</si>
  <si>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</si>
  <si>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</si>
  <si>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</si>
  <si>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</si>
  <si>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</si>
  <si>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</si>
  <si>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</si>
  <si>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</si>
  <si>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</si>
  <si>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</si>
  <si>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</si>
  <si>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</si>
  <si>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</si>
  <si>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</si>
  <si>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</si>
  <si>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</si>
  <si>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</si>
  <si>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</si>
  <si>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</si>
  <si>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</si>
  <si>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</si>
  <si>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</si>
  <si>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</si>
  <si>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</si>
  <si>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</si>
  <si>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</si>
  <si>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</si>
  <si>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</si>
  <si>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</si>
  <si>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</si>
  <si>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</si>
  <si>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</si>
  <si>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</si>
  <si>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</si>
  <si>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</si>
  <si>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</si>
  <si>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</si>
  <si>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</si>
  <si>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</si>
  <si>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</si>
  <si>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</si>
  <si>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</si>
  <si>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</si>
  <si>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</si>
  <si>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</si>
  <si>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</si>
  <si>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</si>
  <si>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</si>
  <si>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</si>
  <si>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</si>
  <si>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</si>
  <si>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</si>
  <si>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</si>
  <si>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</si>
  <si>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</si>
  <si>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</si>
  <si>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</si>
  <si>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</si>
  <si>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</si>
  <si>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</si>
  <si>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</si>
  <si>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</si>
  <si>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</si>
  <si>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</si>
  <si>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</si>
  <si>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</si>
  <si>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</si>
  <si>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</si>
  <si>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</si>
  <si>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</si>
  <si>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</si>
  <si>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</si>
  <si>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</si>
  <si>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</si>
  <si>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</si>
  <si>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</si>
  <si>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</si>
  <si>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</si>
  <si>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</si>
  <si>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</si>
  <si>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</si>
  <si>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</si>
  <si>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</si>
  <si>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</si>
  <si>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</si>
  <si>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</si>
  <si>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</si>
  <si>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</si>
  <si>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</si>
  <si>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</si>
  <si>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</si>
  <si>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</si>
  <si>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</si>
  <si>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</si>
  <si>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</si>
  <si>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</si>
  <si>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</si>
  <si>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</si>
  <si>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</si>
  <si>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</si>
  <si>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</si>
  <si>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</si>
  <si>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</si>
  <si>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</si>
  <si>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</si>
  <si>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</si>
  <si>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</si>
  <si>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</si>
  <si>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</si>
  <si>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</si>
  <si>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</si>
  <si>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</si>
  <si>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</si>
  <si>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</si>
  <si>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</si>
  <si>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</si>
  <si>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</si>
  <si>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</si>
  <si>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</si>
  <si>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</si>
  <si>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</si>
  <si>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</si>
  <si>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</si>
  <si>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</si>
  <si>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</si>
  <si>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</si>
  <si>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</si>
  <si>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</si>
  <si>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</si>
  <si>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</si>
  <si>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</si>
  <si>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</si>
  <si>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</si>
  <si>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</si>
  <si>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</si>
  <si>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</si>
  <si>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</si>
  <si>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</si>
  <si>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</si>
  <si>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</si>
  <si>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</si>
  <si>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</si>
  <si>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</si>
  <si>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</si>
  <si>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</si>
  <si>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</si>
  <si>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</si>
  <si>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</si>
  <si>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</si>
  <si>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</si>
  <si>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</si>
  <si>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</si>
  <si>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</si>
  <si>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</si>
  <si>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</si>
  <si>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</si>
  <si>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</si>
  <si>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</si>
  <si>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</si>
  <si>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</si>
  <si>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</si>
  <si>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</si>
  <si>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</si>
  <si>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</si>
  <si>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</si>
  <si>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</si>
  <si>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</si>
  <si>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</si>
  <si>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</si>
  <si>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</si>
  <si>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</si>
  <si>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</si>
  <si>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</si>
  <si>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</si>
  <si>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</si>
  <si>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</si>
  <si>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</si>
  <si>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</si>
  <si>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</si>
  <si>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</si>
  <si>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</si>
  <si>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</si>
  <si>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</si>
  <si>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</si>
  <si>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</si>
  <si>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</si>
  <si>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</si>
  <si>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</si>
  <si>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</si>
  <si>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</si>
  <si>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</si>
  <si>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</si>
  <si>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</si>
  <si>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</si>
  <si>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</si>
  <si>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</si>
  <si>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</si>
  <si>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</si>
  <si>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</si>
  <si>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</si>
  <si>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</si>
  <si>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</si>
  <si>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</si>
  <si>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</si>
  <si>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</si>
  <si>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</si>
  <si>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</si>
  <si>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</si>
  <si>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</si>
  <si>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</si>
  <si>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</si>
  <si>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</si>
  <si>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</si>
  <si>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</si>
  <si>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</si>
  <si>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</si>
  <si>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</si>
  <si>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</si>
  <si>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</si>
  <si>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</si>
  <si>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</si>
  <si>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</si>
  <si>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2.48</t>
  </si>
  <si>
    <t xml:space="preserve">   3.30</t>
  </si>
  <si>
    <t xml:space="preserve">   2.49</t>
  </si>
  <si>
    <t>!</t>
  </si>
  <si>
    <t>Minor</t>
  </si>
  <si>
    <t>None</t>
  </si>
  <si>
    <t xml:space="preserve"> 96.1</t>
  </si>
  <si>
    <t>Not requested</t>
  </si>
  <si>
    <t xml:space="preserve"> Free info</t>
  </si>
  <si>
    <t>Sales are beginning to tighten up as previous forecasts look</t>
  </si>
  <si>
    <t>too optimistic. Companies are hoping that the improvements</t>
  </si>
  <si>
    <t>they made in reducing costs and targetting marketing</t>
  </si>
  <si>
    <t>will now prove worthwhile.</t>
  </si>
  <si>
    <t xml:space="preserve"> 032 20/10/2017</t>
  </si>
  <si>
    <t xml:space="preserve"> GBR 200206124130</t>
  </si>
  <si>
    <t>Karol Pogorzelski</t>
  </si>
  <si>
    <t>Enactus/Enactus SGGW 1</t>
  </si>
  <si>
    <t>MAX CZAS MONTAŻU</t>
  </si>
  <si>
    <t>MAX CZAS MONTAŻU W RAZIE CZEGO</t>
  </si>
  <si>
    <t>MAX CZAS MONTAŻU PRAKTYCZNY</t>
  </si>
  <si>
    <t>MAX CZAS MASZYN TEORETYCZNIE</t>
  </si>
  <si>
    <t>8 maszyn MAX</t>
  </si>
  <si>
    <t>MAX CZAS MASZYN PRAKTYCZNY</t>
  </si>
  <si>
    <t>Przeliczenia z arkusza</t>
  </si>
  <si>
    <t>Przyszli monterzy</t>
  </si>
  <si>
    <t>P1</t>
  </si>
  <si>
    <t>P2</t>
  </si>
  <si>
    <t>P3</t>
  </si>
  <si>
    <t>Komponenty</t>
  </si>
  <si>
    <t>Wielkość produkcji</t>
  </si>
  <si>
    <t>SUMA</t>
  </si>
  <si>
    <t>Materiał</t>
  </si>
  <si>
    <t>Czas produkcji</t>
  </si>
  <si>
    <t>Czas montażu na 1</t>
  </si>
  <si>
    <t>Czas montażu suma</t>
  </si>
  <si>
    <t>x</t>
  </si>
  <si>
    <t>x=</t>
  </si>
  <si>
    <t>HAAAJS ZAROBIONY</t>
  </si>
  <si>
    <t>HAAAJS który moglem zarobic</t>
  </si>
  <si>
    <t>To co wyprodukuje plus zapas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</si>
</sst>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26" fillId="0" borderId="0" xfId="0" applyFont="1"/>
    <xf numFmtId="0" fontId="10" fillId="3" borderId="0" xfId="0" applyFont="1" applyFill="1" applyBorder="1"/>
    <xf numFmtId="0" fontId="8" fillId="3" borderId="0" xfId="0" applyFont="1" applyFill="1" applyBorder="1" applyAlignment="1">
      <alignment horizontal="left"/>
    </xf>
    <xf numFmtId="0" fontId="8" fillId="3" borderId="0" xfId="0" applyFont="1" applyFill="1"/>
    <xf numFmtId="0" fontId="8" fillId="3" borderId="0" xfId="0" applyFont="1" applyFill="1" applyBorder="1"/>
    <xf numFmtId="0" fontId="8" fillId="0" borderId="16" xfId="0" applyFont="1" applyBorder="1"/>
    <xf numFmtId="0" fontId="8" fillId="0" borderId="16" xfId="0" applyFont="1" applyBorder="1" applyAlignment="1">
      <alignment horizontal="left"/>
    </xf>
    <xf numFmtId="0" fontId="8" fillId="0" borderId="17" xfId="0" applyFont="1" applyBorder="1"/>
    <xf numFmtId="0" fontId="8" fillId="0" borderId="18" xfId="0" applyFont="1" applyBorder="1" applyAlignment="1">
      <alignment horizontal="right"/>
    </xf>
    <xf numFmtId="0" fontId="8" fillId="0" borderId="19" xfId="0" applyFont="1" applyBorder="1"/>
    <xf numFmtId="0" fontId="8" fillId="0" borderId="19" xfId="0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064174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>
        <row r="21">
          <cell r="F21">
            <v>375</v>
          </cell>
          <cell r="G21">
            <v>0</v>
          </cell>
          <cell r="H21">
            <v>590</v>
          </cell>
          <cell r="I21">
            <v>0</v>
          </cell>
          <cell r="J21">
            <v>825</v>
          </cell>
        </row>
      </sheetData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_W06418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Karol Pogorzelski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Enactus/Enactus SGGW 1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18</v>
      </c>
      <c r="F14" s="44">
        <f>W!A11</f>
        <v>14</v>
      </c>
      <c r="G14" s="45"/>
      <c r="H14" s="44">
        <f>W!A14</f>
        <v>13</v>
      </c>
      <c r="I14" s="46"/>
      <c r="J14" s="44">
        <f>W!A17</f>
        <v>13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14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12</v>
      </c>
      <c r="G15" s="51"/>
      <c r="H15" s="44">
        <f>W!A15</f>
        <v>12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17</v>
      </c>
      <c r="F16" s="57">
        <f>W!A13</f>
        <v>13</v>
      </c>
      <c r="G16" s="58"/>
      <c r="H16" s="57">
        <f>W!A16</f>
        <v>12</v>
      </c>
      <c r="I16" s="38"/>
      <c r="J16" s="57">
        <f>W!A19</f>
        <v>12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505</v>
      </c>
      <c r="I19" s="48">
        <f>W!B24</f>
        <v>0</v>
      </c>
      <c r="J19" s="63">
        <f>W!A27</f>
        <v>770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6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515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605</v>
      </c>
      <c r="I21" s="59">
        <f>W!B26</f>
        <v>0</v>
      </c>
      <c r="J21" s="57">
        <f>W!A29</f>
        <v>910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1535</v>
      </c>
      <c r="G24" s="48" t="str">
        <f>W!B31</f>
        <v>*</v>
      </c>
      <c r="H24" s="63">
        <f>W!A34</f>
        <v>825</v>
      </c>
      <c r="I24" s="48" t="str">
        <f>W!B34</f>
        <v>*</v>
      </c>
      <c r="J24" s="63">
        <f>W!A37</f>
        <v>475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3</v>
      </c>
      <c r="X24" s="69" t="str">
        <f>W!B82</f>
        <v>*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595</v>
      </c>
      <c r="G25" s="54" t="str">
        <f>W!B32</f>
        <v>*</v>
      </c>
      <c r="H25" s="44">
        <f>W!A35</f>
        <v>335</v>
      </c>
      <c r="I25" s="54" t="str">
        <f>W!B35</f>
        <v>*</v>
      </c>
      <c r="J25" s="44">
        <f>W!A38</f>
        <v>215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775</v>
      </c>
      <c r="G26" s="59" t="str">
        <f>W!B33</f>
        <v>*</v>
      </c>
      <c r="H26" s="57">
        <f>W!A36</f>
        <v>465</v>
      </c>
      <c r="I26" s="59" t="str">
        <f>W!B36</f>
        <v>*</v>
      </c>
      <c r="J26" s="41">
        <f>W!A39</f>
        <v>295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75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-500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175</v>
      </c>
      <c r="I31" s="49"/>
      <c r="J31" s="53">
        <f>W!A49</f>
        <v>335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80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showGridLines="0" topLeftCell="AR22" workbookViewId="0">
      <selection activeCell="AK18" sqref="AK18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52" ht="15.6">
      <c r="D1" s="14" t="s">
        <v>23</v>
      </c>
      <c r="E1" s="15">
        <f>W!A1</f>
        <v>6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1</v>
      </c>
    </row>
    <row r="2" spans="2:52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52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52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207" t="s">
        <v>361</v>
      </c>
      <c r="AJ4" s="207" t="s">
        <v>362</v>
      </c>
    </row>
    <row r="5" spans="2:52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19"/>
      <c r="AE5" s="19"/>
      <c r="AF5" s="19"/>
      <c r="AG5" s="19"/>
      <c r="AH5" s="19"/>
      <c r="AI5" s="19"/>
      <c r="AJ5" s="19"/>
      <c r="AK5" s="19"/>
      <c r="AL5" s="19"/>
    </row>
    <row r="6" spans="2:52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2768</v>
      </c>
      <c r="V6" s="188"/>
      <c r="W6" s="44">
        <f>W!A109</f>
        <v>1528</v>
      </c>
      <c r="X6" s="28"/>
      <c r="Y6" s="53">
        <f>W!A110</f>
        <v>959</v>
      </c>
      <c r="Z6" s="28"/>
      <c r="AA6" s="24"/>
      <c r="AC6" s="19"/>
      <c r="AD6" s="208">
        <f>N12*576</f>
        <v>16128</v>
      </c>
      <c r="AE6" s="19"/>
      <c r="AF6" s="28"/>
      <c r="AG6" s="28"/>
      <c r="AH6" s="28"/>
      <c r="AI6" s="28"/>
      <c r="AJ6" s="209">
        <f>AD9-(N12*13)</f>
        <v>14084</v>
      </c>
      <c r="AK6" s="28"/>
      <c r="AL6" s="19"/>
    </row>
    <row r="7" spans="2:52" ht="12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29</v>
      </c>
      <c r="O7" s="189">
        <f>W!A192</f>
        <v>33</v>
      </c>
      <c r="P7" s="24"/>
      <c r="R7" s="129"/>
      <c r="S7" s="19" t="s">
        <v>210</v>
      </c>
      <c r="T7" s="19"/>
      <c r="U7" s="53">
        <f>W!A111</f>
        <v>2913</v>
      </c>
      <c r="V7" s="188"/>
      <c r="W7" s="44">
        <f>W!A112</f>
        <v>1633</v>
      </c>
      <c r="X7" s="28"/>
      <c r="Y7" s="53">
        <f>W!A113</f>
        <v>991</v>
      </c>
      <c r="Z7" s="28"/>
      <c r="AA7" s="24"/>
      <c r="AC7" s="19"/>
      <c r="AD7" s="96"/>
      <c r="AE7" s="19"/>
      <c r="AF7" s="19"/>
      <c r="AG7" s="28"/>
      <c r="AH7" s="19"/>
      <c r="AI7" s="28"/>
      <c r="AJ7" s="19"/>
      <c r="AK7" s="28"/>
      <c r="AL7" s="19"/>
    </row>
    <row r="8" spans="2:52" ht="12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23</v>
      </c>
      <c r="P8" s="24"/>
      <c r="R8" s="129"/>
      <c r="S8" s="19" t="s">
        <v>213</v>
      </c>
      <c r="T8" s="19"/>
      <c r="U8" s="53">
        <f>W!A114</f>
        <v>83</v>
      </c>
      <c r="V8" s="188"/>
      <c r="W8" s="44">
        <f>W!A115</f>
        <v>50</v>
      </c>
      <c r="X8" s="28"/>
      <c r="Y8" s="53">
        <f>W!A116</f>
        <v>32</v>
      </c>
      <c r="Z8" s="28"/>
      <c r="AA8" s="24"/>
      <c r="AC8" s="19"/>
      <c r="AD8" s="207" t="s">
        <v>363</v>
      </c>
      <c r="AE8" s="19"/>
      <c r="AF8" s="44"/>
      <c r="AG8" s="28"/>
      <c r="AH8" s="44"/>
      <c r="AI8" s="28"/>
      <c r="AJ8" s="44"/>
      <c r="AK8" s="28"/>
      <c r="AL8" s="19"/>
    </row>
    <row r="9" spans="2:52">
      <c r="B9" s="129"/>
      <c r="C9" s="18" t="s">
        <v>214</v>
      </c>
      <c r="F9" s="19"/>
      <c r="G9" s="156">
        <f>G7-G8-G10</f>
        <v>100</v>
      </c>
      <c r="H9" s="24"/>
      <c r="I9" s="19"/>
      <c r="J9" s="129"/>
      <c r="K9" s="19" t="s">
        <v>215</v>
      </c>
      <c r="L9" s="19"/>
      <c r="M9" s="19"/>
      <c r="N9" s="189">
        <f>W!A82</f>
        <v>3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210">
        <f>AD6-N12*12-N12*48</f>
        <v>14448</v>
      </c>
      <c r="AE9" s="19"/>
      <c r="AF9" s="44"/>
      <c r="AG9" s="28"/>
      <c r="AH9" s="44"/>
      <c r="AI9" s="28"/>
      <c r="AJ9" s="44"/>
      <c r="AK9" s="28"/>
      <c r="AL9" s="19"/>
    </row>
    <row r="10" spans="2:52">
      <c r="B10" s="129"/>
      <c r="C10" s="18" t="s">
        <v>217</v>
      </c>
      <c r="F10" s="19"/>
      <c r="G10" s="156">
        <f>W!A284</f>
        <v>700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E10" s="19"/>
      <c r="AF10" s="44"/>
      <c r="AG10" s="28"/>
      <c r="AH10" s="44"/>
      <c r="AI10" s="28"/>
      <c r="AJ10" s="44"/>
      <c r="AK10" s="28"/>
      <c r="AL10" s="19"/>
    </row>
    <row r="11" spans="2:52" ht="12">
      <c r="B11" s="129"/>
      <c r="C11" s="18" t="s">
        <v>219</v>
      </c>
      <c r="F11" s="19"/>
      <c r="G11" s="156">
        <f>0.25*G10</f>
        <v>175</v>
      </c>
      <c r="H11" s="24"/>
      <c r="I11" s="19"/>
      <c r="J11" s="129"/>
      <c r="K11" s="28" t="s">
        <v>220</v>
      </c>
      <c r="L11" s="19"/>
      <c r="M11" s="19"/>
      <c r="N11" s="189">
        <f>N7+N8+N9-N10-N12</f>
        <v>4</v>
      </c>
      <c r="O11" s="189">
        <f>O7+O8+O9-O10-O12</f>
        <v>10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199" t="s">
        <v>364</v>
      </c>
      <c r="AE11" s="19"/>
      <c r="AF11" s="44"/>
      <c r="AG11" s="31"/>
      <c r="AH11" s="44"/>
      <c r="AI11" s="31"/>
      <c r="AJ11" s="44"/>
      <c r="AK11" s="31"/>
      <c r="AL11" s="19"/>
    </row>
    <row r="12" spans="2:52">
      <c r="B12" s="129"/>
      <c r="C12" s="18" t="s">
        <v>222</v>
      </c>
      <c r="F12" s="19" t="s">
        <v>5</v>
      </c>
      <c r="G12" s="156">
        <f>W!A285</f>
        <v>200</v>
      </c>
      <c r="H12" s="24"/>
      <c r="I12" s="19"/>
      <c r="J12" s="129"/>
      <c r="K12" s="19" t="s">
        <v>223</v>
      </c>
      <c r="L12" s="19"/>
      <c r="M12" s="19"/>
      <c r="N12" s="191">
        <f>W!A197</f>
        <v>28</v>
      </c>
      <c r="O12" s="191">
        <f>W!A198</f>
        <v>46</v>
      </c>
      <c r="P12" s="24"/>
      <c r="R12" s="129"/>
      <c r="S12" s="28" t="s">
        <v>224</v>
      </c>
      <c r="T12" s="19"/>
      <c r="U12" s="53">
        <f>W!A121</f>
        <v>1462</v>
      </c>
      <c r="V12" s="188"/>
      <c r="W12" s="53">
        <f>W!A124</f>
        <v>775</v>
      </c>
      <c r="X12" s="28"/>
      <c r="Y12" s="53">
        <f>W!A127</f>
        <v>462</v>
      </c>
      <c r="Z12" s="28"/>
      <c r="AA12" s="24"/>
      <c r="AC12" s="19"/>
      <c r="AD12" s="211">
        <f>G21*G22</f>
        <v>8544</v>
      </c>
      <c r="AE12" s="19"/>
      <c r="AF12" s="19"/>
      <c r="AG12" s="28"/>
      <c r="AH12" s="19"/>
      <c r="AI12" s="28"/>
      <c r="AJ12" s="19"/>
      <c r="AK12" s="28"/>
      <c r="AL12" s="19"/>
      <c r="AV12" s="18" t="s">
        <v>365</v>
      </c>
      <c r="AX12" s="18">
        <f>8*G22</f>
        <v>8544</v>
      </c>
    </row>
    <row r="13" spans="2:52" ht="12">
      <c r="B13" s="129"/>
      <c r="C13" s="18" t="s">
        <v>225</v>
      </c>
      <c r="F13" s="19"/>
      <c r="G13" s="156">
        <f>W!A286</f>
        <v>280</v>
      </c>
      <c r="H13" s="24"/>
      <c r="I13" s="19"/>
      <c r="J13" s="132"/>
      <c r="K13" s="62"/>
      <c r="L13" s="62"/>
      <c r="M13" s="62"/>
      <c r="N13" s="62">
        <f>N16*48</f>
        <v>27648</v>
      </c>
      <c r="O13" s="62"/>
      <c r="P13" s="76"/>
      <c r="R13" s="129"/>
      <c r="S13" s="100" t="s">
        <v>226</v>
      </c>
      <c r="T13" s="19"/>
      <c r="U13" s="53">
        <f>W!A122</f>
        <v>567</v>
      </c>
      <c r="V13" s="188"/>
      <c r="W13" s="53">
        <f>W!A125</f>
        <v>315</v>
      </c>
      <c r="X13" s="28"/>
      <c r="Y13" s="53">
        <f>W!A128</f>
        <v>209</v>
      </c>
      <c r="Z13" s="28"/>
      <c r="AA13" s="24"/>
      <c r="AC13" s="19"/>
      <c r="AD13" s="19"/>
      <c r="AE13" s="96"/>
      <c r="AF13" s="19"/>
      <c r="AG13" s="28"/>
      <c r="AH13" s="19"/>
      <c r="AI13" s="28"/>
      <c r="AJ13" s="19"/>
      <c r="AK13" s="28"/>
      <c r="AL13" s="19"/>
    </row>
    <row r="14" spans="2:52" ht="12">
      <c r="B14" s="129"/>
      <c r="C14" s="18" t="s">
        <v>227</v>
      </c>
      <c r="F14" s="19"/>
      <c r="G14" s="192">
        <f>W!A287</f>
        <v>35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739</v>
      </c>
      <c r="V14" s="188"/>
      <c r="W14" s="53">
        <f>W!A126</f>
        <v>438</v>
      </c>
      <c r="X14" s="28"/>
      <c r="Y14" s="53">
        <f>W!A129</f>
        <v>288</v>
      </c>
      <c r="Z14" s="28"/>
      <c r="AA14" s="24"/>
      <c r="AC14" s="19"/>
      <c r="AD14" s="199" t="s">
        <v>366</v>
      </c>
      <c r="AE14" s="19"/>
      <c r="AF14" s="44"/>
      <c r="AG14" s="28"/>
      <c r="AH14" s="44"/>
      <c r="AI14" s="28"/>
      <c r="AJ14" s="44" t="s">
        <v>367</v>
      </c>
      <c r="AK14" s="28"/>
      <c r="AL14" s="19"/>
      <c r="AO14" s="18" t="s">
        <v>383</v>
      </c>
      <c r="AV14" s="18" t="s">
        <v>368</v>
      </c>
    </row>
    <row r="15" spans="2:52" ht="12">
      <c r="B15" s="129"/>
      <c r="C15" s="28" t="s">
        <v>229</v>
      </c>
      <c r="D15" s="19"/>
      <c r="E15" s="19"/>
      <c r="F15" s="19"/>
      <c r="G15" s="193">
        <f>G10-SUM(G11:G14)</f>
        <v>10</v>
      </c>
      <c r="H15" s="24"/>
      <c r="I15" s="19"/>
      <c r="J15" s="129"/>
      <c r="K15" s="96" t="s">
        <v>336</v>
      </c>
      <c r="L15" s="19"/>
      <c r="M15" s="19"/>
      <c r="N15" s="19"/>
      <c r="O15" s="19">
        <f>576*N12-N12*48</f>
        <v>14784</v>
      </c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211">
        <f>AD12*0.961</f>
        <v>8210.7839999999997</v>
      </c>
      <c r="AE15" s="19"/>
      <c r="AF15" s="44"/>
      <c r="AG15" s="28"/>
      <c r="AH15" s="44"/>
      <c r="AI15" s="28"/>
      <c r="AJ15" s="18" t="s">
        <v>369</v>
      </c>
      <c r="AK15" s="28" t="s">
        <v>370</v>
      </c>
      <c r="AL15" s="19" t="s">
        <v>371</v>
      </c>
    </row>
    <row r="16" spans="2:52" ht="12">
      <c r="B16" s="129"/>
      <c r="H16" s="24"/>
      <c r="I16" s="19"/>
      <c r="J16" s="129"/>
      <c r="K16" s="19" t="s">
        <v>230</v>
      </c>
      <c r="L16" s="19"/>
      <c r="M16" s="19"/>
      <c r="N16" s="44">
        <f>O16/N7</f>
        <v>576</v>
      </c>
      <c r="O16" s="156">
        <f>W!A305</f>
        <v>16704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28"/>
      <c r="AE16" s="19"/>
      <c r="AF16" s="44"/>
      <c r="AG16" s="28"/>
      <c r="AH16" s="19"/>
      <c r="AI16" s="28"/>
      <c r="AJ16" s="212">
        <v>1270</v>
      </c>
      <c r="AK16" s="213">
        <v>680</v>
      </c>
      <c r="AL16" s="212">
        <v>300</v>
      </c>
      <c r="AO16" s="19"/>
      <c r="AP16" s="28"/>
      <c r="AQ16" s="212">
        <f>U31+AJ16</f>
        <v>1544</v>
      </c>
      <c r="AR16" s="213">
        <f>W31+AK16</f>
        <v>829</v>
      </c>
      <c r="AS16" s="212">
        <f>Y31+AL16</f>
        <v>461</v>
      </c>
      <c r="AV16" s="19"/>
      <c r="AW16" s="28"/>
      <c r="AX16" s="212">
        <v>1650</v>
      </c>
      <c r="AY16" s="213">
        <v>850</v>
      </c>
      <c r="AZ16" s="212">
        <v>400</v>
      </c>
    </row>
    <row r="17" spans="2:53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>
        <f>O17/N7</f>
        <v>11.724137931034482</v>
      </c>
      <c r="O17" s="156">
        <f>W!A306</f>
        <v>340</v>
      </c>
      <c r="P17" s="190">
        <f>W!B307</f>
        <v>0</v>
      </c>
      <c r="R17" s="129"/>
      <c r="S17" s="19" t="s">
        <v>235</v>
      </c>
      <c r="T17" s="19"/>
      <c r="U17" s="53">
        <f>W!A131</f>
        <v>964</v>
      </c>
      <c r="V17" s="188"/>
      <c r="W17" s="53">
        <f>W!A134</f>
        <v>561</v>
      </c>
      <c r="X17" s="28"/>
      <c r="Y17" s="53">
        <f>W!A137</f>
        <v>284</v>
      </c>
      <c r="Z17" s="28"/>
      <c r="AA17" s="24"/>
      <c r="AB17" s="18">
        <f>Y17*'Your decisions'!J19</f>
        <v>218680</v>
      </c>
      <c r="AC17" s="19"/>
      <c r="AD17" s="19"/>
      <c r="AE17" s="19"/>
      <c r="AF17" s="19"/>
      <c r="AG17" s="28"/>
      <c r="AH17" s="19"/>
      <c r="AI17" s="28"/>
      <c r="AJ17" s="212">
        <v>550</v>
      </c>
      <c r="AK17" s="213">
        <v>350</v>
      </c>
      <c r="AL17" s="212">
        <v>190</v>
      </c>
      <c r="AO17" s="19"/>
      <c r="AP17" s="28"/>
      <c r="AQ17" s="212">
        <f>U32+AJ17</f>
        <v>686</v>
      </c>
      <c r="AR17" s="213">
        <f>W32+AK17</f>
        <v>393</v>
      </c>
      <c r="AS17" s="212">
        <f>Y32+AL17</f>
        <v>274</v>
      </c>
      <c r="AV17" s="19"/>
      <c r="AW17" s="28"/>
      <c r="AX17" s="212">
        <v>850</v>
      </c>
      <c r="AY17" s="213">
        <v>400</v>
      </c>
      <c r="AZ17" s="212">
        <v>250</v>
      </c>
    </row>
    <row r="18" spans="2:53" ht="12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16363</v>
      </c>
      <c r="P18" s="24"/>
      <c r="R18" s="129"/>
      <c r="S18" s="101" t="s">
        <v>238</v>
      </c>
      <c r="T18" s="19"/>
      <c r="U18" s="53">
        <f>W!A132</f>
        <v>346</v>
      </c>
      <c r="V18" s="188"/>
      <c r="W18" s="53">
        <f>W!A135</f>
        <v>257</v>
      </c>
      <c r="X18" s="28"/>
      <c r="Y18" s="53">
        <f>W!A138</f>
        <v>122</v>
      </c>
      <c r="Z18" s="28"/>
      <c r="AA18" s="24"/>
      <c r="AC18" s="19"/>
      <c r="AD18" s="96"/>
      <c r="AE18" s="96"/>
      <c r="AF18" s="19"/>
      <c r="AG18" s="28"/>
      <c r="AH18" s="44"/>
      <c r="AI18" s="28"/>
      <c r="AJ18" s="212">
        <v>850</v>
      </c>
      <c r="AK18" s="213">
        <v>525</v>
      </c>
      <c r="AL18" s="212">
        <v>300</v>
      </c>
      <c r="AO18" s="44"/>
      <c r="AP18" s="28"/>
      <c r="AQ18" s="212">
        <f>U33+AJ18</f>
        <v>875</v>
      </c>
      <c r="AR18" s="213">
        <f>W33+AK18</f>
        <v>557</v>
      </c>
      <c r="AS18" s="212">
        <f>Y33+AL18</f>
        <v>376</v>
      </c>
      <c r="AV18" s="44"/>
      <c r="AW18" s="28"/>
      <c r="AX18" s="212">
        <v>1300</v>
      </c>
      <c r="AY18" s="213">
        <v>650</v>
      </c>
      <c r="AZ18" s="212">
        <v>300</v>
      </c>
    </row>
    <row r="19" spans="2:53">
      <c r="B19" s="129"/>
      <c r="C19" s="19" t="s">
        <v>239</v>
      </c>
      <c r="D19" s="19"/>
      <c r="E19" s="19"/>
      <c r="F19" s="19"/>
      <c r="G19" s="44">
        <f>W!A292</f>
        <v>7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714</v>
      </c>
      <c r="V19" s="188"/>
      <c r="W19" s="53">
        <f>W!A136</f>
        <v>406</v>
      </c>
      <c r="X19" s="28"/>
      <c r="Y19" s="53">
        <f>W!A139</f>
        <v>212</v>
      </c>
      <c r="Z19" s="28"/>
      <c r="AA19" s="24"/>
      <c r="AC19" s="19"/>
      <c r="AD19" s="19"/>
      <c r="AE19" s="19"/>
      <c r="AF19" s="44"/>
      <c r="AG19" s="28"/>
      <c r="AH19" s="44" t="s">
        <v>372</v>
      </c>
      <c r="AI19" s="28"/>
      <c r="AJ19" s="212"/>
      <c r="AK19" s="212"/>
      <c r="AL19" s="212"/>
      <c r="AO19" s="44" t="s">
        <v>372</v>
      </c>
      <c r="AP19" s="28"/>
      <c r="AQ19" s="212">
        <v>300</v>
      </c>
      <c r="AR19" s="212">
        <v>200</v>
      </c>
      <c r="AS19" s="212">
        <v>100</v>
      </c>
      <c r="AV19" s="44" t="s">
        <v>372</v>
      </c>
      <c r="AW19" s="28"/>
      <c r="AX19" s="212"/>
      <c r="AY19" s="212"/>
      <c r="AZ19" s="212"/>
    </row>
    <row r="20" spans="2:53" ht="12" thickBot="1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1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01">
        <f>W19+W29</f>
        <v>406</v>
      </c>
      <c r="AE20" s="19"/>
      <c r="AF20" s="44"/>
      <c r="AG20" s="28"/>
      <c r="AH20" s="130" t="s">
        <v>373</v>
      </c>
      <c r="AJ20" s="214">
        <f>AJ16+AJ17+AJ18-AJ19</f>
        <v>2670</v>
      </c>
      <c r="AK20" s="214">
        <f>AK16+AK17+AK18-AK19</f>
        <v>1555</v>
      </c>
      <c r="AL20" s="214">
        <f>AL16+AL17+AL18-AL19</f>
        <v>790</v>
      </c>
      <c r="AO20" s="130" t="s">
        <v>373</v>
      </c>
      <c r="AQ20" s="214">
        <f>AQ16+AQ17+AQ18-AQ19</f>
        <v>2805</v>
      </c>
      <c r="AR20" s="214">
        <f>AR16+AR17+AR18-AR19</f>
        <v>1579</v>
      </c>
      <c r="AS20" s="214">
        <f>AS16+AS17+AS18-AS19</f>
        <v>1011</v>
      </c>
      <c r="AV20" s="130" t="s">
        <v>373</v>
      </c>
      <c r="AX20" s="214">
        <f>AX16+AX17+AX18-AX19</f>
        <v>3800</v>
      </c>
      <c r="AY20" s="214">
        <f>AY16+AY17+AY18-AY19</f>
        <v>1900</v>
      </c>
      <c r="AZ20" s="214">
        <f>AZ16+AZ17+AZ18-AZ19</f>
        <v>950</v>
      </c>
    </row>
    <row r="21" spans="2:53" ht="12.6" thickBot="1">
      <c r="B21" s="129"/>
      <c r="C21" s="19" t="s">
        <v>242</v>
      </c>
      <c r="D21" s="19"/>
      <c r="E21" s="19"/>
      <c r="F21" s="19"/>
      <c r="G21" s="44">
        <f>W!A294</f>
        <v>8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19"/>
      <c r="AE21" s="19"/>
      <c r="AF21" s="44"/>
      <c r="AG21" s="28"/>
      <c r="AH21" s="44" t="s">
        <v>374</v>
      </c>
      <c r="AI21" s="28"/>
      <c r="AJ21" s="215">
        <f>SUM(AJ16:AJ18)</f>
        <v>2670</v>
      </c>
      <c r="AK21" s="215">
        <f>SUM(AK16:AK18)</f>
        <v>1555</v>
      </c>
      <c r="AL21" s="215">
        <f>SUM(AL16:AL18)</f>
        <v>790</v>
      </c>
      <c r="AM21" s="18" t="s">
        <v>374</v>
      </c>
      <c r="AO21" s="44" t="s">
        <v>374</v>
      </c>
      <c r="AP21" s="28"/>
      <c r="AQ21" s="215">
        <f>SUM(AQ16:AQ18)</f>
        <v>3105</v>
      </c>
      <c r="AR21" s="215">
        <f>SUM(AR16:AR18)</f>
        <v>1779</v>
      </c>
      <c r="AS21" s="215">
        <f>SUM(AS16:AS18)</f>
        <v>1111</v>
      </c>
      <c r="AT21" s="18" t="s">
        <v>374</v>
      </c>
      <c r="AV21" s="44" t="s">
        <v>374</v>
      </c>
      <c r="AW21" s="28"/>
      <c r="AX21" s="215">
        <f>SUM(AX16:AX18)</f>
        <v>3800</v>
      </c>
      <c r="AY21" s="215">
        <f>SUM(AY16:AY18)</f>
        <v>1900</v>
      </c>
      <c r="AZ21" s="215">
        <f>SUM(AZ16:AZ18)</f>
        <v>950</v>
      </c>
      <c r="BA21" s="18" t="s">
        <v>374</v>
      </c>
    </row>
    <row r="22" spans="2:53" ht="12">
      <c r="B22" s="129"/>
      <c r="C22" s="96"/>
      <c r="D22" s="96"/>
      <c r="E22" s="96"/>
      <c r="F22" s="96"/>
      <c r="G22" s="96">
        <f>G23/G19</f>
        <v>1068</v>
      </c>
      <c r="H22" s="24"/>
      <c r="I22" s="19"/>
      <c r="Q22" s="19"/>
      <c r="R22" s="129"/>
      <c r="S22" s="19" t="s">
        <v>235</v>
      </c>
      <c r="T22" s="19"/>
      <c r="U22" s="53">
        <f>W!A141</f>
        <v>1188</v>
      </c>
      <c r="V22" s="188"/>
      <c r="W22" s="53">
        <f>W!A144</f>
        <v>626</v>
      </c>
      <c r="X22" s="28"/>
      <c r="Y22" s="53">
        <f>W!A147</f>
        <v>301</v>
      </c>
      <c r="Z22" s="28"/>
      <c r="AA22" s="24"/>
      <c r="AC22" s="19"/>
      <c r="AD22" s="19"/>
      <c r="AE22" s="19"/>
      <c r="AF22" s="19"/>
      <c r="AG22" s="28"/>
      <c r="AH22" s="19" t="s">
        <v>375</v>
      </c>
      <c r="AI22" s="28"/>
      <c r="AJ22" s="216">
        <f>AJ20</f>
        <v>2670</v>
      </c>
      <c r="AK22" s="217">
        <f>AK20*2</f>
        <v>3110</v>
      </c>
      <c r="AL22" s="216">
        <f>AL20*3</f>
        <v>2370</v>
      </c>
      <c r="AM22" s="18">
        <f>SUM(AJ22:AL22)</f>
        <v>8150</v>
      </c>
      <c r="AO22" s="19" t="s">
        <v>375</v>
      </c>
      <c r="AP22" s="28"/>
      <c r="AQ22" s="216">
        <f>AQ20</f>
        <v>2805</v>
      </c>
      <c r="AR22" s="217">
        <f>AR20*2</f>
        <v>3158</v>
      </c>
      <c r="AS22" s="216">
        <f>AS20*3</f>
        <v>3033</v>
      </c>
      <c r="AT22" s="18">
        <f>SUM(AQ22:AS22)</f>
        <v>8996</v>
      </c>
      <c r="AV22" s="19" t="s">
        <v>375</v>
      </c>
      <c r="AW22" s="28"/>
      <c r="AX22" s="216">
        <f>AX20</f>
        <v>3800</v>
      </c>
      <c r="AY22" s="217">
        <f>AY20*2</f>
        <v>3800</v>
      </c>
      <c r="AZ22" s="216">
        <f>AZ20*3</f>
        <v>2850</v>
      </c>
      <c r="BA22" s="18">
        <f>SUM(AX22:AZ22)</f>
        <v>10450</v>
      </c>
    </row>
    <row r="23" spans="2:53" ht="12">
      <c r="B23" s="129"/>
      <c r="C23" s="19" t="s">
        <v>244</v>
      </c>
      <c r="D23" s="19"/>
      <c r="E23" s="19"/>
      <c r="F23" s="44"/>
      <c r="G23" s="44">
        <f>W!A301</f>
        <v>7476</v>
      </c>
      <c r="H23" s="52"/>
      <c r="I23" s="19"/>
      <c r="R23" s="129"/>
      <c r="S23" s="101" t="s">
        <v>238</v>
      </c>
      <c r="T23" s="19"/>
      <c r="U23" s="53">
        <f>W!A142</f>
        <v>431</v>
      </c>
      <c r="V23" s="188"/>
      <c r="W23" s="53">
        <f>W!A145</f>
        <v>272</v>
      </c>
      <c r="X23" s="28"/>
      <c r="Y23" s="53">
        <f>W!A148</f>
        <v>125</v>
      </c>
      <c r="Z23" s="28"/>
      <c r="AA23" s="24"/>
      <c r="AC23" s="19"/>
      <c r="AD23" s="96"/>
      <c r="AE23" s="19"/>
      <c r="AF23" s="19"/>
      <c r="AG23" s="28"/>
      <c r="AH23" s="19" t="s">
        <v>376</v>
      </c>
      <c r="AI23" s="28"/>
      <c r="AJ23" s="212">
        <f>AJ20*AK41</f>
        <v>166701.35275754423</v>
      </c>
      <c r="AK23" s="213">
        <f>AK20*AM41</f>
        <v>121357.96045785642</v>
      </c>
      <c r="AL23" s="212">
        <f>AL20*AO41</f>
        <v>98647.242455775238</v>
      </c>
      <c r="AM23" s="18">
        <f>SUM(AJ23:AL23)/60</f>
        <v>6445.1092611862659</v>
      </c>
      <c r="AO23" s="19" t="s">
        <v>376</v>
      </c>
      <c r="AP23" s="28"/>
      <c r="AQ23" s="212">
        <f>AQ20*$AK$39</f>
        <v>2695.605</v>
      </c>
      <c r="AR23" s="213">
        <f>AR20*$AM$39</f>
        <v>1517.4189999999999</v>
      </c>
      <c r="AS23" s="212">
        <f>AS20*$AO$39</f>
        <v>971.57099999999991</v>
      </c>
      <c r="AT23" s="18">
        <f>SUM(AQ23:AS23)/60</f>
        <v>86.40991666666666</v>
      </c>
      <c r="AV23" s="19" t="s">
        <v>376</v>
      </c>
      <c r="AW23" s="28"/>
      <c r="AX23" s="212">
        <f>AX20*$AK$41</f>
        <v>237252.8616024974</v>
      </c>
      <c r="AY23" s="213">
        <f>AY20*$AM$41</f>
        <v>148283.03850156089</v>
      </c>
      <c r="AZ23" s="212">
        <f>AZ20*$AO$41</f>
        <v>118626.4308012487</v>
      </c>
      <c r="BA23" s="18">
        <f>SUM(AX23:AZ23)/60</f>
        <v>8402.7055150884498</v>
      </c>
    </row>
    <row r="24" spans="2:53">
      <c r="B24" s="129"/>
      <c r="C24" s="19" t="s">
        <v>245</v>
      </c>
      <c r="D24" s="19"/>
      <c r="E24" s="19"/>
      <c r="F24" s="19"/>
      <c r="G24" s="44">
        <f>W!A302</f>
        <v>76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714</v>
      </c>
      <c r="V24" s="188"/>
      <c r="W24" s="53">
        <f>W!A146</f>
        <v>406</v>
      </c>
      <c r="X24" s="28"/>
      <c r="Y24" s="53">
        <f>W!A149</f>
        <v>212</v>
      </c>
      <c r="Z24" s="28"/>
      <c r="AA24" s="24"/>
      <c r="AC24" s="19"/>
      <c r="AD24" s="19"/>
      <c r="AE24" s="19"/>
      <c r="AF24" s="44"/>
      <c r="AG24" s="28"/>
      <c r="AH24" s="44" t="s">
        <v>377</v>
      </c>
      <c r="AI24" s="28"/>
      <c r="AJ24" s="44">
        <v>120</v>
      </c>
      <c r="AK24" s="28">
        <v>170</v>
      </c>
      <c r="AL24" s="19">
        <v>330</v>
      </c>
      <c r="AO24" s="44" t="s">
        <v>377</v>
      </c>
      <c r="AP24" s="28"/>
      <c r="AQ24" s="44">
        <v>125</v>
      </c>
      <c r="AR24" s="28">
        <v>175</v>
      </c>
      <c r="AS24" s="19">
        <v>335</v>
      </c>
      <c r="AV24" s="44" t="s">
        <v>377</v>
      </c>
      <c r="AW24" s="28"/>
      <c r="AX24" s="44">
        <v>140</v>
      </c>
      <c r="AY24" s="28">
        <v>190</v>
      </c>
      <c r="AZ24" s="19">
        <v>380</v>
      </c>
    </row>
    <row r="25" spans="2:53" ht="12">
      <c r="B25" s="129"/>
      <c r="C25" s="28" t="s">
        <v>237</v>
      </c>
      <c r="G25" s="44">
        <f>W!A303</f>
        <v>6434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01"/>
      <c r="AE25" s="19"/>
      <c r="AF25" s="44"/>
      <c r="AG25" s="28"/>
      <c r="AH25" s="44" t="s">
        <v>378</v>
      </c>
      <c r="AI25" s="28"/>
      <c r="AJ25" s="44">
        <f>AJ21*AJ24</f>
        <v>320400</v>
      </c>
      <c r="AK25" s="44">
        <f>AK21*AK24</f>
        <v>264350</v>
      </c>
      <c r="AL25" s="44">
        <f>AL21*AL24</f>
        <v>260700</v>
      </c>
      <c r="AM25" s="18">
        <f>SUM(AJ25:AL25)/60</f>
        <v>14090.833333333334</v>
      </c>
      <c r="AO25" s="44" t="s">
        <v>378</v>
      </c>
      <c r="AP25" s="28"/>
      <c r="AQ25" s="44">
        <f>AQ21*AQ24</f>
        <v>388125</v>
      </c>
      <c r="AR25" s="44">
        <f>AR21*AR24</f>
        <v>311325</v>
      </c>
      <c r="AS25" s="44">
        <f>AS21*AS24</f>
        <v>372185</v>
      </c>
      <c r="AT25" s="18">
        <f>SUM(AQ25:AS25)/60</f>
        <v>17860.583333333332</v>
      </c>
      <c r="AV25" s="44" t="s">
        <v>378</v>
      </c>
      <c r="AW25" s="28"/>
      <c r="AX25" s="44">
        <f>AX21*AX24</f>
        <v>532000</v>
      </c>
      <c r="AY25" s="44">
        <f>AY21*AY24</f>
        <v>361000</v>
      </c>
      <c r="AZ25" s="44">
        <f>AZ21*AZ24</f>
        <v>361000</v>
      </c>
      <c r="BA25" s="18">
        <f>SUM(AX25:AZ25)/60</f>
        <v>20900</v>
      </c>
    </row>
    <row r="26" spans="2:53" ht="12">
      <c r="B26" s="129"/>
      <c r="C26" s="19" t="s">
        <v>247</v>
      </c>
      <c r="D26" s="19"/>
      <c r="E26" s="19"/>
      <c r="F26" s="19"/>
      <c r="G26" s="44">
        <f>G19*W!A75-G24</f>
        <v>169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19"/>
      <c r="AE26" s="19"/>
      <c r="AF26" s="44"/>
      <c r="AG26" s="28"/>
      <c r="AH26" s="44"/>
      <c r="AI26" s="28"/>
      <c r="AJ26" s="44"/>
      <c r="AK26" s="28"/>
      <c r="AL26" s="19"/>
      <c r="AT26" s="18" t="b">
        <f>AJ6&lt;AT25</f>
        <v>1</v>
      </c>
      <c r="BA26" s="18">
        <f>BA25/576</f>
        <v>36.284722222222221</v>
      </c>
    </row>
    <row r="27" spans="2:53">
      <c r="B27" s="129"/>
      <c r="C27" s="19" t="s">
        <v>250</v>
      </c>
      <c r="D27" s="19"/>
      <c r="E27" s="19"/>
      <c r="F27" s="19"/>
      <c r="G27" s="196" t="str">
        <f>W!A304</f>
        <v xml:space="preserve"> 96.1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19"/>
      <c r="AG27" s="28"/>
      <c r="AH27" s="19"/>
      <c r="AI27" s="28"/>
      <c r="AJ27" s="19"/>
      <c r="AK27" s="28"/>
      <c r="AL27" s="19"/>
      <c r="AT27" s="18" t="b">
        <f>AT25&lt;AD9</f>
        <v>0</v>
      </c>
    </row>
    <row r="28" spans="2:53" ht="12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96"/>
      <c r="AE28" s="96"/>
      <c r="AF28" s="19"/>
      <c r="AG28" s="28"/>
      <c r="AH28" s="19"/>
      <c r="AI28" s="28"/>
      <c r="AJ28" s="19"/>
      <c r="AK28" s="28"/>
      <c r="AL28" s="19"/>
    </row>
    <row r="29" spans="2:53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44"/>
      <c r="AG29" s="28"/>
      <c r="AH29" s="44"/>
      <c r="AI29" s="28"/>
      <c r="AJ29" s="44"/>
      <c r="AK29" s="28"/>
      <c r="AL29" s="19"/>
    </row>
    <row r="30" spans="2:53" ht="12">
      <c r="B30" s="129"/>
      <c r="C30" s="19" t="s">
        <v>110</v>
      </c>
      <c r="D30" s="19"/>
      <c r="E30" s="19"/>
      <c r="F30" s="44"/>
      <c r="G30" s="44">
        <f>W!A311</f>
        <v>15274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101"/>
      <c r="AE30" s="19"/>
      <c r="AF30" s="44"/>
      <c r="AG30" s="28"/>
      <c r="AH30" s="44"/>
      <c r="AI30" s="28"/>
      <c r="AJ30" s="44"/>
      <c r="AK30" s="28"/>
      <c r="AL30" s="19"/>
    </row>
    <row r="31" spans="2:53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274</v>
      </c>
      <c r="V31" s="188"/>
      <c r="W31" s="53">
        <f>W!A164</f>
        <v>149</v>
      </c>
      <c r="X31" s="28"/>
      <c r="Y31" s="53">
        <f>W!A167</f>
        <v>161</v>
      </c>
      <c r="Z31" s="28"/>
      <c r="AA31" s="24"/>
      <c r="AC31" s="19"/>
      <c r="AD31" s="19"/>
      <c r="AE31" s="19"/>
      <c r="AF31" s="19"/>
      <c r="AG31" s="28"/>
      <c r="AH31" s="19"/>
      <c r="AI31" s="28"/>
      <c r="AJ31" s="19"/>
      <c r="AK31" s="28"/>
      <c r="AL31" s="19"/>
    </row>
    <row r="32" spans="2:53" ht="12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136</v>
      </c>
      <c r="V32" s="188"/>
      <c r="W32" s="53">
        <f>W!A165</f>
        <v>43</v>
      </c>
      <c r="X32" s="28"/>
      <c r="Y32" s="53">
        <f>W!A168</f>
        <v>84</v>
      </c>
      <c r="Z32" s="28"/>
      <c r="AA32" s="24"/>
      <c r="AC32" s="19"/>
      <c r="AD32" s="96"/>
      <c r="AE32" s="96"/>
      <c r="AF32" s="19"/>
      <c r="AG32" s="28"/>
      <c r="AH32" s="19"/>
      <c r="AI32" s="28"/>
      <c r="AJ32" s="19"/>
      <c r="AK32" s="28"/>
      <c r="AL32" s="19"/>
    </row>
    <row r="33" spans="2:53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25</v>
      </c>
      <c r="V33" s="188"/>
      <c r="W33" s="53">
        <f>W!A166</f>
        <v>32</v>
      </c>
      <c r="X33" s="28"/>
      <c r="Y33" s="53">
        <f>W!A169</f>
        <v>76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53">
      <c r="B34" s="129"/>
      <c r="C34" s="19" t="s">
        <v>259</v>
      </c>
      <c r="D34" s="19"/>
      <c r="E34" s="19"/>
      <c r="F34" s="19"/>
      <c r="G34" s="44">
        <f>W!A315</f>
        <v>8152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01"/>
      <c r="AE34" s="19"/>
      <c r="AF34" s="44"/>
      <c r="AG34" s="28"/>
      <c r="AH34" s="44"/>
      <c r="AI34" s="28"/>
      <c r="AJ34" s="44"/>
      <c r="AK34" s="28"/>
      <c r="AL34" s="19"/>
      <c r="AT34" s="18">
        <f>G37+13000-AT22</f>
        <v>4004</v>
      </c>
      <c r="AY34" s="18">
        <f>BA25/N16</f>
        <v>36.284722222222221</v>
      </c>
    </row>
    <row r="35" spans="2:53" ht="12">
      <c r="B35" s="129"/>
      <c r="C35" s="19" t="s">
        <v>260</v>
      </c>
      <c r="D35" s="19"/>
      <c r="E35" s="19"/>
      <c r="F35" s="19"/>
      <c r="G35" s="44">
        <f>W!A316</f>
        <v>7122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19"/>
      <c r="AE35" s="19"/>
      <c r="AF35" s="44"/>
      <c r="AG35" s="28"/>
      <c r="AH35" s="44"/>
      <c r="AI35" s="28"/>
      <c r="AJ35" s="44"/>
      <c r="AK35" s="28"/>
      <c r="AL35" s="19"/>
    </row>
    <row r="36" spans="2:53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46</v>
      </c>
      <c r="V36" s="190">
        <f>W!B171</f>
        <v>0</v>
      </c>
      <c r="W36" s="44">
        <f>W!A172</f>
        <v>35</v>
      </c>
      <c r="X36" s="190">
        <f>W!B172</f>
        <v>0</v>
      </c>
      <c r="Y36" s="44">
        <f>W!A173</f>
        <v>21</v>
      </c>
      <c r="Z36" s="31">
        <f>W!B173</f>
        <v>0</v>
      </c>
      <c r="AA36" s="24"/>
      <c r="AC36" s="19"/>
      <c r="AD36" s="19"/>
      <c r="AE36" s="19"/>
      <c r="AF36" s="19"/>
      <c r="AG36" s="28"/>
    </row>
    <row r="37" spans="2:53" ht="12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5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96"/>
      <c r="AE37" s="96"/>
      <c r="AF37" s="19"/>
      <c r="AG37" s="28"/>
      <c r="AJ37" s="19" t="s">
        <v>376</v>
      </c>
      <c r="AK37" s="28"/>
      <c r="AL37" s="19"/>
    </row>
    <row r="38" spans="2:53" ht="12">
      <c r="B38" s="129"/>
      <c r="C38" s="19" t="s">
        <v>266</v>
      </c>
      <c r="D38" s="19"/>
      <c r="E38" s="19"/>
      <c r="F38" s="19"/>
      <c r="G38" s="44">
        <f>W!A317</f>
        <v>10000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96"/>
      <c r="AE38" s="96"/>
      <c r="AF38" s="44"/>
      <c r="AG38" s="31"/>
      <c r="AJ38" s="44">
        <v>60</v>
      </c>
      <c r="AK38" s="28">
        <v>1</v>
      </c>
      <c r="AL38" s="44">
        <v>75</v>
      </c>
      <c r="AM38" s="28">
        <v>1</v>
      </c>
      <c r="AN38" s="44">
        <v>120</v>
      </c>
      <c r="AO38" s="28">
        <v>1</v>
      </c>
      <c r="AV38" s="18" t="s">
        <v>365</v>
      </c>
      <c r="AX38" s="18">
        <f>8*G48</f>
        <v>0</v>
      </c>
    </row>
    <row r="39" spans="2:53" ht="12">
      <c r="B39" s="129"/>
      <c r="C39" s="28" t="s">
        <v>267</v>
      </c>
      <c r="D39" s="19"/>
      <c r="E39" s="19"/>
      <c r="F39" s="19"/>
      <c r="G39" s="44">
        <f>1000*W!A59</f>
        <v>6000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19"/>
      <c r="AE39" s="19"/>
      <c r="AF39" s="19"/>
      <c r="AG39" s="28"/>
      <c r="AJ39" s="44" t="s">
        <v>379</v>
      </c>
      <c r="AK39" s="28">
        <v>0.96099999999999997</v>
      </c>
      <c r="AL39" s="44" t="s">
        <v>379</v>
      </c>
      <c r="AM39" s="28">
        <v>0.96099999999999997</v>
      </c>
      <c r="AN39" s="44" t="s">
        <v>379</v>
      </c>
      <c r="AO39" s="28">
        <v>0.96099999999999997</v>
      </c>
    </row>
    <row r="40" spans="2:53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34"/>
      <c r="AE40" s="96"/>
      <c r="AF40" s="19"/>
      <c r="AG40" s="28"/>
      <c r="AJ40" s="19"/>
      <c r="AK40" s="28"/>
      <c r="AL40" s="19"/>
      <c r="AM40" s="28"/>
      <c r="AN40" s="19"/>
      <c r="AO40" s="28"/>
      <c r="AV40" s="18" t="s">
        <v>368</v>
      </c>
    </row>
    <row r="41" spans="2:53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96"/>
      <c r="AE41" s="96"/>
      <c r="AF41" s="44"/>
      <c r="AG41" s="28"/>
      <c r="AJ41" s="19" t="s">
        <v>380</v>
      </c>
      <c r="AK41" s="28">
        <f>AJ38/AK39</f>
        <v>62.434963579604577</v>
      </c>
      <c r="AL41" s="19" t="s">
        <v>380</v>
      </c>
      <c r="AM41" s="28">
        <f>AL38/AM39</f>
        <v>78.043704474505731</v>
      </c>
      <c r="AN41" s="19" t="s">
        <v>380</v>
      </c>
      <c r="AO41" s="28">
        <f>AN38/AO39</f>
        <v>124.86992715920915</v>
      </c>
    </row>
    <row r="42" spans="2:53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300</v>
      </c>
      <c r="V42" s="188"/>
      <c r="W42" s="44">
        <f>W!A182</f>
        <v>200</v>
      </c>
      <c r="X42" s="28"/>
      <c r="Y42" s="53">
        <f>W!A183</f>
        <v>100</v>
      </c>
      <c r="Z42" s="28"/>
      <c r="AA42" s="24"/>
      <c r="AC42" s="19"/>
      <c r="AD42" s="19"/>
      <c r="AE42" s="96"/>
      <c r="AF42" s="19"/>
      <c r="AG42" s="28"/>
      <c r="AH42" s="19"/>
      <c r="AI42" s="28"/>
      <c r="AJ42" s="19"/>
      <c r="AK42" s="28"/>
      <c r="AL42" s="19"/>
      <c r="AV42" s="19"/>
      <c r="AW42" s="28"/>
      <c r="AX42" s="212">
        <f>AQ16-U22</f>
        <v>356</v>
      </c>
      <c r="AY42" s="213">
        <f>AR16-W17</f>
        <v>268</v>
      </c>
      <c r="AZ42" s="212">
        <f>AS16-Y22</f>
        <v>160</v>
      </c>
    </row>
    <row r="43" spans="2:53" ht="12">
      <c r="B43" s="129"/>
      <c r="C43" s="28" t="s">
        <v>274</v>
      </c>
      <c r="D43" s="19"/>
      <c r="E43" s="19"/>
      <c r="F43" s="19"/>
      <c r="G43" s="200">
        <f>W!A319</f>
        <v>21271</v>
      </c>
      <c r="H43" s="24"/>
      <c r="I43" s="19"/>
      <c r="J43" s="129"/>
      <c r="K43" s="18" t="s">
        <v>275</v>
      </c>
      <c r="N43" s="201">
        <f>0.00019*50*G10</f>
        <v>6.6499999999999995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1"/>
      <c r="AE43" s="19"/>
      <c r="AF43" s="44"/>
      <c r="AG43" s="28"/>
      <c r="AH43" s="44"/>
      <c r="AI43" s="28"/>
      <c r="AJ43" s="44"/>
      <c r="AK43" s="28"/>
      <c r="AL43" s="19"/>
      <c r="AV43" s="19"/>
      <c r="AW43" s="28"/>
      <c r="AX43" s="212">
        <f>AQ17-U23</f>
        <v>255</v>
      </c>
      <c r="AY43" s="213">
        <f>AR17-W18</f>
        <v>136</v>
      </c>
      <c r="AZ43" s="212">
        <f>AS17-Y23</f>
        <v>149</v>
      </c>
    </row>
    <row r="44" spans="2:53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28.582839999999997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 t="s">
        <v>381</v>
      </c>
      <c r="AK44" s="28"/>
      <c r="AL44" s="19"/>
      <c r="AV44" s="44"/>
      <c r="AW44" s="28"/>
      <c r="AX44" s="212">
        <f>AQ18-U24</f>
        <v>161</v>
      </c>
      <c r="AY44" s="213">
        <f>AR18-W19</f>
        <v>151</v>
      </c>
      <c r="AZ44" s="212">
        <f>AS18-Y24</f>
        <v>164</v>
      </c>
    </row>
    <row r="45" spans="2:53">
      <c r="B45" s="129"/>
      <c r="C45" s="86" t="s">
        <v>280</v>
      </c>
      <c r="G45" s="18">
        <f>W!A329</f>
        <v>98</v>
      </c>
      <c r="H45" s="24"/>
      <c r="I45" s="19"/>
      <c r="J45" s="129"/>
      <c r="K45" s="18" t="s">
        <v>281</v>
      </c>
      <c r="N45" s="201">
        <f>N43+N44</f>
        <v>35.232839999999996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>
        <f>U24*'[1]Your decisions'!F21</f>
        <v>267750</v>
      </c>
      <c r="AK45" s="44">
        <f>V24*'[1]Your decisions'!G21</f>
        <v>0</v>
      </c>
      <c r="AL45" s="44">
        <f>W24*'[1]Your decisions'!H21</f>
        <v>239540</v>
      </c>
      <c r="AM45" s="44">
        <f>X24*'[1]Your decisions'!I21</f>
        <v>0</v>
      </c>
      <c r="AN45" s="44">
        <f>Y24*'[1]Your decisions'!J21</f>
        <v>174900</v>
      </c>
      <c r="AO45" s="44"/>
      <c r="AP45" s="44"/>
      <c r="AV45" s="44" t="s">
        <v>372</v>
      </c>
      <c r="AW45" s="28"/>
      <c r="AX45" s="212"/>
      <c r="AY45" s="212"/>
      <c r="AZ45" s="212"/>
    </row>
    <row r="46" spans="2:53" ht="13.8" customHeight="1" thickBo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85"/>
      <c r="AE46" s="19"/>
      <c r="AF46" s="44"/>
      <c r="AG46" s="28"/>
      <c r="AH46" s="44"/>
      <c r="AI46" s="28"/>
      <c r="AJ46" s="44">
        <f>U25*'[1]Your decisions'!F22</f>
        <v>0</v>
      </c>
      <c r="AK46" s="44">
        <f>V25*'[1]Your decisions'!G22</f>
        <v>0</v>
      </c>
      <c r="AL46" s="44">
        <f>W25*'[1]Your decisions'!H22</f>
        <v>0</v>
      </c>
      <c r="AM46" s="44">
        <f>X25*'[1]Your decisions'!I22</f>
        <v>0</v>
      </c>
      <c r="AN46" s="44">
        <f>Y25*'[1]Your decisions'!J22</f>
        <v>0</v>
      </c>
      <c r="AV46" s="130" t="s">
        <v>373</v>
      </c>
      <c r="AX46" s="214">
        <f>AX42+AX43+AX44-AX45</f>
        <v>772</v>
      </c>
      <c r="AY46" s="214">
        <f>AY42+AY43+AY44-AY45</f>
        <v>555</v>
      </c>
      <c r="AZ46" s="214">
        <f>AZ42+AZ43+AZ44-AZ45</f>
        <v>473</v>
      </c>
    </row>
    <row r="47" spans="2:53" ht="12" thickBot="1">
      <c r="C47" s="120" t="s">
        <v>196</v>
      </c>
      <c r="I47" s="19"/>
      <c r="AD47" s="85"/>
      <c r="AE47" s="19"/>
      <c r="AF47" s="44"/>
      <c r="AG47" s="28"/>
      <c r="AH47" s="44"/>
      <c r="AI47" s="28"/>
      <c r="AJ47" s="44">
        <f>U26*'[1]Your decisions'!F23</f>
        <v>0</v>
      </c>
      <c r="AK47" s="44">
        <f>V26*'[1]Your decisions'!G23</f>
        <v>0</v>
      </c>
      <c r="AL47" s="44">
        <f>W26*'[1]Your decisions'!H23</f>
        <v>0</v>
      </c>
      <c r="AM47" s="44">
        <f>X26*'[1]Your decisions'!I23</f>
        <v>0</v>
      </c>
      <c r="AN47" s="44">
        <f>Y26*'[1]Your decisions'!J23</f>
        <v>0</v>
      </c>
      <c r="AV47" s="44" t="s">
        <v>374</v>
      </c>
      <c r="AW47" s="28"/>
      <c r="AX47" s="215">
        <f>SUM(AX42:AX44)</f>
        <v>772</v>
      </c>
      <c r="AY47" s="215">
        <f>SUM(AY42:AY44)</f>
        <v>555</v>
      </c>
      <c r="AZ47" s="215">
        <f>SUM(AZ42:AZ44)</f>
        <v>473</v>
      </c>
      <c r="BA47" s="18" t="s">
        <v>374</v>
      </c>
    </row>
    <row r="48" spans="2:53">
      <c r="D48" s="112"/>
      <c r="I48" s="19"/>
      <c r="M48" s="139" t="s">
        <v>17</v>
      </c>
      <c r="AD48" s="19"/>
      <c r="AE48" s="19"/>
      <c r="AF48" s="19"/>
      <c r="AG48" s="28"/>
      <c r="AH48" s="19"/>
      <c r="AI48" s="28"/>
      <c r="AJ48" s="44"/>
      <c r="AK48" s="44"/>
      <c r="AL48" s="44"/>
      <c r="AM48" s="44"/>
      <c r="AN48" s="44"/>
      <c r="AV48" s="19" t="s">
        <v>375</v>
      </c>
      <c r="AW48" s="28"/>
      <c r="AX48" s="216">
        <f>AX46</f>
        <v>772</v>
      </c>
      <c r="AY48" s="217">
        <f>AY46*2</f>
        <v>1110</v>
      </c>
      <c r="AZ48" s="216">
        <f>AZ46*3</f>
        <v>1419</v>
      </c>
      <c r="BA48" s="18">
        <f>SUM(AX48:AZ48)</f>
        <v>3301</v>
      </c>
    </row>
    <row r="49" spans="1:53">
      <c r="I49" s="19"/>
      <c r="AJ49" s="44">
        <f>SUM(AJ45:AJ48)</f>
        <v>267750</v>
      </c>
      <c r="AK49" s="44"/>
      <c r="AL49" s="44">
        <f>SUM(AL45:AL48)</f>
        <v>239540</v>
      </c>
      <c r="AM49" s="44"/>
      <c r="AN49" s="44">
        <f>SUM(AN45:AN48)</f>
        <v>174900</v>
      </c>
      <c r="AP49" s="18">
        <f>SUM(AJ49:AN49)</f>
        <v>682190</v>
      </c>
      <c r="AV49" s="19" t="s">
        <v>376</v>
      </c>
      <c r="AW49" s="28"/>
      <c r="AX49" s="212">
        <f>AX46*$AK$41</f>
        <v>48199.791883454731</v>
      </c>
      <c r="AY49" s="213">
        <f>AY46*$AM$41</f>
        <v>43314.255983350682</v>
      </c>
      <c r="AZ49" s="212">
        <f>AZ46*$AO$41</f>
        <v>59063.475546305934</v>
      </c>
      <c r="BA49" s="18">
        <f>SUM(AX49:AZ49)/60</f>
        <v>2509.6253902185222</v>
      </c>
    </row>
    <row r="50" spans="1:53">
      <c r="A50" s="19"/>
      <c r="B50" s="19"/>
      <c r="D50" s="19"/>
      <c r="E50" s="19"/>
      <c r="F50" s="19"/>
      <c r="I50" s="19"/>
      <c r="AV50" s="44" t="s">
        <v>377</v>
      </c>
      <c r="AW50" s="28"/>
      <c r="AX50" s="44">
        <v>140</v>
      </c>
      <c r="AY50" s="28">
        <v>190</v>
      </c>
      <c r="AZ50" s="19">
        <v>380</v>
      </c>
    </row>
    <row r="51" spans="1:53">
      <c r="B51" s="19"/>
      <c r="I51" s="19" t="s">
        <v>5</v>
      </c>
      <c r="AH51" s="18" t="s">
        <v>382</v>
      </c>
      <c r="AV51" s="44" t="s">
        <v>378</v>
      </c>
      <c r="AW51" s="28"/>
      <c r="AX51" s="44">
        <f>AX47*AX50</f>
        <v>108080</v>
      </c>
      <c r="AY51" s="44">
        <f>AY47*AY50</f>
        <v>105450</v>
      </c>
      <c r="AZ51" s="44">
        <f>AZ47*AZ50</f>
        <v>179740</v>
      </c>
      <c r="BA51" s="18">
        <f>SUM(AX51:AZ51)/60</f>
        <v>6554.5</v>
      </c>
    </row>
    <row r="52" spans="1:53">
      <c r="B52" s="19"/>
      <c r="I52" s="19"/>
      <c r="AJ52" s="18">
        <f>U19*'[1]Your decisions'!F21</f>
        <v>267750</v>
      </c>
      <c r="AK52" s="18">
        <f>V19*'[1]Your decisions'!G21</f>
        <v>0</v>
      </c>
      <c r="AL52" s="18">
        <f>W19*'[1]Your decisions'!H21</f>
        <v>239540</v>
      </c>
      <c r="AM52" s="18">
        <f>X19*'[1]Your decisions'!I21</f>
        <v>0</v>
      </c>
      <c r="AN52" s="18">
        <f>Y19*'[1]Your decisions'!J21</f>
        <v>174900</v>
      </c>
      <c r="BA52" s="18">
        <f>BA51/576</f>
        <v>11.379340277777779</v>
      </c>
    </row>
    <row r="53" spans="1:53">
      <c r="B53" s="19"/>
      <c r="I53" s="19"/>
      <c r="AJ53" s="18">
        <f>U20*'[1]Your decisions'!F22</f>
        <v>0</v>
      </c>
      <c r="AK53" s="18">
        <f>V20*'[1]Your decisions'!G22</f>
        <v>0</v>
      </c>
      <c r="AL53" s="18">
        <f>W20*'[1]Your decisions'!H22</f>
        <v>0</v>
      </c>
      <c r="AM53" s="18">
        <f>X20*'[1]Your decisions'!I22</f>
        <v>0</v>
      </c>
      <c r="AN53" s="18">
        <f>Y20*'[1]Your decisions'!J22</f>
        <v>0</v>
      </c>
    </row>
    <row r="54" spans="1:53">
      <c r="B54" s="19"/>
      <c r="I54" s="19"/>
      <c r="AJ54" s="18">
        <f>U21*'[1]Your decisions'!F23</f>
        <v>0</v>
      </c>
      <c r="AK54" s="18">
        <f>V21*'[1]Your decisions'!G23</f>
        <v>0</v>
      </c>
      <c r="AL54" s="18">
        <f>W21*'[1]Your decisions'!H23</f>
        <v>0</v>
      </c>
      <c r="AM54" s="18">
        <f>X21*'[1]Your decisions'!I23</f>
        <v>0</v>
      </c>
      <c r="AN54" s="18">
        <f>Y21*'[1]Your decisions'!J23</f>
        <v>0</v>
      </c>
    </row>
    <row r="55" spans="1:53">
      <c r="B55" s="19"/>
      <c r="I55" s="19"/>
      <c r="AJ55" s="18">
        <f>SUM(AJ52:AJ54)</f>
        <v>267750</v>
      </c>
      <c r="AL55" s="18">
        <f>SUM(AL52:AL54)</f>
        <v>239540</v>
      </c>
      <c r="AN55" s="18">
        <f>SUM(AN52:AN54)</f>
        <v>174900</v>
      </c>
      <c r="AP55" s="18">
        <f>SUM(AJ55:AN55)</f>
        <v>682190</v>
      </c>
    </row>
    <row r="56" spans="1:53">
      <c r="B56" s="19"/>
      <c r="I56" s="19"/>
    </row>
    <row r="57" spans="1:53">
      <c r="B57" s="19"/>
      <c r="I57" s="19"/>
    </row>
    <row r="58" spans="1:53">
      <c r="B58" s="19"/>
      <c r="I58" s="19"/>
    </row>
    <row r="59" spans="1:53">
      <c r="B59" s="19"/>
      <c r="C59" s="19"/>
      <c r="D59" s="19"/>
      <c r="E59" s="19"/>
      <c r="F59" s="19"/>
      <c r="G59" s="19"/>
      <c r="H59" s="19"/>
      <c r="I59" s="19"/>
    </row>
    <row r="60" spans="1:53">
      <c r="J60" s="19"/>
      <c r="K60" s="19"/>
      <c r="L60" s="19"/>
      <c r="M60" s="19"/>
    </row>
    <row r="61" spans="1:53">
      <c r="H61" s="19"/>
      <c r="I61" s="19"/>
      <c r="J61" s="19"/>
      <c r="K61" s="19"/>
      <c r="L61" s="19"/>
      <c r="M61" s="19"/>
    </row>
    <row r="62" spans="1:53">
      <c r="H62" s="19"/>
      <c r="I62" s="19"/>
      <c r="J62" s="19"/>
      <c r="L62" s="19"/>
      <c r="M62" s="19"/>
    </row>
    <row r="63" spans="1:53">
      <c r="H63" s="19"/>
      <c r="I63" s="19"/>
      <c r="J63" s="19"/>
      <c r="L63" s="19"/>
      <c r="M63" s="19"/>
    </row>
    <row r="64" spans="1:5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163000</v>
      </c>
      <c r="G8" s="171"/>
      <c r="H8" s="112"/>
      <c r="I8" s="112" t="s">
        <v>103</v>
      </c>
      <c r="J8" s="112"/>
      <c r="K8" s="112"/>
      <c r="L8" s="173">
        <f>W!A241</f>
        <v>2035925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50314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1878202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29187</v>
      </c>
      <c r="G10" s="171"/>
      <c r="H10" s="112"/>
      <c r="I10" s="112" t="s">
        <v>110</v>
      </c>
      <c r="J10" s="112"/>
      <c r="K10" s="112"/>
      <c r="L10" s="173">
        <f>W!A242</f>
        <v>1442823</v>
      </c>
      <c r="M10" s="171"/>
      <c r="N10" s="112"/>
      <c r="O10" s="112" t="s">
        <v>111</v>
      </c>
      <c r="P10" s="112"/>
      <c r="Q10" s="174"/>
      <c r="R10" s="174">
        <f>W!A262</f>
        <v>350000</v>
      </c>
      <c r="S10" s="171"/>
      <c r="T10" s="112"/>
      <c r="U10" s="112" t="s">
        <v>112</v>
      </c>
      <c r="V10" s="112"/>
      <c r="W10" s="112"/>
      <c r="X10" s="173">
        <f>W!A222</f>
        <v>20445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159136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2133482</v>
      </c>
      <c r="S11" s="171"/>
      <c r="T11" s="112"/>
      <c r="U11" s="112" t="s">
        <v>116</v>
      </c>
      <c r="V11" s="112"/>
      <c r="W11" s="112"/>
      <c r="X11" s="173">
        <f>W!A223</f>
        <v>2353077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20359</v>
      </c>
      <c r="G12" s="171"/>
      <c r="H12" s="112"/>
      <c r="I12" s="112" t="s">
        <v>118</v>
      </c>
      <c r="J12" s="112"/>
      <c r="K12" s="112"/>
      <c r="L12" s="173">
        <f>W!A244</f>
        <v>351300</v>
      </c>
      <c r="M12" s="171"/>
      <c r="N12" s="112"/>
      <c r="O12" s="112" t="s">
        <v>119</v>
      </c>
      <c r="P12" s="112"/>
      <c r="Q12" s="112"/>
      <c r="R12" s="173">
        <f>SUM(R9:R11)</f>
        <v>2533482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13260</v>
      </c>
      <c r="G13" s="171"/>
      <c r="H13" s="112"/>
      <c r="I13" s="112" t="s">
        <v>122</v>
      </c>
      <c r="J13" s="112"/>
      <c r="K13" s="112"/>
      <c r="L13" s="173">
        <f>W!A245</f>
        <v>106487</v>
      </c>
      <c r="M13" s="171"/>
      <c r="N13" s="112"/>
      <c r="S13" s="171"/>
      <c r="T13" s="112"/>
      <c r="U13" s="175" t="s">
        <v>123</v>
      </c>
      <c r="X13" s="174">
        <f>X9+X10-X11-X12</f>
        <v>-454430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80000</v>
      </c>
      <c r="G14" s="171"/>
      <c r="H14" s="112"/>
      <c r="I14" s="112" t="s">
        <v>125</v>
      </c>
      <c r="J14" s="112"/>
      <c r="K14" s="112"/>
      <c r="L14" s="173">
        <f>W!A246</f>
        <v>289541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235801</v>
      </c>
      <c r="M15" s="171"/>
      <c r="N15" s="112"/>
      <c r="O15" s="112" t="s">
        <v>129</v>
      </c>
      <c r="P15" s="112"/>
      <c r="Q15" s="112"/>
      <c r="R15" s="173">
        <f>W!A265</f>
        <v>228816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51500</v>
      </c>
      <c r="G16" s="171"/>
      <c r="H16" s="112"/>
      <c r="I16" s="112" t="s">
        <v>132</v>
      </c>
      <c r="J16" s="112"/>
      <c r="K16" s="112"/>
      <c r="L16" s="173">
        <f>W!A248</f>
        <v>5537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812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20825</v>
      </c>
      <c r="G17" s="171"/>
      <c r="H17" s="112"/>
      <c r="I17" s="112" t="s">
        <v>136</v>
      </c>
      <c r="L17" s="173">
        <f>W!A249</f>
        <v>76400</v>
      </c>
      <c r="M17" s="171"/>
      <c r="N17" s="112"/>
      <c r="O17" s="112" t="s">
        <v>137</v>
      </c>
      <c r="P17" s="112"/>
      <c r="Q17" s="112"/>
      <c r="R17" s="173">
        <f>W!A267</f>
        <v>1233403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12237</v>
      </c>
      <c r="G18" s="171"/>
      <c r="H18" s="112"/>
      <c r="I18" s="118" t="s">
        <v>140</v>
      </c>
      <c r="J18" s="112"/>
      <c r="K18" s="112"/>
      <c r="L18" s="177">
        <f>W!A250</f>
        <v>1462219</v>
      </c>
      <c r="M18" s="171"/>
      <c r="N18" s="112"/>
      <c r="O18" s="112" t="s">
        <v>141</v>
      </c>
      <c r="P18" s="112"/>
      <c r="Q18" s="112"/>
      <c r="R18" s="173">
        <f>W!A268</f>
        <v>1065723</v>
      </c>
      <c r="S18" s="171"/>
      <c r="T18" s="112"/>
      <c r="U18" s="112" t="s">
        <v>142</v>
      </c>
      <c r="V18" s="112"/>
      <c r="W18" s="112"/>
      <c r="X18" s="177">
        <f>W!A227</f>
        <v>340000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1045670</v>
      </c>
      <c r="M19" s="171"/>
      <c r="N19" s="112"/>
      <c r="O19" s="112" t="s">
        <v>145</v>
      </c>
      <c r="P19" s="112"/>
      <c r="Q19" s="112"/>
      <c r="R19" s="177">
        <f>W!A269</f>
        <v>650000</v>
      </c>
      <c r="S19" s="171"/>
      <c r="T19" s="112"/>
      <c r="U19" s="175" t="s">
        <v>146</v>
      </c>
      <c r="X19" s="174">
        <f>X16+X17-X18</f>
        <v>-339188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4275</v>
      </c>
      <c r="G20" s="171"/>
      <c r="H20" s="112"/>
      <c r="I20" s="112" t="s">
        <v>148</v>
      </c>
      <c r="J20" s="112"/>
      <c r="K20" s="112"/>
      <c r="L20" s="173">
        <f>W!A252</f>
        <v>990255</v>
      </c>
      <c r="M20" s="171"/>
      <c r="N20" s="112"/>
      <c r="O20" s="175" t="s">
        <v>149</v>
      </c>
      <c r="R20" s="180">
        <f>SUM(R15:R19)</f>
        <v>3177942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22146</v>
      </c>
      <c r="G21" s="171"/>
      <c r="H21" s="112"/>
      <c r="I21" s="112" t="s">
        <v>151</v>
      </c>
      <c r="J21" s="112"/>
      <c r="K21" s="112"/>
      <c r="L21" s="173">
        <f>W!A217</f>
        <v>740048</v>
      </c>
      <c r="M21" s="171"/>
      <c r="N21" s="112"/>
      <c r="O21" s="112" t="s">
        <v>152</v>
      </c>
      <c r="P21" s="112"/>
      <c r="Q21" s="112"/>
      <c r="R21" s="173">
        <f>R12+R20</f>
        <v>5711424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75000</v>
      </c>
      <c r="G22" s="171"/>
      <c r="H22" s="112"/>
      <c r="I22" s="112" t="s">
        <v>112</v>
      </c>
      <c r="J22" s="112"/>
      <c r="K22" s="112"/>
      <c r="L22" s="173">
        <f>W!A222</f>
        <v>20445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13809</v>
      </c>
      <c r="G23" s="171"/>
      <c r="H23" s="112"/>
      <c r="I23" s="112" t="s">
        <v>157</v>
      </c>
      <c r="J23" s="112"/>
      <c r="K23" s="112"/>
      <c r="L23" s="176">
        <f>W!A254</f>
        <v>54704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740048</v>
      </c>
      <c r="G24" s="171"/>
      <c r="H24" s="112"/>
      <c r="I24" s="175" t="s">
        <v>160</v>
      </c>
      <c r="L24" s="173">
        <f>L20-L21+L22-L23</f>
        <v>215948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812</v>
      </c>
      <c r="M25" s="171"/>
      <c r="N25" s="112"/>
      <c r="O25" s="178" t="s">
        <v>164</v>
      </c>
      <c r="P25" s="112"/>
      <c r="Q25" s="112"/>
      <c r="R25" s="173">
        <f>W!A272</f>
        <v>478872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20703</v>
      </c>
      <c r="M26" s="171"/>
      <c r="N26" s="112"/>
      <c r="O26" s="112" t="s">
        <v>167</v>
      </c>
      <c r="P26" s="112"/>
      <c r="Q26" s="112"/>
      <c r="R26" s="177">
        <f>W!A273</f>
        <v>1360285</v>
      </c>
      <c r="S26" s="171"/>
      <c r="T26" s="112"/>
      <c r="U26" s="112" t="s">
        <v>168</v>
      </c>
      <c r="V26" s="112"/>
      <c r="W26" s="112"/>
      <c r="X26" s="177">
        <f>W!A232</f>
        <v>20703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196057</v>
      </c>
      <c r="G27" s="171"/>
      <c r="H27" s="112"/>
      <c r="I27" s="175" t="s">
        <v>170</v>
      </c>
      <c r="J27" s="112"/>
      <c r="K27" s="112"/>
      <c r="L27" s="174">
        <f>L24+L25-L26</f>
        <v>196057</v>
      </c>
      <c r="M27" s="171"/>
      <c r="N27" s="112"/>
      <c r="O27" s="118" t="s">
        <v>171</v>
      </c>
      <c r="P27" s="112"/>
      <c r="Q27" s="112"/>
      <c r="R27" s="173">
        <f>SUM(R24:R26)</f>
        <v>1839157</v>
      </c>
      <c r="S27" s="171"/>
      <c r="T27" s="112"/>
      <c r="U27" s="175" t="s">
        <v>172</v>
      </c>
      <c r="X27" s="174">
        <f>X22-X23-X24+X25-X26</f>
        <v>-20703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-323790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-127733</v>
      </c>
      <c r="G29" s="171"/>
      <c r="H29" s="112"/>
      <c r="I29" s="112" t="s">
        <v>177</v>
      </c>
      <c r="J29" s="112"/>
      <c r="K29" s="112"/>
      <c r="L29" s="173">
        <f>W!A256</f>
        <v>196057</v>
      </c>
      <c r="M29" s="171"/>
      <c r="N29" s="112"/>
      <c r="S29" s="171"/>
      <c r="U29" s="181" t="s">
        <v>178</v>
      </c>
      <c r="V29" s="112"/>
      <c r="W29" s="112"/>
      <c r="X29" s="174">
        <f>W!A233</f>
        <v>-814321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4.9014249999999997</v>
      </c>
      <c r="M30" s="171"/>
      <c r="N30" s="112"/>
      <c r="O30" s="112" t="s">
        <v>180</v>
      </c>
      <c r="P30" s="112"/>
      <c r="Q30" s="112"/>
      <c r="R30" s="173">
        <f>R21-R27-R28</f>
        <v>3872267</v>
      </c>
      <c r="S30" s="171"/>
      <c r="U30" s="181" t="s">
        <v>181</v>
      </c>
      <c r="V30" s="112"/>
      <c r="W30" s="112"/>
      <c r="X30" s="176">
        <f>W!A234</f>
        <v>104036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-710285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650000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24136</v>
      </c>
      <c r="G33" s="171"/>
      <c r="H33" s="112"/>
      <c r="I33" s="112" t="s">
        <v>187</v>
      </c>
      <c r="J33" s="112"/>
      <c r="K33" s="112"/>
      <c r="L33" s="173">
        <f>L29-L32</f>
        <v>196057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3691</v>
      </c>
      <c r="G34" s="171"/>
      <c r="H34" s="112"/>
      <c r="I34" s="91" t="s">
        <v>190</v>
      </c>
      <c r="J34" s="112"/>
      <c r="K34" s="112"/>
      <c r="L34" s="177">
        <f>W!A260</f>
        <v>-323790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1411000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-127733</v>
      </c>
      <c r="M35" s="171"/>
      <c r="O35" s="112" t="s">
        <v>194</v>
      </c>
      <c r="P35" s="112"/>
      <c r="Q35" s="112"/>
      <c r="R35" s="177">
        <f>R36-R33-R34</f>
        <v>-127733</v>
      </c>
      <c r="S35" s="171"/>
      <c r="U35" s="112" t="s">
        <v>195</v>
      </c>
      <c r="V35" s="112"/>
      <c r="W35" s="112"/>
      <c r="X35" s="174">
        <f>W!A239</f>
        <v>451000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3872267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workbookViewId="0">
      <selection activeCell="F23" sqref="F23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2018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4237</v>
      </c>
      <c r="H5" s="35">
        <f>W!A506</f>
        <v>4352</v>
      </c>
      <c r="I5" s="35">
        <f>W!A504</f>
        <v>6143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1755</v>
      </c>
      <c r="H7" s="35">
        <f>W!A510</f>
        <v>1774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0.6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206</v>
      </c>
      <c r="I16" s="151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272</v>
      </c>
      <c r="I17" s="151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79345</v>
      </c>
      <c r="H20" s="135">
        <f>W!A516</f>
        <v>75378</v>
      </c>
      <c r="I20" s="135">
        <f>W!A517</f>
        <v>71410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Sales are beginning to tighten up as previous forecasts look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too optimistic. Companies are hoping that the improvements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they made in reducing costs and targetting marketing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will now prove worthwhile.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99.15</v>
      </c>
      <c r="G35" s="138">
        <f>W!A542/100</f>
        <v>105.65</v>
      </c>
      <c r="H35" s="138">
        <f>W!A562/100</f>
        <v>114.58</v>
      </c>
      <c r="I35" s="138">
        <f>W!A582/100</f>
        <v>93.11</v>
      </c>
      <c r="J35" s="138">
        <f>W!A602/100</f>
        <v>75.39</v>
      </c>
      <c r="K35" s="138">
        <f>W!A622/100</f>
        <v>105.08</v>
      </c>
      <c r="L35" s="138">
        <f>W!A642/100</f>
        <v>89.55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3966000</v>
      </c>
      <c r="G36" s="138">
        <f>W!A543</f>
        <v>4226000</v>
      </c>
      <c r="H36" s="138">
        <f>W!A563</f>
        <v>5041520</v>
      </c>
      <c r="I36" s="138">
        <f>W!A583</f>
        <v>3724400</v>
      </c>
      <c r="J36" s="138">
        <f>W!A603</f>
        <v>3317160</v>
      </c>
      <c r="K36" s="138">
        <f>W!A623</f>
        <v>4623520</v>
      </c>
      <c r="L36" s="138">
        <f>W!A643</f>
        <v>3582000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3966000</v>
      </c>
      <c r="G39" s="138">
        <f>W!A545</f>
        <v>4226000</v>
      </c>
      <c r="H39" s="138">
        <f>W!A565</f>
        <v>4621951</v>
      </c>
      <c r="I39" s="138">
        <f>W!A585</f>
        <v>3724400</v>
      </c>
      <c r="J39" s="138">
        <f>W!A605</f>
        <v>2897591</v>
      </c>
      <c r="K39" s="138">
        <f>W!A625</f>
        <v>4203951</v>
      </c>
      <c r="L39" s="138">
        <f>W!A645</f>
        <v>3582000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345</v>
      </c>
      <c r="G43" s="138">
        <f>W!A546</f>
        <v>331</v>
      </c>
      <c r="H43" s="138">
        <f>W!A566</f>
        <v>335</v>
      </c>
      <c r="I43" s="138">
        <f>W!A586</f>
        <v>325</v>
      </c>
      <c r="J43" s="138">
        <f>W!A606</f>
        <v>324</v>
      </c>
      <c r="K43" s="138">
        <f>W!A626</f>
        <v>345</v>
      </c>
      <c r="L43" s="138">
        <f>W!A646</f>
        <v>325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360</v>
      </c>
      <c r="G44" s="138">
        <f>W!A547</f>
        <v>340</v>
      </c>
      <c r="H44" s="138">
        <f>W!A567</f>
        <v>340</v>
      </c>
      <c r="I44" s="138">
        <f>W!A587</f>
        <v>335</v>
      </c>
      <c r="J44" s="138">
        <f>W!A607</f>
        <v>329</v>
      </c>
      <c r="K44" s="138">
        <f>W!A627</f>
        <v>353</v>
      </c>
      <c r="L44" s="138">
        <f>W!A647</f>
        <v>335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380</v>
      </c>
      <c r="G45" s="138">
        <f>W!A548</f>
        <v>378</v>
      </c>
      <c r="H45" s="138">
        <f>W!A568</f>
        <v>380</v>
      </c>
      <c r="I45" s="138">
        <f>W!A588</f>
        <v>375</v>
      </c>
      <c r="J45" s="138">
        <f>W!A608</f>
        <v>374</v>
      </c>
      <c r="K45" s="138">
        <f>W!A628</f>
        <v>397</v>
      </c>
      <c r="L45" s="138">
        <f>W!A648</f>
        <v>375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515</v>
      </c>
      <c r="G46" s="138">
        <f>W!A549</f>
        <v>504</v>
      </c>
      <c r="H46" s="138">
        <f>W!A569</f>
        <v>530</v>
      </c>
      <c r="I46" s="138">
        <f>W!A589</f>
        <v>505</v>
      </c>
      <c r="J46" s="138">
        <f>W!A609</f>
        <v>519</v>
      </c>
      <c r="K46" s="138">
        <f>W!A629</f>
        <v>531</v>
      </c>
      <c r="L46" s="138">
        <f>W!A649</f>
        <v>490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530</v>
      </c>
      <c r="G47" s="138">
        <f>W!A550</f>
        <v>505</v>
      </c>
      <c r="H47" s="138">
        <f>W!A570</f>
        <v>530</v>
      </c>
      <c r="I47" s="138">
        <f>W!A590</f>
        <v>515</v>
      </c>
      <c r="J47" s="138">
        <f>W!A610</f>
        <v>519</v>
      </c>
      <c r="K47" s="138">
        <f>W!A630</f>
        <v>525</v>
      </c>
      <c r="L47" s="138">
        <f>W!A650</f>
        <v>490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585</v>
      </c>
      <c r="G48" s="138">
        <f>W!A551</f>
        <v>590</v>
      </c>
      <c r="H48" s="138">
        <f>W!A571</f>
        <v>590</v>
      </c>
      <c r="I48" s="138">
        <f>W!A591</f>
        <v>605</v>
      </c>
      <c r="J48" s="138">
        <f>W!A611</f>
        <v>585</v>
      </c>
      <c r="K48" s="138">
        <f>W!A631</f>
        <v>609</v>
      </c>
      <c r="L48" s="138">
        <f>W!A651</f>
        <v>590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780</v>
      </c>
      <c r="G49" s="138">
        <f>W!A552</f>
        <v>753</v>
      </c>
      <c r="H49" s="138">
        <f>W!A572</f>
        <v>860</v>
      </c>
      <c r="I49" s="138">
        <f>W!A592</f>
        <v>770</v>
      </c>
      <c r="J49" s="138">
        <f>W!A612</f>
        <v>850</v>
      </c>
      <c r="K49" s="138">
        <f>W!A632</f>
        <v>745</v>
      </c>
      <c r="L49" s="138">
        <f>W!A652</f>
        <v>700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800</v>
      </c>
      <c r="G50" s="138">
        <f>W!A553</f>
        <v>782</v>
      </c>
      <c r="H50" s="138">
        <f>W!A573</f>
        <v>910</v>
      </c>
      <c r="I50" s="138">
        <f>W!A593</f>
        <v>800</v>
      </c>
      <c r="J50" s="138">
        <f>W!A613</f>
        <v>900</v>
      </c>
      <c r="K50" s="138">
        <f>W!A633</f>
        <v>753</v>
      </c>
      <c r="L50" s="138">
        <f>W!A653</f>
        <v>725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845</v>
      </c>
      <c r="G51" s="138">
        <f>W!A554</f>
        <v>857</v>
      </c>
      <c r="H51" s="138">
        <f>W!A574</f>
        <v>880</v>
      </c>
      <c r="I51" s="138">
        <f>W!A594</f>
        <v>910</v>
      </c>
      <c r="J51" s="138">
        <f>W!A614</f>
        <v>870</v>
      </c>
      <c r="K51" s="138">
        <f>W!A634</f>
        <v>885</v>
      </c>
      <c r="L51" s="138">
        <f>W!A654</f>
        <v>850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80</v>
      </c>
      <c r="G53" s="138">
        <f>W!A555</f>
        <v>75</v>
      </c>
      <c r="H53" s="138">
        <f>W!A575</f>
        <v>84</v>
      </c>
      <c r="I53" s="138">
        <f>W!A595</f>
        <v>85</v>
      </c>
      <c r="J53" s="138">
        <f>W!A615</f>
        <v>53</v>
      </c>
      <c r="K53" s="138">
        <f>W!A635</f>
        <v>72</v>
      </c>
      <c r="L53" s="138">
        <f>W!A655</f>
        <v>44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1214</v>
      </c>
      <c r="H54" s="138">
        <f>W!A576</f>
        <v>1210</v>
      </c>
      <c r="I54" s="138">
        <f>W!A596</f>
        <v>1220</v>
      </c>
      <c r="J54" s="138">
        <f>W!A616</f>
        <v>1212</v>
      </c>
      <c r="K54" s="138">
        <f>W!A636</f>
        <v>1217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6</v>
      </c>
      <c r="G55" s="138">
        <f>W!A557</f>
        <v>8</v>
      </c>
      <c r="H55" s="138">
        <f>W!A577</f>
        <v>13</v>
      </c>
      <c r="I55" s="138">
        <f>W!A597</f>
        <v>5</v>
      </c>
      <c r="J55" s="138">
        <f>W!A617</f>
        <v>8</v>
      </c>
      <c r="K55" s="138">
        <f>W!A637</f>
        <v>7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2018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1720606</v>
      </c>
      <c r="G67" s="138">
        <f>W!A722</f>
        <v>1442548</v>
      </c>
      <c r="H67" s="138">
        <f>W!A742</f>
        <v>1442548</v>
      </c>
      <c r="I67" s="138">
        <f>W!A762</f>
        <v>2533482</v>
      </c>
      <c r="J67" s="138">
        <f>W!A782</f>
        <v>1883106</v>
      </c>
      <c r="K67" s="138">
        <f>W!A802</f>
        <v>2005794</v>
      </c>
      <c r="L67" s="138">
        <f>W!A822</f>
        <v>1292548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2221637</v>
      </c>
      <c r="G68" s="138">
        <f>W!A723</f>
        <v>1288508</v>
      </c>
      <c r="H68" s="138">
        <f>W!A743</f>
        <v>1717013</v>
      </c>
      <c r="I68" s="138">
        <f>W!A763</f>
        <v>1462219</v>
      </c>
      <c r="J68" s="138">
        <f>W!A783</f>
        <v>1596563</v>
      </c>
      <c r="K68" s="138">
        <f>W!A803</f>
        <v>1299779</v>
      </c>
      <c r="L68" s="138">
        <f>W!A823</f>
        <v>38652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1017092</v>
      </c>
      <c r="G69" s="138">
        <f>W!A724</f>
        <v>1412214</v>
      </c>
      <c r="H69" s="138">
        <f>W!A744</f>
        <v>2055045</v>
      </c>
      <c r="I69" s="138">
        <f>W!A764</f>
        <v>1065723</v>
      </c>
      <c r="J69" s="138">
        <f>W!A784</f>
        <v>403988</v>
      </c>
      <c r="K69" s="138">
        <f>W!A804</f>
        <v>1161872</v>
      </c>
      <c r="L69" s="138">
        <f>W!A824</f>
        <v>537353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110942</v>
      </c>
      <c r="G70" s="138">
        <f>W!A725</f>
        <v>738719</v>
      </c>
      <c r="H70" s="138">
        <f>W!A745</f>
        <v>464093</v>
      </c>
      <c r="I70" s="138">
        <f>W!A765</f>
        <v>650000</v>
      </c>
      <c r="J70" s="138">
        <f>W!A785</f>
        <v>219235</v>
      </c>
      <c r="K70" s="138">
        <f>W!A805</f>
        <v>576787</v>
      </c>
      <c r="L70" s="138">
        <f>W!A825</f>
        <v>2232445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1251116</v>
      </c>
      <c r="G74" s="138">
        <f>W!A729</f>
        <v>884351</v>
      </c>
      <c r="H74" s="138">
        <f>W!A749</f>
        <v>1077451</v>
      </c>
      <c r="I74" s="138">
        <f>W!A769</f>
        <v>478872</v>
      </c>
      <c r="J74" s="138">
        <f>W!A789</f>
        <v>363794</v>
      </c>
      <c r="K74" s="138">
        <f>W!A809</f>
        <v>556846</v>
      </c>
      <c r="L74" s="138">
        <f>W!A829</f>
        <v>271006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1360285</v>
      </c>
      <c r="J75" s="138">
        <f>W!A790</f>
        <v>0</v>
      </c>
      <c r="K75" s="138">
        <f>W!A810</f>
        <v>0</v>
      </c>
      <c r="L75" s="138">
        <f>W!A830</f>
        <v>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4400000</v>
      </c>
      <c r="I80" s="138">
        <f>W!A774</f>
        <v>4000000</v>
      </c>
      <c r="J80" s="138">
        <f>W!A794</f>
        <v>4400000</v>
      </c>
      <c r="K80" s="138">
        <f>W!A814</f>
        <v>4400000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17480</v>
      </c>
      <c r="I81" s="138">
        <f>W!A775</f>
        <v>0</v>
      </c>
      <c r="J81" s="138">
        <f>W!A795</f>
        <v>17480</v>
      </c>
      <c r="K81" s="138">
        <f>W!A815</f>
        <v>17480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-180839</v>
      </c>
      <c r="G82" s="138">
        <f>W!A736</f>
        <v>-2362</v>
      </c>
      <c r="H82" s="138">
        <f>W!A756</f>
        <v>183768</v>
      </c>
      <c r="I82" s="138">
        <f>W!A776</f>
        <v>-127733</v>
      </c>
      <c r="J82" s="138">
        <f>W!A796</f>
        <v>-678382</v>
      </c>
      <c r="K82" s="138">
        <f>W!A816</f>
        <v>69906</v>
      </c>
      <c r="L82" s="138">
        <f>W!A836</f>
        <v>-170008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3819161</v>
      </c>
      <c r="G83" s="138">
        <f t="shared" si="0"/>
        <v>3997638</v>
      </c>
      <c r="H83" s="138">
        <f t="shared" si="0"/>
        <v>4601248</v>
      </c>
      <c r="I83" s="138">
        <f t="shared" si="0"/>
        <v>3872267</v>
      </c>
      <c r="J83" s="138">
        <f t="shared" si="0"/>
        <v>3739098</v>
      </c>
      <c r="K83" s="138">
        <f t="shared" si="0"/>
        <v>4487386</v>
      </c>
      <c r="L83" s="138">
        <f t="shared" si="0"/>
        <v>3829992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topLeftCell="A676" workbookViewId="0">
      <selection activeCell="A681" sqref="A681:A684"/>
    </sheetView>
  </sheetViews>
  <sheetFormatPr defaultRowHeight="13.2"/>
  <cols>
    <col min="1" max="1" width="52" bestFit="1" customWidth="1"/>
    <col min="2" max="2" width="1.6640625" style="133" bestFit="1" customWidth="1"/>
  </cols>
  <sheetData>
    <row r="1" spans="1:1">
      <c r="A1">
        <v>6</v>
      </c>
    </row>
    <row r="2" spans="1:1">
      <c r="A2">
        <v>4</v>
      </c>
    </row>
    <row r="3" spans="1:1">
      <c r="A3">
        <v>999</v>
      </c>
    </row>
    <row r="4" spans="1:1">
      <c r="A4">
        <v>2018</v>
      </c>
    </row>
    <row r="5" spans="1:1">
      <c r="A5">
        <v>1</v>
      </c>
    </row>
    <row r="6" spans="1:1">
      <c r="A6" t="s">
        <v>342</v>
      </c>
    </row>
    <row r="7" spans="1:1">
      <c r="A7">
        <v>18</v>
      </c>
    </row>
    <row r="8" spans="1:1">
      <c r="A8">
        <v>15</v>
      </c>
    </row>
    <row r="9" spans="1:1">
      <c r="A9">
        <v>17</v>
      </c>
    </row>
    <row r="10" spans="1:1">
      <c r="A10">
        <v>0</v>
      </c>
    </row>
    <row r="11" spans="1:1">
      <c r="A11">
        <v>14</v>
      </c>
    </row>
    <row r="12" spans="1:1">
      <c r="A12">
        <v>12</v>
      </c>
    </row>
    <row r="13" spans="1:1">
      <c r="A13">
        <v>13</v>
      </c>
    </row>
    <row r="14" spans="1:1">
      <c r="A14">
        <v>13</v>
      </c>
    </row>
    <row r="15" spans="1:1">
      <c r="A15">
        <v>12</v>
      </c>
    </row>
    <row r="16" spans="1:1">
      <c r="A16">
        <v>12</v>
      </c>
    </row>
    <row r="17" spans="1:2">
      <c r="A17">
        <v>13</v>
      </c>
    </row>
    <row r="18" spans="1:2">
      <c r="A18">
        <v>12</v>
      </c>
    </row>
    <row r="19" spans="1:2">
      <c r="A19">
        <v>12</v>
      </c>
    </row>
    <row r="20" spans="1:2">
      <c r="A20">
        <v>0</v>
      </c>
    </row>
    <row r="21" spans="1:2">
      <c r="A21">
        <v>325</v>
      </c>
    </row>
    <row r="22" spans="1:2">
      <c r="A22">
        <v>335</v>
      </c>
    </row>
    <row r="23" spans="1:2">
      <c r="A23">
        <v>375</v>
      </c>
    </row>
    <row r="24" spans="1:2">
      <c r="A24">
        <v>505</v>
      </c>
    </row>
    <row r="25" spans="1:2">
      <c r="A25">
        <v>515</v>
      </c>
    </row>
    <row r="26" spans="1:2">
      <c r="A26">
        <v>605</v>
      </c>
    </row>
    <row r="27" spans="1:2">
      <c r="A27">
        <v>770</v>
      </c>
    </row>
    <row r="28" spans="1:2">
      <c r="A28">
        <v>800</v>
      </c>
    </row>
    <row r="29" spans="1:2">
      <c r="A29">
        <v>910</v>
      </c>
    </row>
    <row r="30" spans="1:2">
      <c r="A30">
        <v>0</v>
      </c>
    </row>
    <row r="31" spans="1:2">
      <c r="A31">
        <v>1535</v>
      </c>
      <c r="B31" s="133" t="s">
        <v>343</v>
      </c>
    </row>
    <row r="32" spans="1:2">
      <c r="A32">
        <v>595</v>
      </c>
      <c r="B32" s="133" t="s">
        <v>343</v>
      </c>
    </row>
    <row r="33" spans="1:2">
      <c r="A33">
        <v>775</v>
      </c>
      <c r="B33" s="133" t="s">
        <v>343</v>
      </c>
    </row>
    <row r="34" spans="1:2">
      <c r="A34">
        <v>825</v>
      </c>
      <c r="B34" s="133" t="s">
        <v>343</v>
      </c>
    </row>
    <row r="35" spans="1:2">
      <c r="A35">
        <v>335</v>
      </c>
      <c r="B35" s="133" t="s">
        <v>343</v>
      </c>
    </row>
    <row r="36" spans="1:2">
      <c r="A36">
        <v>465</v>
      </c>
      <c r="B36" s="133" t="s">
        <v>343</v>
      </c>
    </row>
    <row r="37" spans="1:2">
      <c r="A37">
        <v>475</v>
      </c>
      <c r="B37" s="133" t="s">
        <v>343</v>
      </c>
    </row>
    <row r="38" spans="1:2">
      <c r="A38">
        <v>215</v>
      </c>
      <c r="B38" s="133" t="s">
        <v>343</v>
      </c>
    </row>
    <row r="39" spans="1:2">
      <c r="A39">
        <v>295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30</v>
      </c>
    </row>
    <row r="45" spans="1:2">
      <c r="A45">
        <v>25</v>
      </c>
    </row>
    <row r="46" spans="1:2">
      <c r="A46">
        <v>25</v>
      </c>
    </row>
    <row r="47" spans="1:2">
      <c r="A47">
        <v>125</v>
      </c>
    </row>
    <row r="48" spans="1:2">
      <c r="A48">
        <v>175</v>
      </c>
    </row>
    <row r="49" spans="1:1">
      <c r="A49">
        <v>335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6</v>
      </c>
    </row>
    <row r="60" spans="1:1">
      <c r="A60">
        <v>0</v>
      </c>
    </row>
    <row r="61" spans="1:1">
      <c r="A61">
        <v>4</v>
      </c>
    </row>
    <row r="62" spans="1:1">
      <c r="A62">
        <v>14</v>
      </c>
    </row>
    <row r="63" spans="1:1">
      <c r="A63">
        <v>7</v>
      </c>
    </row>
    <row r="64" spans="1:1">
      <c r="A64">
        <v>3</v>
      </c>
    </row>
    <row r="65" spans="1:1">
      <c r="A65">
        <v>11</v>
      </c>
    </row>
    <row r="66" spans="1:1">
      <c r="A66">
        <v>6</v>
      </c>
    </row>
    <row r="67" spans="1:1">
      <c r="A67">
        <v>0</v>
      </c>
    </row>
    <row r="68" spans="1:1">
      <c r="A68">
        <v>15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80</v>
      </c>
    </row>
    <row r="73" spans="1:1">
      <c r="A73">
        <v>1</v>
      </c>
    </row>
    <row r="74" spans="1:1">
      <c r="A74">
        <v>0</v>
      </c>
    </row>
    <row r="75" spans="1:1">
      <c r="A75">
        <v>35</v>
      </c>
    </row>
    <row r="76" spans="1:1">
      <c r="A76">
        <v>2</v>
      </c>
    </row>
    <row r="77" spans="1:1">
      <c r="A77">
        <v>8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0</v>
      </c>
      <c r="B81" s="133" t="s">
        <v>343</v>
      </c>
    </row>
    <row r="82" spans="1:2">
      <c r="A82">
        <v>3</v>
      </c>
      <c r="B82" s="133" t="s">
        <v>343</v>
      </c>
    </row>
    <row r="83" spans="1:2">
      <c r="A83">
        <v>1220</v>
      </c>
    </row>
    <row r="84" spans="1:2">
      <c r="A84">
        <v>0</v>
      </c>
    </row>
    <row r="85" spans="1:2">
      <c r="A85">
        <v>75</v>
      </c>
    </row>
    <row r="86" spans="1:2">
      <c r="A86">
        <v>3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-500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108</v>
      </c>
    </row>
    <row r="103" spans="1:1">
      <c r="A103">
        <v>125</v>
      </c>
    </row>
    <row r="104" spans="1:1">
      <c r="A104">
        <v>109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2768</v>
      </c>
    </row>
    <row r="109" spans="1:1">
      <c r="A109">
        <v>1528</v>
      </c>
    </row>
    <row r="110" spans="1:1">
      <c r="A110">
        <v>959</v>
      </c>
    </row>
    <row r="111" spans="1:1">
      <c r="A111">
        <v>2913</v>
      </c>
    </row>
    <row r="112" spans="1:1">
      <c r="A112">
        <v>1633</v>
      </c>
    </row>
    <row r="113" spans="1:2">
      <c r="A113">
        <v>991</v>
      </c>
    </row>
    <row r="114" spans="1:2">
      <c r="A114">
        <v>83</v>
      </c>
    </row>
    <row r="115" spans="1:2">
      <c r="A115">
        <v>50</v>
      </c>
    </row>
    <row r="116" spans="1:2">
      <c r="A116">
        <v>32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1462</v>
      </c>
    </row>
    <row r="122" spans="1:2">
      <c r="A122">
        <v>567</v>
      </c>
    </row>
    <row r="123" spans="1:2">
      <c r="A123">
        <v>739</v>
      </c>
    </row>
    <row r="124" spans="1:2">
      <c r="A124">
        <v>775</v>
      </c>
    </row>
    <row r="125" spans="1:2">
      <c r="A125">
        <v>315</v>
      </c>
    </row>
    <row r="126" spans="1:2">
      <c r="A126">
        <v>438</v>
      </c>
    </row>
    <row r="127" spans="1:2">
      <c r="A127">
        <v>462</v>
      </c>
    </row>
    <row r="128" spans="1:2">
      <c r="A128">
        <v>209</v>
      </c>
    </row>
    <row r="129" spans="1:1">
      <c r="A129">
        <v>288</v>
      </c>
    </row>
    <row r="130" spans="1:1">
      <c r="A130">
        <v>999</v>
      </c>
    </row>
    <row r="131" spans="1:1">
      <c r="A131">
        <v>964</v>
      </c>
    </row>
    <row r="132" spans="1:1">
      <c r="A132">
        <v>346</v>
      </c>
    </row>
    <row r="133" spans="1:1">
      <c r="A133">
        <v>714</v>
      </c>
    </row>
    <row r="134" spans="1:1">
      <c r="A134">
        <v>561</v>
      </c>
    </row>
    <row r="135" spans="1:1">
      <c r="A135">
        <v>257</v>
      </c>
    </row>
    <row r="136" spans="1:1">
      <c r="A136">
        <v>406</v>
      </c>
    </row>
    <row r="137" spans="1:1">
      <c r="A137">
        <v>284</v>
      </c>
    </row>
    <row r="138" spans="1:1">
      <c r="A138">
        <v>122</v>
      </c>
    </row>
    <row r="139" spans="1:1">
      <c r="A139">
        <v>212</v>
      </c>
    </row>
    <row r="140" spans="1:1">
      <c r="A140">
        <v>999</v>
      </c>
    </row>
    <row r="141" spans="1:1">
      <c r="A141">
        <v>1188</v>
      </c>
    </row>
    <row r="142" spans="1:1">
      <c r="A142">
        <v>431</v>
      </c>
    </row>
    <row r="143" spans="1:1">
      <c r="A143">
        <v>714</v>
      </c>
    </row>
    <row r="144" spans="1:1">
      <c r="A144">
        <v>626</v>
      </c>
    </row>
    <row r="145" spans="1:1">
      <c r="A145">
        <v>272</v>
      </c>
    </row>
    <row r="146" spans="1:1">
      <c r="A146">
        <v>406</v>
      </c>
    </row>
    <row r="147" spans="1:1">
      <c r="A147">
        <v>301</v>
      </c>
    </row>
    <row r="148" spans="1:1">
      <c r="A148">
        <v>125</v>
      </c>
    </row>
    <row r="149" spans="1:1">
      <c r="A149">
        <v>212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274</v>
      </c>
    </row>
    <row r="162" spans="1:1">
      <c r="A162">
        <v>136</v>
      </c>
    </row>
    <row r="163" spans="1:1">
      <c r="A163">
        <v>25</v>
      </c>
    </row>
    <row r="164" spans="1:1">
      <c r="A164">
        <v>149</v>
      </c>
    </row>
    <row r="165" spans="1:1">
      <c r="A165">
        <v>43</v>
      </c>
    </row>
    <row r="166" spans="1:1">
      <c r="A166">
        <v>32</v>
      </c>
    </row>
    <row r="167" spans="1:1">
      <c r="A167">
        <v>161</v>
      </c>
    </row>
    <row r="168" spans="1:1">
      <c r="A168">
        <v>84</v>
      </c>
    </row>
    <row r="169" spans="1:1">
      <c r="A169">
        <v>76</v>
      </c>
    </row>
    <row r="170" spans="1:1">
      <c r="A170">
        <v>999</v>
      </c>
    </row>
    <row r="171" spans="1:1">
      <c r="A171">
        <v>46</v>
      </c>
    </row>
    <row r="172" spans="1:1">
      <c r="A172">
        <v>35</v>
      </c>
    </row>
    <row r="173" spans="1:1">
      <c r="A173">
        <v>21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300</v>
      </c>
    </row>
    <row r="182" spans="1:1">
      <c r="A182">
        <v>200</v>
      </c>
    </row>
    <row r="183" spans="1:1">
      <c r="A183">
        <v>100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29</v>
      </c>
    </row>
    <row r="192" spans="1:1">
      <c r="A192">
        <v>33</v>
      </c>
    </row>
    <row r="193" spans="1:1">
      <c r="A193">
        <v>0</v>
      </c>
    </row>
    <row r="194" spans="1:1">
      <c r="A194">
        <v>23</v>
      </c>
    </row>
    <row r="195" spans="1:1">
      <c r="A195">
        <v>0</v>
      </c>
    </row>
    <row r="196" spans="1:1">
      <c r="A196">
        <v>0</v>
      </c>
    </row>
    <row r="197" spans="1:1">
      <c r="A197">
        <v>28</v>
      </c>
    </row>
    <row r="198" spans="1:1">
      <c r="A198">
        <v>46</v>
      </c>
    </row>
    <row r="199" spans="1:1">
      <c r="A199">
        <v>999</v>
      </c>
    </row>
    <row r="200" spans="1:1">
      <c r="A200">
        <v>999</v>
      </c>
    </row>
    <row r="201" spans="1:1">
      <c r="A201">
        <v>163000</v>
      </c>
    </row>
    <row r="202" spans="1:1">
      <c r="A202">
        <v>50314</v>
      </c>
    </row>
    <row r="203" spans="1:1">
      <c r="A203">
        <v>29187</v>
      </c>
    </row>
    <row r="204" spans="1:1">
      <c r="A204">
        <v>159136</v>
      </c>
    </row>
    <row r="205" spans="1:1">
      <c r="A205">
        <v>20359</v>
      </c>
    </row>
    <row r="206" spans="1:1">
      <c r="A206">
        <v>13260</v>
      </c>
    </row>
    <row r="207" spans="1:1">
      <c r="A207">
        <v>80000</v>
      </c>
    </row>
    <row r="208" spans="1:1">
      <c r="A208">
        <v>25000</v>
      </c>
    </row>
    <row r="209" spans="1:1">
      <c r="A209">
        <v>51500</v>
      </c>
    </row>
    <row r="210" spans="1:1">
      <c r="A210">
        <v>20825</v>
      </c>
    </row>
    <row r="211" spans="1:1">
      <c r="A211">
        <v>12237</v>
      </c>
    </row>
    <row r="212" spans="1:1">
      <c r="A212">
        <v>0</v>
      </c>
    </row>
    <row r="213" spans="1:1">
      <c r="A213">
        <v>4275</v>
      </c>
    </row>
    <row r="214" spans="1:1">
      <c r="A214">
        <v>22146</v>
      </c>
    </row>
    <row r="215" spans="1:1">
      <c r="A215">
        <v>75000</v>
      </c>
    </row>
    <row r="216" spans="1:1">
      <c r="A216">
        <v>13809</v>
      </c>
    </row>
    <row r="217" spans="1:1">
      <c r="A217">
        <v>740048</v>
      </c>
    </row>
    <row r="218" spans="1:1">
      <c r="A218">
        <v>1878202</v>
      </c>
    </row>
    <row r="219" spans="1:1">
      <c r="A219">
        <v>24136</v>
      </c>
    </row>
    <row r="220" spans="1:1">
      <c r="A220">
        <v>3691</v>
      </c>
    </row>
    <row r="221" spans="1:1">
      <c r="A221">
        <v>1878202</v>
      </c>
    </row>
    <row r="222" spans="1:1">
      <c r="A222">
        <v>20445</v>
      </c>
    </row>
    <row r="223" spans="1:1">
      <c r="A223">
        <v>2353077</v>
      </c>
    </row>
    <row r="224" spans="1:1">
      <c r="A224">
        <v>0</v>
      </c>
    </row>
    <row r="225" spans="1:1">
      <c r="A225">
        <v>812</v>
      </c>
    </row>
    <row r="226" spans="1:1">
      <c r="A226">
        <v>0</v>
      </c>
    </row>
    <row r="227" spans="1:1">
      <c r="A227">
        <v>340000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20703</v>
      </c>
    </row>
    <row r="233" spans="1:1">
      <c r="A233">
        <v>-814321</v>
      </c>
    </row>
    <row r="234" spans="1:1">
      <c r="A234">
        <v>104036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1411000</v>
      </c>
    </row>
    <row r="239" spans="1:1">
      <c r="A239">
        <v>451000</v>
      </c>
    </row>
    <row r="240" spans="1:1">
      <c r="A240">
        <v>-323790</v>
      </c>
    </row>
    <row r="241" spans="1:1">
      <c r="A241">
        <v>2035925</v>
      </c>
    </row>
    <row r="242" spans="1:1">
      <c r="A242">
        <v>1442823</v>
      </c>
    </row>
    <row r="243" spans="1:1">
      <c r="A243">
        <v>0</v>
      </c>
    </row>
    <row r="244" spans="1:1">
      <c r="A244">
        <v>351300</v>
      </c>
    </row>
    <row r="245" spans="1:1">
      <c r="A245">
        <v>106487</v>
      </c>
    </row>
    <row r="246" spans="1:1">
      <c r="A246">
        <v>289541</v>
      </c>
    </row>
    <row r="247" spans="1:1">
      <c r="A247">
        <v>235801</v>
      </c>
    </row>
    <row r="248" spans="1:1">
      <c r="A248">
        <v>5537</v>
      </c>
    </row>
    <row r="249" spans="1:1">
      <c r="A249">
        <v>76400</v>
      </c>
    </row>
    <row r="250" spans="1:1">
      <c r="A250">
        <v>1462219</v>
      </c>
    </row>
    <row r="251" spans="1:1">
      <c r="A251">
        <v>1045670</v>
      </c>
    </row>
    <row r="252" spans="1:1">
      <c r="A252">
        <v>990255</v>
      </c>
    </row>
    <row r="253" spans="1:1">
      <c r="A253">
        <v>0</v>
      </c>
    </row>
    <row r="254" spans="1:1">
      <c r="A254">
        <v>54704</v>
      </c>
    </row>
    <row r="255" spans="1:1">
      <c r="A255">
        <v>0</v>
      </c>
    </row>
    <row r="256" spans="1:1">
      <c r="A256">
        <v>196057</v>
      </c>
    </row>
    <row r="257" spans="1:1">
      <c r="A257">
        <v>-127733</v>
      </c>
    </row>
    <row r="258" spans="1:1">
      <c r="A258">
        <v>999</v>
      </c>
    </row>
    <row r="259" spans="1:1">
      <c r="A259">
        <v>999</v>
      </c>
    </row>
    <row r="260" spans="1:1">
      <c r="A260">
        <v>-323790</v>
      </c>
    </row>
    <row r="261" spans="1:1">
      <c r="A261">
        <v>50000</v>
      </c>
    </row>
    <row r="262" spans="1:1">
      <c r="A262">
        <v>350000</v>
      </c>
    </row>
    <row r="263" spans="1:1">
      <c r="A263">
        <v>2133482</v>
      </c>
    </row>
    <row r="264" spans="1:1">
      <c r="A264">
        <v>0</v>
      </c>
    </row>
    <row r="265" spans="1:1">
      <c r="A265">
        <v>228816</v>
      </c>
    </row>
    <row r="266" spans="1:1">
      <c r="A266">
        <v>0</v>
      </c>
    </row>
    <row r="267" spans="1:1">
      <c r="A267">
        <v>1233403</v>
      </c>
    </row>
    <row r="268" spans="1:1">
      <c r="A268">
        <v>1065723</v>
      </c>
    </row>
    <row r="269" spans="1:1">
      <c r="A269">
        <v>650000</v>
      </c>
    </row>
    <row r="270" spans="1:1">
      <c r="A270">
        <v>650000</v>
      </c>
    </row>
    <row r="271" spans="1:1">
      <c r="A271">
        <v>0</v>
      </c>
    </row>
    <row r="272" spans="1:1">
      <c r="A272">
        <v>478872</v>
      </c>
    </row>
    <row r="273" spans="1:1">
      <c r="A273">
        <v>1360285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3872267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200</v>
      </c>
    </row>
    <row r="286" spans="1:1">
      <c r="A286">
        <v>280</v>
      </c>
    </row>
    <row r="287" spans="1:1">
      <c r="A287">
        <v>35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7</v>
      </c>
    </row>
    <row r="293" spans="1:2">
      <c r="A293">
        <v>1</v>
      </c>
    </row>
    <row r="294" spans="1:2">
      <c r="A294">
        <v>8</v>
      </c>
    </row>
    <row r="295" spans="1:2">
      <c r="A295">
        <v>1381</v>
      </c>
    </row>
    <row r="296" spans="1:2">
      <c r="A296">
        <v>10</v>
      </c>
    </row>
    <row r="297" spans="1:2">
      <c r="A297">
        <v>500</v>
      </c>
    </row>
    <row r="298" spans="1:2">
      <c r="A298">
        <v>5</v>
      </c>
    </row>
    <row r="299" spans="1:2">
      <c r="A299">
        <v>300</v>
      </c>
    </row>
    <row r="300" spans="1:2">
      <c r="A300">
        <v>6</v>
      </c>
    </row>
    <row r="301" spans="1:2">
      <c r="A301">
        <v>7476</v>
      </c>
    </row>
    <row r="302" spans="1:2">
      <c r="A302">
        <v>76</v>
      </c>
      <c r="B302" s="133" t="s">
        <v>347</v>
      </c>
    </row>
    <row r="303" spans="1:2">
      <c r="A303">
        <v>6434</v>
      </c>
    </row>
    <row r="304" spans="1:2">
      <c r="A304" t="s">
        <v>350</v>
      </c>
    </row>
    <row r="305" spans="1:1">
      <c r="A305">
        <v>16704</v>
      </c>
    </row>
    <row r="306" spans="1:1">
      <c r="A306">
        <v>340</v>
      </c>
    </row>
    <row r="307" spans="1:1">
      <c r="A307">
        <v>16363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15274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8152</v>
      </c>
    </row>
    <row r="316" spans="1:1">
      <c r="A316">
        <v>7122</v>
      </c>
    </row>
    <row r="317" spans="1:1">
      <c r="A317">
        <v>10000</v>
      </c>
    </row>
    <row r="318" spans="1:1">
      <c r="A318">
        <v>8</v>
      </c>
    </row>
    <row r="319" spans="1:1">
      <c r="A319">
        <v>21271</v>
      </c>
    </row>
    <row r="320" spans="1:1">
      <c r="A320">
        <v>999</v>
      </c>
    </row>
    <row r="321" spans="1:1">
      <c r="A321">
        <v>3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3</v>
      </c>
    </row>
    <row r="327" spans="1:1">
      <c r="A327">
        <v>8</v>
      </c>
    </row>
    <row r="328" spans="1:1">
      <c r="A328">
        <v>8</v>
      </c>
    </row>
    <row r="329" spans="1:1">
      <c r="A329">
        <v>98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352</v>
      </c>
    </row>
    <row r="501" spans="1:1">
      <c r="A501">
        <v>6</v>
      </c>
    </row>
    <row r="502" spans="1:1">
      <c r="A502">
        <v>11</v>
      </c>
    </row>
    <row r="503" spans="1:1">
      <c r="A503">
        <v>50</v>
      </c>
    </row>
    <row r="504" spans="1:1">
      <c r="A504">
        <v>6143</v>
      </c>
    </row>
    <row r="505" spans="1:1">
      <c r="A505">
        <v>4237</v>
      </c>
    </row>
    <row r="506" spans="1:1">
      <c r="A506">
        <v>4352</v>
      </c>
    </row>
    <row r="507" spans="1:1">
      <c r="A507">
        <v>83</v>
      </c>
    </row>
    <row r="508" spans="1:1">
      <c r="A508">
        <v>44</v>
      </c>
    </row>
    <row r="509" spans="1:1">
      <c r="A509">
        <v>1755</v>
      </c>
    </row>
    <row r="510" spans="1:1">
      <c r="A510">
        <v>1774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65856</v>
      </c>
    </row>
    <row r="515" spans="1:1">
      <c r="A515">
        <v>79345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9915</v>
      </c>
    </row>
    <row r="523" spans="1:1">
      <c r="A523">
        <v>3966000</v>
      </c>
    </row>
    <row r="524" spans="1:1">
      <c r="A524">
        <v>0</v>
      </c>
    </row>
    <row r="525" spans="1:1">
      <c r="A525">
        <v>3966000</v>
      </c>
    </row>
    <row r="526" spans="1:1">
      <c r="A526">
        <v>345</v>
      </c>
    </row>
    <row r="527" spans="1:1">
      <c r="A527">
        <v>360</v>
      </c>
    </row>
    <row r="528" spans="1:1">
      <c r="A528">
        <v>380</v>
      </c>
    </row>
    <row r="529" spans="1:1">
      <c r="A529">
        <v>515</v>
      </c>
    </row>
    <row r="530" spans="1:1">
      <c r="A530">
        <v>530</v>
      </c>
    </row>
    <row r="531" spans="1:1">
      <c r="A531">
        <v>585</v>
      </c>
    </row>
    <row r="532" spans="1:1">
      <c r="A532">
        <v>780</v>
      </c>
    </row>
    <row r="533" spans="1:1">
      <c r="A533">
        <v>800</v>
      </c>
    </row>
    <row r="534" spans="1:1">
      <c r="A534">
        <v>845</v>
      </c>
    </row>
    <row r="535" spans="1:1">
      <c r="A535">
        <v>80</v>
      </c>
    </row>
    <row r="536" spans="1:1">
      <c r="A536">
        <v>1250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10565</v>
      </c>
    </row>
    <row r="543" spans="1:1">
      <c r="A543">
        <v>4226000</v>
      </c>
    </row>
    <row r="544" spans="1:1">
      <c r="A544">
        <v>0</v>
      </c>
    </row>
    <row r="545" spans="1:2">
      <c r="A545">
        <v>4226000</v>
      </c>
    </row>
    <row r="546" spans="1:2">
      <c r="A546">
        <v>331</v>
      </c>
    </row>
    <row r="547" spans="1:2">
      <c r="A547">
        <v>340</v>
      </c>
    </row>
    <row r="548" spans="1:2">
      <c r="A548">
        <v>378</v>
      </c>
    </row>
    <row r="549" spans="1:2">
      <c r="A549">
        <v>504</v>
      </c>
    </row>
    <row r="550" spans="1:2">
      <c r="A550">
        <v>505</v>
      </c>
    </row>
    <row r="551" spans="1:2">
      <c r="A551">
        <v>590</v>
      </c>
    </row>
    <row r="552" spans="1:2">
      <c r="A552">
        <v>753</v>
      </c>
    </row>
    <row r="553" spans="1:2">
      <c r="A553">
        <v>782</v>
      </c>
      <c r="B553"/>
    </row>
    <row r="554" spans="1:2">
      <c r="A554">
        <v>857</v>
      </c>
      <c r="B554"/>
    </row>
    <row r="555" spans="1:2">
      <c r="A555">
        <v>75</v>
      </c>
      <c r="B555"/>
    </row>
    <row r="556" spans="1:2">
      <c r="A556">
        <v>1214</v>
      </c>
      <c r="B556"/>
    </row>
    <row r="557" spans="1:2">
      <c r="A557">
        <v>8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11458</v>
      </c>
    </row>
    <row r="563" spans="1:1">
      <c r="A563">
        <v>5041520</v>
      </c>
    </row>
    <row r="564" spans="1:1">
      <c r="A564">
        <v>0</v>
      </c>
    </row>
    <row r="565" spans="1:1">
      <c r="A565">
        <v>4621951</v>
      </c>
    </row>
    <row r="566" spans="1:1">
      <c r="A566">
        <v>335</v>
      </c>
    </row>
    <row r="567" spans="1:1">
      <c r="A567">
        <v>340</v>
      </c>
    </row>
    <row r="568" spans="1:1">
      <c r="A568">
        <v>380</v>
      </c>
    </row>
    <row r="569" spans="1:1">
      <c r="A569">
        <v>530</v>
      </c>
    </row>
    <row r="570" spans="1:1">
      <c r="A570">
        <v>530</v>
      </c>
    </row>
    <row r="571" spans="1:1">
      <c r="A571">
        <v>590</v>
      </c>
    </row>
    <row r="572" spans="1:1">
      <c r="A572">
        <v>860</v>
      </c>
    </row>
    <row r="573" spans="1:1">
      <c r="A573">
        <v>910</v>
      </c>
    </row>
    <row r="574" spans="1:1">
      <c r="A574">
        <v>880</v>
      </c>
    </row>
    <row r="575" spans="1:1">
      <c r="A575">
        <v>84</v>
      </c>
    </row>
    <row r="576" spans="1:1">
      <c r="A576">
        <v>1210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9311</v>
      </c>
    </row>
    <row r="583" spans="1:1">
      <c r="A583">
        <v>3724400</v>
      </c>
    </row>
    <row r="584" spans="1:1">
      <c r="A584">
        <v>0</v>
      </c>
    </row>
    <row r="585" spans="1:1">
      <c r="A585">
        <v>3724400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505</v>
      </c>
    </row>
    <row r="590" spans="1:1">
      <c r="A590">
        <v>515</v>
      </c>
    </row>
    <row r="591" spans="1:1">
      <c r="A591">
        <v>605</v>
      </c>
    </row>
    <row r="592" spans="1:1">
      <c r="A592">
        <v>770</v>
      </c>
    </row>
    <row r="593" spans="1:1">
      <c r="A593">
        <v>800</v>
      </c>
    </row>
    <row r="594" spans="1:1">
      <c r="A594">
        <v>910</v>
      </c>
    </row>
    <row r="595" spans="1:1">
      <c r="A595">
        <v>85</v>
      </c>
    </row>
    <row r="596" spans="1:1">
      <c r="A596">
        <v>1220</v>
      </c>
    </row>
    <row r="597" spans="1:1">
      <c r="A597">
        <v>5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7539</v>
      </c>
    </row>
    <row r="603" spans="1:1">
      <c r="A603">
        <v>3317160</v>
      </c>
    </row>
    <row r="604" spans="1:1">
      <c r="A604">
        <v>0</v>
      </c>
    </row>
    <row r="605" spans="1:1">
      <c r="A605">
        <v>2897591</v>
      </c>
    </row>
    <row r="606" spans="1:1">
      <c r="A606">
        <v>324</v>
      </c>
    </row>
    <row r="607" spans="1:1">
      <c r="A607">
        <v>329</v>
      </c>
    </row>
    <row r="608" spans="1:1">
      <c r="A608">
        <v>374</v>
      </c>
    </row>
    <row r="609" spans="1:1">
      <c r="A609">
        <v>519</v>
      </c>
    </row>
    <row r="610" spans="1:1">
      <c r="A610">
        <v>519</v>
      </c>
    </row>
    <row r="611" spans="1:1">
      <c r="A611">
        <v>585</v>
      </c>
    </row>
    <row r="612" spans="1:1">
      <c r="A612">
        <v>850</v>
      </c>
    </row>
    <row r="613" spans="1:1">
      <c r="A613">
        <v>900</v>
      </c>
    </row>
    <row r="614" spans="1:1">
      <c r="A614">
        <v>870</v>
      </c>
    </row>
    <row r="615" spans="1:1">
      <c r="A615">
        <v>53</v>
      </c>
    </row>
    <row r="616" spans="1:1">
      <c r="A616">
        <v>1212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10508</v>
      </c>
    </row>
    <row r="623" spans="1:1">
      <c r="A623">
        <v>4623520</v>
      </c>
    </row>
    <row r="624" spans="1:1">
      <c r="A624">
        <v>0</v>
      </c>
    </row>
    <row r="625" spans="1:1">
      <c r="A625">
        <v>4203951</v>
      </c>
    </row>
    <row r="626" spans="1:1">
      <c r="A626">
        <v>345</v>
      </c>
    </row>
    <row r="627" spans="1:1">
      <c r="A627">
        <v>353</v>
      </c>
    </row>
    <row r="628" spans="1:1">
      <c r="A628">
        <v>397</v>
      </c>
    </row>
    <row r="629" spans="1:1">
      <c r="A629">
        <v>531</v>
      </c>
    </row>
    <row r="630" spans="1:1">
      <c r="A630">
        <v>525</v>
      </c>
    </row>
    <row r="631" spans="1:1">
      <c r="A631">
        <v>609</v>
      </c>
    </row>
    <row r="632" spans="1:1">
      <c r="A632">
        <v>745</v>
      </c>
    </row>
    <row r="633" spans="1:1">
      <c r="A633">
        <v>753</v>
      </c>
    </row>
    <row r="634" spans="1:1">
      <c r="A634">
        <v>885</v>
      </c>
    </row>
    <row r="635" spans="1:1">
      <c r="A635">
        <v>72</v>
      </c>
    </row>
    <row r="636" spans="1:1">
      <c r="A636">
        <v>1217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8955</v>
      </c>
    </row>
    <row r="643" spans="1:1">
      <c r="A643">
        <v>3582000</v>
      </c>
    </row>
    <row r="644" spans="1:1">
      <c r="A644">
        <v>0</v>
      </c>
    </row>
    <row r="645" spans="1:1">
      <c r="A645">
        <v>3582000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44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353</v>
      </c>
    </row>
    <row r="682" spans="1:1">
      <c r="A682" t="s">
        <v>354</v>
      </c>
    </row>
    <row r="683" spans="1:1">
      <c r="A683" t="s">
        <v>355</v>
      </c>
    </row>
    <row r="684" spans="1:1">
      <c r="A684" t="s">
        <v>356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357</v>
      </c>
    </row>
    <row r="700" spans="1:1">
      <c r="A700" t="s">
        <v>358</v>
      </c>
    </row>
    <row r="701" spans="1:1">
      <c r="A701">
        <v>1</v>
      </c>
    </row>
    <row r="702" spans="1:1">
      <c r="A702">
        <v>1720606</v>
      </c>
    </row>
    <row r="703" spans="1:1">
      <c r="A703">
        <v>2221637</v>
      </c>
    </row>
    <row r="704" spans="1:1">
      <c r="A704">
        <v>1017092</v>
      </c>
    </row>
    <row r="705" spans="1:1">
      <c r="A705">
        <v>110942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1251116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-180839</v>
      </c>
    </row>
    <row r="717" spans="1:1">
      <c r="A717">
        <v>3819161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1442548</v>
      </c>
    </row>
    <row r="723" spans="1:1">
      <c r="A723">
        <v>1288508</v>
      </c>
    </row>
    <row r="724" spans="1:1">
      <c r="A724">
        <v>1412214</v>
      </c>
    </row>
    <row r="725" spans="1:1">
      <c r="A725">
        <v>738719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884351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-2362</v>
      </c>
    </row>
    <row r="737" spans="1:1">
      <c r="A737">
        <v>3997638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1442548</v>
      </c>
    </row>
    <row r="743" spans="1:1">
      <c r="A743">
        <v>1717013</v>
      </c>
    </row>
    <row r="744" spans="1:1">
      <c r="A744">
        <v>2055045</v>
      </c>
    </row>
    <row r="745" spans="1:1">
      <c r="A745">
        <v>464093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1077451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17480</v>
      </c>
    </row>
    <row r="756" spans="1:1">
      <c r="A756">
        <v>183768</v>
      </c>
    </row>
    <row r="757" spans="1:1">
      <c r="A757">
        <v>4601248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2533482</v>
      </c>
    </row>
    <row r="763" spans="1:1">
      <c r="A763">
        <v>1462219</v>
      </c>
    </row>
    <row r="764" spans="1:1">
      <c r="A764">
        <v>1065723</v>
      </c>
    </row>
    <row r="765" spans="1:1">
      <c r="A765">
        <v>650000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478872</v>
      </c>
    </row>
    <row r="770" spans="1:1">
      <c r="A770">
        <v>1360285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-127733</v>
      </c>
    </row>
    <row r="777" spans="1:1">
      <c r="A777">
        <v>3872267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1883106</v>
      </c>
    </row>
    <row r="783" spans="1:1">
      <c r="A783">
        <v>1596563</v>
      </c>
    </row>
    <row r="784" spans="1:1">
      <c r="A784">
        <v>403988</v>
      </c>
    </row>
    <row r="785" spans="1:1">
      <c r="A785">
        <v>219235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363794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17480</v>
      </c>
    </row>
    <row r="796" spans="1:1">
      <c r="A796">
        <v>-678382</v>
      </c>
    </row>
    <row r="797" spans="1:1">
      <c r="A797">
        <v>3739098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2005794</v>
      </c>
    </row>
    <row r="803" spans="1:1">
      <c r="A803">
        <v>1299779</v>
      </c>
    </row>
    <row r="804" spans="1:1">
      <c r="A804">
        <v>1161872</v>
      </c>
    </row>
    <row r="805" spans="1:1">
      <c r="A805">
        <v>576787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556846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17480</v>
      </c>
    </row>
    <row r="816" spans="1:1">
      <c r="A816">
        <v>69906</v>
      </c>
    </row>
    <row r="817" spans="1:1">
      <c r="A817">
        <v>4487386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1292548</v>
      </c>
    </row>
    <row r="823" spans="1:1">
      <c r="A823">
        <v>38652</v>
      </c>
    </row>
    <row r="824" spans="1:1">
      <c r="A824">
        <v>537353</v>
      </c>
    </row>
    <row r="825" spans="1:1">
      <c r="A825">
        <v>2232445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271006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-170008</v>
      </c>
    </row>
    <row r="837" spans="1:1">
      <c r="A837">
        <v>3829992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359</v>
      </c>
    </row>
    <row r="862" spans="1:1">
      <c r="A862" t="s">
        <v>360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'W'!W064181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2020-03-21T16:05:03Z</dcterms:modified>
</cp:coreProperties>
</file>