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akr\Documents\My projects\BV\business values\"/>
    </mc:Choice>
  </mc:AlternateContent>
  <xr:revisionPtr revIDLastSave="0" documentId="13_ncr:1_{57D755F0-301C-4556-B0FC-9276735F1C5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alary estimations" sheetId="1" r:id="rId1"/>
    <sheet name="Resources" sheetId="2" r:id="rId2"/>
    <sheet name="Inco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" l="1"/>
  <c r="F22" i="3"/>
  <c r="F23" i="3"/>
  <c r="F24" i="3"/>
  <c r="F25" i="3"/>
  <c r="F26" i="3"/>
  <c r="F27" i="3"/>
  <c r="F28" i="3"/>
  <c r="F29" i="3"/>
  <c r="F30" i="3"/>
  <c r="F20" i="3"/>
  <c r="F18" i="3"/>
  <c r="F9" i="3"/>
  <c r="F10" i="3"/>
  <c r="F11" i="3"/>
  <c r="F12" i="3"/>
  <c r="F13" i="3"/>
  <c r="F14" i="3"/>
  <c r="F15" i="3"/>
  <c r="F16" i="3"/>
  <c r="F17" i="3"/>
  <c r="F8" i="3"/>
  <c r="E8" i="3"/>
  <c r="E9" i="3"/>
  <c r="E10" i="3"/>
  <c r="E11" i="3"/>
  <c r="E12" i="3"/>
  <c r="E13" i="3"/>
  <c r="E14" i="3"/>
  <c r="E15" i="3"/>
  <c r="E16" i="3"/>
  <c r="E22" i="3"/>
  <c r="E23" i="3"/>
  <c r="E30" i="3"/>
  <c r="E7" i="3"/>
  <c r="C30" i="3"/>
  <c r="I30" i="3"/>
  <c r="C9" i="3"/>
  <c r="C10" i="3"/>
  <c r="C11" i="3"/>
  <c r="C12" i="3"/>
  <c r="C13" i="3"/>
  <c r="C14" i="3"/>
  <c r="C15" i="3"/>
  <c r="C16" i="3"/>
  <c r="C17" i="3"/>
  <c r="C18" i="3"/>
  <c r="E18" i="3" s="1"/>
  <c r="C19" i="3"/>
  <c r="F19" i="3" s="1"/>
  <c r="C20" i="3"/>
  <c r="C21" i="3"/>
  <c r="C22" i="3"/>
  <c r="C23" i="3"/>
  <c r="C24" i="3"/>
  <c r="E24" i="3" s="1"/>
  <c r="C25" i="3"/>
  <c r="E25" i="3" s="1"/>
  <c r="C26" i="3"/>
  <c r="E26" i="3" s="1"/>
  <c r="C27" i="3"/>
  <c r="E27" i="3" s="1"/>
  <c r="C28" i="3"/>
  <c r="E28" i="3" s="1"/>
  <c r="C29" i="3"/>
  <c r="E29" i="3" s="1"/>
  <c r="C8" i="3"/>
  <c r="H7" i="3"/>
  <c r="J6" i="3"/>
  <c r="K6" i="3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E2" i="1"/>
  <c r="D4" i="2"/>
  <c r="D3" i="2"/>
  <c r="E17" i="3" l="1"/>
  <c r="E19" i="3"/>
  <c r="E21" i="3"/>
  <c r="E20" i="3"/>
  <c r="G7" i="3"/>
  <c r="J7" i="3" s="1"/>
  <c r="K7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L6" i="3"/>
  <c r="M6" i="3" s="1"/>
  <c r="N6" i="3" s="1"/>
  <c r="G13" i="3" l="1"/>
  <c r="G30" i="3"/>
  <c r="J30" i="3" s="1"/>
  <c r="K30" i="3" s="1"/>
  <c r="L30" i="3" s="1"/>
  <c r="M30" i="3" s="1"/>
  <c r="N30" i="3" s="1"/>
  <c r="G9" i="3"/>
  <c r="J9" i="3" s="1"/>
  <c r="K9" i="3" s="1"/>
  <c r="L9" i="3" s="1"/>
  <c r="M9" i="3" s="1"/>
  <c r="N9" i="3" s="1"/>
  <c r="G10" i="3"/>
  <c r="J10" i="3" s="1"/>
  <c r="K10" i="3" s="1"/>
  <c r="L10" i="3" s="1"/>
  <c r="M10" i="3" s="1"/>
  <c r="N10" i="3" s="1"/>
  <c r="G29" i="3"/>
  <c r="G8" i="3"/>
  <c r="J8" i="3" s="1"/>
  <c r="K8" i="3" s="1"/>
  <c r="L8" i="3" s="1"/>
  <c r="M8" i="3" s="1"/>
  <c r="N8" i="3" s="1"/>
  <c r="G21" i="3"/>
  <c r="G27" i="3"/>
  <c r="G17" i="3"/>
  <c r="J17" i="3" s="1"/>
  <c r="K17" i="3" s="1"/>
  <c r="L17" i="3" s="1"/>
  <c r="M17" i="3" s="1"/>
  <c r="N17" i="3" s="1"/>
  <c r="G20" i="3"/>
  <c r="J20" i="3" s="1"/>
  <c r="K20" i="3" s="1"/>
  <c r="G22" i="3"/>
  <c r="G11" i="3"/>
  <c r="J11" i="3" s="1"/>
  <c r="K11" i="3" s="1"/>
  <c r="L11" i="3" s="1"/>
  <c r="M11" i="3" s="1"/>
  <c r="N11" i="3" s="1"/>
  <c r="G19" i="3"/>
  <c r="J19" i="3" s="1"/>
  <c r="K19" i="3" s="1"/>
  <c r="G14" i="3"/>
  <c r="J14" i="3" s="1"/>
  <c r="K14" i="3" s="1"/>
  <c r="L14" i="3" s="1"/>
  <c r="M14" i="3" s="1"/>
  <c r="N14" i="3" s="1"/>
  <c r="G28" i="3"/>
  <c r="G15" i="3"/>
  <c r="J15" i="3" s="1"/>
  <c r="K15" i="3" s="1"/>
  <c r="L15" i="3" s="1"/>
  <c r="M15" i="3" s="1"/>
  <c r="N15" i="3" s="1"/>
  <c r="G18" i="3"/>
  <c r="J18" i="3" s="1"/>
  <c r="G23" i="3"/>
  <c r="G16" i="3"/>
  <c r="J16" i="3" s="1"/>
  <c r="K16" i="3" s="1"/>
  <c r="L16" i="3" s="1"/>
  <c r="M16" i="3" s="1"/>
  <c r="N16" i="3" s="1"/>
  <c r="G26" i="3"/>
  <c r="G12" i="3"/>
  <c r="L7" i="3"/>
  <c r="M7" i="3" s="1"/>
  <c r="N7" i="3" s="1"/>
  <c r="G25" i="3" l="1"/>
  <c r="G24" i="3"/>
  <c r="J13" i="3"/>
  <c r="K13" i="3" s="1"/>
  <c r="J12" i="3"/>
  <c r="K12" i="3" s="1"/>
  <c r="L12" i="3" s="1"/>
  <c r="M12" i="3" s="1"/>
  <c r="N12" i="3" s="1"/>
  <c r="K18" i="3"/>
  <c r="L18" i="3" s="1"/>
  <c r="L19" i="3"/>
  <c r="M19" i="3" s="1"/>
  <c r="N19" i="3" s="1"/>
  <c r="L20" i="3"/>
  <c r="M20" i="3" s="1"/>
  <c r="N20" i="3" s="1"/>
  <c r="J21" i="3"/>
  <c r="K21" i="3" s="1"/>
  <c r="M18" i="3" l="1"/>
  <c r="N18" i="3" s="1"/>
  <c r="L13" i="3"/>
  <c r="M13" i="3" s="1"/>
  <c r="N13" i="3" s="1"/>
  <c r="L21" i="3"/>
  <c r="M21" i="3" s="1"/>
  <c r="N21" i="3" s="1"/>
  <c r="J22" i="3"/>
  <c r="K22" i="3" s="1"/>
  <c r="L22" i="3" l="1"/>
  <c r="M22" i="3" s="1"/>
  <c r="N22" i="3" s="1"/>
  <c r="J23" i="3"/>
  <c r="K23" i="3" s="1"/>
  <c r="L23" i="3" l="1"/>
  <c r="M23" i="3" s="1"/>
  <c r="N23" i="3" s="1"/>
  <c r="J24" i="3"/>
  <c r="K24" i="3" s="1"/>
  <c r="L24" i="3" l="1"/>
  <c r="M24" i="3" s="1"/>
  <c r="N24" i="3" s="1"/>
  <c r="J25" i="3"/>
  <c r="K25" i="3" s="1"/>
  <c r="L25" i="3" l="1"/>
  <c r="M25" i="3" s="1"/>
  <c r="N25" i="3" s="1"/>
  <c r="J26" i="3"/>
  <c r="K26" i="3" s="1"/>
  <c r="L26" i="3" l="1"/>
  <c r="M26" i="3" s="1"/>
  <c r="N26" i="3" s="1"/>
  <c r="J27" i="3"/>
  <c r="K27" i="3" s="1"/>
  <c r="J28" i="3" l="1"/>
  <c r="K28" i="3" s="1"/>
  <c r="L27" i="3"/>
  <c r="M27" i="3" s="1"/>
  <c r="N27" i="3" s="1"/>
  <c r="L28" i="3" l="1"/>
  <c r="M28" i="3" s="1"/>
  <c r="N28" i="3" s="1"/>
  <c r="J29" i="3"/>
  <c r="K29" i="3" s="1"/>
  <c r="L29" i="3" l="1"/>
  <c r="M29" i="3" s="1"/>
  <c r="N29" i="3" s="1"/>
</calcChain>
</file>

<file path=xl/sharedStrings.xml><?xml version="1.0" encoding="utf-8"?>
<sst xmlns="http://schemas.openxmlformats.org/spreadsheetml/2006/main" count="47" uniqueCount="46">
  <si>
    <t>Position</t>
  </si>
  <si>
    <t>Salary</t>
  </si>
  <si>
    <t>Expense to the company</t>
  </si>
  <si>
    <t>Backend Developer (Middle-Senior, Java)</t>
  </si>
  <si>
    <t>Frontend Developer (Middle-Senior, JS)</t>
  </si>
  <si>
    <t>Data Scientist (Middle-Senior)</t>
  </si>
  <si>
    <t>Marketing Specialist</t>
  </si>
  <si>
    <t>DevOps (Middle-Senior)</t>
  </si>
  <si>
    <t>Yearly price</t>
  </si>
  <si>
    <t>Resource</t>
  </si>
  <si>
    <t>AWS t3.medium instance</t>
  </si>
  <si>
    <t>AWS db.m3.medium instance</t>
  </si>
  <si>
    <t>Amount needed</t>
  </si>
  <si>
    <t>Total Yearly price</t>
  </si>
  <si>
    <t>Income Source</t>
  </si>
  <si>
    <t>Ads</t>
  </si>
  <si>
    <t>Subscription</t>
  </si>
  <si>
    <t>Price per unit</t>
  </si>
  <si>
    <t>Subscription rate</t>
  </si>
  <si>
    <t>Customer acquisition rate, customers per month</t>
  </si>
  <si>
    <t>30-day retention rate</t>
  </si>
  <si>
    <t>Month</t>
  </si>
  <si>
    <t>Subscriptions</t>
  </si>
  <si>
    <t>Total yearly pay</t>
  </si>
  <si>
    <t>Ad revenue</t>
  </si>
  <si>
    <t>Subscription revenue</t>
  </si>
  <si>
    <t>Summary income</t>
  </si>
  <si>
    <t>Summary expenses</t>
  </si>
  <si>
    <t>YOLO</t>
  </si>
  <si>
    <t>Marketing</t>
  </si>
  <si>
    <t>Monthly expenses</t>
  </si>
  <si>
    <t>Monthly personal cost</t>
  </si>
  <si>
    <t>Summary personal cost</t>
  </si>
  <si>
    <t>Marketing, initial</t>
  </si>
  <si>
    <t>Initial costs</t>
  </si>
  <si>
    <t>Variable costs</t>
  </si>
  <si>
    <t>Price</t>
  </si>
  <si>
    <t>Registering a GmbH</t>
  </si>
  <si>
    <t>Lawyer</t>
  </si>
  <si>
    <t>Tax advisor</t>
  </si>
  <si>
    <t>VAT</t>
  </si>
  <si>
    <t>Corporate tax</t>
  </si>
  <si>
    <t>Profit after tax</t>
  </si>
  <si>
    <t>Personal profit</t>
  </si>
  <si>
    <t>Net Profit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</si>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</sst>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Profitability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Summary income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Income!$G$6:$G$16</c:f>
              <c:numCache>
                <c:formatCode>General</c:formatCode>
                <c:ptCount val="11"/>
                <c:pt idx="0">
                  <c:v>0</c:v>
                </c:pt>
                <c:pt idx="1">
                  <c:v>780</c:v>
                </c:pt>
                <c:pt idx="2">
                  <c:v>2694</c:v>
                </c:pt>
                <c:pt idx="3">
                  <c:v>6012</c:v>
                </c:pt>
                <c:pt idx="4">
                  <c:v>12648</c:v>
                </c:pt>
                <c:pt idx="5">
                  <c:v>25920</c:v>
                </c:pt>
                <c:pt idx="6">
                  <c:v>52464</c:v>
                </c:pt>
                <c:pt idx="7">
                  <c:v>94632</c:v>
                </c:pt>
                <c:pt idx="8">
                  <c:v>150612</c:v>
                </c:pt>
                <c:pt idx="9">
                  <c:v>216192</c:v>
                </c:pt>
                <c:pt idx="10">
                  <c:v>286632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2-45EC-A719-65CA9120B386}"/>
            </c:ext>
          </c:extLst>
        </c:ser>
        <c:ser>
          <c:idx val="1"/>
          <c:order val="1"/>
          <c:tx>
            <c:v>Summary expenses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Income!$H$6:$H$16</c:f>
              <c:numCache>
                <c:formatCode>General</c:formatCode>
                <c:ptCount val="11"/>
                <c:pt idx="0">
                  <c:v>65000</c:v>
                </c:pt>
                <c:pt idx="1">
                  <c:v>68550</c:v>
                </c:pt>
                <c:pt idx="2">
                  <c:v>72100</c:v>
                </c:pt>
                <c:pt idx="3">
                  <c:v>75650</c:v>
                </c:pt>
                <c:pt idx="4">
                  <c:v>79200</c:v>
                </c:pt>
                <c:pt idx="5">
                  <c:v>82750</c:v>
                </c:pt>
                <c:pt idx="6">
                  <c:v>86300</c:v>
                </c:pt>
                <c:pt idx="7">
                  <c:v>89850</c:v>
                </c:pt>
                <c:pt idx="8">
                  <c:v>93400</c:v>
                </c:pt>
                <c:pt idx="9">
                  <c:v>96950</c:v>
                </c:pt>
                <c:pt idx="10">
                  <c:v>100500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2-45EC-A719-65CA9120B386}"/>
            </c:ext>
          </c:extLst>
        </c:ser>
        <c:ser>
          <c:idx val="2"/>
          <c:order val="2"/>
          <c:tx>
            <c:v>Profit after tax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Income!$M$6:$M$16</c:f>
              <c:numCache>
                <c:formatCode>General</c:formatCode>
                <c:ptCount val="11"/>
                <c:pt idx="0">
                  <c:v>-65000</c:v>
                </c:pt>
                <c:pt idx="1">
                  <c:v>-67770</c:v>
                </c:pt>
                <c:pt idx="2">
                  <c:v>-69406</c:v>
                </c:pt>
                <c:pt idx="3">
                  <c:v>-69638</c:v>
                </c:pt>
                <c:pt idx="4">
                  <c:v>-66552</c:v>
                </c:pt>
                <c:pt idx="5">
                  <c:v>-56830</c:v>
                </c:pt>
                <c:pt idx="6">
                  <c:v>-33836</c:v>
                </c:pt>
                <c:pt idx="7">
                  <c:v>2711.3940000000002</c:v>
                </c:pt>
                <c:pt idx="8">
                  <c:v>32439.204000000002</c:v>
                </c:pt>
                <c:pt idx="9">
                  <c:v>67610.214000000007</c:v>
                </c:pt>
                <c:pt idx="10">
                  <c:v>105536.84399999998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2-45EC-A719-65CA9120B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914543"/>
        <c:axId val="65913951"/>
      </c:lineChart>
      <c:catAx>
        <c:axId val="122691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13951"/>
        <c:crosses val="autoZero"/>
        <c:auto val="1"/>
        <c:lblAlgn val="ctr"/>
        <c:lblOffset val="100"/>
        <c:noMultiLvlLbl val="0"/>
      </c:catAx>
      <c:valAx>
        <c:axId val="659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9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Break-even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Income!$N$6:$N$30</c:f>
              <c:numCache>
                <c:formatCode>General</c:formatCode>
                <c:ptCount val="25"/>
                <c:pt idx="0">
                  <c:v>-222500</c:v>
                </c:pt>
                <c:pt idx="1">
                  <c:v>-251520</c:v>
                </c:pt>
                <c:pt idx="2">
                  <c:v>-279406</c:v>
                </c:pt>
                <c:pt idx="3">
                  <c:v>-305888</c:v>
                </c:pt>
                <c:pt idx="4">
                  <c:v>-329052</c:v>
                </c:pt>
                <c:pt idx="5">
                  <c:v>-345580</c:v>
                </c:pt>
                <c:pt idx="6">
                  <c:v>-348836</c:v>
                </c:pt>
                <c:pt idx="7">
                  <c:v>-338538.60600000003</c:v>
                </c:pt>
                <c:pt idx="8">
                  <c:v>-335060.79599999997</c:v>
                </c:pt>
                <c:pt idx="9">
                  <c:v>-326139.78599999996</c:v>
                </c:pt>
                <c:pt idx="10">
                  <c:v>-314463.15600000002</c:v>
                </c:pt>
                <c:pt idx="11">
                  <c:v>-300192.50099999999</c:v>
                </c:pt>
                <c:pt idx="12">
                  <c:v>-284212.34100000001</c:v>
                </c:pt>
                <c:pt idx="13">
                  <c:v>-270624.92100000003</c:v>
                </c:pt>
                <c:pt idx="14">
                  <c:v>-252773.66099999996</c:v>
                </c:pt>
                <c:pt idx="15">
                  <c:v>-233008.77599999995</c:v>
                </c:pt>
                <c:pt idx="16">
                  <c:v>-211474.85100000002</c:v>
                </c:pt>
                <c:pt idx="17">
                  <c:v>-188027.30099999998</c:v>
                </c:pt>
                <c:pt idx="18">
                  <c:v>-162521.54099999997</c:v>
                </c:pt>
                <c:pt idx="19">
                  <c:v>-134668.40099999995</c:v>
                </c:pt>
                <c:pt idx="20">
                  <c:v>-103889.54099999997</c:v>
                </c:pt>
                <c:pt idx="21">
                  <c:v>-71052.47100000002</c:v>
                </c:pt>
                <c:pt idx="22">
                  <c:v>-36157.190999999992</c:v>
                </c:pt>
                <c:pt idx="23">
                  <c:v>-215.79600000008941</c:v>
                </c:pt>
                <c:pt idx="24">
                  <c:v>37133.17650000006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A-4B83-B92C-F41F8239E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41903"/>
        <c:axId val="1226641087"/>
      </c:lineChart>
      <c:catAx>
        <c:axId val="51741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641087"/>
        <c:crosses val="autoZero"/>
        <c:auto val="1"/>
        <c:lblAlgn val="ctr"/>
        <c:lblOffset val="100"/>
        <c:noMultiLvlLbl val="0"/>
      </c:catAx>
      <c:valAx>
        <c:axId val="12266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4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31</xdr:row>
      <xdr:rowOff>27384</xdr:rowOff>
    </xdr:from>
    <xdr:to>
      <xdr:col>6</xdr:col>
      <xdr:colOff>777002</xdr:colOff>
      <xdr:row>45</xdr:row>
      <xdr:rowOff>103584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249531-6CA8-7DD6-0269-4D61B2B72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952501</xdr:colOff>
      <xdr:row>30</xdr:row>
      <xdr:rowOff>146446</xdr:rowOff>
    </xdr:from>
    <xdr:to>
      <xdr:col>11</xdr:col>
      <xdr:colOff>495300</xdr:colOff>
      <xdr:row>52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3ECF28-C3D0-B51C-3D90-0C636308B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9" sqref="B9"/>
    </sheetView>
  </sheetViews>
  <sheetFormatPr defaultRowHeight="14.4" x14ac:dyDescent="0.3"/>
  <cols>
    <col min="1" max="1" width="36.44140625" customWidth="1"/>
    <col min="2" max="2" width="17.6640625" customWidth="1"/>
    <col min="3" max="3" width="21.44140625" customWidth="1"/>
    <col min="5" max="5" width="14.88671875" customWidth="1"/>
  </cols>
  <sheetData>
    <row r="1" spans="1:5" x14ac:dyDescent="0.3">
      <c r="A1" t="s">
        <v>0</v>
      </c>
      <c r="B1" t="s">
        <v>1</v>
      </c>
      <c r="C1" t="s">
        <v>2</v>
      </c>
      <c r="E1" t="s">
        <v>23</v>
      </c>
    </row>
    <row r="2" spans="1:5" x14ac:dyDescent="0.3">
      <c r="A2" t="s">
        <v>3</v>
      </c>
      <c r="B2" s="1">
        <v>65000</v>
      </c>
      <c r="C2" s="1">
        <v>77792.91</v>
      </c>
      <c r="E2">
        <f>SUM(B:B)</f>
        <v>315000</v>
      </c>
    </row>
    <row r="3" spans="1:5" x14ac:dyDescent="0.3">
      <c r="A3" t="s">
        <v>5</v>
      </c>
      <c r="B3" s="1">
        <v>70000</v>
      </c>
      <c r="C3" s="1">
        <v>83382.91</v>
      </c>
    </row>
    <row r="4" spans="1:5" x14ac:dyDescent="0.3">
      <c r="A4" t="s">
        <v>4</v>
      </c>
      <c r="B4" s="1">
        <v>60000</v>
      </c>
      <c r="C4" s="1">
        <v>72202.91</v>
      </c>
    </row>
    <row r="5" spans="1:5" x14ac:dyDescent="0.3">
      <c r="A5" t="s">
        <v>6</v>
      </c>
      <c r="B5" s="1">
        <v>50000</v>
      </c>
      <c r="C5" s="1">
        <v>60312.5</v>
      </c>
    </row>
    <row r="6" spans="1:5" x14ac:dyDescent="0.3">
      <c r="A6" t="s">
        <v>7</v>
      </c>
      <c r="B6" s="1">
        <v>70000</v>
      </c>
      <c r="C6" s="1">
        <v>83382.91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2BF4B-6D3B-4E2F-A322-AB7971B9668E}">
  <dimension ref="A1:D22"/>
  <sheetViews>
    <sheetView workbookViewId="0">
      <selection activeCell="B6" sqref="B6"/>
    </sheetView>
  </sheetViews>
  <sheetFormatPr defaultRowHeight="14.4" x14ac:dyDescent="0.3"/>
  <cols>
    <col min="1" max="1" width="28.5546875" customWidth="1"/>
    <col min="2" max="2" width="10.6640625" customWidth="1"/>
    <col min="3" max="3" width="13.5546875" customWidth="1"/>
    <col min="4" max="4" width="15.44140625" customWidth="1"/>
    <col min="5" max="5" width="30.109375" customWidth="1"/>
    <col min="6" max="7" width="22.33203125" customWidth="1"/>
    <col min="9" max="9" width="24.33203125" customWidth="1"/>
    <col min="10" max="10" width="20.6640625" customWidth="1"/>
  </cols>
  <sheetData>
    <row r="1" spans="1:4" x14ac:dyDescent="0.3">
      <c r="A1" t="s">
        <v>35</v>
      </c>
    </row>
    <row r="2" spans="1:4" x14ac:dyDescent="0.3">
      <c r="A2" t="s">
        <v>9</v>
      </c>
      <c r="B2" t="s">
        <v>8</v>
      </c>
      <c r="C2" t="s">
        <v>12</v>
      </c>
      <c r="D2" t="s">
        <v>13</v>
      </c>
    </row>
    <row r="3" spans="1:4" x14ac:dyDescent="0.3">
      <c r="A3" t="s">
        <v>10</v>
      </c>
      <c r="B3">
        <v>420</v>
      </c>
      <c r="C3">
        <v>3</v>
      </c>
      <c r="D3">
        <f>B3*C3</f>
        <v>1260</v>
      </c>
    </row>
    <row r="4" spans="1:4" x14ac:dyDescent="0.3">
      <c r="A4" t="s">
        <v>11</v>
      </c>
      <c r="B4">
        <v>1971</v>
      </c>
      <c r="C4">
        <v>1</v>
      </c>
      <c r="D4">
        <f>B4*C4</f>
        <v>1971</v>
      </c>
    </row>
    <row r="5" spans="1:4" x14ac:dyDescent="0.3">
      <c r="A5" t="s">
        <v>28</v>
      </c>
      <c r="B5">
        <v>5000</v>
      </c>
      <c r="C5">
        <v>1</v>
      </c>
      <c r="D5">
        <v>5000</v>
      </c>
    </row>
    <row r="6" spans="1:4" x14ac:dyDescent="0.3">
      <c r="A6" t="s">
        <v>29</v>
      </c>
      <c r="B6">
        <v>24000</v>
      </c>
      <c r="C6">
        <v>1</v>
      </c>
      <c r="D6">
        <v>2000</v>
      </c>
    </row>
    <row r="17" spans="1:2" x14ac:dyDescent="0.3">
      <c r="A17" t="s">
        <v>34</v>
      </c>
    </row>
    <row r="18" spans="1:2" x14ac:dyDescent="0.3">
      <c r="A18" t="s">
        <v>9</v>
      </c>
      <c r="B18" t="s">
        <v>36</v>
      </c>
    </row>
    <row r="19" spans="1:2" x14ac:dyDescent="0.3">
      <c r="A19" t="s">
        <v>37</v>
      </c>
      <c r="B19">
        <v>25000</v>
      </c>
    </row>
    <row r="20" spans="1:2" x14ac:dyDescent="0.3">
      <c r="A20" t="s">
        <v>38</v>
      </c>
      <c r="B20">
        <v>12000</v>
      </c>
    </row>
    <row r="21" spans="1:2" x14ac:dyDescent="0.3">
      <c r="A21" t="s">
        <v>39</v>
      </c>
      <c r="B21">
        <v>2000</v>
      </c>
    </row>
    <row r="22" spans="1:2" x14ac:dyDescent="0.3">
      <c r="A22" t="s">
        <v>33</v>
      </c>
      <c r="B22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564C-7C63-4B82-9CEC-2BCF9626B39E}">
  <dimension ref="A1:N30"/>
  <sheetViews>
    <sheetView tabSelected="1" zoomScale="80" zoomScaleNormal="80" workbookViewId="0">
      <selection activeCell="E6" sqref="E6:N30"/>
    </sheetView>
  </sheetViews>
  <sheetFormatPr defaultRowHeight="14.4" x14ac:dyDescent="0.3"/>
  <cols>
    <col min="1" max="1" width="17.6640625" customWidth="1"/>
    <col min="2" max="2" width="15.5546875" customWidth="1"/>
    <col min="3" max="3" width="14.6640625" customWidth="1"/>
    <col min="4" max="4" width="24" customWidth="1"/>
    <col min="5" max="5" width="14" customWidth="1"/>
    <col min="6" max="6" width="12.21875" customWidth="1"/>
    <col min="7" max="7" width="11.33203125" customWidth="1"/>
    <col min="8" max="8" width="15.6640625" customWidth="1"/>
    <col min="9" max="9" width="28.33203125" customWidth="1"/>
    <col min="10" max="10" width="22.5546875" customWidth="1"/>
    <col min="11" max="11" width="18" customWidth="1"/>
    <col min="12" max="12" width="17.109375" customWidth="1"/>
    <col min="13" max="13" width="16.88671875" customWidth="1"/>
    <col min="14" max="14" width="18.5546875" customWidth="1"/>
  </cols>
  <sheetData>
    <row r="1" spans="1:14" ht="33" customHeight="1" x14ac:dyDescent="0.3">
      <c r="A1" t="s">
        <v>14</v>
      </c>
      <c r="B1" t="s">
        <v>17</v>
      </c>
      <c r="D1" s="2" t="s">
        <v>19</v>
      </c>
      <c r="E1" t="s">
        <v>18</v>
      </c>
      <c r="F1" s="2" t="s">
        <v>20</v>
      </c>
      <c r="H1" s="2" t="s">
        <v>30</v>
      </c>
      <c r="I1" s="2" t="s">
        <v>31</v>
      </c>
    </row>
    <row r="2" spans="1:14" x14ac:dyDescent="0.3">
      <c r="A2" t="s">
        <v>15</v>
      </c>
      <c r="B2">
        <v>1.2999999999999999E-2</v>
      </c>
      <c r="D2">
        <v>12345</v>
      </c>
      <c r="E2">
        <v>0.2</v>
      </c>
      <c r="F2">
        <v>0.04</v>
      </c>
      <c r="H2">
        <v>3550</v>
      </c>
      <c r="I2">
        <v>26250</v>
      </c>
    </row>
    <row r="3" spans="1:14" x14ac:dyDescent="0.3">
      <c r="A3" t="s">
        <v>16</v>
      </c>
      <c r="B3">
        <v>15</v>
      </c>
    </row>
    <row r="5" spans="1:14" ht="42" customHeight="1" x14ac:dyDescent="0.3">
      <c r="A5" t="s">
        <v>21</v>
      </c>
      <c r="B5" s="2" t="s">
        <v>45</v>
      </c>
      <c r="C5" s="2" t="s">
        <v>22</v>
      </c>
      <c r="E5" s="2" t="s">
        <v>24</v>
      </c>
      <c r="F5" s="2" t="s">
        <v>25</v>
      </c>
      <c r="G5" s="2" t="s">
        <v>26</v>
      </c>
      <c r="H5" s="2" t="s">
        <v>27</v>
      </c>
      <c r="I5" s="2" t="s">
        <v>32</v>
      </c>
      <c r="J5" t="s">
        <v>40</v>
      </c>
      <c r="K5" t="s">
        <v>44</v>
      </c>
      <c r="L5" t="s">
        <v>41</v>
      </c>
      <c r="M5" t="s">
        <v>42</v>
      </c>
      <c r="N5" t="s">
        <v>43</v>
      </c>
    </row>
    <row r="6" spans="1:14" ht="42" customHeight="1" x14ac:dyDescent="0.3">
      <c r="A6">
        <v>0</v>
      </c>
      <c r="B6" s="2">
        <v>0</v>
      </c>
      <c r="C6" s="2">
        <v>0</v>
      </c>
      <c r="E6">
        <v>0</v>
      </c>
      <c r="F6">
        <v>0</v>
      </c>
      <c r="G6">
        <v>0</v>
      </c>
      <c r="H6">
        <v>65000</v>
      </c>
      <c r="I6">
        <f>I2*6</f>
        <v>157500</v>
      </c>
      <c r="J6">
        <f t="shared" ref="J6:J29" si="0">(G6-H6)*0.19</f>
        <v>-12350</v>
      </c>
      <c r="K6">
        <f t="shared" ref="K6:K29" si="1">G6-H6-IF(J6&gt;0,J6,0)</f>
        <v>-65000</v>
      </c>
      <c r="L6">
        <f>MAX(K6,0)*0.3</f>
        <v>0</v>
      </c>
      <c r="M6">
        <f>K6-L6</f>
        <v>-65000</v>
      </c>
      <c r="N6">
        <f t="shared" ref="N6:N29" si="2">M6-I6</f>
        <v>-222500</v>
      </c>
    </row>
    <row r="7" spans="1:14" x14ac:dyDescent="0.3">
      <c r="A7">
        <v>1</v>
      </c>
      <c r="B7">
        <v>200</v>
      </c>
      <c r="C7">
        <v>0</v>
      </c>
      <c r="E7">
        <f>$B$2*300*(B7-C7)</f>
        <v>780</v>
      </c>
      <c r="F7">
        <v>0</v>
      </c>
      <c r="G7">
        <f>SUM(E$7:E7,F$7:F7)</f>
        <v>780</v>
      </c>
      <c r="H7">
        <f>H6+H$2</f>
        <v>68550</v>
      </c>
      <c r="I7">
        <f>I6+$I$2</f>
        <v>183750</v>
      </c>
      <c r="J7">
        <f t="shared" si="0"/>
        <v>-12876.3</v>
      </c>
      <c r="K7">
        <f t="shared" si="1"/>
        <v>-67770</v>
      </c>
      <c r="L7">
        <f t="shared" ref="L7:L29" si="3">MAX(K7,0)*0.3</f>
        <v>0</v>
      </c>
      <c r="M7">
        <f t="shared" ref="M7:M29" si="4">K7-L7</f>
        <v>-67770</v>
      </c>
      <c r="N7">
        <f t="shared" si="2"/>
        <v>-251520</v>
      </c>
    </row>
    <row r="8" spans="1:14" x14ac:dyDescent="0.3">
      <c r="A8">
        <v>2</v>
      </c>
      <c r="B8">
        <v>400</v>
      </c>
      <c r="C8">
        <f>B7*0.2</f>
        <v>40</v>
      </c>
      <c r="E8">
        <f t="shared" ref="E8:E30" si="5">$B$2*300*(B8-C8)</f>
        <v>1404</v>
      </c>
      <c r="F8">
        <f>(C8-C7)*$B$3*0.85</f>
        <v>510</v>
      </c>
      <c r="G8">
        <f>SUM(E$7:E8,F$7:F8)</f>
        <v>2694</v>
      </c>
      <c r="H8">
        <f t="shared" ref="H8:H30" si="6">H7+H$2</f>
        <v>72100</v>
      </c>
      <c r="I8">
        <f t="shared" ref="I8:I30" si="7">I7+$I$2</f>
        <v>210000</v>
      </c>
      <c r="J8">
        <f t="shared" si="0"/>
        <v>-13187.14</v>
      </c>
      <c r="K8">
        <f t="shared" si="1"/>
        <v>-69406</v>
      </c>
      <c r="L8">
        <f t="shared" si="3"/>
        <v>0</v>
      </c>
      <c r="M8">
        <f t="shared" si="4"/>
        <v>-69406</v>
      </c>
      <c r="N8">
        <f t="shared" si="2"/>
        <v>-279406</v>
      </c>
    </row>
    <row r="9" spans="1:14" x14ac:dyDescent="0.3">
      <c r="A9">
        <v>3</v>
      </c>
      <c r="B9">
        <v>800</v>
      </c>
      <c r="C9">
        <f t="shared" ref="C9:C29" si="8">B8*0.2</f>
        <v>80</v>
      </c>
      <c r="E9">
        <f t="shared" si="5"/>
        <v>2808</v>
      </c>
      <c r="F9">
        <f t="shared" ref="F9:F18" si="9">(C9-C8)*$B$3*0.85</f>
        <v>510</v>
      </c>
      <c r="G9">
        <f>SUM(E$7:E9,F$7:F9)</f>
        <v>6012</v>
      </c>
      <c r="H9">
        <f t="shared" si="6"/>
        <v>75650</v>
      </c>
      <c r="I9">
        <f t="shared" si="7"/>
        <v>236250</v>
      </c>
      <c r="J9">
        <f t="shared" si="0"/>
        <v>-13231.22</v>
      </c>
      <c r="K9">
        <f t="shared" si="1"/>
        <v>-69638</v>
      </c>
      <c r="L9">
        <f t="shared" si="3"/>
        <v>0</v>
      </c>
      <c r="M9">
        <f t="shared" si="4"/>
        <v>-69638</v>
      </c>
      <c r="N9">
        <f t="shared" si="2"/>
        <v>-305888</v>
      </c>
    </row>
    <row r="10" spans="1:14" x14ac:dyDescent="0.3">
      <c r="A10">
        <v>4</v>
      </c>
      <c r="B10">
        <v>1600</v>
      </c>
      <c r="C10">
        <f t="shared" si="8"/>
        <v>160</v>
      </c>
      <c r="E10">
        <f t="shared" si="5"/>
        <v>5616</v>
      </c>
      <c r="F10">
        <f t="shared" si="9"/>
        <v>1020</v>
      </c>
      <c r="G10">
        <f>SUM(E$7:E10,F$7:F10)</f>
        <v>12648</v>
      </c>
      <c r="H10">
        <f t="shared" si="6"/>
        <v>79200</v>
      </c>
      <c r="I10">
        <f t="shared" si="7"/>
        <v>262500</v>
      </c>
      <c r="J10">
        <f t="shared" si="0"/>
        <v>-12644.880000000001</v>
      </c>
      <c r="K10">
        <f t="shared" si="1"/>
        <v>-66552</v>
      </c>
      <c r="L10">
        <f t="shared" si="3"/>
        <v>0</v>
      </c>
      <c r="M10">
        <f t="shared" si="4"/>
        <v>-66552</v>
      </c>
      <c r="N10">
        <f t="shared" si="2"/>
        <v>-329052</v>
      </c>
    </row>
    <row r="11" spans="1:14" x14ac:dyDescent="0.3">
      <c r="A11">
        <v>5</v>
      </c>
      <c r="B11">
        <v>3200</v>
      </c>
      <c r="C11">
        <f t="shared" si="8"/>
        <v>320</v>
      </c>
      <c r="E11">
        <f t="shared" si="5"/>
        <v>11232</v>
      </c>
      <c r="F11">
        <f t="shared" si="9"/>
        <v>2040</v>
      </c>
      <c r="G11">
        <f>SUM(E$7:E11,F$7:F11)</f>
        <v>25920</v>
      </c>
      <c r="H11">
        <f t="shared" si="6"/>
        <v>82750</v>
      </c>
      <c r="I11">
        <f t="shared" si="7"/>
        <v>288750</v>
      </c>
      <c r="J11">
        <f t="shared" si="0"/>
        <v>-10797.7</v>
      </c>
      <c r="K11">
        <f t="shared" si="1"/>
        <v>-56830</v>
      </c>
      <c r="L11">
        <f t="shared" si="3"/>
        <v>0</v>
      </c>
      <c r="M11">
        <f t="shared" si="4"/>
        <v>-56830</v>
      </c>
      <c r="N11">
        <f t="shared" si="2"/>
        <v>-345580</v>
      </c>
    </row>
    <row r="12" spans="1:14" x14ac:dyDescent="0.3">
      <c r="A12">
        <v>6</v>
      </c>
      <c r="B12">
        <v>6400</v>
      </c>
      <c r="C12">
        <f t="shared" si="8"/>
        <v>640</v>
      </c>
      <c r="E12">
        <f t="shared" si="5"/>
        <v>22464</v>
      </c>
      <c r="F12">
        <f t="shared" si="9"/>
        <v>4080</v>
      </c>
      <c r="G12">
        <f>SUM(E$7:E12,F$7:F12)</f>
        <v>52464</v>
      </c>
      <c r="H12">
        <f t="shared" si="6"/>
        <v>86300</v>
      </c>
      <c r="I12">
        <f t="shared" si="7"/>
        <v>315000</v>
      </c>
      <c r="J12">
        <f t="shared" si="0"/>
        <v>-6428.84</v>
      </c>
      <c r="K12">
        <f t="shared" si="1"/>
        <v>-33836</v>
      </c>
      <c r="L12">
        <f t="shared" si="3"/>
        <v>0</v>
      </c>
      <c r="M12">
        <f t="shared" si="4"/>
        <v>-33836</v>
      </c>
      <c r="N12">
        <f t="shared" si="2"/>
        <v>-348836</v>
      </c>
    </row>
    <row r="13" spans="1:14" x14ac:dyDescent="0.3">
      <c r="A13">
        <v>7</v>
      </c>
      <c r="B13">
        <v>10000</v>
      </c>
      <c r="C13">
        <f t="shared" si="8"/>
        <v>1280</v>
      </c>
      <c r="E13">
        <f t="shared" si="5"/>
        <v>34008</v>
      </c>
      <c r="F13">
        <f t="shared" si="9"/>
        <v>8160</v>
      </c>
      <c r="G13">
        <f>SUM(E$7:E13,F$7:F13)</f>
        <v>94632</v>
      </c>
      <c r="H13">
        <f t="shared" si="6"/>
        <v>89850</v>
      </c>
      <c r="I13">
        <f t="shared" si="7"/>
        <v>341250</v>
      </c>
      <c r="J13">
        <f t="shared" si="0"/>
        <v>908.58</v>
      </c>
      <c r="K13">
        <f t="shared" si="1"/>
        <v>3873.42</v>
      </c>
      <c r="L13">
        <f t="shared" si="3"/>
        <v>1162.0260000000001</v>
      </c>
      <c r="M13">
        <f t="shared" si="4"/>
        <v>2711.3940000000002</v>
      </c>
      <c r="N13">
        <f t="shared" si="2"/>
        <v>-338538.60600000003</v>
      </c>
    </row>
    <row r="14" spans="1:14" x14ac:dyDescent="0.3">
      <c r="A14">
        <v>8</v>
      </c>
      <c r="B14">
        <v>14000</v>
      </c>
      <c r="C14">
        <f t="shared" si="8"/>
        <v>2000</v>
      </c>
      <c r="E14">
        <f t="shared" si="5"/>
        <v>46800</v>
      </c>
      <c r="F14">
        <f t="shared" si="9"/>
        <v>9180</v>
      </c>
      <c r="G14">
        <f>SUM(E$7:E14,F$7:F14)</f>
        <v>150612</v>
      </c>
      <c r="H14">
        <f t="shared" si="6"/>
        <v>93400</v>
      </c>
      <c r="I14">
        <f t="shared" si="7"/>
        <v>367500</v>
      </c>
      <c r="J14">
        <f t="shared" si="0"/>
        <v>10870.28</v>
      </c>
      <c r="K14">
        <f t="shared" si="1"/>
        <v>46341.72</v>
      </c>
      <c r="L14">
        <f t="shared" si="3"/>
        <v>13902.516</v>
      </c>
      <c r="M14">
        <f t="shared" si="4"/>
        <v>32439.204000000002</v>
      </c>
      <c r="N14">
        <f t="shared" si="2"/>
        <v>-335060.79599999997</v>
      </c>
    </row>
    <row r="15" spans="1:14" x14ac:dyDescent="0.3">
      <c r="A15">
        <v>9</v>
      </c>
      <c r="B15">
        <v>17000</v>
      </c>
      <c r="C15">
        <f t="shared" si="8"/>
        <v>2800</v>
      </c>
      <c r="E15">
        <f t="shared" si="5"/>
        <v>55380</v>
      </c>
      <c r="F15">
        <f t="shared" si="9"/>
        <v>10200</v>
      </c>
      <c r="G15">
        <f>SUM(E$7:E15,F$7:F15)</f>
        <v>216192</v>
      </c>
      <c r="H15">
        <f t="shared" si="6"/>
        <v>96950</v>
      </c>
      <c r="I15">
        <f t="shared" si="7"/>
        <v>393750</v>
      </c>
      <c r="J15">
        <f t="shared" si="0"/>
        <v>22655.98</v>
      </c>
      <c r="K15">
        <f t="shared" si="1"/>
        <v>96586.02</v>
      </c>
      <c r="L15">
        <f t="shared" si="3"/>
        <v>28975.806</v>
      </c>
      <c r="M15">
        <f t="shared" si="4"/>
        <v>67610.214000000007</v>
      </c>
      <c r="N15">
        <f t="shared" si="2"/>
        <v>-326139.78599999996</v>
      </c>
    </row>
    <row r="16" spans="1:14" x14ac:dyDescent="0.3">
      <c r="A16">
        <v>10</v>
      </c>
      <c r="B16">
        <v>19500</v>
      </c>
      <c r="C16">
        <f t="shared" si="8"/>
        <v>3400</v>
      </c>
      <c r="E16">
        <f t="shared" si="5"/>
        <v>62790</v>
      </c>
      <c r="F16">
        <f t="shared" si="9"/>
        <v>7650</v>
      </c>
      <c r="G16">
        <f>SUM(E$7:E16,F$7:F16)</f>
        <v>286632</v>
      </c>
      <c r="H16">
        <f t="shared" si="6"/>
        <v>100500</v>
      </c>
      <c r="I16">
        <f t="shared" si="7"/>
        <v>420000</v>
      </c>
      <c r="J16">
        <f t="shared" si="0"/>
        <v>35365.08</v>
      </c>
      <c r="K16">
        <f t="shared" si="1"/>
        <v>150766.91999999998</v>
      </c>
      <c r="L16">
        <f t="shared" si="3"/>
        <v>45230.075999999994</v>
      </c>
      <c r="M16">
        <f t="shared" si="4"/>
        <v>105536.84399999998</v>
      </c>
      <c r="N16">
        <f t="shared" si="2"/>
        <v>-314463.15600000002</v>
      </c>
    </row>
    <row r="17" spans="1:14" x14ac:dyDescent="0.3">
      <c r="A17">
        <v>11</v>
      </c>
      <c r="B17">
        <v>21500</v>
      </c>
      <c r="C17">
        <f t="shared" si="8"/>
        <v>3900</v>
      </c>
      <c r="E17">
        <f t="shared" si="5"/>
        <v>68640</v>
      </c>
      <c r="F17">
        <f t="shared" si="9"/>
        <v>6375</v>
      </c>
      <c r="G17">
        <f>SUM(E$7:E17,F$7:F17)</f>
        <v>361647</v>
      </c>
      <c r="H17">
        <f t="shared" si="6"/>
        <v>104050</v>
      </c>
      <c r="I17">
        <f t="shared" si="7"/>
        <v>446250</v>
      </c>
      <c r="J17">
        <f t="shared" si="0"/>
        <v>48943.43</v>
      </c>
      <c r="K17">
        <f t="shared" si="1"/>
        <v>208653.57</v>
      </c>
      <c r="L17">
        <f t="shared" si="3"/>
        <v>62596.070999999996</v>
      </c>
      <c r="M17">
        <f t="shared" si="4"/>
        <v>146057.49900000001</v>
      </c>
      <c r="N17">
        <f t="shared" si="2"/>
        <v>-300192.50099999999</v>
      </c>
    </row>
    <row r="18" spans="1:14" x14ac:dyDescent="0.3">
      <c r="A18">
        <v>12</v>
      </c>
      <c r="B18">
        <v>23000</v>
      </c>
      <c r="C18">
        <f t="shared" si="8"/>
        <v>4300</v>
      </c>
      <c r="E18">
        <f t="shared" si="5"/>
        <v>72930</v>
      </c>
      <c r="F18">
        <f t="shared" si="9"/>
        <v>5100</v>
      </c>
      <c r="G18">
        <f>SUM(E$7:E18,F$7:F18)</f>
        <v>439677</v>
      </c>
      <c r="H18">
        <f t="shared" si="6"/>
        <v>107600</v>
      </c>
      <c r="I18">
        <f t="shared" si="7"/>
        <v>472500</v>
      </c>
      <c r="J18">
        <f t="shared" si="0"/>
        <v>63094.63</v>
      </c>
      <c r="K18">
        <f t="shared" si="1"/>
        <v>268982.37</v>
      </c>
      <c r="L18">
        <f t="shared" si="3"/>
        <v>80694.710999999996</v>
      </c>
      <c r="M18">
        <f t="shared" si="4"/>
        <v>188287.65899999999</v>
      </c>
      <c r="N18">
        <f t="shared" si="2"/>
        <v>-284212.34100000001</v>
      </c>
    </row>
    <row r="19" spans="1:14" x14ac:dyDescent="0.3">
      <c r="A19">
        <v>13</v>
      </c>
      <c r="B19">
        <v>24000</v>
      </c>
      <c r="C19">
        <f t="shared" si="8"/>
        <v>4600</v>
      </c>
      <c r="E19">
        <f t="shared" si="5"/>
        <v>75660</v>
      </c>
      <c r="F19">
        <f>(C19-C18)*$B$3*0.7+0.5*F6</f>
        <v>3150</v>
      </c>
      <c r="G19">
        <f>SUM(E$7:E19,F$7:F19)</f>
        <v>518487</v>
      </c>
      <c r="H19">
        <f>H18+H$2+5000</f>
        <v>116150</v>
      </c>
      <c r="I19">
        <f t="shared" si="7"/>
        <v>498750</v>
      </c>
      <c r="J19">
        <f t="shared" si="0"/>
        <v>76444.03</v>
      </c>
      <c r="K19">
        <f t="shared" si="1"/>
        <v>325892.96999999997</v>
      </c>
      <c r="L19">
        <f t="shared" si="3"/>
        <v>97767.890999999989</v>
      </c>
      <c r="M19">
        <f t="shared" si="4"/>
        <v>228125.07899999997</v>
      </c>
      <c r="N19">
        <f t="shared" si="2"/>
        <v>-270624.92100000003</v>
      </c>
    </row>
    <row r="20" spans="1:14" x14ac:dyDescent="0.3">
      <c r="A20">
        <v>14</v>
      </c>
      <c r="B20">
        <v>25000</v>
      </c>
      <c r="C20">
        <f t="shared" si="8"/>
        <v>4800</v>
      </c>
      <c r="E20">
        <f t="shared" si="5"/>
        <v>78780</v>
      </c>
      <c r="F20">
        <f>(C20-C19)*$B$3*0.85+0.5*F7</f>
        <v>2550</v>
      </c>
      <c r="G20">
        <f>SUM(E$7:E20,F$7:F20)</f>
        <v>599817</v>
      </c>
      <c r="H20">
        <f t="shared" si="6"/>
        <v>119700</v>
      </c>
      <c r="I20">
        <f t="shared" si="7"/>
        <v>525000</v>
      </c>
      <c r="J20">
        <f t="shared" si="0"/>
        <v>91222.23</v>
      </c>
      <c r="K20">
        <f t="shared" si="1"/>
        <v>388894.77</v>
      </c>
      <c r="L20">
        <f t="shared" si="3"/>
        <v>116668.431</v>
      </c>
      <c r="M20">
        <f t="shared" si="4"/>
        <v>272226.33900000004</v>
      </c>
      <c r="N20">
        <f t="shared" si="2"/>
        <v>-252773.66099999996</v>
      </c>
    </row>
    <row r="21" spans="1:14" x14ac:dyDescent="0.3">
      <c r="A21">
        <v>15</v>
      </c>
      <c r="B21">
        <v>26000</v>
      </c>
      <c r="C21">
        <f t="shared" si="8"/>
        <v>5000</v>
      </c>
      <c r="E21">
        <f t="shared" si="5"/>
        <v>81900</v>
      </c>
      <c r="F21">
        <f t="shared" ref="F21:F30" si="10">(C21-C20)*$B$3*0.85+0.5*F8</f>
        <v>2805</v>
      </c>
      <c r="G21">
        <f>SUM(E$7:E21,F$7:F21)</f>
        <v>684522</v>
      </c>
      <c r="H21">
        <f t="shared" si="6"/>
        <v>123250</v>
      </c>
      <c r="I21">
        <f t="shared" si="7"/>
        <v>551250</v>
      </c>
      <c r="J21">
        <f t="shared" si="0"/>
        <v>106641.68000000001</v>
      </c>
      <c r="K21">
        <f t="shared" si="1"/>
        <v>454630.32</v>
      </c>
      <c r="L21">
        <f t="shared" si="3"/>
        <v>136389.09599999999</v>
      </c>
      <c r="M21">
        <f t="shared" si="4"/>
        <v>318241.22400000005</v>
      </c>
      <c r="N21">
        <f t="shared" si="2"/>
        <v>-233008.77599999995</v>
      </c>
    </row>
    <row r="22" spans="1:14" x14ac:dyDescent="0.3">
      <c r="A22">
        <v>16</v>
      </c>
      <c r="B22">
        <v>27000</v>
      </c>
      <c r="C22">
        <f t="shared" si="8"/>
        <v>5200</v>
      </c>
      <c r="E22">
        <f t="shared" si="5"/>
        <v>85020</v>
      </c>
      <c r="F22">
        <f t="shared" si="10"/>
        <v>2805</v>
      </c>
      <c r="G22">
        <f>SUM(E$7:E22,F$7:F22)</f>
        <v>772347</v>
      </c>
      <c r="H22">
        <f t="shared" si="6"/>
        <v>126800</v>
      </c>
      <c r="I22">
        <f t="shared" si="7"/>
        <v>577500</v>
      </c>
      <c r="J22">
        <f t="shared" si="0"/>
        <v>122653.93000000001</v>
      </c>
      <c r="K22">
        <f t="shared" si="1"/>
        <v>522893.07</v>
      </c>
      <c r="L22">
        <f t="shared" si="3"/>
        <v>156867.921</v>
      </c>
      <c r="M22">
        <f t="shared" si="4"/>
        <v>366025.14899999998</v>
      </c>
      <c r="N22">
        <f t="shared" si="2"/>
        <v>-211474.85100000002</v>
      </c>
    </row>
    <row r="23" spans="1:14" x14ac:dyDescent="0.3">
      <c r="A23">
        <v>17</v>
      </c>
      <c r="B23">
        <v>28000</v>
      </c>
      <c r="C23">
        <f t="shared" si="8"/>
        <v>5400</v>
      </c>
      <c r="E23">
        <f t="shared" si="5"/>
        <v>88140</v>
      </c>
      <c r="F23">
        <f t="shared" si="10"/>
        <v>3060</v>
      </c>
      <c r="G23">
        <f>SUM(E$7:E23,F$7:F23)</f>
        <v>863547</v>
      </c>
      <c r="H23">
        <f t="shared" si="6"/>
        <v>130350</v>
      </c>
      <c r="I23">
        <f t="shared" si="7"/>
        <v>603750</v>
      </c>
      <c r="J23">
        <f t="shared" si="0"/>
        <v>139307.43</v>
      </c>
      <c r="K23">
        <f t="shared" si="1"/>
        <v>593889.57000000007</v>
      </c>
      <c r="L23">
        <f t="shared" si="3"/>
        <v>178166.87100000001</v>
      </c>
      <c r="M23">
        <f t="shared" si="4"/>
        <v>415722.69900000002</v>
      </c>
      <c r="N23">
        <f t="shared" si="2"/>
        <v>-188027.30099999998</v>
      </c>
    </row>
    <row r="24" spans="1:14" x14ac:dyDescent="0.3">
      <c r="A24">
        <v>18</v>
      </c>
      <c r="B24">
        <v>29000</v>
      </c>
      <c r="C24">
        <f t="shared" si="8"/>
        <v>5600</v>
      </c>
      <c r="E24">
        <f t="shared" si="5"/>
        <v>91260</v>
      </c>
      <c r="F24">
        <f t="shared" si="10"/>
        <v>3570</v>
      </c>
      <c r="G24">
        <f>SUM(E$7:E24,F$7:F24)</f>
        <v>958377</v>
      </c>
      <c r="H24">
        <f t="shared" si="6"/>
        <v>133900</v>
      </c>
      <c r="I24">
        <f t="shared" si="7"/>
        <v>630000</v>
      </c>
      <c r="J24">
        <f t="shared" si="0"/>
        <v>156650.63</v>
      </c>
      <c r="K24">
        <f t="shared" si="1"/>
        <v>667826.37</v>
      </c>
      <c r="L24">
        <f t="shared" si="3"/>
        <v>200347.91099999999</v>
      </c>
      <c r="M24">
        <f t="shared" si="4"/>
        <v>467478.45900000003</v>
      </c>
      <c r="N24">
        <f t="shared" si="2"/>
        <v>-162521.54099999997</v>
      </c>
    </row>
    <row r="25" spans="1:14" x14ac:dyDescent="0.3">
      <c r="A25">
        <v>19</v>
      </c>
      <c r="B25">
        <v>30000</v>
      </c>
      <c r="C25">
        <f t="shared" si="8"/>
        <v>5800</v>
      </c>
      <c r="E25">
        <f t="shared" si="5"/>
        <v>94380</v>
      </c>
      <c r="F25">
        <f t="shared" si="10"/>
        <v>4590</v>
      </c>
      <c r="G25">
        <f>SUM(E$7:E25,F$7:F25)</f>
        <v>1057347</v>
      </c>
      <c r="H25">
        <f t="shared" si="6"/>
        <v>137450</v>
      </c>
      <c r="I25">
        <f t="shared" si="7"/>
        <v>656250</v>
      </c>
      <c r="J25">
        <f t="shared" si="0"/>
        <v>174780.43</v>
      </c>
      <c r="K25">
        <f t="shared" si="1"/>
        <v>745116.57000000007</v>
      </c>
      <c r="L25">
        <f t="shared" si="3"/>
        <v>223534.97100000002</v>
      </c>
      <c r="M25">
        <f t="shared" si="4"/>
        <v>521581.59900000005</v>
      </c>
      <c r="N25">
        <f t="shared" si="2"/>
        <v>-134668.40099999995</v>
      </c>
    </row>
    <row r="26" spans="1:14" x14ac:dyDescent="0.3">
      <c r="A26">
        <v>20</v>
      </c>
      <c r="B26">
        <v>31000</v>
      </c>
      <c r="C26">
        <f t="shared" si="8"/>
        <v>6000</v>
      </c>
      <c r="E26">
        <f t="shared" si="5"/>
        <v>97500</v>
      </c>
      <c r="F26">
        <f t="shared" si="10"/>
        <v>6630</v>
      </c>
      <c r="G26">
        <f>SUM(E$7:E26,F$7:F26)</f>
        <v>1161477</v>
      </c>
      <c r="H26">
        <f t="shared" si="6"/>
        <v>141000</v>
      </c>
      <c r="I26">
        <f t="shared" si="7"/>
        <v>682500</v>
      </c>
      <c r="J26">
        <f t="shared" si="0"/>
        <v>193890.63</v>
      </c>
      <c r="K26">
        <f t="shared" si="1"/>
        <v>826586.37</v>
      </c>
      <c r="L26">
        <f t="shared" si="3"/>
        <v>247975.91099999999</v>
      </c>
      <c r="M26">
        <f t="shared" si="4"/>
        <v>578610.45900000003</v>
      </c>
      <c r="N26">
        <f t="shared" si="2"/>
        <v>-103889.54099999997</v>
      </c>
    </row>
    <row r="27" spans="1:14" x14ac:dyDescent="0.3">
      <c r="A27">
        <v>21</v>
      </c>
      <c r="B27">
        <v>32000</v>
      </c>
      <c r="C27">
        <f t="shared" si="8"/>
        <v>6200</v>
      </c>
      <c r="E27">
        <f t="shared" si="5"/>
        <v>100620</v>
      </c>
      <c r="F27">
        <f t="shared" si="10"/>
        <v>7140</v>
      </c>
      <c r="G27">
        <f>SUM(E$7:E27,F$7:F27)</f>
        <v>1269237</v>
      </c>
      <c r="H27">
        <f t="shared" si="6"/>
        <v>144550</v>
      </c>
      <c r="I27">
        <f t="shared" si="7"/>
        <v>708750</v>
      </c>
      <c r="J27">
        <f t="shared" si="0"/>
        <v>213690.53</v>
      </c>
      <c r="K27">
        <f t="shared" si="1"/>
        <v>910996.47</v>
      </c>
      <c r="L27">
        <f t="shared" si="3"/>
        <v>273298.94099999999</v>
      </c>
      <c r="M27">
        <f t="shared" si="4"/>
        <v>637697.52899999998</v>
      </c>
      <c r="N27">
        <f t="shared" si="2"/>
        <v>-71052.47100000002</v>
      </c>
    </row>
    <row r="28" spans="1:14" x14ac:dyDescent="0.3">
      <c r="A28">
        <v>22</v>
      </c>
      <c r="B28">
        <v>33000</v>
      </c>
      <c r="C28">
        <f t="shared" si="8"/>
        <v>6400</v>
      </c>
      <c r="E28">
        <f t="shared" si="5"/>
        <v>103740</v>
      </c>
      <c r="F28">
        <f t="shared" si="10"/>
        <v>7650</v>
      </c>
      <c r="G28">
        <f>SUM(E$7:E28,F$7:F28)</f>
        <v>1380627</v>
      </c>
      <c r="H28">
        <f t="shared" si="6"/>
        <v>148100</v>
      </c>
      <c r="I28">
        <f t="shared" si="7"/>
        <v>735000</v>
      </c>
      <c r="J28">
        <f t="shared" si="0"/>
        <v>234180.13</v>
      </c>
      <c r="K28">
        <f t="shared" si="1"/>
        <v>998346.87</v>
      </c>
      <c r="L28">
        <f t="shared" si="3"/>
        <v>299504.06099999999</v>
      </c>
      <c r="M28">
        <f t="shared" si="4"/>
        <v>698842.80900000001</v>
      </c>
      <c r="N28">
        <f t="shared" si="2"/>
        <v>-36157.190999999992</v>
      </c>
    </row>
    <row r="29" spans="1:14" x14ac:dyDescent="0.3">
      <c r="A29">
        <v>23</v>
      </c>
      <c r="B29">
        <v>34000</v>
      </c>
      <c r="C29">
        <f t="shared" si="8"/>
        <v>6600</v>
      </c>
      <c r="E29">
        <f t="shared" si="5"/>
        <v>106860</v>
      </c>
      <c r="F29">
        <f t="shared" si="10"/>
        <v>6375</v>
      </c>
      <c r="G29">
        <f>SUM(E$7:E29,F$7:F29)</f>
        <v>1493862</v>
      </c>
      <c r="H29">
        <f t="shared" si="6"/>
        <v>151650</v>
      </c>
      <c r="I29">
        <f t="shared" si="7"/>
        <v>761250</v>
      </c>
      <c r="J29">
        <f t="shared" si="0"/>
        <v>255020.28</v>
      </c>
      <c r="K29">
        <f t="shared" si="1"/>
        <v>1087191.72</v>
      </c>
      <c r="L29">
        <f t="shared" si="3"/>
        <v>326157.516</v>
      </c>
      <c r="M29">
        <f t="shared" si="4"/>
        <v>761034.20399999991</v>
      </c>
      <c r="N29">
        <f t="shared" si="2"/>
        <v>-215.79600000008941</v>
      </c>
    </row>
    <row r="30" spans="1:14" x14ac:dyDescent="0.3">
      <c r="A30">
        <v>24</v>
      </c>
      <c r="B30">
        <v>35000</v>
      </c>
      <c r="C30">
        <f t="shared" ref="C30" si="11">B29*0.2</f>
        <v>6800</v>
      </c>
      <c r="E30">
        <f t="shared" si="5"/>
        <v>109980</v>
      </c>
      <c r="F30">
        <f t="shared" si="10"/>
        <v>5737.5</v>
      </c>
      <c r="G30">
        <f>SUM(E$7:E30,F$7:F30)</f>
        <v>1609579.5</v>
      </c>
      <c r="H30">
        <f t="shared" si="6"/>
        <v>155200</v>
      </c>
      <c r="I30">
        <f t="shared" si="7"/>
        <v>787500</v>
      </c>
      <c r="J30">
        <f t="shared" ref="J30" si="12">(G30-H30)*0.19</f>
        <v>276332.10499999998</v>
      </c>
      <c r="K30">
        <f t="shared" ref="K30" si="13">G30-H30-IF(J30&gt;0,J30,0)</f>
        <v>1178047.395</v>
      </c>
      <c r="L30">
        <f t="shared" ref="L30" si="14">MAX(K30,0)*0.3</f>
        <v>353414.21850000002</v>
      </c>
      <c r="M30">
        <f t="shared" ref="M30" si="15">K30-L30</f>
        <v>824633.17650000006</v>
      </c>
      <c r="N30">
        <f t="shared" ref="N30" si="16">M30-I30</f>
        <v>37133.17650000006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 estimations</vt:lpstr>
      <vt:lpstr>Resources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Ufo</dc:creator>
  <cp:lastModifiedBy>Kravets, Pavlo</cp:lastModifiedBy>
  <dcterms:created xsi:type="dcterms:W3CDTF">2015-06-05T18:17:20Z</dcterms:created>
  <dcterms:modified xsi:type="dcterms:W3CDTF">2024-01-31T13:25:19Z</dcterms:modified>
</cp:coreProperties>
</file>